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drawings/drawing5.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drawings/drawing6.xml" ContentType="application/vnd.openxmlformats-officedocument.drawing+xml"/>
  <Override PartName="/xl/tables/table6.xml" ContentType="application/vnd.openxmlformats-officedocument.spreadsheetml.table+xml"/>
  <Override PartName="/xl/charts/chart8.xml" ContentType="application/vnd.openxmlformats-officedocument.drawingml.chart+xml"/>
  <Override PartName="/xl/drawings/drawing7.xml" ContentType="application/vnd.openxmlformats-officedocument.drawing+xml"/>
  <Override PartName="/xl/tables/table7.xml" ContentType="application/vnd.openxmlformats-officedocument.spreadsheetml.table+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10.xml" ContentType="application/vnd.openxmlformats-officedocument.drawingml.chart+xml"/>
  <Override PartName="/xl/drawings/drawing9.xml" ContentType="application/vnd.openxmlformats-officedocument.drawing+xml"/>
  <Override PartName="/xl/tables/table9.xml" ContentType="application/vnd.openxmlformats-officedocument.spreadsheetml.table+xml"/>
  <Override PartName="/xl/charts/chart11.xml" ContentType="application/vnd.openxmlformats-officedocument.drawingml.chart+xml"/>
  <Override PartName="/xl/drawings/drawing10.xml" ContentType="application/vnd.openxmlformats-officedocument.drawing+xml"/>
  <Override PartName="/xl/tables/table10.xml" ContentType="application/vnd.openxmlformats-officedocument.spreadsheetml.table+xml"/>
  <Override PartName="/xl/charts/chart12.xml" ContentType="application/vnd.openxmlformats-officedocument.drawingml.chart+xml"/>
  <Override PartName="/xl/drawings/drawing11.xml" ContentType="application/vnd.openxmlformats-officedocument.drawing+xml"/>
  <Override PartName="/xl/tables/table11.xml" ContentType="application/vnd.openxmlformats-officedocument.spreadsheetml.table+xml"/>
  <Override PartName="/xl/charts/chart13.xml" ContentType="application/vnd.openxmlformats-officedocument.drawingml.chart+xml"/>
  <Override PartName="/xl/drawings/drawing12.xml" ContentType="application/vnd.openxmlformats-officedocument.drawing+xml"/>
  <Override PartName="/xl/tables/table12.xml" ContentType="application/vnd.openxmlformats-officedocument.spreadsheetml.table+xml"/>
  <Override PartName="/xl/charts/chart14.xml" ContentType="application/vnd.openxmlformats-officedocument.drawingml.chart+xml"/>
  <Override PartName="/xl/drawings/drawing13.xml" ContentType="application/vnd.openxmlformats-officedocument.drawing+xml"/>
  <Override PartName="/xl/tables/table13.xml" ContentType="application/vnd.openxmlformats-officedocument.spreadsheetml.table+xml"/>
  <Override PartName="/xl/charts/chart15.xml" ContentType="application/vnd.openxmlformats-officedocument.drawingml.chart+xml"/>
  <Override PartName="/xl/drawings/drawing14.xml" ContentType="application/vnd.openxmlformats-officedocument.drawing+xml"/>
  <Override PartName="/xl/tables/table14.xml" ContentType="application/vnd.openxmlformats-officedocument.spreadsheetml.table+xml"/>
  <Override PartName="/xl/charts/chart16.xml" ContentType="application/vnd.openxmlformats-officedocument.drawingml.chart+xml"/>
  <Override PartName="/xl/drawings/drawing15.xml" ContentType="application/vnd.openxmlformats-officedocument.drawing+xml"/>
  <Override PartName="/xl/tables/table15.xml" ContentType="application/vnd.openxmlformats-officedocument.spreadsheetml.table+xml"/>
  <Override PartName="/xl/charts/chart17.xml" ContentType="application/vnd.openxmlformats-officedocument.drawingml.chart+xml"/>
  <Override PartName="/xl/drawings/drawing16.xml" ContentType="application/vnd.openxmlformats-officedocument.drawing+xml"/>
  <Override PartName="/xl/tables/table16.xml" ContentType="application/vnd.openxmlformats-officedocument.spreadsheetml.table+xml"/>
  <Override PartName="/xl/charts/chart18.xml" ContentType="application/vnd.openxmlformats-officedocument.drawingml.chart+xml"/>
  <Override PartName="/xl/drawings/drawing17.xml" ContentType="application/vnd.openxmlformats-officedocument.drawing+xml"/>
  <Override PartName="/xl/tables/table17.xml" ContentType="application/vnd.openxmlformats-officedocument.spreadsheetml.table+xml"/>
  <Override PartName="/xl/charts/chart19.xml" ContentType="application/vnd.openxmlformats-officedocument.drawingml.chart+xml"/>
  <Override PartName="/xl/drawings/drawing18.xml" ContentType="application/vnd.openxmlformats-officedocument.drawing+xml"/>
  <Override PartName="/xl/tables/table18.xml" ContentType="application/vnd.openxmlformats-officedocument.spreadsheetml.table+xml"/>
  <Override PartName="/xl/charts/chart20.xml" ContentType="application/vnd.openxmlformats-officedocument.drawingml.chart+xml"/>
  <Override PartName="/xl/drawings/drawing19.xml" ContentType="application/vnd.openxmlformats-officedocument.drawing+xml"/>
  <Override PartName="/xl/tables/table19.xml" ContentType="application/vnd.openxmlformats-officedocument.spreadsheetml.table+xml"/>
  <Override PartName="/xl/charts/chart21.xml" ContentType="application/vnd.openxmlformats-officedocument.drawingml.chart+xml"/>
  <Override PartName="/xl/drawings/drawing20.xml" ContentType="application/vnd.openxmlformats-officedocument.drawing+xml"/>
  <Override PartName="/xl/tables/table20.xml" ContentType="application/vnd.openxmlformats-officedocument.spreadsheetml.table+xml"/>
  <Override PartName="/xl/charts/chart22.xml" ContentType="application/vnd.openxmlformats-officedocument.drawingml.chart+xml"/>
  <Override PartName="/xl/drawings/drawing21.xml" ContentType="application/vnd.openxmlformats-officedocument.drawing+xml"/>
  <Override PartName="/xl/tables/table21.xml" ContentType="application/vnd.openxmlformats-officedocument.spreadsheetml.table+xml"/>
  <Override PartName="/xl/charts/chart23.xml" ContentType="application/vnd.openxmlformats-officedocument.drawingml.chart+xml"/>
  <Override PartName="/xl/drawings/drawing22.xml" ContentType="application/vnd.openxmlformats-officedocument.drawing+xml"/>
  <Override PartName="/xl/tables/table22.xml" ContentType="application/vnd.openxmlformats-officedocument.spreadsheetml.table+xml"/>
  <Override PartName="/xl/charts/chart24.xml" ContentType="application/vnd.openxmlformats-officedocument.drawingml.chart+xml"/>
  <Override PartName="/xl/drawings/drawing23.xml" ContentType="application/vnd.openxmlformats-officedocument.drawing+xml"/>
  <Override PartName="/xl/tables/table23.xml" ContentType="application/vnd.openxmlformats-officedocument.spreadsheetml.tab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4.xml" ContentType="application/vnd.openxmlformats-officedocument.drawing+xml"/>
  <Override PartName="/xl/tables/table24.xml" ContentType="application/vnd.openxmlformats-officedocument.spreadsheetml.table+xml"/>
  <Override PartName="/xl/charts/chart26.xml" ContentType="application/vnd.openxmlformats-officedocument.drawingml.chart+xml"/>
  <Override PartName="/xl/drawings/drawing25.xml" ContentType="application/vnd.openxmlformats-officedocument.drawing+xml"/>
  <Override PartName="/xl/tables/table25.xml" ContentType="application/vnd.openxmlformats-officedocument.spreadsheetml.table+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6.xml" ContentType="application/vnd.openxmlformats-officedocument.drawing+xml"/>
  <Override PartName="/xl/tables/table26.xml" ContentType="application/vnd.openxmlformats-officedocument.spreadsheetml.tab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7.xml" ContentType="application/vnd.openxmlformats-officedocument.drawing+xml"/>
  <Override PartName="/xl/tables/table27.xml" ContentType="application/vnd.openxmlformats-officedocument.spreadsheetml.tab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8.xml" ContentType="application/vnd.openxmlformats-officedocument.drawing+xml"/>
  <Override PartName="/xl/tables/table28.xml" ContentType="application/vnd.openxmlformats-officedocument.spreadsheetml.tab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9.xml" ContentType="application/vnd.openxmlformats-officedocument.drawing+xml"/>
  <Override PartName="/xl/tables/table29.xml" ContentType="application/vnd.openxmlformats-officedocument.spreadsheetml.table+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0.xml" ContentType="application/vnd.openxmlformats-officedocument.drawing+xml"/>
  <Override PartName="/xl/tables/table30.xml" ContentType="application/vnd.openxmlformats-officedocument.spreadsheetml.table+xml"/>
  <Override PartName="/xl/comments1.xml" ContentType="application/vnd.openxmlformats-officedocument.spreadsheetml.comments+xml"/>
  <Override PartName="/xl/charts/chart32.xml" ContentType="application/vnd.openxmlformats-officedocument.drawingml.chart+xml"/>
  <Override PartName="/xl/drawings/drawing31.xml" ContentType="application/vnd.openxmlformats-officedocument.drawing+xml"/>
  <Override PartName="/xl/tables/table31.xml" ContentType="application/vnd.openxmlformats-officedocument.spreadsheetml.table+xml"/>
  <Override PartName="/xl/comments2.xml" ContentType="application/vnd.openxmlformats-officedocument.spreadsheetml.comments+xml"/>
  <Override PartName="/xl/charts/chart33.xml" ContentType="application/vnd.openxmlformats-officedocument.drawingml.chart+xml"/>
  <Override PartName="/xl/drawings/drawing32.xml" ContentType="application/vnd.openxmlformats-officedocument.drawing+xml"/>
  <Override PartName="/xl/tables/table32.xml" ContentType="application/vnd.openxmlformats-officedocument.spreadsheetml.table+xml"/>
  <Override PartName="/xl/charts/chart34.xml" ContentType="application/vnd.openxmlformats-officedocument.drawingml.chart+xml"/>
  <Override PartName="/xl/drawings/drawing33.xml" ContentType="application/vnd.openxmlformats-officedocument.drawing+xml"/>
  <Override PartName="/xl/tables/table33.xml" ContentType="application/vnd.openxmlformats-officedocument.spreadsheetml.table+xml"/>
  <Override PartName="/xl/charts/chart35.xml" ContentType="application/vnd.openxmlformats-officedocument.drawingml.chart+xml"/>
  <Override PartName="/xl/drawings/drawing34.xml" ContentType="application/vnd.openxmlformats-officedocument.drawing+xml"/>
  <Override PartName="/xl/tables/table34.xml" ContentType="application/vnd.openxmlformats-officedocument.spreadsheetml.table+xml"/>
  <Override PartName="/xl/charts/chart36.xml" ContentType="application/vnd.openxmlformats-officedocument.drawingml.chart+xml"/>
  <Override PartName="/xl/drawings/drawing35.xml" ContentType="application/vnd.openxmlformats-officedocument.drawing+xml"/>
  <Override PartName="/xl/tables/table35.xml" ContentType="application/vnd.openxmlformats-officedocument.spreadsheetml.table+xml"/>
  <Override PartName="/xl/charts/chart37.xml" ContentType="application/vnd.openxmlformats-officedocument.drawingml.chart+xml"/>
  <Override PartName="/xl/drawings/drawing36.xml" ContentType="application/vnd.openxmlformats-officedocument.drawing+xml"/>
  <Override PartName="/xl/tables/table36.xml" ContentType="application/vnd.openxmlformats-officedocument.spreadsheetml.table+xml"/>
  <Override PartName="/xl/charts/chart38.xml" ContentType="application/vnd.openxmlformats-officedocument.drawingml.chart+xml"/>
  <Override PartName="/xl/drawings/drawing37.xml" ContentType="application/vnd.openxmlformats-officedocument.drawing+xml"/>
  <Override PartName="/xl/tables/table37.xml" ContentType="application/vnd.openxmlformats-officedocument.spreadsheetml.table+xml"/>
  <Override PartName="/xl/charts/chart39.xml" ContentType="application/vnd.openxmlformats-officedocument.drawingml.chart+xml"/>
  <Override PartName="/xl/drawings/drawing38.xml" ContentType="application/vnd.openxmlformats-officedocument.drawing+xml"/>
  <Override PartName="/xl/tables/table38.xml" ContentType="application/vnd.openxmlformats-officedocument.spreadsheetml.table+xml"/>
  <Override PartName="/xl/charts/chart40.xml" ContentType="application/vnd.openxmlformats-officedocument.drawingml.chart+xml"/>
  <Override PartName="/xl/drawings/drawing39.xml" ContentType="application/vnd.openxmlformats-officedocument.drawing+xml"/>
  <Override PartName="/xl/tables/table39.xml" ContentType="application/vnd.openxmlformats-officedocument.spreadsheetml.table+xml"/>
  <Override PartName="/xl/comments3.xml" ContentType="application/vnd.openxmlformats-officedocument.spreadsheetml.comments+xml"/>
  <Override PartName="/xl/charts/chart41.xml" ContentType="application/vnd.openxmlformats-officedocument.drawingml.chart+xml"/>
  <Override PartName="/xl/drawings/drawing40.xml" ContentType="application/vnd.openxmlformats-officedocument.drawing+xml"/>
  <Override PartName="/xl/tables/table40.xml" ContentType="application/vnd.openxmlformats-officedocument.spreadsheetml.table+xml"/>
  <Override PartName="/xl/charts/chart42.xml" ContentType="application/vnd.openxmlformats-officedocument.drawingml.chart+xml"/>
  <Override PartName="/xl/drawings/drawing41.xml" ContentType="application/vnd.openxmlformats-officedocument.drawing+xml"/>
  <Override PartName="/xl/tables/table41.xml" ContentType="application/vnd.openxmlformats-officedocument.spreadsheetml.table+xml"/>
  <Override PartName="/xl/charts/chart43.xml" ContentType="application/vnd.openxmlformats-officedocument.drawingml.chart+xml"/>
  <Override PartName="/xl/drawings/drawing42.xml" ContentType="application/vnd.openxmlformats-officedocument.drawing+xml"/>
  <Override PartName="/xl/tables/table42.xml" ContentType="application/vnd.openxmlformats-officedocument.spreadsheetml.table+xml"/>
  <Override PartName="/xl/charts/chart44.xml" ContentType="application/vnd.openxmlformats-officedocument.drawingml.chart+xml"/>
  <Override PartName="/xl/drawings/drawing43.xml" ContentType="application/vnd.openxmlformats-officedocument.drawing+xml"/>
  <Override PartName="/xl/tables/table43.xml" ContentType="application/vnd.openxmlformats-officedocument.spreadsheetml.table+xml"/>
  <Override PartName="/xl/charts/chart45.xml" ContentType="application/vnd.openxmlformats-officedocument.drawingml.chart+xml"/>
  <Override PartName="/xl/drawings/drawing44.xml" ContentType="application/vnd.openxmlformats-officedocument.drawing+xml"/>
  <Override PartName="/xl/tables/table44.xml" ContentType="application/vnd.openxmlformats-officedocument.spreadsheetml.table+xml"/>
  <Override PartName="/xl/charts/chart46.xml" ContentType="application/vnd.openxmlformats-officedocument.drawingml.chart+xml"/>
  <Override PartName="/xl/drawings/drawing45.xml" ContentType="application/vnd.openxmlformats-officedocument.drawing+xml"/>
  <Override PartName="/xl/tables/table45.xml" ContentType="application/vnd.openxmlformats-officedocument.spreadsheetml.table+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mc:AlternateContent xmlns:mc="http://schemas.openxmlformats.org/markup-compatibility/2006">
    <mc:Choice Requires="x15">
      <x15ac:absPath xmlns:x15ac="http://schemas.microsoft.com/office/spreadsheetml/2010/11/ac" url="/Users/enzo/Desktop/金融/国网英大/file/"/>
    </mc:Choice>
  </mc:AlternateContent>
  <xr:revisionPtr revIDLastSave="0" documentId="13_ncr:1_{55885112-7284-5D45-A1CE-9D0D49BD1B5C}" xr6:coauthVersionLast="47" xr6:coauthVersionMax="47" xr10:uidLastSave="{00000000-0000-0000-0000-000000000000}"/>
  <bookViews>
    <workbookView xWindow="0" yWindow="500" windowWidth="16800" windowHeight="19660" tabRatio="753" firstSheet="7" activeTab="12" xr2:uid="{00000000-000D-0000-FFFF-FFFF00000000}"/>
  </bookViews>
  <sheets>
    <sheet name="爱凡哲六号" sheetId="4" r:id="rId1"/>
    <sheet name="新视野1号" sheetId="7" r:id="rId2"/>
    <sheet name="社润悟林二号" sheetId="24" r:id="rId3"/>
    <sheet name="纯享CTA三期" sheetId="12" r:id="rId4"/>
    <sheet name="塑造者2号" sheetId="18" r:id="rId5"/>
    <sheet name="爱凡哲八号" sheetId="19" r:id="rId6"/>
    <sheet name="爱凡哲九号" sheetId="25" r:id="rId7"/>
    <sheet name="琅琊一号" sheetId="20" r:id="rId8"/>
    <sheet name="琅琊二号" sheetId="23" r:id="rId9"/>
    <sheet name="海纳一号" sheetId="14" r:id="rId10"/>
    <sheet name="蒙玺分形3号" sheetId="28" r:id="rId11"/>
    <sheet name="蒙玺中证500指增" sheetId="29" r:id="rId12"/>
    <sheet name="爱凡哲英安一号" sheetId="30" r:id="rId13"/>
    <sheet name="因诺聚配500指增" sheetId="32" r:id="rId14"/>
    <sheet name="衍复聚砾一号" sheetId="37" r:id="rId15"/>
    <sheet name="量派500增强8号" sheetId="46" r:id="rId16"/>
    <sheet name="量客卓宇一号" sheetId="47" r:id="rId17"/>
    <sheet name="银杏1号" sheetId="33" r:id="rId18"/>
    <sheet name="玉数聚配专享2号" sheetId="38" r:id="rId19"/>
    <sheet name="燧石聚配专享一号" sheetId="41" r:id="rId20"/>
    <sheet name="华云瑾尚二号" sheetId="45" r:id="rId21"/>
    <sheet name="量客长阳一号" sheetId="40" r:id="rId22"/>
    <sheet name="爱凡哲睿哲二号" sheetId="48" r:id="rId23"/>
    <sheet name="均泰衡山量化一号" sheetId="50" r:id="rId24"/>
    <sheet name="鼎一精粹" sheetId="49" r:id="rId25"/>
    <sheet name="知睿一号" sheetId="51" r:id="rId26"/>
    <sheet name="鼎一超越" sheetId="56" r:id="rId27"/>
    <sheet name="鹏鑫二号" sheetId="58" r:id="rId28"/>
    <sheet name="同余1号" sheetId="57" r:id="rId29"/>
    <sheet name="合绎塑造者三号" sheetId="52" r:id="rId30"/>
    <sheet name="集微投资2期" sheetId="59" r:id="rId31"/>
    <sheet name="量典长青二号" sheetId="35" r:id="rId32"/>
    <sheet name="筹优量化" sheetId="11" r:id="rId33"/>
    <sheet name="洛书瑞乾元封" sheetId="5" r:id="rId34"/>
    <sheet name="品赋赤霄" sheetId="13" r:id="rId35"/>
    <sheet name="龙珠聚配 " sheetId="43" r:id="rId36"/>
    <sheet name="鼎一兑弈" sheetId="22" r:id="rId37"/>
    <sheet name="抱朴聚配" sheetId="42" r:id="rId38"/>
    <sheet name="沪深300单利宝1号" sheetId="6" r:id="rId39"/>
    <sheet name="格量稳健1号" sheetId="2" r:id="rId40"/>
    <sheet name="银极启航" sheetId="16" r:id="rId41"/>
    <sheet name="思博量道十五号" sheetId="26" r:id="rId42"/>
    <sheet name="顽岩烽火" sheetId="9" r:id="rId43"/>
    <sheet name="拉普拉斯一号" sheetId="10" r:id="rId44"/>
    <sheet name="千朔量化六号" sheetId="8" r:id="rId45"/>
  </sheets>
  <externalReferences>
    <externalReference r:id="rId46"/>
    <externalReference r:id="rId47"/>
  </externalReferences>
  <definedNames>
    <definedName name="_xlnm._FilterDatabase" localSheetId="5" hidden="1">爱凡哲八号!$A$20:$E$271</definedName>
    <definedName name="_xlnm._FilterDatabase" localSheetId="6" hidden="1">爱凡哲九号!$A$20:$E$391</definedName>
    <definedName name="_xlnm._FilterDatabase" localSheetId="0" hidden="1">爱凡哲六号!$A$20:$E$439</definedName>
    <definedName name="_xlnm._FilterDatabase" localSheetId="12" hidden="1">爱凡哲英安一号!$A$20:$F$221</definedName>
    <definedName name="_xlnm._FilterDatabase" localSheetId="37" hidden="1">抱朴聚配!$A$20:$E$55</definedName>
    <definedName name="_xlnm._FilterDatabase" localSheetId="32" hidden="1">筹优量化!$A$20:$E$403</definedName>
    <definedName name="_xlnm._FilterDatabase" localSheetId="3" hidden="1">纯享CTA三期!$A$20:$E$371</definedName>
    <definedName name="_xlnm._FilterDatabase" localSheetId="36" hidden="1">鼎一兑弈!$A$20:$E$213</definedName>
    <definedName name="_xlnm._FilterDatabase" localSheetId="39" hidden="1">格量稳健1号!$A$20:$E$252</definedName>
    <definedName name="_xlnm._FilterDatabase" localSheetId="9" hidden="1">海纳一号!$A$20:$E$340</definedName>
    <definedName name="_xlnm._FilterDatabase" localSheetId="38" hidden="1">沪深300单利宝1号!$A$20:$E$298</definedName>
    <definedName name="_xlnm._FilterDatabase" localSheetId="20" hidden="1">华云瑾尚二号!$A$20:$E$200</definedName>
    <definedName name="_xlnm._FilterDatabase" localSheetId="23" hidden="1">均泰衡山量化一号!$A$20:$E$76</definedName>
    <definedName name="_xlnm._FilterDatabase" localSheetId="43" hidden="1">拉普拉斯一号!$A$20:$E$142</definedName>
    <definedName name="_xlnm._FilterDatabase" localSheetId="8" hidden="1">琅琊二号!$A$20:$E$324</definedName>
    <definedName name="_xlnm._FilterDatabase" localSheetId="7" hidden="1">琅琊一号!$A$20:$E$263</definedName>
    <definedName name="_xlnm._FilterDatabase" localSheetId="31" hidden="1">量典长青二号!$A$20:$E$198</definedName>
    <definedName name="_xlnm._FilterDatabase" localSheetId="21" hidden="1">量客长阳一号!$A$20:$E$140</definedName>
    <definedName name="_xlnm._FilterDatabase" localSheetId="16" hidden="1">量客卓宇一号!$A$20:$F$126</definedName>
    <definedName name="_xlnm._FilterDatabase" localSheetId="15" hidden="1">量派500增强8号!$A$20:$F$125</definedName>
    <definedName name="_xlnm._FilterDatabase" localSheetId="35" hidden="1">'龙珠聚配 '!$A$20:$E$83</definedName>
    <definedName name="_xlnm._FilterDatabase" localSheetId="33" hidden="1">洛书瑞乾元封!$A$20:$E$438</definedName>
    <definedName name="_xlnm._FilterDatabase" localSheetId="10" hidden="1">蒙玺分形3号!$A$20:$E$224</definedName>
    <definedName name="_xlnm._FilterDatabase" localSheetId="11" hidden="1">蒙玺中证500指增!$A$20:$F$224</definedName>
    <definedName name="_xlnm._FilterDatabase" localSheetId="34" hidden="1">品赋赤霄!$A$20:$E$325</definedName>
    <definedName name="_xlnm._FilterDatabase" localSheetId="44" hidden="1">千朔量化六号!$A$20:$E$150</definedName>
    <definedName name="_xlnm._FilterDatabase" localSheetId="2" hidden="1">社润悟林二号!$A$20:$E$390</definedName>
    <definedName name="_xlnm._FilterDatabase" localSheetId="41" hidden="1">思博量道十五号!$A$20:$E$174</definedName>
    <definedName name="_xlnm._FilterDatabase" localSheetId="4" hidden="1">塑造者2号!$A$20:$E$274</definedName>
    <definedName name="_xlnm._FilterDatabase" localSheetId="19" hidden="1">燧石聚配专享一号!$A$20:$E$140</definedName>
    <definedName name="_xlnm._FilterDatabase" localSheetId="42" hidden="1">顽岩烽火!$A$20:$E$194</definedName>
    <definedName name="_xlnm._FilterDatabase" localSheetId="1" hidden="1">新视野1号!$A$20:$E$436</definedName>
    <definedName name="_xlnm._FilterDatabase" localSheetId="14" hidden="1">衍复聚砾一号!$A$20:$F$190</definedName>
    <definedName name="_xlnm._FilterDatabase" localSheetId="13" hidden="1">因诺聚配500指增!$A$20:$F$220</definedName>
    <definedName name="_xlnm._FilterDatabase" localSheetId="40" hidden="1">银极启航!$A$20:$E$107</definedName>
    <definedName name="_xlnm._FilterDatabase" localSheetId="17" hidden="1">银杏1号!$A$20:$E$207</definedName>
    <definedName name="_xlnm._FilterDatabase" localSheetId="18" hidden="1">玉数聚配专享2号!$A$20:$E$189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0" l="1"/>
  <c r="C24" i="30" s="1"/>
  <c r="C25" i="30" s="1"/>
  <c r="C26" i="30" s="1"/>
  <c r="C27" i="30" s="1"/>
  <c r="C28" i="30" s="1"/>
  <c r="C29" i="30" s="1"/>
  <c r="C30" i="30" s="1"/>
  <c r="C31" i="30" s="1"/>
  <c r="C32" i="30" s="1"/>
  <c r="C33" i="30" s="1"/>
  <c r="C34" i="30" s="1"/>
  <c r="C35" i="30" s="1"/>
  <c r="C36" i="30" s="1"/>
  <c r="C37" i="30" s="1"/>
  <c r="C38" i="30" s="1"/>
  <c r="C39" i="30" s="1"/>
  <c r="C40" i="30" s="1"/>
  <c r="C41" i="30" s="1"/>
  <c r="C42" i="30" s="1"/>
  <c r="C43" i="30" s="1"/>
  <c r="C44" i="30" s="1"/>
  <c r="C45" i="30" s="1"/>
  <c r="C46" i="30" s="1"/>
  <c r="C47" i="30" s="1"/>
  <c r="C48" i="30" s="1"/>
  <c r="C49" i="30" s="1"/>
  <c r="C50" i="30" s="1"/>
  <c r="C51" i="30" s="1"/>
  <c r="C52" i="30" s="1"/>
  <c r="C53" i="30" s="1"/>
  <c r="C54" i="30" s="1"/>
  <c r="C55" i="30" s="1"/>
  <c r="C56" i="30" s="1"/>
  <c r="C57" i="30" s="1"/>
  <c r="C58" i="30" s="1"/>
  <c r="C59" i="30" s="1"/>
  <c r="C60" i="30" s="1"/>
  <c r="C61" i="30" s="1"/>
  <c r="C62" i="30" s="1"/>
  <c r="C63" i="30" s="1"/>
  <c r="C64" i="30" s="1"/>
  <c r="C65" i="30" s="1"/>
  <c r="C66" i="30" s="1"/>
  <c r="C67" i="30" s="1"/>
  <c r="C68" i="30" s="1"/>
  <c r="C69" i="30" s="1"/>
  <c r="C70" i="30" s="1"/>
  <c r="C71" i="30" s="1"/>
  <c r="C72" i="30" s="1"/>
  <c r="C73" i="30" s="1"/>
  <c r="C74" i="30" s="1"/>
  <c r="C75" i="30" s="1"/>
  <c r="C76" i="30" s="1"/>
  <c r="C77" i="30" s="1"/>
  <c r="C78" i="30" s="1"/>
  <c r="C79" i="30" s="1"/>
  <c r="C80" i="30" s="1"/>
  <c r="C81" i="30" s="1"/>
  <c r="C82" i="30" s="1"/>
  <c r="C83" i="30" s="1"/>
  <c r="C84" i="30" s="1"/>
  <c r="C85" i="30" s="1"/>
  <c r="C86" i="30" s="1"/>
  <c r="C87" i="30" s="1"/>
  <c r="C88" i="30" s="1"/>
  <c r="C89" i="30" s="1"/>
  <c r="C90" i="30" s="1"/>
  <c r="C91" i="30" s="1"/>
  <c r="C92" i="30" s="1"/>
  <c r="C93" i="30" s="1"/>
  <c r="C94" i="30" s="1"/>
  <c r="C95" i="30" s="1"/>
  <c r="C96" i="30" s="1"/>
  <c r="C97" i="30" s="1"/>
  <c r="C98" i="30" s="1"/>
  <c r="C99" i="30" s="1"/>
  <c r="C100" i="30" s="1"/>
  <c r="C101" i="30" s="1"/>
  <c r="C102" i="30" s="1"/>
  <c r="C103" i="30" s="1"/>
  <c r="C104" i="30" s="1"/>
  <c r="C105" i="30" s="1"/>
  <c r="C106" i="30" s="1"/>
  <c r="C107" i="30" s="1"/>
  <c r="C108" i="30" s="1"/>
  <c r="C109" i="30" s="1"/>
  <c r="C110" i="30" s="1"/>
  <c r="C111" i="30" s="1"/>
  <c r="C112" i="30" s="1"/>
  <c r="C113" i="30" s="1"/>
  <c r="C114" i="30" s="1"/>
  <c r="C115" i="30" s="1"/>
  <c r="C116" i="30" s="1"/>
  <c r="C117" i="30" s="1"/>
  <c r="C118" i="30" s="1"/>
  <c r="C119" i="30" s="1"/>
  <c r="C120" i="30" s="1"/>
  <c r="C121" i="30" s="1"/>
  <c r="C122" i="30" s="1"/>
  <c r="C123" i="30" s="1"/>
  <c r="C124" i="30" s="1"/>
  <c r="C125" i="30" s="1"/>
  <c r="C126" i="30" s="1"/>
  <c r="C127" i="30" s="1"/>
  <c r="C128" i="30" s="1"/>
  <c r="C129" i="30" s="1"/>
  <c r="C130" i="30" s="1"/>
  <c r="C131" i="30" s="1"/>
  <c r="C132" i="30" s="1"/>
  <c r="C133" i="30" s="1"/>
  <c r="C134" i="30" s="1"/>
  <c r="C135" i="30" s="1"/>
  <c r="C136" i="30" s="1"/>
  <c r="C137" i="30" s="1"/>
  <c r="C138" i="30" s="1"/>
  <c r="C139" i="30" s="1"/>
  <c r="C140" i="30" s="1"/>
  <c r="C141" i="30" s="1"/>
  <c r="C142" i="30" s="1"/>
  <c r="C143" i="30" s="1"/>
  <c r="C144" i="30" s="1"/>
  <c r="C145" i="30" s="1"/>
  <c r="C146" i="30" s="1"/>
  <c r="C147" i="30" s="1"/>
  <c r="C148" i="30" s="1"/>
  <c r="C149" i="30" s="1"/>
  <c r="C150" i="30" s="1"/>
  <c r="C151" i="30" s="1"/>
  <c r="C152" i="30" s="1"/>
  <c r="C153" i="30" s="1"/>
  <c r="C154" i="30" s="1"/>
  <c r="C155" i="30" s="1"/>
  <c r="C156" i="30" s="1"/>
  <c r="C157" i="30" s="1"/>
  <c r="C158" i="30" s="1"/>
  <c r="C159" i="30" s="1"/>
  <c r="C160" i="30" s="1"/>
  <c r="C161" i="30" s="1"/>
  <c r="C162" i="30" s="1"/>
  <c r="C163" i="30" s="1"/>
  <c r="C164" i="30" s="1"/>
  <c r="C165" i="30" s="1"/>
  <c r="C166" i="30" s="1"/>
  <c r="C167" i="30" s="1"/>
  <c r="C168" i="30" s="1"/>
  <c r="C169" i="30" s="1"/>
  <c r="C170" i="30" s="1"/>
  <c r="C171" i="30" s="1"/>
  <c r="C172" i="30" s="1"/>
  <c r="C173" i="30" s="1"/>
  <c r="C174" i="30" s="1"/>
  <c r="C175" i="30" s="1"/>
  <c r="C176" i="30" s="1"/>
  <c r="C177" i="30" s="1"/>
  <c r="C178" i="30" s="1"/>
  <c r="C179" i="30" s="1"/>
  <c r="C180" i="30" s="1"/>
  <c r="C181" i="30" s="1"/>
  <c r="C182" i="30" s="1"/>
  <c r="C183" i="30" s="1"/>
  <c r="C184" i="30" s="1"/>
  <c r="C185" i="30" s="1"/>
  <c r="C186" i="30" s="1"/>
  <c r="C187" i="30" s="1"/>
  <c r="C188" i="30" s="1"/>
  <c r="C189" i="30" s="1"/>
  <c r="C190" i="30" s="1"/>
  <c r="C191" i="30" s="1"/>
  <c r="C192" i="30" s="1"/>
  <c r="C193" i="30" s="1"/>
  <c r="C194" i="30" s="1"/>
  <c r="C195" i="30" s="1"/>
  <c r="C196" i="30" s="1"/>
  <c r="C197" i="30" s="1"/>
  <c r="C198" i="30" s="1"/>
  <c r="C199" i="30" s="1"/>
  <c r="C200" i="30" s="1"/>
  <c r="C201" i="30" s="1"/>
  <c r="C202" i="30" s="1"/>
  <c r="C203" i="30" s="1"/>
  <c r="C204" i="30" s="1"/>
  <c r="C205" i="30" s="1"/>
  <c r="C206" i="30" s="1"/>
  <c r="C207" i="30" s="1"/>
  <c r="C208" i="30" s="1"/>
  <c r="C209" i="30" s="1"/>
  <c r="C210" i="30" s="1"/>
  <c r="C211" i="30" s="1"/>
  <c r="C212" i="30" s="1"/>
  <c r="C213" i="30" s="1"/>
  <c r="C214" i="30" s="1"/>
  <c r="C215" i="30" s="1"/>
  <c r="C216" i="30" s="1"/>
  <c r="C217" i="30" s="1"/>
  <c r="C218" i="30" s="1"/>
  <c r="C219" i="30" s="1"/>
  <c r="C220" i="30" s="1"/>
  <c r="C221" i="30" s="1"/>
  <c r="C22" i="30"/>
  <c r="C27" i="47"/>
  <c r="C28" i="47" s="1"/>
  <c r="C29" i="47" s="1"/>
  <c r="C30" i="47" s="1"/>
  <c r="C31" i="47" s="1"/>
  <c r="C32" i="47" s="1"/>
  <c r="C33" i="47" s="1"/>
  <c r="C34" i="47" s="1"/>
  <c r="C35" i="47" s="1"/>
  <c r="C36" i="47" s="1"/>
  <c r="C37" i="47" s="1"/>
  <c r="C38" i="47" s="1"/>
  <c r="C39" i="47" s="1"/>
  <c r="C40" i="47" s="1"/>
  <c r="C41" i="47" s="1"/>
  <c r="C42" i="47" s="1"/>
  <c r="C43" i="47" s="1"/>
  <c r="C44" i="47" s="1"/>
  <c r="C45" i="47" s="1"/>
  <c r="C46" i="47" s="1"/>
  <c r="C47" i="47" s="1"/>
  <c r="C48" i="47" s="1"/>
  <c r="C49" i="47" s="1"/>
  <c r="C50" i="47" s="1"/>
  <c r="C51" i="47" s="1"/>
  <c r="C52" i="47" s="1"/>
  <c r="C53" i="47" s="1"/>
  <c r="C54" i="47" s="1"/>
  <c r="C55" i="47" s="1"/>
  <c r="C56" i="47" s="1"/>
  <c r="C57" i="47" s="1"/>
  <c r="C58" i="47" s="1"/>
  <c r="C59" i="47" s="1"/>
  <c r="C60" i="47" s="1"/>
  <c r="C61" i="47" s="1"/>
  <c r="C62" i="47" s="1"/>
  <c r="C63" i="47" s="1"/>
  <c r="C64" i="47" s="1"/>
  <c r="C65" i="47" s="1"/>
  <c r="C66" i="47" s="1"/>
  <c r="C67" i="47" s="1"/>
  <c r="C68" i="47" s="1"/>
  <c r="C69" i="47" s="1"/>
  <c r="C70" i="47" s="1"/>
  <c r="C71" i="47" s="1"/>
  <c r="C72" i="47" s="1"/>
  <c r="C73" i="47" s="1"/>
  <c r="C74" i="47" s="1"/>
  <c r="C75" i="47" s="1"/>
  <c r="C76" i="47" s="1"/>
  <c r="C77" i="47" s="1"/>
  <c r="C78" i="47" s="1"/>
  <c r="C79" i="47" s="1"/>
  <c r="C80" i="47" s="1"/>
  <c r="C81" i="47" s="1"/>
  <c r="C82" i="47" s="1"/>
  <c r="C83" i="47" s="1"/>
  <c r="C84" i="47" s="1"/>
  <c r="C85" i="47" s="1"/>
  <c r="C86" i="47" s="1"/>
  <c r="C87" i="47" s="1"/>
  <c r="C88" i="47" s="1"/>
  <c r="C89" i="47" s="1"/>
  <c r="C90" i="47" s="1"/>
  <c r="C91" i="47" s="1"/>
  <c r="C92" i="47" s="1"/>
  <c r="C93" i="47" s="1"/>
  <c r="C94" i="47" s="1"/>
  <c r="C95" i="47" s="1"/>
  <c r="C96" i="47" s="1"/>
  <c r="C97" i="47" s="1"/>
  <c r="C98" i="47" s="1"/>
  <c r="C99" i="47" s="1"/>
  <c r="C100" i="47" s="1"/>
  <c r="C101" i="47" s="1"/>
  <c r="C102" i="47" s="1"/>
  <c r="C103" i="47" s="1"/>
  <c r="C104" i="47" s="1"/>
  <c r="C105" i="47" s="1"/>
  <c r="C106" i="47" s="1"/>
  <c r="C107" i="47" s="1"/>
  <c r="C108" i="47" s="1"/>
  <c r="C109" i="47" s="1"/>
  <c r="C110" i="47" s="1"/>
  <c r="C111" i="47" s="1"/>
  <c r="C112" i="47" s="1"/>
  <c r="C113" i="47" s="1"/>
  <c r="C114" i="47" s="1"/>
  <c r="C115" i="47" s="1"/>
  <c r="C116" i="47" s="1"/>
  <c r="C117" i="47" s="1"/>
  <c r="C118" i="47" s="1"/>
  <c r="C119" i="47" s="1"/>
  <c r="C120" i="47" s="1"/>
  <c r="C121" i="47" s="1"/>
  <c r="C122" i="47" s="1"/>
  <c r="C123" i="47" s="1"/>
  <c r="C124" i="47" s="1"/>
  <c r="C125" i="47" s="1"/>
  <c r="C126" i="47" s="1"/>
  <c r="C26" i="47"/>
  <c r="C27" i="37"/>
  <c r="C28" i="37"/>
  <c r="C29" i="37" s="1"/>
  <c r="C30" i="37" s="1"/>
  <c r="C31" i="37" s="1"/>
  <c r="C32" i="37" s="1"/>
  <c r="C33" i="37" s="1"/>
  <c r="C34" i="37" s="1"/>
  <c r="C35" i="37" s="1"/>
  <c r="C36" i="37" s="1"/>
  <c r="C37" i="37" s="1"/>
  <c r="C38" i="37" s="1"/>
  <c r="C39" i="37" s="1"/>
  <c r="C40" i="37" s="1"/>
  <c r="C41" i="37" s="1"/>
  <c r="C42" i="37" s="1"/>
  <c r="C43" i="37" s="1"/>
  <c r="C44" i="37" s="1"/>
  <c r="C45" i="37" s="1"/>
  <c r="C46" i="37" s="1"/>
  <c r="C47" i="37" s="1"/>
  <c r="C48" i="37" s="1"/>
  <c r="C49" i="37" s="1"/>
  <c r="C50" i="37" s="1"/>
  <c r="C51" i="37" s="1"/>
  <c r="C52" i="37" s="1"/>
  <c r="C53" i="37" s="1"/>
  <c r="C54" i="37" s="1"/>
  <c r="C55" i="37" s="1"/>
  <c r="C56" i="37" s="1"/>
  <c r="C57" i="37" s="1"/>
  <c r="C58" i="37" s="1"/>
  <c r="C59" i="37" s="1"/>
  <c r="C60" i="37" s="1"/>
  <c r="C61" i="37" s="1"/>
  <c r="C62" i="37" s="1"/>
  <c r="C63" i="37" s="1"/>
  <c r="C64" i="37" s="1"/>
  <c r="C65" i="37" s="1"/>
  <c r="C66" i="37" s="1"/>
  <c r="C67" i="37" s="1"/>
  <c r="C68" i="37" s="1"/>
  <c r="C69" i="37" s="1"/>
  <c r="C70" i="37" s="1"/>
  <c r="C71" i="37" s="1"/>
  <c r="C72" i="37" s="1"/>
  <c r="C73" i="37" s="1"/>
  <c r="C74" i="37" s="1"/>
  <c r="C75" i="37" s="1"/>
  <c r="C76" i="37" s="1"/>
  <c r="C77" i="37" s="1"/>
  <c r="C78" i="37" s="1"/>
  <c r="C79" i="37" s="1"/>
  <c r="C80" i="37" s="1"/>
  <c r="C81" i="37" s="1"/>
  <c r="C82" i="37" s="1"/>
  <c r="C83" i="37" s="1"/>
  <c r="C84" i="37" s="1"/>
  <c r="C85" i="37" s="1"/>
  <c r="C86" i="37" s="1"/>
  <c r="C87" i="37" s="1"/>
  <c r="C88" i="37" s="1"/>
  <c r="C89" i="37" s="1"/>
  <c r="C90" i="37" s="1"/>
  <c r="C91" i="37" s="1"/>
  <c r="C92" i="37" s="1"/>
  <c r="C93" i="37" s="1"/>
  <c r="C94" i="37" s="1"/>
  <c r="C95" i="37" s="1"/>
  <c r="C96" i="37" s="1"/>
  <c r="C97" i="37" s="1"/>
  <c r="C98" i="37" s="1"/>
  <c r="C99" i="37" s="1"/>
  <c r="C100" i="37" s="1"/>
  <c r="C101" i="37" s="1"/>
  <c r="C102" i="37" s="1"/>
  <c r="C103" i="37" s="1"/>
  <c r="C104" i="37" s="1"/>
  <c r="C105" i="37" s="1"/>
  <c r="C106" i="37" s="1"/>
  <c r="C107" i="37" s="1"/>
  <c r="C108" i="37" s="1"/>
  <c r="C109" i="37" s="1"/>
  <c r="C110" i="37" s="1"/>
  <c r="C111" i="37" s="1"/>
  <c r="C112" i="37" s="1"/>
  <c r="C113" i="37" s="1"/>
  <c r="C114" i="37" s="1"/>
  <c r="C115" i="37" s="1"/>
  <c r="C116" i="37" s="1"/>
  <c r="C117" i="37" s="1"/>
  <c r="C118" i="37" s="1"/>
  <c r="C119" i="37" s="1"/>
  <c r="C120" i="37" s="1"/>
  <c r="C121" i="37" s="1"/>
  <c r="C122" i="37" s="1"/>
  <c r="C123" i="37" s="1"/>
  <c r="C124" i="37" s="1"/>
  <c r="C125" i="37" s="1"/>
  <c r="C126" i="37" s="1"/>
  <c r="C127" i="37" s="1"/>
  <c r="C128" i="37" s="1"/>
  <c r="C129" i="37" s="1"/>
  <c r="C130" i="37" s="1"/>
  <c r="C131" i="37" s="1"/>
  <c r="C132" i="37" s="1"/>
  <c r="C133" i="37" s="1"/>
  <c r="C134" i="37" s="1"/>
  <c r="C135" i="37" s="1"/>
  <c r="C136" i="37" s="1"/>
  <c r="C137" i="37" s="1"/>
  <c r="C138" i="37" s="1"/>
  <c r="C139" i="37" s="1"/>
  <c r="C140" i="37" s="1"/>
  <c r="C141" i="37" s="1"/>
  <c r="C142" i="37" s="1"/>
  <c r="C143" i="37" s="1"/>
  <c r="C144" i="37" s="1"/>
  <c r="C145" i="37" s="1"/>
  <c r="C146" i="37" s="1"/>
  <c r="C147" i="37" s="1"/>
  <c r="C148" i="37" s="1"/>
  <c r="C149" i="37" s="1"/>
  <c r="C150" i="37" s="1"/>
  <c r="C151" i="37" s="1"/>
  <c r="C152" i="37" s="1"/>
  <c r="C153" i="37" s="1"/>
  <c r="C154" i="37" s="1"/>
  <c r="C155" i="37" s="1"/>
  <c r="C156" i="37" s="1"/>
  <c r="C157" i="37" s="1"/>
  <c r="C158" i="37" s="1"/>
  <c r="C159" i="37" s="1"/>
  <c r="C160" i="37" s="1"/>
  <c r="C161" i="37" s="1"/>
  <c r="C162" i="37" s="1"/>
  <c r="C163" i="37" s="1"/>
  <c r="C164" i="37" s="1"/>
  <c r="C165" i="37" s="1"/>
  <c r="C166" i="37" s="1"/>
  <c r="C167" i="37" s="1"/>
  <c r="C168" i="37" s="1"/>
  <c r="C169" i="37" s="1"/>
  <c r="C170" i="37" s="1"/>
  <c r="C171" i="37" s="1"/>
  <c r="C172" i="37" s="1"/>
  <c r="C173" i="37" s="1"/>
  <c r="C174" i="37" s="1"/>
  <c r="C175" i="37" s="1"/>
  <c r="C176" i="37" s="1"/>
  <c r="C177" i="37" s="1"/>
  <c r="C178" i="37" s="1"/>
  <c r="C179" i="37" s="1"/>
  <c r="C180" i="37" s="1"/>
  <c r="C181" i="37" s="1"/>
  <c r="C182" i="37" s="1"/>
  <c r="C183" i="37" s="1"/>
  <c r="C184" i="37" s="1"/>
  <c r="C185" i="37" s="1"/>
  <c r="C186" i="37" s="1"/>
  <c r="C187" i="37" s="1"/>
  <c r="C188" i="37" s="1"/>
  <c r="C189" i="37" s="1"/>
  <c r="C190" i="37" s="1"/>
  <c r="C26" i="37"/>
  <c r="C27" i="32"/>
  <c r="C28" i="32"/>
  <c r="C29" i="32" s="1"/>
  <c r="C30" i="32" s="1"/>
  <c r="C31" i="32" s="1"/>
  <c r="C32" i="32" s="1"/>
  <c r="C33" i="32" s="1"/>
  <c r="C34" i="32" s="1"/>
  <c r="C35" i="32" s="1"/>
  <c r="C36" i="32" s="1"/>
  <c r="C37" i="32" s="1"/>
  <c r="C38" i="32" s="1"/>
  <c r="C39" i="32" s="1"/>
  <c r="C40" i="32" s="1"/>
  <c r="C41" i="32" s="1"/>
  <c r="C42" i="32" s="1"/>
  <c r="C43" i="32" s="1"/>
  <c r="C44" i="32" s="1"/>
  <c r="C45" i="32" s="1"/>
  <c r="C46" i="32" s="1"/>
  <c r="C47" i="32" s="1"/>
  <c r="C48" i="32" s="1"/>
  <c r="C49" i="32" s="1"/>
  <c r="C50" i="32" s="1"/>
  <c r="C51" i="32" s="1"/>
  <c r="C52" i="32" s="1"/>
  <c r="C53" i="32" s="1"/>
  <c r="C54" i="32" s="1"/>
  <c r="C55" i="32" s="1"/>
  <c r="C56" i="32" s="1"/>
  <c r="C57" i="32" s="1"/>
  <c r="C58" i="32" s="1"/>
  <c r="C59" i="32" s="1"/>
  <c r="C60" i="32" s="1"/>
  <c r="C61" i="32" s="1"/>
  <c r="C62" i="32" s="1"/>
  <c r="C63" i="32" s="1"/>
  <c r="C64" i="32" s="1"/>
  <c r="C65" i="32" s="1"/>
  <c r="C66" i="32" s="1"/>
  <c r="C67" i="32" s="1"/>
  <c r="C68" i="32" s="1"/>
  <c r="C69" i="32" s="1"/>
  <c r="C70" i="32" s="1"/>
  <c r="C71" i="32" s="1"/>
  <c r="C72" i="32" s="1"/>
  <c r="C73" i="32" s="1"/>
  <c r="C74" i="32" s="1"/>
  <c r="C75" i="32" s="1"/>
  <c r="C76" i="32" s="1"/>
  <c r="C77" i="32" s="1"/>
  <c r="C78" i="32" s="1"/>
  <c r="C79" i="32" s="1"/>
  <c r="C80" i="32" s="1"/>
  <c r="C81" i="32" s="1"/>
  <c r="C82" i="32" s="1"/>
  <c r="C83" i="32" s="1"/>
  <c r="C84" i="32" s="1"/>
  <c r="C85" i="32" s="1"/>
  <c r="C86" i="32" s="1"/>
  <c r="C87" i="32" s="1"/>
  <c r="C88" i="32" s="1"/>
  <c r="C89" i="32" s="1"/>
  <c r="C90" i="32" s="1"/>
  <c r="C91" i="32" s="1"/>
  <c r="C92" i="32" s="1"/>
  <c r="C93" i="32" s="1"/>
  <c r="C94" i="32" s="1"/>
  <c r="C95" i="32" s="1"/>
  <c r="C96" i="32" s="1"/>
  <c r="C97" i="32" s="1"/>
  <c r="C98" i="32" s="1"/>
  <c r="C99" i="32" s="1"/>
  <c r="C100" i="32" s="1"/>
  <c r="C101" i="32" s="1"/>
  <c r="C102" i="32" s="1"/>
  <c r="C103" i="32" s="1"/>
  <c r="C104" i="32" s="1"/>
  <c r="C105" i="32" s="1"/>
  <c r="C106" i="32" s="1"/>
  <c r="C107" i="32" s="1"/>
  <c r="C108" i="32" s="1"/>
  <c r="C109" i="32" s="1"/>
  <c r="C110" i="32" s="1"/>
  <c r="C111" i="32" s="1"/>
  <c r="C112" i="32" s="1"/>
  <c r="C113" i="32" s="1"/>
  <c r="C114" i="32" s="1"/>
  <c r="C115" i="32" s="1"/>
  <c r="C116" i="32" s="1"/>
  <c r="C117" i="32" s="1"/>
  <c r="C118" i="32" s="1"/>
  <c r="C119" i="32" s="1"/>
  <c r="C120" i="32" s="1"/>
  <c r="C121" i="32" s="1"/>
  <c r="C122" i="32" s="1"/>
  <c r="C123" i="32" s="1"/>
  <c r="C124" i="32" s="1"/>
  <c r="C125" i="32" s="1"/>
  <c r="C126" i="32" s="1"/>
  <c r="C127" i="32" s="1"/>
  <c r="C128" i="32" s="1"/>
  <c r="C129" i="32" s="1"/>
  <c r="C130" i="32" s="1"/>
  <c r="C131" i="32" s="1"/>
  <c r="C132" i="32" s="1"/>
  <c r="C133" i="32" s="1"/>
  <c r="C134" i="32" s="1"/>
  <c r="C135" i="32" s="1"/>
  <c r="C136" i="32" s="1"/>
  <c r="C137" i="32" s="1"/>
  <c r="C138" i="32" s="1"/>
  <c r="C139" i="32" s="1"/>
  <c r="C140" i="32" s="1"/>
  <c r="C141" i="32" s="1"/>
  <c r="C142" i="32" s="1"/>
  <c r="C143" i="32" s="1"/>
  <c r="C144" i="32" s="1"/>
  <c r="C145" i="32" s="1"/>
  <c r="C146" i="32" s="1"/>
  <c r="C147" i="32" s="1"/>
  <c r="C148" i="32" s="1"/>
  <c r="C149" i="32" s="1"/>
  <c r="C150" i="32" s="1"/>
  <c r="C151" i="32" s="1"/>
  <c r="C152" i="32" s="1"/>
  <c r="C153" i="32" s="1"/>
  <c r="C154" i="32" s="1"/>
  <c r="C155" i="32" s="1"/>
  <c r="C156" i="32" s="1"/>
  <c r="C157" i="32" s="1"/>
  <c r="C158" i="32" s="1"/>
  <c r="C159" i="32" s="1"/>
  <c r="C160" i="32" s="1"/>
  <c r="C161" i="32" s="1"/>
  <c r="C162" i="32" s="1"/>
  <c r="C163" i="32" s="1"/>
  <c r="C164" i="32" s="1"/>
  <c r="C165" i="32" s="1"/>
  <c r="C166" i="32" s="1"/>
  <c r="C167" i="32" s="1"/>
  <c r="C168" i="32" s="1"/>
  <c r="C169" i="32" s="1"/>
  <c r="C170" i="32" s="1"/>
  <c r="C171" i="32" s="1"/>
  <c r="C172" i="32" s="1"/>
  <c r="C173" i="32" s="1"/>
  <c r="C174" i="32" s="1"/>
  <c r="C175" i="32" s="1"/>
  <c r="C176" i="32" s="1"/>
  <c r="C177" i="32" s="1"/>
  <c r="C178" i="32" s="1"/>
  <c r="C179" i="32" s="1"/>
  <c r="C180" i="32" s="1"/>
  <c r="C181" i="32" s="1"/>
  <c r="C182" i="32" s="1"/>
  <c r="C183" i="32" s="1"/>
  <c r="C184" i="32" s="1"/>
  <c r="C185" i="32" s="1"/>
  <c r="C186" i="32" s="1"/>
  <c r="C187" i="32" s="1"/>
  <c r="C188" i="32" s="1"/>
  <c r="C189" i="32" s="1"/>
  <c r="C190" i="32" s="1"/>
  <c r="C191" i="32" s="1"/>
  <c r="C192" i="32" s="1"/>
  <c r="C193" i="32" s="1"/>
  <c r="C194" i="32" s="1"/>
  <c r="C195" i="32" s="1"/>
  <c r="C196" i="32" s="1"/>
  <c r="C197" i="32" s="1"/>
  <c r="C198" i="32" s="1"/>
  <c r="C199" i="32" s="1"/>
  <c r="C200" i="32" s="1"/>
  <c r="C201" i="32" s="1"/>
  <c r="C202" i="32" s="1"/>
  <c r="C203" i="32" s="1"/>
  <c r="C204" i="32" s="1"/>
  <c r="C205" i="32" s="1"/>
  <c r="C206" i="32" s="1"/>
  <c r="C207" i="32" s="1"/>
  <c r="C208" i="32" s="1"/>
  <c r="C209" i="32" s="1"/>
  <c r="C210" i="32" s="1"/>
  <c r="C211" i="32" s="1"/>
  <c r="C212" i="32" s="1"/>
  <c r="C213" i="32" s="1"/>
  <c r="C214" i="32" s="1"/>
  <c r="C215" i="32" s="1"/>
  <c r="C216" i="32" s="1"/>
  <c r="C217" i="32" s="1"/>
  <c r="C218" i="32" s="1"/>
  <c r="C219" i="32" s="1"/>
  <c r="C220" i="32" s="1"/>
  <c r="C26" i="32"/>
  <c r="C44" i="29"/>
  <c r="C45" i="29" s="1"/>
  <c r="C46" i="29" s="1"/>
  <c r="C47" i="29" s="1"/>
  <c r="C48" i="29" s="1"/>
  <c r="C49" i="29" s="1"/>
  <c r="C50" i="29" s="1"/>
  <c r="C51" i="29" s="1"/>
  <c r="C52" i="29" s="1"/>
  <c r="C53" i="29" s="1"/>
  <c r="C54" i="29" s="1"/>
  <c r="C55" i="29" s="1"/>
  <c r="C56" i="29" s="1"/>
  <c r="C57" i="29" s="1"/>
  <c r="C58" i="29" s="1"/>
  <c r="C59" i="29" s="1"/>
  <c r="C60" i="29" s="1"/>
  <c r="C61" i="29" s="1"/>
  <c r="C62" i="29" s="1"/>
  <c r="C63" i="29" s="1"/>
  <c r="C64" i="29" s="1"/>
  <c r="C65" i="29" s="1"/>
  <c r="C66" i="29" s="1"/>
  <c r="C67" i="29" s="1"/>
  <c r="C68" i="29" s="1"/>
  <c r="C69" i="29" s="1"/>
  <c r="C70" i="29" s="1"/>
  <c r="C71" i="29" s="1"/>
  <c r="C72" i="29" s="1"/>
  <c r="C73" i="29" s="1"/>
  <c r="C74" i="29" s="1"/>
  <c r="C75" i="29" s="1"/>
  <c r="C76" i="29" s="1"/>
  <c r="C77" i="29" s="1"/>
  <c r="C78" i="29" s="1"/>
  <c r="C79" i="29" s="1"/>
  <c r="C80" i="29" s="1"/>
  <c r="C81" i="29" s="1"/>
  <c r="C82" i="29" s="1"/>
  <c r="C83" i="29" s="1"/>
  <c r="C84" i="29" s="1"/>
  <c r="C85" i="29" s="1"/>
  <c r="C86" i="29" s="1"/>
  <c r="C87" i="29" s="1"/>
  <c r="C88" i="29" s="1"/>
  <c r="C89" i="29" s="1"/>
  <c r="C90" i="29" s="1"/>
  <c r="C91" i="29" s="1"/>
  <c r="C92" i="29" s="1"/>
  <c r="C93" i="29" s="1"/>
  <c r="C94" i="29" s="1"/>
  <c r="C95" i="29" s="1"/>
  <c r="C96" i="29" s="1"/>
  <c r="C97" i="29" s="1"/>
  <c r="C98" i="29" s="1"/>
  <c r="C99" i="29" s="1"/>
  <c r="C100" i="29" s="1"/>
  <c r="C101" i="29" s="1"/>
  <c r="C102" i="29" s="1"/>
  <c r="C103" i="29" s="1"/>
  <c r="C104" i="29" s="1"/>
  <c r="C105" i="29" s="1"/>
  <c r="C106" i="29" s="1"/>
  <c r="C107" i="29" s="1"/>
  <c r="C108" i="29" s="1"/>
  <c r="C109" i="29" s="1"/>
  <c r="C110" i="29" s="1"/>
  <c r="C111" i="29" s="1"/>
  <c r="C112" i="29" s="1"/>
  <c r="C113" i="29" s="1"/>
  <c r="C114" i="29" s="1"/>
  <c r="C115" i="29" s="1"/>
  <c r="C116" i="29" s="1"/>
  <c r="C117" i="29" s="1"/>
  <c r="C118" i="29" s="1"/>
  <c r="C119" i="29" s="1"/>
  <c r="C120" i="29" s="1"/>
  <c r="C121" i="29" s="1"/>
  <c r="C122" i="29" s="1"/>
  <c r="C123" i="29" s="1"/>
  <c r="C124" i="29" s="1"/>
  <c r="C125" i="29" s="1"/>
  <c r="C126" i="29" s="1"/>
  <c r="C127" i="29" s="1"/>
  <c r="C128" i="29" s="1"/>
  <c r="C129" i="29" s="1"/>
  <c r="C130" i="29" s="1"/>
  <c r="C131" i="29" s="1"/>
  <c r="C132" i="29" s="1"/>
  <c r="C133" i="29" s="1"/>
  <c r="C134" i="29" s="1"/>
  <c r="C135" i="29" s="1"/>
  <c r="C136" i="29" s="1"/>
  <c r="C137" i="29" s="1"/>
  <c r="C138" i="29" s="1"/>
  <c r="C139" i="29" s="1"/>
  <c r="C140" i="29" s="1"/>
  <c r="C141" i="29" s="1"/>
  <c r="C142" i="29" s="1"/>
  <c r="C143" i="29" s="1"/>
  <c r="C144" i="29" s="1"/>
  <c r="C145" i="29" s="1"/>
  <c r="C146" i="29" s="1"/>
  <c r="C147" i="29" s="1"/>
  <c r="C148" i="29" s="1"/>
  <c r="C149" i="29" s="1"/>
  <c r="C150" i="29" s="1"/>
  <c r="C151" i="29" s="1"/>
  <c r="C152" i="29" s="1"/>
  <c r="C153" i="29" s="1"/>
  <c r="C154" i="29" s="1"/>
  <c r="C155" i="29" s="1"/>
  <c r="C156" i="29" s="1"/>
  <c r="C157" i="29" s="1"/>
  <c r="C158" i="29" s="1"/>
  <c r="C159" i="29" s="1"/>
  <c r="C160" i="29" s="1"/>
  <c r="C161" i="29" s="1"/>
  <c r="C162" i="29" s="1"/>
  <c r="C163" i="29" s="1"/>
  <c r="C164" i="29" s="1"/>
  <c r="C165" i="29" s="1"/>
  <c r="C166" i="29" s="1"/>
  <c r="C167" i="29" s="1"/>
  <c r="C168" i="29" s="1"/>
  <c r="C169" i="29" s="1"/>
  <c r="C170" i="29" s="1"/>
  <c r="C171" i="29" s="1"/>
  <c r="C172" i="29" s="1"/>
  <c r="C173" i="29" s="1"/>
  <c r="C174" i="29" s="1"/>
  <c r="C175" i="29" s="1"/>
  <c r="C176" i="29" s="1"/>
  <c r="C177" i="29" s="1"/>
  <c r="C178" i="29" s="1"/>
  <c r="C179" i="29" s="1"/>
  <c r="C180" i="29" s="1"/>
  <c r="C181" i="29" s="1"/>
  <c r="C182" i="29" s="1"/>
  <c r="C183" i="29" s="1"/>
  <c r="C184" i="29" s="1"/>
  <c r="C185" i="29" s="1"/>
  <c r="C186" i="29" s="1"/>
  <c r="C187" i="29" s="1"/>
  <c r="C188" i="29" s="1"/>
  <c r="C189" i="29" s="1"/>
  <c r="C190" i="29" s="1"/>
  <c r="C191" i="29" s="1"/>
  <c r="C192" i="29" s="1"/>
  <c r="C193" i="29" s="1"/>
  <c r="C194" i="29" s="1"/>
  <c r="C195" i="29" s="1"/>
  <c r="C196" i="29" s="1"/>
  <c r="C197" i="29" s="1"/>
  <c r="C198" i="29" s="1"/>
  <c r="C199" i="29" s="1"/>
  <c r="C200" i="29" s="1"/>
  <c r="C201" i="29" s="1"/>
  <c r="C202" i="29" s="1"/>
  <c r="C203" i="29" s="1"/>
  <c r="C204" i="29" s="1"/>
  <c r="C205" i="29" s="1"/>
  <c r="C206" i="29" s="1"/>
  <c r="C207" i="29" s="1"/>
  <c r="C208" i="29" s="1"/>
  <c r="C209" i="29" s="1"/>
  <c r="C210" i="29" s="1"/>
  <c r="C211" i="29" s="1"/>
  <c r="C212" i="29" s="1"/>
  <c r="C213" i="29" s="1"/>
  <c r="C214" i="29" s="1"/>
  <c r="C215" i="29" s="1"/>
  <c r="C216" i="29" s="1"/>
  <c r="C217" i="29" s="1"/>
  <c r="C218" i="29" s="1"/>
  <c r="C219" i="29" s="1"/>
  <c r="C220" i="29" s="1"/>
  <c r="C221" i="29" s="1"/>
  <c r="C222" i="29" s="1"/>
  <c r="C223" i="29" s="1"/>
  <c r="C224" i="29" s="1"/>
  <c r="C26" i="29"/>
  <c r="C27" i="29"/>
  <c r="C28" i="29" s="1"/>
  <c r="C29" i="29" s="1"/>
  <c r="C30" i="29" s="1"/>
  <c r="C31" i="29" s="1"/>
  <c r="C32" i="29" s="1"/>
  <c r="C33" i="29" s="1"/>
  <c r="C34" i="29" s="1"/>
  <c r="C35" i="29" s="1"/>
  <c r="C36" i="29" s="1"/>
  <c r="C37" i="29" s="1"/>
  <c r="C38" i="29" s="1"/>
  <c r="C39" i="29" s="1"/>
  <c r="C40" i="29" s="1"/>
  <c r="C41" i="29" s="1"/>
  <c r="C42" i="29" s="1"/>
  <c r="C43" i="29" s="1"/>
  <c r="C25" i="29"/>
  <c r="C85" i="46"/>
  <c r="C86" i="46" s="1"/>
  <c r="C87" i="46" s="1"/>
  <c r="C88" i="46" s="1"/>
  <c r="C89" i="46" s="1"/>
  <c r="C90" i="46" s="1"/>
  <c r="C91" i="46" s="1"/>
  <c r="C92" i="46" s="1"/>
  <c r="C93" i="46" s="1"/>
  <c r="C94" i="46" s="1"/>
  <c r="C95" i="46" s="1"/>
  <c r="C96" i="46" s="1"/>
  <c r="C97" i="46" s="1"/>
  <c r="C98" i="46" s="1"/>
  <c r="C99" i="46" s="1"/>
  <c r="C100" i="46" s="1"/>
  <c r="C101" i="46" s="1"/>
  <c r="C102" i="46" s="1"/>
  <c r="C103" i="46" s="1"/>
  <c r="C104" i="46" s="1"/>
  <c r="C105" i="46" s="1"/>
  <c r="C106" i="46" s="1"/>
  <c r="C107" i="46" s="1"/>
  <c r="C108" i="46" s="1"/>
  <c r="C109" i="46" s="1"/>
  <c r="C110" i="46" s="1"/>
  <c r="C111" i="46" s="1"/>
  <c r="C112" i="46" s="1"/>
  <c r="C113" i="46" s="1"/>
  <c r="C114" i="46" s="1"/>
  <c r="C115" i="46" s="1"/>
  <c r="C116" i="46" s="1"/>
  <c r="C117" i="46" s="1"/>
  <c r="C118" i="46" s="1"/>
  <c r="C119" i="46" s="1"/>
  <c r="C120" i="46" s="1"/>
  <c r="C121" i="46" s="1"/>
  <c r="C122" i="46" s="1"/>
  <c r="C123" i="46" s="1"/>
  <c r="C124" i="46" s="1"/>
  <c r="C67" i="46"/>
  <c r="C68" i="46"/>
  <c r="C69" i="46" s="1"/>
  <c r="C70" i="46" s="1"/>
  <c r="C71" i="46" s="1"/>
  <c r="C72" i="46" s="1"/>
  <c r="C73" i="46" s="1"/>
  <c r="C74" i="46" s="1"/>
  <c r="C75" i="46" s="1"/>
  <c r="C76" i="46" s="1"/>
  <c r="C77" i="46" s="1"/>
  <c r="C78" i="46" s="1"/>
  <c r="C79" i="46" s="1"/>
  <c r="C80" i="46" s="1"/>
  <c r="C81" i="46" s="1"/>
  <c r="C82" i="46" s="1"/>
  <c r="C83" i="46" s="1"/>
  <c r="C84" i="46" s="1"/>
  <c r="C32" i="46"/>
  <c r="C33" i="46" s="1"/>
  <c r="C34" i="46" s="1"/>
  <c r="C35" i="46" s="1"/>
  <c r="C36" i="46" s="1"/>
  <c r="C37" i="46" s="1"/>
  <c r="C38" i="46" s="1"/>
  <c r="C39" i="46" s="1"/>
  <c r="C40" i="46" s="1"/>
  <c r="C41" i="46" s="1"/>
  <c r="C42" i="46" s="1"/>
  <c r="C43" i="46" s="1"/>
  <c r="C44" i="46" s="1"/>
  <c r="C45" i="46" s="1"/>
  <c r="C46" i="46" s="1"/>
  <c r="C47" i="46" s="1"/>
  <c r="C48" i="46" s="1"/>
  <c r="C49" i="46" s="1"/>
  <c r="C50" i="46" s="1"/>
  <c r="C51" i="46" s="1"/>
  <c r="C52" i="46" s="1"/>
  <c r="C53" i="46" s="1"/>
  <c r="C54" i="46" s="1"/>
  <c r="C55" i="46" s="1"/>
  <c r="C56" i="46" s="1"/>
  <c r="C57" i="46" s="1"/>
  <c r="C58" i="46" s="1"/>
  <c r="C59" i="46" s="1"/>
  <c r="C60" i="46" s="1"/>
  <c r="C61" i="46" s="1"/>
  <c r="C62" i="46" s="1"/>
  <c r="C63" i="46" s="1"/>
  <c r="C64" i="46" s="1"/>
  <c r="C65" i="46" s="1"/>
  <c r="C66" i="46" s="1"/>
  <c r="C26" i="46"/>
  <c r="C27" i="46" s="1"/>
  <c r="C28" i="46" s="1"/>
  <c r="C29" i="46" s="1"/>
  <c r="C30" i="46" s="1"/>
  <c r="C31" i="46" s="1"/>
  <c r="C25" i="46"/>
  <c r="C24" i="46"/>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176" i="29"/>
  <c r="G177" i="29"/>
  <c r="G178" i="29"/>
  <c r="G179" i="29"/>
  <c r="G180" i="29"/>
  <c r="G181" i="29"/>
  <c r="G182" i="29"/>
  <c r="G183" i="29"/>
  <c r="G184" i="29"/>
  <c r="G185" i="29"/>
  <c r="G186" i="29"/>
  <c r="G187" i="29"/>
  <c r="G188" i="29"/>
  <c r="G189" i="29"/>
  <c r="G190" i="29"/>
  <c r="G191" i="29"/>
  <c r="G192" i="29"/>
  <c r="G193" i="29"/>
  <c r="G194" i="29"/>
  <c r="G195" i="29"/>
  <c r="G196" i="29"/>
  <c r="G197" i="29"/>
  <c r="G198" i="29"/>
  <c r="G199" i="29"/>
  <c r="G200" i="29"/>
  <c r="G201" i="29"/>
  <c r="G202" i="29"/>
  <c r="G203" i="29"/>
  <c r="G204" i="29"/>
  <c r="G205" i="29"/>
  <c r="G206" i="29"/>
  <c r="G207" i="29"/>
  <c r="G208" i="29"/>
  <c r="G209" i="29"/>
  <c r="G210" i="29"/>
  <c r="G211" i="29"/>
  <c r="G212" i="29"/>
  <c r="G213" i="29"/>
  <c r="G214" i="29"/>
  <c r="G215" i="29"/>
  <c r="G216" i="29"/>
  <c r="G217" i="29"/>
  <c r="G218" i="29"/>
  <c r="G219" i="29"/>
  <c r="G220" i="29"/>
  <c r="G221" i="29"/>
  <c r="G222" i="29"/>
  <c r="G223" i="29"/>
  <c r="G224" i="29"/>
  <c r="H125" i="46" l="1"/>
  <c r="D125" i="46"/>
  <c r="E125" i="46" s="1"/>
  <c r="G125" i="46"/>
  <c r="G75" i="50"/>
  <c r="G76" i="50"/>
  <c r="C76" i="50"/>
  <c r="D76" i="50"/>
  <c r="F76" i="50"/>
  <c r="C75" i="50"/>
  <c r="D75" i="50"/>
  <c r="F75" i="50"/>
  <c r="G207" i="33"/>
  <c r="C207" i="33"/>
  <c r="D207" i="33" s="1"/>
  <c r="F207" i="33"/>
  <c r="H124" i="46"/>
  <c r="D124" i="46"/>
  <c r="E124" i="46" s="1"/>
  <c r="G124" i="46"/>
  <c r="G140" i="41"/>
  <c r="C140" i="41"/>
  <c r="D140" i="41" s="1"/>
  <c r="F140" i="41"/>
  <c r="I242" i="7"/>
  <c r="F436" i="7" s="1"/>
  <c r="G436" i="7"/>
  <c r="C436" i="7"/>
  <c r="D436" i="7"/>
  <c r="H126" i="47"/>
  <c r="D126" i="47"/>
  <c r="E126" i="47" s="1"/>
  <c r="G126" i="47"/>
  <c r="H224" i="29"/>
  <c r="D224" i="29"/>
  <c r="E224" i="29" s="1"/>
  <c r="H190" i="37"/>
  <c r="D190" i="37"/>
  <c r="E190" i="37"/>
  <c r="G190" i="37"/>
  <c r="F438" i="5"/>
  <c r="G438" i="5"/>
  <c r="C438" i="5"/>
  <c r="D438" i="5"/>
  <c r="H189" i="37"/>
  <c r="D189" i="37"/>
  <c r="E189" i="37" s="1"/>
  <c r="G189" i="37"/>
  <c r="H223" i="29"/>
  <c r="D223" i="29"/>
  <c r="E223" i="29" s="1"/>
  <c r="F437" i="5"/>
  <c r="G437" i="5"/>
  <c r="C437" i="5"/>
  <c r="D437" i="5" s="1"/>
  <c r="C140" i="40"/>
  <c r="D140" i="40"/>
  <c r="F140" i="40"/>
  <c r="G206" i="33"/>
  <c r="C206" i="33"/>
  <c r="D206" i="33"/>
  <c r="F206" i="33"/>
  <c r="G198" i="35"/>
  <c r="C198" i="35"/>
  <c r="D198" i="35"/>
  <c r="F198" i="35"/>
  <c r="F435" i="7"/>
  <c r="G435" i="7"/>
  <c r="C435" i="7"/>
  <c r="D435" i="7"/>
  <c r="F438" i="4"/>
  <c r="G438" i="4"/>
  <c r="F439" i="4"/>
  <c r="G439" i="4"/>
  <c r="C438" i="4"/>
  <c r="D438" i="4" s="1"/>
  <c r="C439" i="4"/>
  <c r="D439" i="4"/>
  <c r="D114" i="46"/>
  <c r="D115" i="46"/>
  <c r="D116" i="46"/>
  <c r="D117" i="46"/>
  <c r="D118" i="46"/>
  <c r="D119" i="46"/>
  <c r="D120" i="46"/>
  <c r="D121" i="46"/>
  <c r="D122" i="46"/>
  <c r="D123" i="46"/>
  <c r="E123" i="46" s="1"/>
  <c r="H123" i="46"/>
  <c r="G123" i="46"/>
  <c r="F270" i="19"/>
  <c r="G270" i="19"/>
  <c r="F271" i="19"/>
  <c r="G271" i="19"/>
  <c r="C271" i="19"/>
  <c r="D271" i="19"/>
  <c r="F390" i="24"/>
  <c r="G390" i="24"/>
  <c r="H390" i="24"/>
  <c r="C390" i="24"/>
  <c r="D390" i="24" s="1"/>
  <c r="G263" i="20"/>
  <c r="H263" i="20"/>
  <c r="C263" i="20"/>
  <c r="D263" i="20" s="1"/>
  <c r="F263" i="20"/>
  <c r="G340" i="14"/>
  <c r="H340" i="14"/>
  <c r="C340" i="14"/>
  <c r="D340" i="14" s="1"/>
  <c r="F340" i="14"/>
  <c r="G224" i="28"/>
  <c r="C224" i="28"/>
  <c r="D224" i="28"/>
  <c r="F224" i="28"/>
  <c r="H221" i="30"/>
  <c r="D221" i="30"/>
  <c r="E221" i="30" s="1"/>
  <c r="G221" i="30"/>
  <c r="H220" i="32"/>
  <c r="D220" i="32"/>
  <c r="E220" i="32" s="1"/>
  <c r="G220" i="32"/>
  <c r="G324" i="23"/>
  <c r="H324" i="23"/>
  <c r="C324" i="23"/>
  <c r="D324" i="23"/>
  <c r="F324" i="23"/>
  <c r="F391" i="25"/>
  <c r="G391" i="25"/>
  <c r="F196" i="25"/>
  <c r="H391" i="25"/>
  <c r="C391" i="25"/>
  <c r="D391" i="25" s="1"/>
  <c r="G50" i="51"/>
  <c r="C50" i="51"/>
  <c r="D50" i="51" s="1"/>
  <c r="F50" i="51"/>
  <c r="G34" i="56"/>
  <c r="C34" i="56"/>
  <c r="D34" i="56" s="1"/>
  <c r="F34" i="56"/>
  <c r="C77" i="49"/>
  <c r="D77" i="49"/>
  <c r="F77" i="49"/>
  <c r="G74" i="50"/>
  <c r="C74" i="50"/>
  <c r="D74" i="50"/>
  <c r="F74" i="50"/>
  <c r="G274" i="18"/>
  <c r="C274" i="18"/>
  <c r="D274" i="18" s="1"/>
  <c r="F274" i="18"/>
  <c r="F368" i="12"/>
  <c r="G368" i="12"/>
  <c r="F369" i="12"/>
  <c r="G369" i="12"/>
  <c r="F370" i="12"/>
  <c r="G370" i="12"/>
  <c r="F371" i="12"/>
  <c r="G371" i="12"/>
  <c r="C371" i="12"/>
  <c r="D371" i="12"/>
  <c r="G31" i="58"/>
  <c r="C31" i="58"/>
  <c r="D31" i="58" s="1"/>
  <c r="F31" i="58"/>
  <c r="F200" i="45"/>
  <c r="G200" i="45"/>
  <c r="C200" i="45"/>
  <c r="D200" i="45" s="1"/>
  <c r="B65" i="45"/>
  <c r="B66" i="45"/>
  <c r="B67" i="45"/>
  <c r="B68" i="45"/>
  <c r="B69" i="45"/>
  <c r="G30" i="57"/>
  <c r="C30" i="57"/>
  <c r="D30" i="57"/>
  <c r="F30" i="57"/>
  <c r="C24" i="59"/>
  <c r="D24" i="59"/>
  <c r="F24" i="59"/>
  <c r="F20" i="59"/>
  <c r="G28" i="59" s="1"/>
  <c r="C25" i="59"/>
  <c r="D25" i="59" s="1"/>
  <c r="F25" i="59"/>
  <c r="G25" i="59"/>
  <c r="C26" i="59"/>
  <c r="D26" i="59"/>
  <c r="F26" i="59"/>
  <c r="C27" i="59"/>
  <c r="D27" i="59" s="1"/>
  <c r="F27" i="59"/>
  <c r="C28" i="59"/>
  <c r="D28" i="59"/>
  <c r="F28" i="59"/>
  <c r="C29" i="59"/>
  <c r="D29" i="59" s="1"/>
  <c r="F29" i="59"/>
  <c r="G29" i="59"/>
  <c r="C30" i="59"/>
  <c r="D30" i="59" s="1"/>
  <c r="F30" i="59"/>
  <c r="C31" i="59"/>
  <c r="D31" i="59" s="1"/>
  <c r="F31" i="59"/>
  <c r="G31" i="59"/>
  <c r="C32" i="59"/>
  <c r="D32" i="59"/>
  <c r="F32" i="59"/>
  <c r="H125" i="47"/>
  <c r="D125" i="47"/>
  <c r="E125" i="47" s="1"/>
  <c r="G125" i="47"/>
  <c r="H219" i="32"/>
  <c r="D219" i="32"/>
  <c r="E219" i="32" s="1"/>
  <c r="G219" i="32"/>
  <c r="G76" i="49"/>
  <c r="C76" i="49"/>
  <c r="D76" i="49" s="1"/>
  <c r="F76" i="49"/>
  <c r="G33" i="56"/>
  <c r="C33" i="56"/>
  <c r="D33" i="56" s="1"/>
  <c r="F33" i="56"/>
  <c r="G323" i="23"/>
  <c r="H323" i="23"/>
  <c r="C323" i="23"/>
  <c r="D323" i="23"/>
  <c r="F323" i="23"/>
  <c r="G81" i="48"/>
  <c r="C81" i="48"/>
  <c r="D81" i="48" s="1"/>
  <c r="F81" i="48"/>
  <c r="G139" i="41"/>
  <c r="C139" i="41"/>
  <c r="D139" i="41"/>
  <c r="F139" i="41"/>
  <c r="G49" i="51"/>
  <c r="C49" i="51"/>
  <c r="D49" i="51"/>
  <c r="F49" i="51"/>
  <c r="G223" i="28"/>
  <c r="C223" i="28"/>
  <c r="D223" i="28" s="1"/>
  <c r="F223" i="28"/>
  <c r="G30" i="58"/>
  <c r="C30" i="58"/>
  <c r="D30" i="58"/>
  <c r="F30" i="58"/>
  <c r="H220" i="30"/>
  <c r="D220" i="30"/>
  <c r="E220" i="30"/>
  <c r="G220" i="30"/>
  <c r="G339" i="14"/>
  <c r="H339" i="14"/>
  <c r="C339" i="14"/>
  <c r="D339" i="14"/>
  <c r="F339" i="14"/>
  <c r="C270" i="19"/>
  <c r="D270" i="19"/>
  <c r="F199" i="45"/>
  <c r="G199" i="45"/>
  <c r="C199" i="45"/>
  <c r="D199" i="45"/>
  <c r="G189" i="38"/>
  <c r="C189" i="38"/>
  <c r="D189" i="38" s="1"/>
  <c r="F189" i="38"/>
  <c r="F389" i="24"/>
  <c r="G389" i="24"/>
  <c r="H389" i="24"/>
  <c r="C389" i="24"/>
  <c r="D389" i="24" s="1"/>
  <c r="F390" i="25"/>
  <c r="G390" i="25"/>
  <c r="H390" i="25"/>
  <c r="C390" i="25"/>
  <c r="D390" i="25"/>
  <c r="G29" i="57"/>
  <c r="C29" i="57"/>
  <c r="D29" i="57"/>
  <c r="F29" i="57"/>
  <c r="G73" i="50"/>
  <c r="C73" i="50"/>
  <c r="D73" i="50" s="1"/>
  <c r="F73" i="50"/>
  <c r="G205" i="33"/>
  <c r="C205" i="33"/>
  <c r="D205" i="33" s="1"/>
  <c r="F205" i="33"/>
  <c r="G197" i="35"/>
  <c r="C197" i="35"/>
  <c r="D197" i="35"/>
  <c r="F197" i="35"/>
  <c r="H121" i="46"/>
  <c r="H122" i="46"/>
  <c r="E122" i="46"/>
  <c r="G122" i="46"/>
  <c r="C139" i="40"/>
  <c r="D139" i="40"/>
  <c r="F139" i="40"/>
  <c r="H188" i="37"/>
  <c r="D188" i="37"/>
  <c r="E188" i="37" s="1"/>
  <c r="G188" i="37"/>
  <c r="G273" i="18"/>
  <c r="C273" i="18"/>
  <c r="D273" i="18"/>
  <c r="F273" i="18"/>
  <c r="G322" i="23"/>
  <c r="H322" i="23"/>
  <c r="C322" i="23"/>
  <c r="D322" i="23" s="1"/>
  <c r="F322" i="23"/>
  <c r="C370" i="12"/>
  <c r="D370" i="12" s="1"/>
  <c r="G434" i="7"/>
  <c r="C434" i="7"/>
  <c r="D434" i="7" s="1"/>
  <c r="F436" i="5"/>
  <c r="G436" i="5"/>
  <c r="C436" i="5"/>
  <c r="D436" i="5" s="1"/>
  <c r="F437" i="4"/>
  <c r="G437" i="4"/>
  <c r="C437" i="4"/>
  <c r="D437" i="4" s="1"/>
  <c r="H222" i="29"/>
  <c r="D222" i="29"/>
  <c r="E222" i="29" s="1"/>
  <c r="H218" i="32"/>
  <c r="D218" i="32"/>
  <c r="E218" i="32" s="1"/>
  <c r="G218" i="32"/>
  <c r="G32" i="56"/>
  <c r="C32" i="56"/>
  <c r="D32" i="56"/>
  <c r="F32" i="56"/>
  <c r="G75" i="49"/>
  <c r="C75" i="49"/>
  <c r="D75" i="49"/>
  <c r="F75" i="49"/>
  <c r="G80" i="48"/>
  <c r="C80" i="48"/>
  <c r="D80" i="48"/>
  <c r="F80" i="48"/>
  <c r="H219" i="30"/>
  <c r="D219" i="30"/>
  <c r="E219" i="30"/>
  <c r="G219" i="30"/>
  <c r="G262" i="20"/>
  <c r="H262" i="20"/>
  <c r="C262" i="20"/>
  <c r="D262" i="20" s="1"/>
  <c r="F262" i="20"/>
  <c r="F389" i="25"/>
  <c r="G389" i="25"/>
  <c r="C389" i="25"/>
  <c r="D389" i="25"/>
  <c r="G48" i="51"/>
  <c r="C48" i="51"/>
  <c r="D48" i="51" s="1"/>
  <c r="F48" i="51"/>
  <c r="H124" i="47"/>
  <c r="D124" i="47"/>
  <c r="E124" i="47" s="1"/>
  <c r="G124" i="47"/>
  <c r="G138" i="41"/>
  <c r="C138" i="41"/>
  <c r="D138" i="41" s="1"/>
  <c r="F138" i="41"/>
  <c r="G338" i="14"/>
  <c r="H338" i="14"/>
  <c r="C338" i="14"/>
  <c r="D338" i="14"/>
  <c r="F338" i="14"/>
  <c r="G29" i="58"/>
  <c r="C29" i="58"/>
  <c r="D29" i="58"/>
  <c r="F29" i="58"/>
  <c r="F388" i="24"/>
  <c r="G388" i="24"/>
  <c r="H388" i="24"/>
  <c r="C388" i="24"/>
  <c r="D388" i="24"/>
  <c r="G188" i="38"/>
  <c r="C188" i="38"/>
  <c r="D188" i="38"/>
  <c r="F188" i="38"/>
  <c r="G28" i="57"/>
  <c r="C28" i="57"/>
  <c r="D28" i="57" s="1"/>
  <c r="F28" i="57"/>
  <c r="G222" i="28"/>
  <c r="C222" i="28"/>
  <c r="D222" i="28" s="1"/>
  <c r="F222" i="28"/>
  <c r="F387" i="24"/>
  <c r="G387" i="24"/>
  <c r="H387" i="24"/>
  <c r="C387" i="24"/>
  <c r="D387" i="24" s="1"/>
  <c r="F435" i="5"/>
  <c r="G435" i="5"/>
  <c r="C435" i="5"/>
  <c r="D435" i="5" s="1"/>
  <c r="G31" i="56"/>
  <c r="C31" i="56"/>
  <c r="D31" i="56"/>
  <c r="F31" i="56"/>
  <c r="H221" i="29"/>
  <c r="D221" i="29"/>
  <c r="E221" i="29" s="1"/>
  <c r="G74" i="49"/>
  <c r="C74" i="49"/>
  <c r="D74" i="49"/>
  <c r="F74" i="49"/>
  <c r="G433" i="7"/>
  <c r="C433" i="7"/>
  <c r="D433" i="7"/>
  <c r="H187" i="37"/>
  <c r="D187" i="37"/>
  <c r="E187" i="37"/>
  <c r="G187" i="37"/>
  <c r="G72" i="50"/>
  <c r="C72" i="50"/>
  <c r="D72" i="50" s="1"/>
  <c r="F72" i="50"/>
  <c r="G204" i="33"/>
  <c r="C204" i="33"/>
  <c r="D204" i="33" s="1"/>
  <c r="F204" i="33"/>
  <c r="G79" i="48"/>
  <c r="C79" i="48"/>
  <c r="D79" i="48"/>
  <c r="F79" i="48"/>
  <c r="G272" i="18"/>
  <c r="C272" i="18"/>
  <c r="D272" i="18" s="1"/>
  <c r="F272" i="18"/>
  <c r="H217" i="32"/>
  <c r="D217" i="32"/>
  <c r="E217" i="32" s="1"/>
  <c r="G217" i="32"/>
  <c r="C138" i="40"/>
  <c r="D138" i="40"/>
  <c r="F138" i="40"/>
  <c r="E121" i="46"/>
  <c r="G121" i="46"/>
  <c r="G196" i="35"/>
  <c r="C196" i="35"/>
  <c r="D196" i="35"/>
  <c r="F196" i="35"/>
  <c r="C198" i="45"/>
  <c r="D198" i="45" s="1"/>
  <c r="F198" i="45"/>
  <c r="G198" i="45" s="1"/>
  <c r="F269" i="19"/>
  <c r="G269" i="19"/>
  <c r="C269" i="19"/>
  <c r="D269" i="19" s="1"/>
  <c r="G321" i="23"/>
  <c r="H321" i="23"/>
  <c r="C321" i="23"/>
  <c r="D321" i="23" s="1"/>
  <c r="F321" i="23"/>
  <c r="G261" i="20"/>
  <c r="H261" i="20"/>
  <c r="C261" i="20"/>
  <c r="D261" i="20"/>
  <c r="F261" i="20"/>
  <c r="H218" i="30"/>
  <c r="D218" i="30"/>
  <c r="E218" i="30"/>
  <c r="G218" i="30"/>
  <c r="F388" i="25"/>
  <c r="G388" i="25"/>
  <c r="C388" i="25"/>
  <c r="D388" i="25" s="1"/>
  <c r="C369" i="12"/>
  <c r="D369" i="12" s="1"/>
  <c r="G137" i="41"/>
  <c r="C137" i="41"/>
  <c r="D137" i="41"/>
  <c r="F137" i="41"/>
  <c r="F436" i="4"/>
  <c r="G436" i="4"/>
  <c r="C436" i="4"/>
  <c r="D436" i="4" s="1"/>
  <c r="G47" i="51"/>
  <c r="C47" i="51"/>
  <c r="D47" i="51"/>
  <c r="F47" i="51"/>
  <c r="G28" i="58"/>
  <c r="C28" i="58"/>
  <c r="D28" i="58"/>
  <c r="F28" i="58"/>
  <c r="G195" i="35"/>
  <c r="C195" i="35"/>
  <c r="D195" i="35"/>
  <c r="F195" i="35"/>
  <c r="G26" i="57"/>
  <c r="G27" i="57"/>
  <c r="G71" i="50"/>
  <c r="C71" i="50"/>
  <c r="D71" i="50"/>
  <c r="F71" i="50"/>
  <c r="C197" i="45"/>
  <c r="D197" i="45"/>
  <c r="F197" i="45"/>
  <c r="G197" i="45" s="1"/>
  <c r="C368" i="12"/>
  <c r="D368" i="12" s="1"/>
  <c r="F386" i="24"/>
  <c r="G386" i="24"/>
  <c r="H386" i="24"/>
  <c r="C386" i="24"/>
  <c r="D386" i="24"/>
  <c r="G337" i="14"/>
  <c r="H337" i="14"/>
  <c r="C337" i="14"/>
  <c r="D337" i="14" s="1"/>
  <c r="F337" i="14"/>
  <c r="G221" i="28"/>
  <c r="C221" i="28"/>
  <c r="D221" i="28"/>
  <c r="F221" i="28"/>
  <c r="C27" i="57"/>
  <c r="D27" i="57" s="1"/>
  <c r="F27" i="57"/>
  <c r="C26" i="57"/>
  <c r="D26" i="57"/>
  <c r="F26" i="57"/>
  <c r="G187" i="38"/>
  <c r="C187" i="38"/>
  <c r="D187" i="38"/>
  <c r="F187" i="38"/>
  <c r="F268" i="19"/>
  <c r="G268" i="19"/>
  <c r="C268" i="19"/>
  <c r="D268" i="19" s="1"/>
  <c r="H123" i="47"/>
  <c r="D123" i="47"/>
  <c r="E123" i="47"/>
  <c r="G123" i="47"/>
  <c r="H120" i="46"/>
  <c r="E120" i="46"/>
  <c r="G120" i="46"/>
  <c r="G30" i="56"/>
  <c r="C30" i="56"/>
  <c r="D30" i="56" s="1"/>
  <c r="F30" i="56"/>
  <c r="C137" i="40"/>
  <c r="D137" i="40"/>
  <c r="F137" i="40"/>
  <c r="G271" i="18"/>
  <c r="C271" i="18"/>
  <c r="D271" i="18" s="1"/>
  <c r="F271" i="18"/>
  <c r="H122" i="47"/>
  <c r="D122" i="47"/>
  <c r="E122" i="47" s="1"/>
  <c r="G122" i="47"/>
  <c r="G78" i="48"/>
  <c r="C78" i="48"/>
  <c r="D78" i="48"/>
  <c r="F78" i="48"/>
  <c r="G432" i="7"/>
  <c r="C432" i="7"/>
  <c r="D432" i="7" s="1"/>
  <c r="H220" i="29"/>
  <c r="D220" i="29"/>
  <c r="E220" i="29" s="1"/>
  <c r="H186" i="37"/>
  <c r="D186" i="37"/>
  <c r="E186" i="37" s="1"/>
  <c r="G186" i="37"/>
  <c r="G203" i="33"/>
  <c r="C203" i="33"/>
  <c r="D203" i="33" s="1"/>
  <c r="F203" i="33"/>
  <c r="F434" i="5"/>
  <c r="G434" i="5"/>
  <c r="C434" i="5"/>
  <c r="D434" i="5"/>
  <c r="G73" i="49"/>
  <c r="C73" i="49"/>
  <c r="D73" i="49" s="1"/>
  <c r="F73" i="49"/>
  <c r="G46" i="51"/>
  <c r="C46" i="51"/>
  <c r="D46" i="51"/>
  <c r="F46" i="51"/>
  <c r="G260" i="20"/>
  <c r="H260" i="20"/>
  <c r="C260" i="20"/>
  <c r="D260" i="20"/>
  <c r="F260" i="20"/>
  <c r="G320" i="23"/>
  <c r="H320" i="23"/>
  <c r="C320" i="23"/>
  <c r="D320" i="23"/>
  <c r="F320" i="23"/>
  <c r="F387" i="25"/>
  <c r="G387" i="25"/>
  <c r="C387" i="25"/>
  <c r="D387" i="25"/>
  <c r="F435" i="4"/>
  <c r="G435" i="4"/>
  <c r="C435" i="4"/>
  <c r="D435" i="4"/>
  <c r="H216" i="32"/>
  <c r="D216" i="32"/>
  <c r="E216" i="32" s="1"/>
  <c r="G216" i="32"/>
  <c r="G136" i="41"/>
  <c r="C136" i="41"/>
  <c r="D136" i="41" s="1"/>
  <c r="F136" i="41"/>
  <c r="G336" i="14"/>
  <c r="H336" i="14"/>
  <c r="C336" i="14"/>
  <c r="D336" i="14"/>
  <c r="F336" i="14"/>
  <c r="H217" i="30"/>
  <c r="D217" i="30"/>
  <c r="E217" i="30" s="1"/>
  <c r="G217" i="30"/>
  <c r="G27" i="58"/>
  <c r="C27" i="58"/>
  <c r="D27" i="58"/>
  <c r="F27" i="58"/>
  <c r="G220" i="28"/>
  <c r="C220" i="28"/>
  <c r="D220" i="28"/>
  <c r="F220" i="28"/>
  <c r="G70" i="50"/>
  <c r="C70" i="50"/>
  <c r="D70" i="50"/>
  <c r="F70" i="50"/>
  <c r="G319" i="23"/>
  <c r="H319" i="23"/>
  <c r="C319" i="23"/>
  <c r="D319" i="23" s="1"/>
  <c r="F319" i="23"/>
  <c r="G270" i="18"/>
  <c r="C270" i="18"/>
  <c r="D270" i="18" s="1"/>
  <c r="F270" i="18"/>
  <c r="G259" i="20"/>
  <c r="H259" i="20"/>
  <c r="C259" i="20"/>
  <c r="D259" i="20" s="1"/>
  <c r="F259" i="20"/>
  <c r="G431" i="7"/>
  <c r="C431" i="7"/>
  <c r="D431" i="7"/>
  <c r="H118" i="46"/>
  <c r="H119" i="46"/>
  <c r="E119" i="46"/>
  <c r="G119" i="46"/>
  <c r="G194" i="35"/>
  <c r="C194" i="35"/>
  <c r="D194" i="35" s="1"/>
  <c r="F194" i="35"/>
  <c r="C136" i="40"/>
  <c r="D136" i="40"/>
  <c r="F136" i="40"/>
  <c r="F366" i="12"/>
  <c r="G366" i="12"/>
  <c r="F367" i="12"/>
  <c r="G367" i="12"/>
  <c r="C367" i="12"/>
  <c r="D367" i="12"/>
  <c r="F267" i="19"/>
  <c r="G267" i="19"/>
  <c r="C267" i="19"/>
  <c r="D267" i="19" s="1"/>
  <c r="C196" i="45"/>
  <c r="D196" i="45" s="1"/>
  <c r="F196" i="45"/>
  <c r="G196" i="45" s="1"/>
  <c r="G186" i="38"/>
  <c r="C186" i="38"/>
  <c r="D186" i="38"/>
  <c r="F186" i="38"/>
  <c r="G45" i="51"/>
  <c r="G77" i="48"/>
  <c r="C77" i="48"/>
  <c r="D77" i="48" s="1"/>
  <c r="F77" i="48"/>
  <c r="H219" i="29"/>
  <c r="D219" i="29"/>
  <c r="E219" i="29" s="1"/>
  <c r="G202" i="33"/>
  <c r="C202" i="33"/>
  <c r="D202" i="33"/>
  <c r="F202" i="33"/>
  <c r="F434" i="4"/>
  <c r="G434" i="4"/>
  <c r="C434" i="4"/>
  <c r="D434" i="4"/>
  <c r="H185" i="37"/>
  <c r="D185" i="37"/>
  <c r="E185" i="37"/>
  <c r="G185" i="37"/>
  <c r="F433" i="5"/>
  <c r="G433" i="5"/>
  <c r="C433" i="5"/>
  <c r="D433" i="5" s="1"/>
  <c r="H216" i="30"/>
  <c r="D216" i="30"/>
  <c r="E216" i="30" s="1"/>
  <c r="G216" i="30"/>
  <c r="F386" i="25"/>
  <c r="G386" i="25"/>
  <c r="C386" i="25"/>
  <c r="D386" i="25"/>
  <c r="G29" i="56"/>
  <c r="C29" i="56"/>
  <c r="D29" i="56" s="1"/>
  <c r="F29" i="56"/>
  <c r="G72" i="49"/>
  <c r="C72" i="49"/>
  <c r="D72" i="49" s="1"/>
  <c r="F72" i="49"/>
  <c r="C45" i="51"/>
  <c r="D45" i="51"/>
  <c r="F45" i="51"/>
  <c r="H215" i="32"/>
  <c r="D215" i="32"/>
  <c r="E215" i="32"/>
  <c r="G215" i="32"/>
  <c r="G335" i="14"/>
  <c r="H335" i="14"/>
  <c r="C335" i="14"/>
  <c r="D335" i="14" s="1"/>
  <c r="F335" i="14"/>
  <c r="F385" i="24"/>
  <c r="G385" i="24"/>
  <c r="H385" i="24"/>
  <c r="C385" i="24"/>
  <c r="D385" i="24" s="1"/>
  <c r="G26" i="58"/>
  <c r="C26" i="58"/>
  <c r="D26" i="58" s="1"/>
  <c r="F26" i="58"/>
  <c r="H121" i="47"/>
  <c r="D121" i="47"/>
  <c r="E121" i="47" s="1"/>
  <c r="G121" i="47"/>
  <c r="G219" i="28"/>
  <c r="C219" i="28"/>
  <c r="D219" i="28" s="1"/>
  <c r="F219" i="28"/>
  <c r="G185" i="38"/>
  <c r="C185" i="38"/>
  <c r="D185" i="38" s="1"/>
  <c r="F185" i="38"/>
  <c r="G135" i="41"/>
  <c r="C135" i="41"/>
  <c r="D135" i="41"/>
  <c r="F135" i="41"/>
  <c r="C195" i="45"/>
  <c r="D195" i="45"/>
  <c r="F195" i="45"/>
  <c r="G195" i="45" s="1"/>
  <c r="C135" i="40"/>
  <c r="D135" i="40"/>
  <c r="F135" i="40"/>
  <c r="G193" i="35"/>
  <c r="C193" i="35"/>
  <c r="D193" i="35" s="1"/>
  <c r="F193" i="35"/>
  <c r="E118" i="46"/>
  <c r="G118" i="46"/>
  <c r="G69" i="50"/>
  <c r="C69" i="50"/>
  <c r="D69" i="50" s="1"/>
  <c r="F69" i="50"/>
  <c r="F266" i="19"/>
  <c r="G266" i="19"/>
  <c r="C266" i="19"/>
  <c r="D266" i="19"/>
  <c r="G269" i="18"/>
  <c r="C269" i="18"/>
  <c r="D269" i="18" s="1"/>
  <c r="F269" i="18"/>
  <c r="G201" i="33"/>
  <c r="C201" i="33"/>
  <c r="D201" i="33" s="1"/>
  <c r="F201" i="33"/>
  <c r="C366" i="12"/>
  <c r="D366" i="12"/>
  <c r="H117" i="46"/>
  <c r="E117" i="46"/>
  <c r="G117" i="46"/>
  <c r="H184" i="37"/>
  <c r="D184" i="37"/>
  <c r="E184" i="37" s="1"/>
  <c r="G184" i="37"/>
  <c r="G44" i="51"/>
  <c r="C44" i="51"/>
  <c r="D44" i="51"/>
  <c r="F44" i="51"/>
  <c r="G76" i="48"/>
  <c r="C76" i="48"/>
  <c r="D76" i="48"/>
  <c r="F76" i="48"/>
  <c r="H218" i="29"/>
  <c r="D218" i="29"/>
  <c r="E218" i="29" s="1"/>
  <c r="G430" i="7"/>
  <c r="C430" i="7"/>
  <c r="D430" i="7"/>
  <c r="F432" i="5"/>
  <c r="G432" i="5"/>
  <c r="C432" i="5"/>
  <c r="D432" i="5"/>
  <c r="G28" i="56"/>
  <c r="C28" i="56"/>
  <c r="D28" i="56" s="1"/>
  <c r="F28" i="56"/>
  <c r="G71" i="49"/>
  <c r="C71" i="49"/>
  <c r="D71" i="49" s="1"/>
  <c r="F71" i="49"/>
  <c r="H214" i="30"/>
  <c r="H215" i="30"/>
  <c r="D215" i="30"/>
  <c r="E215" i="30" s="1"/>
  <c r="G215" i="30"/>
  <c r="F385" i="25"/>
  <c r="G385" i="25"/>
  <c r="C385" i="25"/>
  <c r="D385" i="25"/>
  <c r="G318" i="23"/>
  <c r="H318" i="23"/>
  <c r="C318" i="23"/>
  <c r="D318" i="23"/>
  <c r="F318" i="23"/>
  <c r="G258" i="20"/>
  <c r="H258" i="20"/>
  <c r="C258" i="20"/>
  <c r="D258" i="20"/>
  <c r="F258" i="20"/>
  <c r="H214" i="32"/>
  <c r="D214" i="32"/>
  <c r="E214" i="32" s="1"/>
  <c r="G214" i="32"/>
  <c r="F433" i="4"/>
  <c r="G433" i="4"/>
  <c r="C433" i="4"/>
  <c r="D433" i="4"/>
  <c r="G134" i="41"/>
  <c r="H120" i="47"/>
  <c r="D120" i="47"/>
  <c r="E120" i="47" s="1"/>
  <c r="G120" i="47"/>
  <c r="G218" i="28"/>
  <c r="C218" i="28"/>
  <c r="D218" i="28" s="1"/>
  <c r="F218" i="28"/>
  <c r="F383" i="24"/>
  <c r="G383" i="24"/>
  <c r="H383" i="24"/>
  <c r="F384" i="24"/>
  <c r="G384" i="24"/>
  <c r="H384" i="24"/>
  <c r="C384" i="24"/>
  <c r="D384" i="24"/>
  <c r="G334" i="14"/>
  <c r="H334" i="14"/>
  <c r="C334" i="14"/>
  <c r="D334" i="14" s="1"/>
  <c r="F334" i="14"/>
  <c r="H211" i="32"/>
  <c r="H212" i="32"/>
  <c r="H213" i="32"/>
  <c r="G427" i="7"/>
  <c r="G428" i="7"/>
  <c r="G429" i="7"/>
  <c r="G266" i="18"/>
  <c r="G267" i="18"/>
  <c r="G268" i="18"/>
  <c r="G255" i="20"/>
  <c r="H255" i="20"/>
  <c r="G256" i="20"/>
  <c r="H256" i="20"/>
  <c r="G257" i="20"/>
  <c r="H257" i="20"/>
  <c r="G198" i="33"/>
  <c r="G199" i="33"/>
  <c r="G200" i="33"/>
  <c r="G41" i="51"/>
  <c r="G42" i="51"/>
  <c r="G43" i="51"/>
  <c r="F363" i="12"/>
  <c r="G363" i="12"/>
  <c r="F364" i="12"/>
  <c r="G364" i="12"/>
  <c r="F365" i="12"/>
  <c r="G365" i="12"/>
  <c r="G182" i="38"/>
  <c r="G183" i="38"/>
  <c r="G184" i="38"/>
  <c r="G332" i="14"/>
  <c r="H332" i="14"/>
  <c r="G333" i="14"/>
  <c r="H333" i="14"/>
  <c r="F382" i="24"/>
  <c r="G382" i="24"/>
  <c r="H382" i="24"/>
  <c r="C382" i="24"/>
  <c r="D382" i="24"/>
  <c r="C383" i="24"/>
  <c r="D383" i="24"/>
  <c r="G132" i="41"/>
  <c r="G133" i="41"/>
  <c r="F383" i="25"/>
  <c r="G383" i="25"/>
  <c r="F384" i="25"/>
  <c r="G384" i="25"/>
  <c r="H213" i="30"/>
  <c r="G26" i="56"/>
  <c r="G27" i="56"/>
  <c r="H118" i="47"/>
  <c r="H119" i="47"/>
  <c r="F429" i="5"/>
  <c r="G429" i="5"/>
  <c r="F430" i="5"/>
  <c r="G430" i="5"/>
  <c r="F431" i="5"/>
  <c r="G431" i="5"/>
  <c r="H216" i="29"/>
  <c r="H217" i="29"/>
  <c r="H182" i="37"/>
  <c r="H183" i="37"/>
  <c r="G316" i="23"/>
  <c r="H316" i="23"/>
  <c r="G317" i="23"/>
  <c r="H317" i="23"/>
  <c r="G67" i="50"/>
  <c r="G68" i="50"/>
  <c r="F402" i="11"/>
  <c r="G402" i="11" s="1"/>
  <c r="F403" i="11"/>
  <c r="G403" i="11" s="1"/>
  <c r="H115" i="46"/>
  <c r="H116" i="46"/>
  <c r="G216" i="28"/>
  <c r="G217" i="28"/>
  <c r="G74" i="48"/>
  <c r="G75" i="48"/>
  <c r="G191" i="35"/>
  <c r="G192" i="35"/>
  <c r="G69" i="49"/>
  <c r="G70" i="49"/>
  <c r="D118" i="47"/>
  <c r="E118" i="47" s="1"/>
  <c r="D119" i="47"/>
  <c r="E119" i="47" s="1"/>
  <c r="G118" i="47"/>
  <c r="G119" i="47"/>
  <c r="C332" i="14"/>
  <c r="D332" i="14"/>
  <c r="C333" i="14"/>
  <c r="D333" i="14" s="1"/>
  <c r="F332" i="14"/>
  <c r="F333" i="14"/>
  <c r="D211" i="32"/>
  <c r="E211" i="32" s="1"/>
  <c r="D212" i="32"/>
  <c r="E212" i="32" s="1"/>
  <c r="D213" i="32"/>
  <c r="E213" i="32" s="1"/>
  <c r="G211" i="32"/>
  <c r="G212" i="32"/>
  <c r="G213" i="32"/>
  <c r="C132" i="41"/>
  <c r="D132" i="41"/>
  <c r="C133" i="41"/>
  <c r="D133" i="41" s="1"/>
  <c r="C134" i="41"/>
  <c r="D134" i="41"/>
  <c r="F132" i="41"/>
  <c r="F133" i="41"/>
  <c r="F134" i="41"/>
  <c r="D213" i="30"/>
  <c r="E213" i="30"/>
  <c r="D214" i="30"/>
  <c r="E214" i="30" s="1"/>
  <c r="G213" i="30"/>
  <c r="G214" i="30"/>
  <c r="C26" i="56"/>
  <c r="D26" i="56" s="1"/>
  <c r="C27" i="56"/>
  <c r="D27" i="56" s="1"/>
  <c r="F26" i="56"/>
  <c r="F27" i="56"/>
  <c r="C430" i="5"/>
  <c r="D430" i="5"/>
  <c r="C431" i="5"/>
  <c r="D431" i="5" s="1"/>
  <c r="D182" i="37"/>
  <c r="E182" i="37" s="1"/>
  <c r="D183" i="37"/>
  <c r="E183" i="37" s="1"/>
  <c r="G182" i="37"/>
  <c r="G183" i="37"/>
  <c r="C383" i="25"/>
  <c r="D383" i="25" s="1"/>
  <c r="C384" i="25"/>
  <c r="D384" i="25"/>
  <c r="D216" i="29"/>
  <c r="E216" i="29" s="1"/>
  <c r="D217" i="29"/>
  <c r="E217" i="29" s="1"/>
  <c r="C216" i="28"/>
  <c r="D216" i="28" s="1"/>
  <c r="C217" i="28"/>
  <c r="D217" i="28" s="1"/>
  <c r="F216" i="28"/>
  <c r="F217" i="28"/>
  <c r="C427" i="7"/>
  <c r="D427" i="7" s="1"/>
  <c r="C428" i="7"/>
  <c r="D428" i="7" s="1"/>
  <c r="C429" i="7"/>
  <c r="D429" i="7" s="1"/>
  <c r="C69" i="49"/>
  <c r="D69" i="49" s="1"/>
  <c r="C70" i="49"/>
  <c r="D70" i="49" s="1"/>
  <c r="F69" i="49"/>
  <c r="F70" i="49"/>
  <c r="F431" i="4"/>
  <c r="G431" i="4"/>
  <c r="F432" i="4"/>
  <c r="G432" i="4"/>
  <c r="C431" i="4"/>
  <c r="D431" i="4" s="1"/>
  <c r="C432" i="4"/>
  <c r="D432" i="4" s="1"/>
  <c r="C257" i="20"/>
  <c r="D257" i="20" s="1"/>
  <c r="F257" i="20"/>
  <c r="C255" i="20"/>
  <c r="D255" i="20"/>
  <c r="C256" i="20"/>
  <c r="D256" i="20"/>
  <c r="F255" i="20"/>
  <c r="F256" i="20"/>
  <c r="C402" i="11"/>
  <c r="D402" i="11"/>
  <c r="C403" i="11"/>
  <c r="D403" i="11"/>
  <c r="C74" i="48"/>
  <c r="D74" i="48"/>
  <c r="C75" i="48"/>
  <c r="D75" i="48"/>
  <c r="F74" i="48"/>
  <c r="F75" i="48"/>
  <c r="C43" i="51"/>
  <c r="D43" i="51" s="1"/>
  <c r="F43" i="51"/>
  <c r="C41" i="51"/>
  <c r="D41" i="51" s="1"/>
  <c r="C42" i="51"/>
  <c r="D42" i="51" s="1"/>
  <c r="F41" i="51"/>
  <c r="F42" i="51"/>
  <c r="C316" i="23"/>
  <c r="D316" i="23" s="1"/>
  <c r="C317" i="23"/>
  <c r="D317" i="23" s="1"/>
  <c r="F316" i="23"/>
  <c r="F317" i="23"/>
  <c r="C132" i="40"/>
  <c r="D132" i="40" s="1"/>
  <c r="C133" i="40"/>
  <c r="D133" i="40" s="1"/>
  <c r="C134" i="40"/>
  <c r="D134" i="40"/>
  <c r="F132" i="40"/>
  <c r="F133" i="40"/>
  <c r="F134" i="40"/>
  <c r="E115" i="46"/>
  <c r="E116" i="46"/>
  <c r="G115" i="46"/>
  <c r="G116" i="46"/>
  <c r="C198" i="33"/>
  <c r="D198" i="33"/>
  <c r="C199" i="33"/>
  <c r="D199" i="33"/>
  <c r="C200" i="33"/>
  <c r="D200" i="33"/>
  <c r="F198" i="33"/>
  <c r="F199" i="33"/>
  <c r="F200" i="33"/>
  <c r="C266" i="18"/>
  <c r="D266" i="18" s="1"/>
  <c r="C267" i="18"/>
  <c r="D267" i="18" s="1"/>
  <c r="C268" i="18"/>
  <c r="D268" i="18" s="1"/>
  <c r="F266" i="18"/>
  <c r="F267" i="18"/>
  <c r="F268" i="18"/>
  <c r="C191" i="35"/>
  <c r="D191" i="35"/>
  <c r="C192" i="35"/>
  <c r="D192" i="35" s="1"/>
  <c r="F191" i="35"/>
  <c r="F192" i="35"/>
  <c r="F263" i="19"/>
  <c r="G263" i="19"/>
  <c r="F264" i="19"/>
  <c r="G264" i="19"/>
  <c r="F265" i="19"/>
  <c r="G265" i="19"/>
  <c r="C263" i="19"/>
  <c r="D263" i="19"/>
  <c r="C264" i="19"/>
  <c r="D264" i="19" s="1"/>
  <c r="C265" i="19"/>
  <c r="D265" i="19"/>
  <c r="C67" i="50"/>
  <c r="D67" i="50"/>
  <c r="C68" i="50"/>
  <c r="D68" i="50"/>
  <c r="F67" i="50"/>
  <c r="F68" i="50"/>
  <c r="C363" i="12"/>
  <c r="D363" i="12"/>
  <c r="C364" i="12"/>
  <c r="D364" i="12" s="1"/>
  <c r="C365" i="12"/>
  <c r="D365" i="12"/>
  <c r="C184" i="38"/>
  <c r="D184" i="38"/>
  <c r="F184" i="38"/>
  <c r="C182" i="38"/>
  <c r="D182" i="38"/>
  <c r="C183" i="38"/>
  <c r="D183" i="38" s="1"/>
  <c r="F182" i="38"/>
  <c r="F183" i="38"/>
  <c r="C194" i="45"/>
  <c r="D194" i="45" s="1"/>
  <c r="F194" i="45"/>
  <c r="G194" i="45" s="1"/>
  <c r="C192" i="45"/>
  <c r="D192" i="45" s="1"/>
  <c r="C193" i="45"/>
  <c r="D193" i="45"/>
  <c r="F192" i="45"/>
  <c r="G192" i="45" s="1"/>
  <c r="F193" i="45"/>
  <c r="G193" i="45" s="1"/>
  <c r="G190" i="35"/>
  <c r="C190" i="35"/>
  <c r="D190" i="35"/>
  <c r="F190" i="35"/>
  <c r="G315" i="23"/>
  <c r="H315" i="23"/>
  <c r="C315" i="23"/>
  <c r="D315" i="23"/>
  <c r="F315" i="23"/>
  <c r="G66" i="50"/>
  <c r="C66" i="50"/>
  <c r="D66" i="50" s="1"/>
  <c r="F66" i="50"/>
  <c r="F381" i="24"/>
  <c r="G381" i="24"/>
  <c r="H381" i="24"/>
  <c r="C381" i="24"/>
  <c r="D381" i="24" s="1"/>
  <c r="H181" i="37"/>
  <c r="D181" i="37"/>
  <c r="E181" i="37" s="1"/>
  <c r="G181" i="37"/>
  <c r="H212" i="30"/>
  <c r="C429" i="5"/>
  <c r="D429" i="5" s="1"/>
  <c r="D212" i="30"/>
  <c r="E212" i="30"/>
  <c r="G212" i="30"/>
  <c r="G25" i="56"/>
  <c r="F401" i="11"/>
  <c r="G401" i="11"/>
  <c r="C401" i="11"/>
  <c r="D401" i="11"/>
  <c r="G68" i="49"/>
  <c r="C68" i="49"/>
  <c r="D68" i="49" s="1"/>
  <c r="F68" i="49"/>
  <c r="H215" i="29"/>
  <c r="D215" i="29"/>
  <c r="E215" i="29" s="1"/>
  <c r="F382" i="25"/>
  <c r="G382" i="25"/>
  <c r="C382" i="25"/>
  <c r="D382" i="25"/>
  <c r="G329" i="14"/>
  <c r="H329" i="14"/>
  <c r="G330" i="14"/>
  <c r="H330" i="14"/>
  <c r="G331" i="14"/>
  <c r="H331" i="14"/>
  <c r="C331" i="14"/>
  <c r="D331" i="14"/>
  <c r="F331" i="14"/>
  <c r="G73" i="48"/>
  <c r="C73" i="48"/>
  <c r="D73" i="48"/>
  <c r="F73" i="48"/>
  <c r="G131" i="41"/>
  <c r="C131" i="41"/>
  <c r="D131" i="41" s="1"/>
  <c r="F131" i="41"/>
  <c r="F430" i="4"/>
  <c r="G430" i="4"/>
  <c r="C430" i="4"/>
  <c r="D430" i="4" s="1"/>
  <c r="F23" i="59"/>
  <c r="G23" i="59" s="1"/>
  <c r="C23" i="59"/>
  <c r="B2" i="59" s="1"/>
  <c r="D23" i="59"/>
  <c r="F22" i="59"/>
  <c r="G22" i="59" s="1"/>
  <c r="C22" i="59"/>
  <c r="D22" i="59" s="1"/>
  <c r="E8" i="59" s="1"/>
  <c r="F21" i="59"/>
  <c r="C21" i="59"/>
  <c r="D21" i="59"/>
  <c r="D20" i="59"/>
  <c r="B7" i="59"/>
  <c r="B14" i="59" s="1"/>
  <c r="G2" i="59"/>
  <c r="H210" i="32"/>
  <c r="D210" i="32"/>
  <c r="E210" i="32" s="1"/>
  <c r="G210" i="32"/>
  <c r="E9" i="59"/>
  <c r="E10" i="59"/>
  <c r="D14" i="59" s="1"/>
  <c r="G21" i="59"/>
  <c r="G215" i="28"/>
  <c r="C215" i="28"/>
  <c r="D215" i="28" s="1"/>
  <c r="F215" i="28"/>
  <c r="G25" i="58"/>
  <c r="F25" i="58"/>
  <c r="C25" i="58"/>
  <c r="D25" i="58"/>
  <c r="G24" i="58"/>
  <c r="F24" i="58"/>
  <c r="C24" i="58"/>
  <c r="D24" i="58"/>
  <c r="G23" i="58"/>
  <c r="F23" i="58"/>
  <c r="C23" i="58"/>
  <c r="D23" i="58"/>
  <c r="G22" i="58"/>
  <c r="F22" i="58"/>
  <c r="C22" i="58"/>
  <c r="F21" i="58"/>
  <c r="C21" i="58"/>
  <c r="B3" i="58" s="1"/>
  <c r="B8" i="58"/>
  <c r="G4" i="58"/>
  <c r="G25" i="57"/>
  <c r="F25" i="57"/>
  <c r="C25" i="57"/>
  <c r="D25" i="57" s="1"/>
  <c r="G24" i="57"/>
  <c r="F24" i="57"/>
  <c r="C24" i="57"/>
  <c r="D24" i="57"/>
  <c r="G23" i="57"/>
  <c r="F23" i="57"/>
  <c r="C23" i="57"/>
  <c r="D23" i="57" s="1"/>
  <c r="G22" i="57"/>
  <c r="F22" i="57"/>
  <c r="C22" i="57"/>
  <c r="D22" i="57" s="1"/>
  <c r="F21" i="57"/>
  <c r="C21" i="57"/>
  <c r="B10" i="57" s="1"/>
  <c r="B8" i="57"/>
  <c r="G4" i="57"/>
  <c r="H117" i="47"/>
  <c r="D117" i="47"/>
  <c r="E117" i="47" s="1"/>
  <c r="G117" i="47"/>
  <c r="D22" i="58"/>
  <c r="B4" i="57"/>
  <c r="B2" i="57"/>
  <c r="A15" i="57" s="1"/>
  <c r="G181" i="38"/>
  <c r="C181" i="38"/>
  <c r="D181" i="38"/>
  <c r="F181" i="38"/>
  <c r="G189" i="35"/>
  <c r="C189" i="35"/>
  <c r="D189" i="35"/>
  <c r="F189" i="35"/>
  <c r="C131" i="40"/>
  <c r="D131" i="40" s="1"/>
  <c r="F131" i="40"/>
  <c r="G197" i="33"/>
  <c r="C197" i="33"/>
  <c r="D197" i="33" s="1"/>
  <c r="F197" i="33"/>
  <c r="C191" i="45"/>
  <c r="D191" i="45"/>
  <c r="F191" i="45"/>
  <c r="G191" i="45"/>
  <c r="F362" i="12"/>
  <c r="G362" i="12"/>
  <c r="C362" i="12"/>
  <c r="D362" i="12" s="1"/>
  <c r="F262" i="19"/>
  <c r="G262" i="19"/>
  <c r="C262" i="19"/>
  <c r="D262" i="19" s="1"/>
  <c r="G265" i="18"/>
  <c r="C265" i="18"/>
  <c r="D265" i="18" s="1"/>
  <c r="F265" i="18"/>
  <c r="G40" i="51"/>
  <c r="C40" i="51"/>
  <c r="D40" i="51" s="1"/>
  <c r="F40" i="51"/>
  <c r="C190" i="45"/>
  <c r="D190" i="45"/>
  <c r="F190" i="45"/>
  <c r="G190" i="45" s="1"/>
  <c r="F380" i="24"/>
  <c r="G380" i="24"/>
  <c r="H380" i="24"/>
  <c r="C380" i="24"/>
  <c r="D380" i="24"/>
  <c r="F379" i="24"/>
  <c r="G379" i="24"/>
  <c r="H379" i="24"/>
  <c r="C379" i="24"/>
  <c r="D379" i="24"/>
  <c r="G65" i="50"/>
  <c r="C65" i="50"/>
  <c r="D65" i="50"/>
  <c r="F65" i="50"/>
  <c r="H214" i="29"/>
  <c r="D214" i="29"/>
  <c r="E214" i="29" s="1"/>
  <c r="H180" i="37"/>
  <c r="D180" i="37"/>
  <c r="E180" i="37" s="1"/>
  <c r="G180" i="37"/>
  <c r="G426" i="7"/>
  <c r="C426" i="7"/>
  <c r="D426" i="7"/>
  <c r="C25" i="56"/>
  <c r="D25" i="56" s="1"/>
  <c r="F25" i="56"/>
  <c r="G24" i="56"/>
  <c r="F24" i="56"/>
  <c r="C24" i="56"/>
  <c r="D24" i="56"/>
  <c r="G23" i="56"/>
  <c r="F23" i="56"/>
  <c r="C23" i="56"/>
  <c r="D23" i="56"/>
  <c r="G22" i="56"/>
  <c r="F22" i="56"/>
  <c r="C22" i="56"/>
  <c r="D22" i="56"/>
  <c r="F21" i="56"/>
  <c r="C21" i="56"/>
  <c r="D21" i="56" s="1"/>
  <c r="B8" i="56"/>
  <c r="G4" i="56"/>
  <c r="F428" i="5"/>
  <c r="G428" i="5"/>
  <c r="C428" i="5"/>
  <c r="D428" i="5"/>
  <c r="G129" i="41"/>
  <c r="G130" i="41"/>
  <c r="F399" i="11"/>
  <c r="G399" i="11"/>
  <c r="F400" i="11"/>
  <c r="G400" i="11" s="1"/>
  <c r="F380" i="25"/>
  <c r="G380" i="25"/>
  <c r="F381" i="25"/>
  <c r="G381" i="25"/>
  <c r="G253" i="20"/>
  <c r="H253" i="20"/>
  <c r="G254" i="20"/>
  <c r="H254" i="20"/>
  <c r="G313" i="23"/>
  <c r="H313" i="23"/>
  <c r="G314" i="23"/>
  <c r="H314" i="23"/>
  <c r="G196" i="33"/>
  <c r="C196" i="33"/>
  <c r="D196" i="33" s="1"/>
  <c r="F196" i="33"/>
  <c r="G66" i="49"/>
  <c r="G67" i="49"/>
  <c r="H179" i="37"/>
  <c r="D179" i="37"/>
  <c r="E179" i="37" s="1"/>
  <c r="G179" i="37"/>
  <c r="H210" i="30"/>
  <c r="H211" i="30"/>
  <c r="F427" i="5"/>
  <c r="G427" i="5"/>
  <c r="C427" i="5"/>
  <c r="D427" i="5" s="1"/>
  <c r="G425" i="7"/>
  <c r="C425" i="7"/>
  <c r="D425" i="7" s="1"/>
  <c r="G188" i="35"/>
  <c r="C188" i="35"/>
  <c r="D188" i="35"/>
  <c r="F188" i="35"/>
  <c r="G64" i="50"/>
  <c r="C64" i="50"/>
  <c r="D64" i="50"/>
  <c r="F64" i="50"/>
  <c r="G264" i="18"/>
  <c r="C264" i="18"/>
  <c r="D264" i="18"/>
  <c r="F264" i="18"/>
  <c r="C130" i="40"/>
  <c r="D130" i="40"/>
  <c r="F130" i="40"/>
  <c r="G71" i="48"/>
  <c r="G72" i="48"/>
  <c r="G39" i="51"/>
  <c r="C39" i="51"/>
  <c r="D39" i="51" s="1"/>
  <c r="F39" i="51"/>
  <c r="F261" i="19"/>
  <c r="G261" i="19"/>
  <c r="C261" i="19"/>
  <c r="D261" i="19" s="1"/>
  <c r="G179" i="38"/>
  <c r="G180" i="38"/>
  <c r="C179" i="38"/>
  <c r="D179" i="38" s="1"/>
  <c r="C180" i="38"/>
  <c r="D180" i="38"/>
  <c r="F179" i="38"/>
  <c r="F180" i="38"/>
  <c r="H209" i="32"/>
  <c r="D209" i="32"/>
  <c r="E209" i="32" s="1"/>
  <c r="G209" i="32"/>
  <c r="H115" i="47"/>
  <c r="H116" i="47"/>
  <c r="D116" i="47"/>
  <c r="E116" i="47" s="1"/>
  <c r="G116" i="47"/>
  <c r="G214" i="28"/>
  <c r="C214" i="28"/>
  <c r="D214" i="28" s="1"/>
  <c r="F214" i="28"/>
  <c r="C329" i="14"/>
  <c r="D329" i="14" s="1"/>
  <c r="C330" i="14"/>
  <c r="D330" i="14"/>
  <c r="F329" i="14"/>
  <c r="F330" i="14"/>
  <c r="H114" i="46"/>
  <c r="D113" i="46"/>
  <c r="E113" i="46" s="1"/>
  <c r="E114" i="46"/>
  <c r="G114" i="46"/>
  <c r="C130" i="41"/>
  <c r="D130" i="41"/>
  <c r="F130" i="41"/>
  <c r="C129" i="41"/>
  <c r="D129" i="41" s="1"/>
  <c r="F129" i="41"/>
  <c r="D210" i="30"/>
  <c r="E210" i="30" s="1"/>
  <c r="D211" i="30"/>
  <c r="E211" i="30"/>
  <c r="G210" i="30"/>
  <c r="G211" i="30"/>
  <c r="F361" i="12"/>
  <c r="G361" i="12"/>
  <c r="C361" i="12"/>
  <c r="D361" i="12" s="1"/>
  <c r="C71" i="48"/>
  <c r="D71" i="48"/>
  <c r="C72" i="48"/>
  <c r="D72" i="48" s="1"/>
  <c r="F71" i="48"/>
  <c r="F72" i="48"/>
  <c r="F428" i="4"/>
  <c r="G428" i="4"/>
  <c r="F429" i="4"/>
  <c r="G429" i="4"/>
  <c r="C429" i="4"/>
  <c r="D429" i="4" s="1"/>
  <c r="C380" i="25"/>
  <c r="D380" i="25"/>
  <c r="C381" i="25"/>
  <c r="D381" i="25" s="1"/>
  <c r="C313" i="23"/>
  <c r="D313" i="23"/>
  <c r="C314" i="23"/>
  <c r="D314" i="23" s="1"/>
  <c r="F313" i="23"/>
  <c r="F314" i="23"/>
  <c r="C253" i="20"/>
  <c r="D253" i="20" s="1"/>
  <c r="C254" i="20"/>
  <c r="D254" i="20"/>
  <c r="F253" i="20"/>
  <c r="F254" i="20"/>
  <c r="C399" i="11"/>
  <c r="D399" i="11"/>
  <c r="C400" i="11"/>
  <c r="D400" i="11" s="1"/>
  <c r="C66" i="49"/>
  <c r="D66" i="49"/>
  <c r="C67" i="49"/>
  <c r="D67" i="49" s="1"/>
  <c r="F66" i="49"/>
  <c r="F67" i="49"/>
  <c r="C428" i="4"/>
  <c r="D428" i="4" s="1"/>
  <c r="H208" i="32"/>
  <c r="D208" i="32"/>
  <c r="E208" i="32" s="1"/>
  <c r="G208" i="32"/>
  <c r="H213" i="29"/>
  <c r="D213" i="29"/>
  <c r="E213" i="29" s="1"/>
  <c r="H113" i="46"/>
  <c r="D112" i="46"/>
  <c r="E112" i="46" s="1"/>
  <c r="G113" i="46"/>
  <c r="G213" i="28"/>
  <c r="C213" i="28"/>
  <c r="D213" i="28"/>
  <c r="F213" i="28"/>
  <c r="D115" i="47"/>
  <c r="E115" i="47"/>
  <c r="G115" i="47"/>
  <c r="C22" i="52"/>
  <c r="C189" i="45"/>
  <c r="D189" i="45"/>
  <c r="F189" i="45"/>
  <c r="G189" i="45" s="1"/>
  <c r="H114" i="47"/>
  <c r="D114" i="47"/>
  <c r="E114" i="47" s="1"/>
  <c r="G114" i="47"/>
  <c r="F398" i="11"/>
  <c r="G398" i="11"/>
  <c r="C398" i="11"/>
  <c r="D398" i="11" s="1"/>
  <c r="H112" i="46"/>
  <c r="G112" i="46"/>
  <c r="F379" i="25"/>
  <c r="G379" i="25"/>
  <c r="C379" i="25"/>
  <c r="D379" i="25"/>
  <c r="G424" i="7"/>
  <c r="C424" i="7"/>
  <c r="D424" i="7"/>
  <c r="H178" i="37"/>
  <c r="D178" i="37"/>
  <c r="E178" i="37" s="1"/>
  <c r="G178" i="37"/>
  <c r="G312" i="23"/>
  <c r="H312" i="23"/>
  <c r="C312" i="23"/>
  <c r="D312" i="23"/>
  <c r="F312" i="23"/>
  <c r="G63" i="50"/>
  <c r="C63" i="50"/>
  <c r="D63" i="50"/>
  <c r="F63" i="50"/>
  <c r="G65" i="49"/>
  <c r="C65" i="49"/>
  <c r="D65" i="49"/>
  <c r="F65" i="49"/>
  <c r="C188" i="45"/>
  <c r="D188" i="45" s="1"/>
  <c r="F188" i="45"/>
  <c r="G188" i="45"/>
  <c r="H212" i="29"/>
  <c r="D212" i="29"/>
  <c r="E212" i="29" s="1"/>
  <c r="F378" i="24"/>
  <c r="G378" i="24"/>
  <c r="H378" i="24"/>
  <c r="C378" i="24"/>
  <c r="D378" i="24" s="1"/>
  <c r="G128" i="41"/>
  <c r="C128" i="41"/>
  <c r="D128" i="41"/>
  <c r="F128" i="41"/>
  <c r="G328" i="14"/>
  <c r="H328" i="14"/>
  <c r="C328" i="14"/>
  <c r="D328" i="14" s="1"/>
  <c r="F328" i="14"/>
  <c r="H207" i="32"/>
  <c r="D207" i="32"/>
  <c r="E207" i="32" s="1"/>
  <c r="G207" i="32"/>
  <c r="H209" i="30"/>
  <c r="D209" i="30"/>
  <c r="E209" i="30" s="1"/>
  <c r="G209" i="30"/>
  <c r="G212" i="28"/>
  <c r="C212" i="28"/>
  <c r="D212" i="28" s="1"/>
  <c r="F212" i="28"/>
  <c r="F377" i="24"/>
  <c r="G377" i="24"/>
  <c r="H377" i="24"/>
  <c r="C377" i="24"/>
  <c r="D377" i="24"/>
  <c r="G186" i="35"/>
  <c r="G187" i="35"/>
  <c r="G262" i="18"/>
  <c r="G263" i="18"/>
  <c r="C262" i="18"/>
  <c r="D262" i="18" s="1"/>
  <c r="C263" i="18"/>
  <c r="D263" i="18"/>
  <c r="F262" i="18"/>
  <c r="F263" i="18"/>
  <c r="G62" i="50"/>
  <c r="C62" i="50"/>
  <c r="D62" i="50"/>
  <c r="F62" i="50"/>
  <c r="F397" i="11"/>
  <c r="G397" i="11"/>
  <c r="C397" i="11"/>
  <c r="D397" i="11" s="1"/>
  <c r="G69" i="48"/>
  <c r="G70" i="48"/>
  <c r="G37" i="51"/>
  <c r="G38" i="51"/>
  <c r="F251" i="20"/>
  <c r="G251" i="20"/>
  <c r="H251" i="20"/>
  <c r="F252" i="20"/>
  <c r="G252" i="20"/>
  <c r="H252" i="20"/>
  <c r="C252" i="20"/>
  <c r="D252" i="20" s="1"/>
  <c r="C251" i="20"/>
  <c r="D251" i="20"/>
  <c r="F358" i="12"/>
  <c r="G358" i="12"/>
  <c r="F359" i="12"/>
  <c r="G359" i="12"/>
  <c r="F360" i="12"/>
  <c r="G360" i="12"/>
  <c r="F426" i="5"/>
  <c r="G426" i="5"/>
  <c r="C426" i="5"/>
  <c r="D426" i="5" s="1"/>
  <c r="C69" i="48"/>
  <c r="D69" i="48"/>
  <c r="C70" i="48"/>
  <c r="D70" i="48" s="1"/>
  <c r="F69" i="48"/>
  <c r="F70" i="48"/>
  <c r="C37" i="51"/>
  <c r="D37" i="51" s="1"/>
  <c r="C38" i="51"/>
  <c r="D38" i="51"/>
  <c r="F37" i="51"/>
  <c r="F38" i="51"/>
  <c r="G195" i="33"/>
  <c r="C195" i="33"/>
  <c r="D195" i="33"/>
  <c r="F195" i="33"/>
  <c r="C186" i="35"/>
  <c r="D186" i="35"/>
  <c r="C187" i="35"/>
  <c r="D187" i="35" s="1"/>
  <c r="F186" i="35"/>
  <c r="F187" i="35"/>
  <c r="C128" i="40"/>
  <c r="D128" i="40" s="1"/>
  <c r="C129" i="40"/>
  <c r="D129" i="40"/>
  <c r="F128" i="40"/>
  <c r="F129" i="40"/>
  <c r="G178" i="38"/>
  <c r="C178" i="38"/>
  <c r="D178" i="38"/>
  <c r="F178" i="38"/>
  <c r="C360" i="12"/>
  <c r="D360" i="12"/>
  <c r="C359" i="12"/>
  <c r="D359" i="12" s="1"/>
  <c r="F426" i="4"/>
  <c r="G426" i="4"/>
  <c r="F427" i="4"/>
  <c r="G427" i="4"/>
  <c r="C426" i="4"/>
  <c r="D426" i="4"/>
  <c r="C427" i="4"/>
  <c r="D427" i="4" s="1"/>
  <c r="F259" i="19"/>
  <c r="G259" i="19"/>
  <c r="F260" i="19"/>
  <c r="G260" i="19"/>
  <c r="C259" i="19"/>
  <c r="D259" i="19"/>
  <c r="C260" i="19"/>
  <c r="D260" i="19" s="1"/>
  <c r="H111" i="46"/>
  <c r="D111" i="46"/>
  <c r="E111" i="46" s="1"/>
  <c r="G111" i="46"/>
  <c r="F425" i="5"/>
  <c r="G425" i="5"/>
  <c r="C425" i="5"/>
  <c r="D425" i="5" s="1"/>
  <c r="G423" i="7"/>
  <c r="C423" i="7"/>
  <c r="D423" i="7"/>
  <c r="G194" i="33"/>
  <c r="C194" i="33"/>
  <c r="D194" i="33"/>
  <c r="F194" i="33"/>
  <c r="H211" i="29"/>
  <c r="D211" i="29"/>
  <c r="E211" i="29" s="1"/>
  <c r="H177" i="37"/>
  <c r="D177" i="37"/>
  <c r="E177" i="37" s="1"/>
  <c r="G177" i="37"/>
  <c r="G311" i="23"/>
  <c r="H311" i="23"/>
  <c r="C311" i="23"/>
  <c r="D311" i="23"/>
  <c r="F311" i="23"/>
  <c r="G64" i="49"/>
  <c r="C64" i="49"/>
  <c r="D64" i="49"/>
  <c r="F64" i="49"/>
  <c r="G327" i="14"/>
  <c r="H327" i="14"/>
  <c r="C327" i="14"/>
  <c r="D327" i="14" s="1"/>
  <c r="F327" i="14"/>
  <c r="H208" i="30"/>
  <c r="D208" i="30"/>
  <c r="E208" i="30" s="1"/>
  <c r="G208" i="30"/>
  <c r="G127" i="41"/>
  <c r="C127" i="41"/>
  <c r="D127" i="41" s="1"/>
  <c r="F127" i="41"/>
  <c r="F378" i="25"/>
  <c r="G378" i="25"/>
  <c r="C378" i="25"/>
  <c r="D378" i="25" s="1"/>
  <c r="H206" i="32"/>
  <c r="D206" i="32"/>
  <c r="E206" i="32" s="1"/>
  <c r="G206" i="32"/>
  <c r="H113" i="47"/>
  <c r="D113" i="47"/>
  <c r="E113" i="47" s="1"/>
  <c r="G113" i="47"/>
  <c r="G211" i="28"/>
  <c r="C211" i="28"/>
  <c r="D211" i="28" s="1"/>
  <c r="F211" i="28"/>
  <c r="G2" i="52"/>
  <c r="D22" i="52"/>
  <c r="D20" i="52"/>
  <c r="C21" i="52"/>
  <c r="B9" i="52" s="1"/>
  <c r="D21" i="52"/>
  <c r="E8" i="52" s="1"/>
  <c r="B7" i="52"/>
  <c r="E9" i="52"/>
  <c r="E10" i="52" s="1"/>
  <c r="D14" i="52" s="1"/>
  <c r="B3" i="52"/>
  <c r="B14" i="52"/>
  <c r="C127" i="40"/>
  <c r="D127" i="40"/>
  <c r="F127" i="40"/>
  <c r="C187" i="45"/>
  <c r="D187" i="45" s="1"/>
  <c r="F187" i="45"/>
  <c r="G187" i="45"/>
  <c r="F258" i="19"/>
  <c r="G258" i="19"/>
  <c r="C258" i="19"/>
  <c r="D258" i="19"/>
  <c r="C358" i="12"/>
  <c r="D358" i="12" s="1"/>
  <c r="G177" i="38"/>
  <c r="C177" i="38"/>
  <c r="D177" i="38" s="1"/>
  <c r="F177" i="38"/>
  <c r="D110" i="46"/>
  <c r="E110" i="46" s="1"/>
  <c r="G310" i="23"/>
  <c r="H310" i="23"/>
  <c r="C310" i="23"/>
  <c r="D310" i="23"/>
  <c r="F310" i="23"/>
  <c r="G36" i="51"/>
  <c r="C36" i="51"/>
  <c r="D36" i="51"/>
  <c r="F36" i="51"/>
  <c r="G61" i="50"/>
  <c r="C61" i="50"/>
  <c r="D61" i="50"/>
  <c r="F61" i="50"/>
  <c r="G193" i="33"/>
  <c r="C193" i="33"/>
  <c r="D193" i="33"/>
  <c r="F193" i="33"/>
  <c r="H176" i="37"/>
  <c r="D176" i="37"/>
  <c r="E176" i="37" s="1"/>
  <c r="G176" i="37"/>
  <c r="G185" i="35"/>
  <c r="C185" i="35"/>
  <c r="D185" i="35"/>
  <c r="F185" i="35"/>
  <c r="G68" i="48"/>
  <c r="C68" i="48"/>
  <c r="D68" i="48"/>
  <c r="F68" i="48"/>
  <c r="F396" i="11"/>
  <c r="G396" i="11" s="1"/>
  <c r="C396" i="11"/>
  <c r="D396" i="11"/>
  <c r="H110" i="46"/>
  <c r="G110" i="46"/>
  <c r="G210" i="28"/>
  <c r="C210" i="28"/>
  <c r="D210" i="28" s="1"/>
  <c r="F210" i="28"/>
  <c r="F257" i="19"/>
  <c r="G257" i="19"/>
  <c r="C257" i="19"/>
  <c r="D257" i="19"/>
  <c r="F424" i="5"/>
  <c r="G424" i="5"/>
  <c r="C424" i="5"/>
  <c r="D424" i="5"/>
  <c r="G422" i="7"/>
  <c r="C422" i="7"/>
  <c r="D422" i="7" s="1"/>
  <c r="G63" i="49"/>
  <c r="C63" i="49"/>
  <c r="D63" i="49" s="1"/>
  <c r="F63" i="49"/>
  <c r="G250" i="20"/>
  <c r="H250" i="20"/>
  <c r="C250" i="20"/>
  <c r="D250" i="20" s="1"/>
  <c r="F250" i="20"/>
  <c r="H207" i="30"/>
  <c r="D207" i="30"/>
  <c r="E207" i="30" s="1"/>
  <c r="G207" i="30"/>
  <c r="G261" i="18"/>
  <c r="C261" i="18"/>
  <c r="D261" i="18" s="1"/>
  <c r="F261" i="18"/>
  <c r="G126" i="41"/>
  <c r="C126" i="41"/>
  <c r="D126" i="41" s="1"/>
  <c r="F126" i="41"/>
  <c r="F377" i="25"/>
  <c r="G377" i="25"/>
  <c r="C377" i="25"/>
  <c r="D377" i="25"/>
  <c r="H205" i="32"/>
  <c r="D205" i="32"/>
  <c r="E205" i="32" s="1"/>
  <c r="G205" i="32"/>
  <c r="H210" i="29"/>
  <c r="D210" i="29"/>
  <c r="E210" i="29" s="1"/>
  <c r="H112" i="47"/>
  <c r="D112" i="47"/>
  <c r="E112" i="47" s="1"/>
  <c r="G112" i="47"/>
  <c r="F376" i="24"/>
  <c r="G376" i="24"/>
  <c r="H376" i="24"/>
  <c r="C376" i="24"/>
  <c r="D376" i="24"/>
  <c r="F425" i="4"/>
  <c r="G425" i="4"/>
  <c r="C425" i="4"/>
  <c r="D425" i="4"/>
  <c r="G326" i="14"/>
  <c r="H326" i="14"/>
  <c r="C326" i="14"/>
  <c r="D326" i="14"/>
  <c r="F326" i="14"/>
  <c r="F357" i="12"/>
  <c r="G357" i="12"/>
  <c r="C357" i="12"/>
  <c r="D357" i="12" s="1"/>
  <c r="C186" i="45"/>
  <c r="D186" i="45"/>
  <c r="F186" i="45"/>
  <c r="G186" i="45" s="1"/>
  <c r="G176" i="38"/>
  <c r="C176" i="38"/>
  <c r="D176" i="38"/>
  <c r="F176" i="38"/>
  <c r="C126" i="40"/>
  <c r="D126" i="40"/>
  <c r="F126" i="40"/>
  <c r="F376" i="25"/>
  <c r="G376" i="25"/>
  <c r="G60" i="50"/>
  <c r="C60" i="50"/>
  <c r="D60" i="50" s="1"/>
  <c r="F60" i="50"/>
  <c r="G260" i="18"/>
  <c r="C260" i="18"/>
  <c r="D260" i="18" s="1"/>
  <c r="F260" i="18"/>
  <c r="G35" i="51"/>
  <c r="C35" i="51"/>
  <c r="D35" i="51" s="1"/>
  <c r="F35" i="51"/>
  <c r="G192" i="33"/>
  <c r="C192" i="33"/>
  <c r="D192" i="33" s="1"/>
  <c r="F192" i="33"/>
  <c r="F395" i="11"/>
  <c r="G395" i="11"/>
  <c r="C395" i="11"/>
  <c r="D395" i="11" s="1"/>
  <c r="H175" i="37"/>
  <c r="D175" i="37"/>
  <c r="E175" i="37" s="1"/>
  <c r="G175" i="37"/>
  <c r="G309" i="23"/>
  <c r="H309" i="23"/>
  <c r="C309" i="23"/>
  <c r="D309" i="23" s="1"/>
  <c r="F309" i="23"/>
  <c r="H109" i="46"/>
  <c r="D108" i="46"/>
  <c r="E108" i="46" s="1"/>
  <c r="D109" i="46"/>
  <c r="E109" i="46" s="1"/>
  <c r="G109" i="46"/>
  <c r="G67" i="48"/>
  <c r="C67" i="48"/>
  <c r="D67" i="48"/>
  <c r="F67" i="48"/>
  <c r="F422" i="5"/>
  <c r="G422" i="5"/>
  <c r="F423" i="5"/>
  <c r="G423" i="5"/>
  <c r="C423" i="5"/>
  <c r="D423" i="5" s="1"/>
  <c r="G421" i="7"/>
  <c r="C421" i="7"/>
  <c r="D421" i="7" s="1"/>
  <c r="G125" i="41"/>
  <c r="C125" i="41"/>
  <c r="D125" i="41"/>
  <c r="F125" i="41"/>
  <c r="G23" i="49"/>
  <c r="G24" i="49"/>
  <c r="G25" i="49"/>
  <c r="G26" i="49"/>
  <c r="G27" i="49"/>
  <c r="G28" i="49"/>
  <c r="G29" i="49"/>
  <c r="G30" i="49"/>
  <c r="G31" i="49"/>
  <c r="G32" i="49"/>
  <c r="G33" i="49"/>
  <c r="G34" i="49"/>
  <c r="G35" i="49"/>
  <c r="G36" i="49"/>
  <c r="G37" i="49"/>
  <c r="G38" i="49"/>
  <c r="G39" i="49"/>
  <c r="G40" i="49"/>
  <c r="G41" i="49"/>
  <c r="G42" i="49"/>
  <c r="G43" i="49"/>
  <c r="G44" i="49"/>
  <c r="G45" i="49"/>
  <c r="G46" i="49"/>
  <c r="G47" i="49"/>
  <c r="G48" i="49"/>
  <c r="G49" i="49"/>
  <c r="G50" i="49"/>
  <c r="G51" i="49"/>
  <c r="G52" i="49"/>
  <c r="G53" i="49"/>
  <c r="G54" i="49"/>
  <c r="G55" i="49"/>
  <c r="G56" i="49"/>
  <c r="G57" i="49"/>
  <c r="G58" i="49"/>
  <c r="G59" i="49"/>
  <c r="G60" i="49"/>
  <c r="G61" i="49"/>
  <c r="G62" i="49"/>
  <c r="G22" i="49"/>
  <c r="C62" i="49"/>
  <c r="D62" i="49"/>
  <c r="F62" i="49"/>
  <c r="F424" i="4"/>
  <c r="G424" i="4"/>
  <c r="C424" i="4"/>
  <c r="D424" i="4" s="1"/>
  <c r="G325" i="14"/>
  <c r="H325" i="14"/>
  <c r="C325" i="14"/>
  <c r="D325" i="14" s="1"/>
  <c r="F325" i="14"/>
  <c r="G249" i="20"/>
  <c r="H249" i="20"/>
  <c r="C249" i="20"/>
  <c r="D249" i="20" s="1"/>
  <c r="F249" i="20"/>
  <c r="H206" i="30"/>
  <c r="D206" i="30"/>
  <c r="E206" i="30" s="1"/>
  <c r="G206" i="30"/>
  <c r="H209" i="29"/>
  <c r="D209" i="29"/>
  <c r="E209" i="29" s="1"/>
  <c r="H204" i="32"/>
  <c r="D204" i="32"/>
  <c r="E204" i="32" s="1"/>
  <c r="G204" i="32"/>
  <c r="C376" i="25"/>
  <c r="D376" i="25" s="1"/>
  <c r="G209" i="28"/>
  <c r="C209" i="28"/>
  <c r="D209" i="28"/>
  <c r="F209" i="28"/>
  <c r="F375" i="24"/>
  <c r="G375" i="24"/>
  <c r="H375" i="24"/>
  <c r="C375" i="24"/>
  <c r="D375" i="24" s="1"/>
  <c r="G184" i="35"/>
  <c r="C184" i="35"/>
  <c r="D184" i="35" s="1"/>
  <c r="F184" i="35"/>
  <c r="C185" i="45"/>
  <c r="D185" i="45"/>
  <c r="F185" i="45"/>
  <c r="G185" i="45" s="1"/>
  <c r="C125" i="40"/>
  <c r="D125" i="40"/>
  <c r="F125" i="40"/>
  <c r="F374" i="24"/>
  <c r="G374" i="24"/>
  <c r="H374" i="24"/>
  <c r="C374" i="24"/>
  <c r="D374" i="24" s="1"/>
  <c r="F256" i="19"/>
  <c r="G256" i="19"/>
  <c r="C256" i="19"/>
  <c r="D256" i="19" s="1"/>
  <c r="G175" i="38"/>
  <c r="C175" i="38"/>
  <c r="D175" i="38" s="1"/>
  <c r="F175" i="38"/>
  <c r="H111" i="47"/>
  <c r="D111" i="47"/>
  <c r="E111" i="47" s="1"/>
  <c r="G111" i="47"/>
  <c r="F356" i="12"/>
  <c r="G356" i="12"/>
  <c r="C356" i="12"/>
  <c r="D356" i="12" s="1"/>
  <c r="C61" i="49"/>
  <c r="D61" i="49"/>
  <c r="F61" i="49"/>
  <c r="G259" i="18"/>
  <c r="C259" i="18"/>
  <c r="D259" i="18"/>
  <c r="F259" i="18"/>
  <c r="G59" i="50"/>
  <c r="C59" i="50"/>
  <c r="D59" i="50"/>
  <c r="F59" i="50"/>
  <c r="G191" i="33"/>
  <c r="C191" i="33"/>
  <c r="D191" i="33"/>
  <c r="F191" i="33"/>
  <c r="G182" i="35"/>
  <c r="G183" i="35"/>
  <c r="C183" i="35"/>
  <c r="D183" i="35" s="1"/>
  <c r="F183" i="35"/>
  <c r="C182" i="35"/>
  <c r="D182" i="35"/>
  <c r="F182" i="35"/>
  <c r="G34" i="51"/>
  <c r="C34" i="51"/>
  <c r="D34" i="51"/>
  <c r="F34" i="51"/>
  <c r="B8" i="46"/>
  <c r="H108" i="46"/>
  <c r="G108" i="46"/>
  <c r="F394" i="11"/>
  <c r="G394" i="11"/>
  <c r="C394" i="11"/>
  <c r="D394" i="11" s="1"/>
  <c r="G66" i="48"/>
  <c r="C66" i="48"/>
  <c r="D66" i="48"/>
  <c r="F66" i="48"/>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G71" i="37"/>
  <c r="G72" i="37"/>
  <c r="G73" i="37"/>
  <c r="G74" i="37"/>
  <c r="G75" i="37"/>
  <c r="G76" i="37"/>
  <c r="G77" i="37"/>
  <c r="G78" i="37"/>
  <c r="G79" i="37"/>
  <c r="G80" i="37"/>
  <c r="G81" i="37"/>
  <c r="G82" i="37"/>
  <c r="G83" i="37"/>
  <c r="G84" i="37"/>
  <c r="G85" i="37"/>
  <c r="G86" i="37"/>
  <c r="G87" i="37"/>
  <c r="G88" i="37"/>
  <c r="G89" i="37"/>
  <c r="G90" i="37"/>
  <c r="G91" i="37"/>
  <c r="G92" i="37"/>
  <c r="G93" i="37"/>
  <c r="G94" i="37"/>
  <c r="G95" i="37"/>
  <c r="G96" i="37"/>
  <c r="G97" i="37"/>
  <c r="G98" i="37"/>
  <c r="G99" i="37"/>
  <c r="G100" i="37"/>
  <c r="G101" i="37"/>
  <c r="G102" i="37"/>
  <c r="G103" i="37"/>
  <c r="G104" i="37"/>
  <c r="G105" i="37"/>
  <c r="G106" i="37"/>
  <c r="G107" i="37"/>
  <c r="G108" i="37"/>
  <c r="G109" i="37"/>
  <c r="G110" i="37"/>
  <c r="G111" i="37"/>
  <c r="G112" i="37"/>
  <c r="G113" i="37"/>
  <c r="G114" i="37"/>
  <c r="G115" i="37"/>
  <c r="G116" i="37"/>
  <c r="G117" i="37"/>
  <c r="G118" i="37"/>
  <c r="G119" i="37"/>
  <c r="G120" i="37"/>
  <c r="G121" i="37"/>
  <c r="G122" i="37"/>
  <c r="G123" i="37"/>
  <c r="G124" i="37"/>
  <c r="G125" i="37"/>
  <c r="G126" i="37"/>
  <c r="G127" i="37"/>
  <c r="G128" i="37"/>
  <c r="G129" i="37"/>
  <c r="G130" i="37"/>
  <c r="G131" i="37"/>
  <c r="G132" i="37"/>
  <c r="G133" i="37"/>
  <c r="G134" i="37"/>
  <c r="G135" i="37"/>
  <c r="G136" i="37"/>
  <c r="G137" i="37"/>
  <c r="G138" i="37"/>
  <c r="G139" i="37"/>
  <c r="G140" i="37"/>
  <c r="G141" i="37"/>
  <c r="G142" i="37"/>
  <c r="G143" i="37"/>
  <c r="G144" i="37"/>
  <c r="G145" i="37"/>
  <c r="G146" i="37"/>
  <c r="G147" i="37"/>
  <c r="G148" i="37"/>
  <c r="G149" i="37"/>
  <c r="G150" i="37"/>
  <c r="G151" i="37"/>
  <c r="G152" i="37"/>
  <c r="G153" i="37"/>
  <c r="G154" i="37"/>
  <c r="G155" i="37"/>
  <c r="G156" i="37"/>
  <c r="G157" i="37"/>
  <c r="G158" i="37"/>
  <c r="G159" i="37"/>
  <c r="G160" i="37"/>
  <c r="G161" i="37"/>
  <c r="G162" i="37"/>
  <c r="G163" i="37"/>
  <c r="G164" i="37"/>
  <c r="G165" i="37"/>
  <c r="G166" i="37"/>
  <c r="G167" i="37"/>
  <c r="G168" i="37"/>
  <c r="G169" i="37"/>
  <c r="G170" i="37"/>
  <c r="G171" i="37"/>
  <c r="G172" i="37"/>
  <c r="G173" i="37"/>
  <c r="G174" i="37"/>
  <c r="H174" i="37"/>
  <c r="D174" i="37"/>
  <c r="E174" i="37" s="1"/>
  <c r="G419" i="7"/>
  <c r="G420" i="7"/>
  <c r="C420" i="7"/>
  <c r="D420" i="7" s="1"/>
  <c r="C419" i="7"/>
  <c r="D419" i="7"/>
  <c r="G308" i="23"/>
  <c r="H308" i="23"/>
  <c r="C308" i="23"/>
  <c r="D308" i="23"/>
  <c r="F308" i="23"/>
  <c r="C422" i="5"/>
  <c r="D422" i="5"/>
  <c r="H205" i="30"/>
  <c r="D205" i="30"/>
  <c r="E205" i="30" s="1"/>
  <c r="G205" i="30"/>
  <c r="G248" i="20"/>
  <c r="H248" i="20"/>
  <c r="C248" i="20"/>
  <c r="D248" i="20"/>
  <c r="F248" i="20"/>
  <c r="G124" i="41"/>
  <c r="C124" i="41"/>
  <c r="D124" i="41"/>
  <c r="F124" i="41"/>
  <c r="G208" i="28"/>
  <c r="C208" i="28"/>
  <c r="D208" i="28"/>
  <c r="F208" i="28"/>
  <c r="H208" i="29"/>
  <c r="D208" i="29"/>
  <c r="E208" i="29" s="1"/>
  <c r="H202" i="32"/>
  <c r="H203" i="32"/>
  <c r="D203" i="32"/>
  <c r="E203" i="32" s="1"/>
  <c r="G203" i="32"/>
  <c r="F375" i="25"/>
  <c r="G375" i="25"/>
  <c r="C375" i="25"/>
  <c r="D375" i="25" s="1"/>
  <c r="F423" i="4"/>
  <c r="G423" i="4"/>
  <c r="C423" i="4"/>
  <c r="D423" i="4" s="1"/>
  <c r="G324" i="14"/>
  <c r="H324" i="14"/>
  <c r="C324" i="14"/>
  <c r="D324" i="14" s="1"/>
  <c r="F324" i="14"/>
  <c r="H110" i="47"/>
  <c r="D110" i="47"/>
  <c r="E110" i="47" s="1"/>
  <c r="G110" i="47"/>
  <c r="G173" i="38"/>
  <c r="G174" i="38"/>
  <c r="G190" i="33"/>
  <c r="C190" i="33"/>
  <c r="D190" i="33"/>
  <c r="F190" i="33"/>
  <c r="G258" i="18"/>
  <c r="C258" i="18"/>
  <c r="D258" i="18"/>
  <c r="F258" i="18"/>
  <c r="C174" i="38"/>
  <c r="D174" i="38" s="1"/>
  <c r="F174" i="38"/>
  <c r="C173" i="38"/>
  <c r="D173" i="38" s="1"/>
  <c r="F173" i="38"/>
  <c r="C184" i="45"/>
  <c r="D184" i="45"/>
  <c r="F184" i="45"/>
  <c r="G184" i="45" s="1"/>
  <c r="F355" i="12"/>
  <c r="G355" i="12"/>
  <c r="C355" i="12"/>
  <c r="D355" i="12" s="1"/>
  <c r="F255" i="19"/>
  <c r="G255" i="19"/>
  <c r="C255" i="19"/>
  <c r="D255" i="19" s="1"/>
  <c r="G33" i="51"/>
  <c r="C33" i="51"/>
  <c r="D33" i="51" s="1"/>
  <c r="F33" i="51"/>
  <c r="G58" i="50"/>
  <c r="C58" i="50"/>
  <c r="D58" i="50" s="1"/>
  <c r="F58" i="50"/>
  <c r="F393" i="11"/>
  <c r="G393" i="11"/>
  <c r="C393" i="11"/>
  <c r="D393" i="11" s="1"/>
  <c r="H107" i="46"/>
  <c r="D106" i="46"/>
  <c r="E106" i="46" s="1"/>
  <c r="D107" i="46"/>
  <c r="E107" i="46" s="1"/>
  <c r="G107" i="46"/>
  <c r="C124" i="40"/>
  <c r="D124" i="40" s="1"/>
  <c r="F124" i="40"/>
  <c r="G64" i="48"/>
  <c r="G65" i="48"/>
  <c r="C65" i="48"/>
  <c r="D65" i="48" s="1"/>
  <c r="F65" i="48"/>
  <c r="G307" i="23"/>
  <c r="H307" i="23"/>
  <c r="C307" i="23"/>
  <c r="D307" i="23"/>
  <c r="F307" i="23"/>
  <c r="G247" i="20"/>
  <c r="H247" i="20"/>
  <c r="C247" i="20"/>
  <c r="D247" i="20"/>
  <c r="F247" i="20"/>
  <c r="F374" i="25"/>
  <c r="G374" i="25"/>
  <c r="C374" i="25"/>
  <c r="D374" i="25" s="1"/>
  <c r="F421" i="5"/>
  <c r="G421" i="5"/>
  <c r="C421" i="5"/>
  <c r="D421" i="5" s="1"/>
  <c r="H173" i="37"/>
  <c r="D173" i="37"/>
  <c r="E173" i="37" s="1"/>
  <c r="C60" i="49"/>
  <c r="D60" i="49" s="1"/>
  <c r="F60" i="49"/>
  <c r="G123" i="41"/>
  <c r="C123" i="41"/>
  <c r="D123" i="41" s="1"/>
  <c r="F123" i="41"/>
  <c r="D202" i="32"/>
  <c r="E202" i="32" s="1"/>
  <c r="G202" i="32"/>
  <c r="H204" i="30"/>
  <c r="D204" i="30"/>
  <c r="E204" i="30" s="1"/>
  <c r="G204" i="30"/>
  <c r="F373" i="24"/>
  <c r="G373" i="24"/>
  <c r="H373" i="24"/>
  <c r="C373" i="24"/>
  <c r="D373" i="24"/>
  <c r="G323" i="14"/>
  <c r="H323" i="14"/>
  <c r="C323" i="14"/>
  <c r="D323" i="14"/>
  <c r="F323" i="14"/>
  <c r="G172" i="38"/>
  <c r="C172" i="38"/>
  <c r="D172" i="38"/>
  <c r="F172" i="38"/>
  <c r="F422" i="4"/>
  <c r="G422" i="4"/>
  <c r="C422" i="4"/>
  <c r="D422" i="4"/>
  <c r="H207" i="29"/>
  <c r="D207" i="29"/>
  <c r="E207" i="29" s="1"/>
  <c r="G207" i="28"/>
  <c r="C207" i="28"/>
  <c r="D207" i="28"/>
  <c r="F207" i="28"/>
  <c r="H109" i="47"/>
  <c r="D109" i="47"/>
  <c r="E109" i="47" s="1"/>
  <c r="G109" i="47"/>
  <c r="C183" i="45"/>
  <c r="D183" i="45" s="1"/>
  <c r="F183" i="45"/>
  <c r="G183" i="45"/>
  <c r="F392" i="11"/>
  <c r="G392" i="11" s="1"/>
  <c r="C392" i="11"/>
  <c r="D392" i="11"/>
  <c r="C123" i="40"/>
  <c r="D123" i="40" s="1"/>
  <c r="F123" i="40"/>
  <c r="G32" i="51"/>
  <c r="C32" i="51"/>
  <c r="D32" i="51" s="1"/>
  <c r="F32" i="51"/>
  <c r="G57" i="50"/>
  <c r="C57" i="50"/>
  <c r="D57" i="50" s="1"/>
  <c r="F57" i="50"/>
  <c r="G257" i="18"/>
  <c r="C257" i="18"/>
  <c r="D257" i="18" s="1"/>
  <c r="F257" i="18"/>
  <c r="G418" i="7"/>
  <c r="C418" i="7"/>
  <c r="D418" i="7" s="1"/>
  <c r="F354" i="12"/>
  <c r="G354" i="12"/>
  <c r="C354" i="12"/>
  <c r="D354" i="12" s="1"/>
  <c r="F254" i="19"/>
  <c r="G254" i="19"/>
  <c r="C254" i="19"/>
  <c r="D254" i="19" s="1"/>
  <c r="H172" i="37"/>
  <c r="D172" i="37"/>
  <c r="E172" i="37" s="1"/>
  <c r="G188" i="33"/>
  <c r="G189" i="33"/>
  <c r="C189" i="33"/>
  <c r="D189" i="33" s="1"/>
  <c r="F189" i="33"/>
  <c r="C64" i="48"/>
  <c r="D64" i="48"/>
  <c r="F64" i="48"/>
  <c r="G306" i="23"/>
  <c r="H306" i="23"/>
  <c r="C306" i="23"/>
  <c r="D306" i="23" s="1"/>
  <c r="F306" i="23"/>
  <c r="H106" i="46"/>
  <c r="D105" i="46"/>
  <c r="E105" i="46" s="1"/>
  <c r="G106" i="46"/>
  <c r="H206" i="29"/>
  <c r="D206" i="29"/>
  <c r="E206" i="29" s="1"/>
  <c r="G246" i="20"/>
  <c r="H246" i="20"/>
  <c r="C246" i="20"/>
  <c r="D246" i="20" s="1"/>
  <c r="F246" i="20"/>
  <c r="C59" i="49"/>
  <c r="D59" i="49" s="1"/>
  <c r="F59" i="49"/>
  <c r="G206" i="28"/>
  <c r="C206" i="28"/>
  <c r="D206" i="28" s="1"/>
  <c r="F206" i="28"/>
  <c r="G122" i="41"/>
  <c r="C122" i="41"/>
  <c r="D122" i="41" s="1"/>
  <c r="F122" i="41"/>
  <c r="F420" i="5"/>
  <c r="G420" i="5"/>
  <c r="C420" i="5"/>
  <c r="D420" i="5" s="1"/>
  <c r="F373" i="25"/>
  <c r="G373" i="25"/>
  <c r="C373" i="25"/>
  <c r="D373" i="25" s="1"/>
  <c r="F421" i="4"/>
  <c r="G421" i="4"/>
  <c r="C421" i="4"/>
  <c r="D421" i="4" s="1"/>
  <c r="H203" i="30"/>
  <c r="D203" i="30"/>
  <c r="E203" i="30" s="1"/>
  <c r="G203" i="30"/>
  <c r="H201" i="32"/>
  <c r="D201" i="32"/>
  <c r="E201" i="32" s="1"/>
  <c r="G201" i="32"/>
  <c r="F372" i="24"/>
  <c r="G372" i="24"/>
  <c r="H372" i="24"/>
  <c r="C372" i="24"/>
  <c r="D372" i="24"/>
  <c r="G322" i="14"/>
  <c r="H322" i="14"/>
  <c r="C322" i="14"/>
  <c r="D322" i="14"/>
  <c r="F322" i="14"/>
  <c r="H108" i="47"/>
  <c r="D108" i="47"/>
  <c r="E108" i="47" s="1"/>
  <c r="G108" i="47"/>
  <c r="H107" i="47"/>
  <c r="D107" i="47"/>
  <c r="E107" i="47" s="1"/>
  <c r="G107" i="47"/>
  <c r="D102" i="46"/>
  <c r="E102" i="46" s="1"/>
  <c r="D103" i="46"/>
  <c r="D104" i="46"/>
  <c r="G181" i="35"/>
  <c r="C181" i="35"/>
  <c r="D181" i="35" s="1"/>
  <c r="F181" i="35"/>
  <c r="C182" i="45"/>
  <c r="D182" i="45" s="1"/>
  <c r="F182" i="45"/>
  <c r="G182" i="45"/>
  <c r="H171" i="37"/>
  <c r="D171" i="37"/>
  <c r="E171" i="37" s="1"/>
  <c r="F419" i="5"/>
  <c r="G419" i="5"/>
  <c r="C419" i="5"/>
  <c r="D419" i="5" s="1"/>
  <c r="G305" i="23"/>
  <c r="H305" i="23"/>
  <c r="C305" i="23"/>
  <c r="D305" i="23" s="1"/>
  <c r="F305" i="23"/>
  <c r="G417" i="7"/>
  <c r="C417" i="7"/>
  <c r="D417" i="7" s="1"/>
  <c r="G321" i="14"/>
  <c r="H321" i="14"/>
  <c r="C321" i="14"/>
  <c r="D321" i="14" s="1"/>
  <c r="F321" i="14"/>
  <c r="C58" i="49"/>
  <c r="D58" i="49" s="1"/>
  <c r="F58" i="49"/>
  <c r="G205" i="28"/>
  <c r="C205" i="28"/>
  <c r="D205" i="28" s="1"/>
  <c r="F205" i="28"/>
  <c r="F371" i="25"/>
  <c r="G371" i="25"/>
  <c r="F372" i="25"/>
  <c r="G372" i="25"/>
  <c r="C372" i="25"/>
  <c r="D372" i="25"/>
  <c r="C188" i="33"/>
  <c r="D188" i="33" s="1"/>
  <c r="F188" i="33"/>
  <c r="G56" i="50"/>
  <c r="C56" i="50"/>
  <c r="D56" i="50" s="1"/>
  <c r="F56" i="50"/>
  <c r="G63" i="48"/>
  <c r="C63" i="48"/>
  <c r="D63" i="48" s="1"/>
  <c r="F63" i="48"/>
  <c r="F390" i="11"/>
  <c r="G390" i="11" s="1"/>
  <c r="F391" i="11"/>
  <c r="G391" i="11"/>
  <c r="C391" i="11"/>
  <c r="D391" i="11" s="1"/>
  <c r="G171" i="38"/>
  <c r="C171" i="38"/>
  <c r="D171" i="38"/>
  <c r="F171" i="38"/>
  <c r="G31" i="51"/>
  <c r="C31" i="51"/>
  <c r="D31" i="51"/>
  <c r="F31" i="51"/>
  <c r="G256" i="18"/>
  <c r="C256" i="18"/>
  <c r="D256" i="18"/>
  <c r="F256" i="18"/>
  <c r="C122" i="40"/>
  <c r="D122" i="40"/>
  <c r="F122" i="40"/>
  <c r="F353" i="12"/>
  <c r="G353" i="12"/>
  <c r="C353" i="12"/>
  <c r="D353" i="12"/>
  <c r="F252" i="19"/>
  <c r="G252" i="19"/>
  <c r="F253" i="19"/>
  <c r="G253" i="19"/>
  <c r="C253" i="19"/>
  <c r="D253" i="19" s="1"/>
  <c r="G121" i="41"/>
  <c r="C121" i="41"/>
  <c r="D121" i="41" s="1"/>
  <c r="F121" i="41"/>
  <c r="G245" i="20"/>
  <c r="H245" i="20"/>
  <c r="C245" i="20"/>
  <c r="D245" i="20" s="1"/>
  <c r="F245" i="20"/>
  <c r="F371" i="24"/>
  <c r="G371" i="24"/>
  <c r="H371" i="24"/>
  <c r="C371" i="24"/>
  <c r="D371" i="24"/>
  <c r="H205" i="29"/>
  <c r="D205" i="29"/>
  <c r="E205" i="29" s="1"/>
  <c r="H200" i="32"/>
  <c r="D200" i="32"/>
  <c r="E200" i="32" s="1"/>
  <c r="G200" i="32"/>
  <c r="H202" i="30"/>
  <c r="D202" i="30"/>
  <c r="E202" i="30" s="1"/>
  <c r="G202" i="30"/>
  <c r="F420" i="4"/>
  <c r="G420" i="4"/>
  <c r="C420" i="4"/>
  <c r="D420" i="4"/>
  <c r="H105" i="46"/>
  <c r="G105" i="46"/>
  <c r="G180" i="35"/>
  <c r="C180" i="35"/>
  <c r="D180" i="35" s="1"/>
  <c r="F180" i="35"/>
  <c r="G187" i="33"/>
  <c r="C187" i="33"/>
  <c r="D187" i="33" s="1"/>
  <c r="F187" i="33"/>
  <c r="H106" i="47"/>
  <c r="D106" i="47"/>
  <c r="E106" i="47" s="1"/>
  <c r="G106" i="47"/>
  <c r="H169" i="37"/>
  <c r="H170" i="37"/>
  <c r="D170" i="37"/>
  <c r="E170" i="37"/>
  <c r="F418" i="5"/>
  <c r="G418" i="5"/>
  <c r="C418" i="5"/>
  <c r="D418" i="5"/>
  <c r="G62" i="48"/>
  <c r="C62" i="48"/>
  <c r="D62" i="48" s="1"/>
  <c r="F62" i="48"/>
  <c r="G320" i="14"/>
  <c r="H320" i="14"/>
  <c r="C320" i="14"/>
  <c r="D320" i="14"/>
  <c r="F320" i="14"/>
  <c r="C390" i="11"/>
  <c r="D390" i="11" s="1"/>
  <c r="G120" i="41"/>
  <c r="C120" i="41"/>
  <c r="D120" i="41" s="1"/>
  <c r="F120" i="41"/>
  <c r="C371" i="25"/>
  <c r="D371" i="25"/>
  <c r="H201" i="30"/>
  <c r="D201" i="30"/>
  <c r="E201" i="30" s="1"/>
  <c r="G201" i="30"/>
  <c r="C57" i="49"/>
  <c r="D57" i="49" s="1"/>
  <c r="F57" i="49"/>
  <c r="G30" i="51"/>
  <c r="C30" i="51"/>
  <c r="D30" i="51" s="1"/>
  <c r="F30" i="51"/>
  <c r="G415" i="7"/>
  <c r="G416" i="7"/>
  <c r="C416" i="7"/>
  <c r="D416" i="7"/>
  <c r="H104" i="46"/>
  <c r="E104" i="46"/>
  <c r="G104" i="46"/>
  <c r="G304" i="23"/>
  <c r="H304" i="23"/>
  <c r="C304" i="23"/>
  <c r="D304" i="23" s="1"/>
  <c r="F304" i="23"/>
  <c r="G55" i="50"/>
  <c r="C55" i="50"/>
  <c r="D55" i="50" s="1"/>
  <c r="F55" i="50"/>
  <c r="C121" i="40"/>
  <c r="D121" i="40" s="1"/>
  <c r="F121" i="40"/>
  <c r="G255" i="18"/>
  <c r="C255" i="18"/>
  <c r="D255" i="18" s="1"/>
  <c r="F255" i="18"/>
  <c r="F419" i="4"/>
  <c r="G419" i="4"/>
  <c r="C419" i="4"/>
  <c r="D419" i="4" s="1"/>
  <c r="G244" i="20"/>
  <c r="H244" i="20"/>
  <c r="C244" i="20"/>
  <c r="D244" i="20" s="1"/>
  <c r="F244" i="20"/>
  <c r="C181" i="45"/>
  <c r="D181" i="45" s="1"/>
  <c r="F181" i="45"/>
  <c r="G181" i="45"/>
  <c r="F352" i="12"/>
  <c r="G352" i="12"/>
  <c r="C352" i="12"/>
  <c r="D352" i="12"/>
  <c r="C252" i="19"/>
  <c r="D252" i="19" s="1"/>
  <c r="G204" i="28"/>
  <c r="C204" i="28"/>
  <c r="D204" i="28"/>
  <c r="F204" i="28"/>
  <c r="H199" i="32"/>
  <c r="D199" i="32"/>
  <c r="E199" i="32" s="1"/>
  <c r="G199" i="32"/>
  <c r="F370" i="24"/>
  <c r="G370" i="24"/>
  <c r="H370" i="24"/>
  <c r="C370" i="24"/>
  <c r="D370" i="24" s="1"/>
  <c r="H204" i="29"/>
  <c r="D204" i="29"/>
  <c r="E204" i="29" s="1"/>
  <c r="D96" i="46"/>
  <c r="D97" i="46"/>
  <c r="E97" i="46" s="1"/>
  <c r="D98" i="46"/>
  <c r="E98" i="46" s="1"/>
  <c r="D99" i="46"/>
  <c r="D100" i="46"/>
  <c r="D101" i="46"/>
  <c r="F351" i="12"/>
  <c r="G351" i="12"/>
  <c r="C351" i="12"/>
  <c r="D351" i="12"/>
  <c r="G179" i="35"/>
  <c r="C179" i="35"/>
  <c r="D179" i="35"/>
  <c r="F179" i="35"/>
  <c r="C180" i="45"/>
  <c r="D180" i="45" s="1"/>
  <c r="F180" i="45"/>
  <c r="G180" i="45"/>
  <c r="F251" i="19"/>
  <c r="G251" i="19"/>
  <c r="C251" i="19"/>
  <c r="D251" i="19"/>
  <c r="G170" i="38"/>
  <c r="C170" i="38"/>
  <c r="D170" i="38"/>
  <c r="F170" i="38"/>
  <c r="G186" i="33"/>
  <c r="C186" i="33"/>
  <c r="D186" i="33"/>
  <c r="F186" i="33"/>
  <c r="G54" i="50"/>
  <c r="C54" i="50"/>
  <c r="D54" i="50"/>
  <c r="F54" i="50"/>
  <c r="G254" i="18"/>
  <c r="C254" i="18"/>
  <c r="D254" i="18"/>
  <c r="F254" i="18"/>
  <c r="C120" i="40"/>
  <c r="D120" i="40" s="1"/>
  <c r="F120" i="40"/>
  <c r="H105" i="47"/>
  <c r="D105" i="47"/>
  <c r="E105" i="47" s="1"/>
  <c r="G105" i="47"/>
  <c r="H102" i="46"/>
  <c r="H103" i="46"/>
  <c r="E103" i="46"/>
  <c r="G103" i="46"/>
  <c r="F389" i="11"/>
  <c r="G389" i="11" s="1"/>
  <c r="C389" i="11"/>
  <c r="D389" i="11"/>
  <c r="C415" i="7"/>
  <c r="D415" i="7" s="1"/>
  <c r="D169" i="37"/>
  <c r="E169" i="37" s="1"/>
  <c r="G243" i="20"/>
  <c r="H243" i="20"/>
  <c r="C243" i="20"/>
  <c r="D243" i="20"/>
  <c r="F243" i="20"/>
  <c r="H200" i="30"/>
  <c r="D200" i="30"/>
  <c r="E200" i="30" s="1"/>
  <c r="G200" i="30"/>
  <c r="G61" i="48"/>
  <c r="C61" i="48"/>
  <c r="D61" i="48"/>
  <c r="F61" i="48"/>
  <c r="F417" i="5"/>
  <c r="G417" i="5"/>
  <c r="C417" i="5"/>
  <c r="D417" i="5"/>
  <c r="G303" i="23"/>
  <c r="H303" i="23"/>
  <c r="C303" i="23"/>
  <c r="D303" i="23"/>
  <c r="F303" i="23"/>
  <c r="C56" i="49"/>
  <c r="D56" i="49"/>
  <c r="F56" i="49"/>
  <c r="G29" i="51"/>
  <c r="C29" i="51"/>
  <c r="D29" i="51"/>
  <c r="F29" i="51"/>
  <c r="H203" i="29"/>
  <c r="D203" i="29"/>
  <c r="E203" i="29" s="1"/>
  <c r="F370" i="25"/>
  <c r="G370" i="25"/>
  <c r="C370" i="25"/>
  <c r="D370" i="25"/>
  <c r="F418" i="4"/>
  <c r="G418" i="4"/>
  <c r="C418" i="4"/>
  <c r="D418" i="4"/>
  <c r="H198" i="32"/>
  <c r="D198" i="32"/>
  <c r="E198" i="32" s="1"/>
  <c r="G198" i="32"/>
  <c r="G119" i="41"/>
  <c r="C119" i="41"/>
  <c r="D119" i="41"/>
  <c r="F119" i="41"/>
  <c r="G319" i="14"/>
  <c r="H319" i="14"/>
  <c r="C319" i="14"/>
  <c r="D319" i="14"/>
  <c r="F319" i="14"/>
  <c r="G203" i="28"/>
  <c r="C203" i="28"/>
  <c r="D203" i="28"/>
  <c r="F203" i="28"/>
  <c r="F369" i="24"/>
  <c r="G369" i="24"/>
  <c r="H369" i="24"/>
  <c r="C369" i="24"/>
  <c r="D369" i="24" s="1"/>
  <c r="G178" i="35"/>
  <c r="C178" i="35"/>
  <c r="D178" i="35" s="1"/>
  <c r="F178" i="35"/>
  <c r="G28" i="51"/>
  <c r="C28" i="51"/>
  <c r="D28" i="51" s="1"/>
  <c r="F28" i="51"/>
  <c r="G53" i="50"/>
  <c r="C53" i="50"/>
  <c r="D53" i="50" s="1"/>
  <c r="F53" i="50"/>
  <c r="G169" i="38"/>
  <c r="C169" i="38"/>
  <c r="D169" i="38" s="1"/>
  <c r="F169" i="38"/>
  <c r="F350" i="12"/>
  <c r="G350" i="12"/>
  <c r="C350" i="12"/>
  <c r="D350" i="12" s="1"/>
  <c r="C179" i="45"/>
  <c r="D179" i="45"/>
  <c r="F179" i="45"/>
  <c r="G179" i="45" s="1"/>
  <c r="F250" i="19"/>
  <c r="G250" i="19"/>
  <c r="C250" i="19"/>
  <c r="D250" i="19" s="1"/>
  <c r="G60" i="48"/>
  <c r="C60" i="48"/>
  <c r="D60" i="48" s="1"/>
  <c r="F60" i="48"/>
  <c r="G253" i="18"/>
  <c r="C253" i="18"/>
  <c r="D253" i="18" s="1"/>
  <c r="F253" i="18"/>
  <c r="G177" i="35"/>
  <c r="C177" i="35"/>
  <c r="D177" i="35" s="1"/>
  <c r="F177" i="35"/>
  <c r="G185" i="33"/>
  <c r="C185" i="33"/>
  <c r="D185" i="33" s="1"/>
  <c r="F185" i="33"/>
  <c r="F388" i="11"/>
  <c r="G388" i="11"/>
  <c r="C388" i="11"/>
  <c r="D388" i="11" s="1"/>
  <c r="G102" i="46"/>
  <c r="G242" i="20"/>
  <c r="H242" i="20"/>
  <c r="C242" i="20"/>
  <c r="D242" i="20"/>
  <c r="F242" i="20"/>
  <c r="F368" i="24"/>
  <c r="G368" i="24"/>
  <c r="H368" i="24"/>
  <c r="C368" i="24"/>
  <c r="D368" i="24" s="1"/>
  <c r="G414" i="7"/>
  <c r="C414" i="7"/>
  <c r="D414" i="7" s="1"/>
  <c r="F369" i="25"/>
  <c r="G369" i="25"/>
  <c r="C369" i="25"/>
  <c r="D369" i="25" s="1"/>
  <c r="C119" i="40"/>
  <c r="D119" i="40"/>
  <c r="F119" i="40"/>
  <c r="H168" i="37"/>
  <c r="D168" i="37"/>
  <c r="E168" i="37"/>
  <c r="F368" i="25"/>
  <c r="G368" i="25"/>
  <c r="C368" i="25"/>
  <c r="D368" i="25"/>
  <c r="G302" i="23"/>
  <c r="H302" i="23"/>
  <c r="C302" i="23"/>
  <c r="D302" i="23"/>
  <c r="F302" i="23"/>
  <c r="F416" i="5"/>
  <c r="G416" i="5"/>
  <c r="C416" i="5"/>
  <c r="D416" i="5"/>
  <c r="C55" i="49"/>
  <c r="D55" i="49" s="1"/>
  <c r="F55" i="49"/>
  <c r="H104" i="47"/>
  <c r="D104" i="47"/>
  <c r="E104" i="47" s="1"/>
  <c r="G104" i="47"/>
  <c r="G202" i="28"/>
  <c r="C202" i="28"/>
  <c r="D202" i="28" s="1"/>
  <c r="F202" i="28"/>
  <c r="G318" i="14"/>
  <c r="H318" i="14"/>
  <c r="C318" i="14"/>
  <c r="D318" i="14"/>
  <c r="F318" i="14"/>
  <c r="H197" i="32"/>
  <c r="D197" i="32"/>
  <c r="E197" i="32" s="1"/>
  <c r="G197" i="32"/>
  <c r="H202" i="29"/>
  <c r="D202" i="29"/>
  <c r="E202" i="29" s="1"/>
  <c r="C178" i="45"/>
  <c r="D178" i="45" s="1"/>
  <c r="F178" i="45"/>
  <c r="G178" i="45"/>
  <c r="G168" i="38"/>
  <c r="C168" i="38"/>
  <c r="D168" i="38"/>
  <c r="F168" i="38"/>
  <c r="C118" i="40"/>
  <c r="D118" i="40" s="1"/>
  <c r="F118" i="40"/>
  <c r="G252" i="18"/>
  <c r="C252" i="18"/>
  <c r="D252" i="18" s="1"/>
  <c r="F252" i="18"/>
  <c r="F249" i="19"/>
  <c r="G249" i="19"/>
  <c r="C249" i="19"/>
  <c r="D249" i="19"/>
  <c r="H199" i="30"/>
  <c r="D199" i="30"/>
  <c r="E199" i="30" s="1"/>
  <c r="G199" i="30"/>
  <c r="G118" i="41"/>
  <c r="C118" i="41"/>
  <c r="D118" i="41" s="1"/>
  <c r="F118" i="41"/>
  <c r="F417" i="4"/>
  <c r="G417" i="4"/>
  <c r="C417" i="4"/>
  <c r="D417" i="4"/>
  <c r="G301" i="23"/>
  <c r="H301" i="23"/>
  <c r="C301" i="23"/>
  <c r="D301" i="23"/>
  <c r="F301" i="23"/>
  <c r="G52" i="50"/>
  <c r="C52" i="50"/>
  <c r="D52" i="50"/>
  <c r="F52" i="50"/>
  <c r="F349" i="12"/>
  <c r="G349" i="12"/>
  <c r="C349" i="12"/>
  <c r="D349" i="12"/>
  <c r="H167" i="37"/>
  <c r="D167" i="37"/>
  <c r="E167" i="37" s="1"/>
  <c r="F387" i="11"/>
  <c r="G387" i="11" s="1"/>
  <c r="C387" i="11"/>
  <c r="D387" i="11"/>
  <c r="G413" i="7"/>
  <c r="C413" i="7"/>
  <c r="D413" i="7" s="1"/>
  <c r="G27" i="51"/>
  <c r="C27" i="51"/>
  <c r="D27" i="51" s="1"/>
  <c r="F27" i="51"/>
  <c r="G184" i="33"/>
  <c r="C184" i="33"/>
  <c r="D184" i="33" s="1"/>
  <c r="F184" i="33"/>
  <c r="F415" i="5"/>
  <c r="G415" i="5"/>
  <c r="C415" i="5"/>
  <c r="D415" i="5" s="1"/>
  <c r="H101" i="46"/>
  <c r="E101" i="46"/>
  <c r="G101" i="46"/>
  <c r="C54" i="49"/>
  <c r="D54" i="49"/>
  <c r="F54" i="49"/>
  <c r="G241" i="20"/>
  <c r="H241" i="20"/>
  <c r="C241" i="20"/>
  <c r="D241" i="20"/>
  <c r="F241" i="20"/>
  <c r="H201" i="29"/>
  <c r="D201" i="29"/>
  <c r="E201" i="29" s="1"/>
  <c r="F416" i="4"/>
  <c r="G416" i="4"/>
  <c r="C416" i="4"/>
  <c r="D416" i="4" s="1"/>
  <c r="G117" i="41"/>
  <c r="C117" i="41"/>
  <c r="D117" i="41"/>
  <c r="F117" i="41"/>
  <c r="G176" i="35"/>
  <c r="C176" i="35"/>
  <c r="D176" i="35"/>
  <c r="F176" i="35"/>
  <c r="G59" i="48"/>
  <c r="C59" i="48"/>
  <c r="D59" i="48"/>
  <c r="F59" i="48"/>
  <c r="H196" i="32"/>
  <c r="D196" i="32"/>
  <c r="E196" i="32" s="1"/>
  <c r="G196" i="32"/>
  <c r="G317" i="14"/>
  <c r="H317" i="14"/>
  <c r="C317" i="14"/>
  <c r="D317" i="14" s="1"/>
  <c r="F317" i="14"/>
  <c r="H198" i="30"/>
  <c r="D198" i="30"/>
  <c r="E198" i="30" s="1"/>
  <c r="G198" i="30"/>
  <c r="H103" i="47"/>
  <c r="D103" i="47"/>
  <c r="E103" i="47" s="1"/>
  <c r="G103" i="47"/>
  <c r="F367" i="24"/>
  <c r="G367" i="24"/>
  <c r="H367" i="24"/>
  <c r="C367" i="24"/>
  <c r="D367" i="24"/>
  <c r="G201" i="28"/>
  <c r="C201" i="28"/>
  <c r="D201" i="28" s="1"/>
  <c r="F201" i="28"/>
  <c r="G25" i="51"/>
  <c r="G26" i="51"/>
  <c r="C53" i="49"/>
  <c r="D53" i="49"/>
  <c r="F53" i="49"/>
  <c r="C177" i="45"/>
  <c r="D177" i="45" s="1"/>
  <c r="F177" i="45"/>
  <c r="G177" i="45"/>
  <c r="F348" i="12"/>
  <c r="G348" i="12"/>
  <c r="C348" i="12"/>
  <c r="D348" i="12"/>
  <c r="G167" i="38"/>
  <c r="C167" i="38"/>
  <c r="D167" i="38"/>
  <c r="F167" i="38"/>
  <c r="F248" i="19"/>
  <c r="G248" i="19"/>
  <c r="C248" i="19"/>
  <c r="D248" i="19"/>
  <c r="C117" i="40"/>
  <c r="D117" i="40" s="1"/>
  <c r="F117" i="40"/>
  <c r="G251" i="18"/>
  <c r="C251" i="18"/>
  <c r="D251" i="18" s="1"/>
  <c r="F251" i="18"/>
  <c r="G300" i="23"/>
  <c r="H300" i="23"/>
  <c r="C300" i="23"/>
  <c r="D300" i="23"/>
  <c r="F300" i="23"/>
  <c r="G51" i="50"/>
  <c r="C51" i="50"/>
  <c r="D51" i="50"/>
  <c r="F51" i="50"/>
  <c r="C25" i="51"/>
  <c r="D25" i="51" s="1"/>
  <c r="C26" i="51"/>
  <c r="D26" i="51"/>
  <c r="F25" i="51"/>
  <c r="F26" i="51"/>
  <c r="H166" i="37"/>
  <c r="D166" i="37"/>
  <c r="E166" i="37" s="1"/>
  <c r="F367" i="25"/>
  <c r="G367" i="25"/>
  <c r="C367" i="25"/>
  <c r="D367" i="25" s="1"/>
  <c r="H100" i="46"/>
  <c r="E100" i="46"/>
  <c r="G100" i="46"/>
  <c r="F386" i="11"/>
  <c r="G386" i="11" s="1"/>
  <c r="C386" i="11"/>
  <c r="D386" i="11"/>
  <c r="G58" i="48"/>
  <c r="C58" i="48"/>
  <c r="D58" i="48"/>
  <c r="F58" i="48"/>
  <c r="G183" i="33"/>
  <c r="C183" i="33"/>
  <c r="D183" i="33"/>
  <c r="F183" i="33"/>
  <c r="G412" i="7"/>
  <c r="C412" i="7"/>
  <c r="D412" i="7"/>
  <c r="H200" i="29"/>
  <c r="D200" i="29"/>
  <c r="E200" i="29" s="1"/>
  <c r="F415" i="4"/>
  <c r="G415" i="4"/>
  <c r="C415" i="4"/>
  <c r="D415" i="4"/>
  <c r="F414" i="5"/>
  <c r="G414" i="5"/>
  <c r="C414" i="5"/>
  <c r="D414" i="5"/>
  <c r="G240" i="20"/>
  <c r="H240" i="20"/>
  <c r="C240" i="20"/>
  <c r="D240" i="20"/>
  <c r="F240" i="20"/>
  <c r="H197" i="30"/>
  <c r="D197" i="30"/>
  <c r="E197" i="30"/>
  <c r="G197" i="30"/>
  <c r="G116" i="41"/>
  <c r="C116" i="41"/>
  <c r="D116" i="41"/>
  <c r="F116" i="41"/>
  <c r="H195" i="32"/>
  <c r="D195" i="32"/>
  <c r="E195" i="32" s="1"/>
  <c r="G195" i="32"/>
  <c r="G316" i="14"/>
  <c r="H316" i="14"/>
  <c r="C316" i="14"/>
  <c r="D316" i="14"/>
  <c r="F316" i="14"/>
  <c r="F366" i="24"/>
  <c r="G366" i="24"/>
  <c r="H366" i="24"/>
  <c r="C366" i="24"/>
  <c r="D366" i="24" s="1"/>
  <c r="G200" i="28"/>
  <c r="C200" i="28"/>
  <c r="D200" i="28" s="1"/>
  <c r="F200" i="28"/>
  <c r="F413" i="4"/>
  <c r="G413" i="4"/>
  <c r="F414" i="4"/>
  <c r="G414" i="4"/>
  <c r="C414" i="4"/>
  <c r="D414" i="4"/>
  <c r="H101" i="47"/>
  <c r="H102" i="47"/>
  <c r="D102" i="47"/>
  <c r="E102" i="47" s="1"/>
  <c r="G102" i="47"/>
  <c r="G175" i="35"/>
  <c r="C175" i="35"/>
  <c r="D175" i="35"/>
  <c r="F175" i="35"/>
  <c r="F347" i="12"/>
  <c r="G347" i="12"/>
  <c r="C347" i="12"/>
  <c r="D347" i="12" s="1"/>
  <c r="F247" i="19"/>
  <c r="G247" i="19"/>
  <c r="G246" i="19"/>
  <c r="C247" i="19"/>
  <c r="D247" i="19" s="1"/>
  <c r="G166" i="38"/>
  <c r="C166" i="38"/>
  <c r="D166" i="38" s="1"/>
  <c r="F166" i="38"/>
  <c r="C176" i="45"/>
  <c r="D176" i="45"/>
  <c r="F176" i="45"/>
  <c r="G176" i="45" s="1"/>
  <c r="H164" i="37"/>
  <c r="H165" i="37"/>
  <c r="H99" i="46"/>
  <c r="E99" i="46"/>
  <c r="G99" i="46"/>
  <c r="F413" i="5"/>
  <c r="G413" i="5"/>
  <c r="C413" i="5"/>
  <c r="D413" i="5"/>
  <c r="F385" i="11"/>
  <c r="G385" i="11" s="1"/>
  <c r="C385" i="11"/>
  <c r="D385" i="11"/>
  <c r="H194" i="32"/>
  <c r="D194" i="32"/>
  <c r="E194" i="32" s="1"/>
  <c r="G194" i="32"/>
  <c r="G315" i="14"/>
  <c r="H315" i="14"/>
  <c r="C315" i="14"/>
  <c r="D315" i="14"/>
  <c r="F315" i="14"/>
  <c r="G199" i="28"/>
  <c r="C199" i="28"/>
  <c r="D199" i="28"/>
  <c r="F199" i="28"/>
  <c r="H199" i="29"/>
  <c r="D199" i="29"/>
  <c r="E199" i="29" s="1"/>
  <c r="F365" i="24"/>
  <c r="G365" i="24"/>
  <c r="H365" i="24"/>
  <c r="C365" i="24"/>
  <c r="D365" i="24" s="1"/>
  <c r="G239" i="20"/>
  <c r="H239" i="20"/>
  <c r="C239" i="20"/>
  <c r="D239" i="20" s="1"/>
  <c r="F239" i="20"/>
  <c r="G115" i="41"/>
  <c r="C115" i="41"/>
  <c r="D115" i="41"/>
  <c r="F115" i="41"/>
  <c r="G182" i="33"/>
  <c r="C182" i="33"/>
  <c r="D182" i="33" s="1"/>
  <c r="F182" i="33"/>
  <c r="H196" i="30"/>
  <c r="D196" i="30"/>
  <c r="E196" i="30" s="1"/>
  <c r="G196" i="30"/>
  <c r="C52" i="49"/>
  <c r="D52" i="49"/>
  <c r="F52" i="49"/>
  <c r="G299" i="23"/>
  <c r="H299" i="23"/>
  <c r="C299" i="23"/>
  <c r="D299" i="23" s="1"/>
  <c r="F299" i="23"/>
  <c r="G174" i="35"/>
  <c r="C174" i="35"/>
  <c r="D174" i="35" s="1"/>
  <c r="F174" i="35"/>
  <c r="G410" i="7"/>
  <c r="G411" i="7"/>
  <c r="C411" i="7"/>
  <c r="D411" i="7" s="1"/>
  <c r="D165" i="37"/>
  <c r="E165" i="37"/>
  <c r="D164" i="37"/>
  <c r="E164" i="37" s="1"/>
  <c r="F365" i="25"/>
  <c r="G365" i="25"/>
  <c r="F366" i="25"/>
  <c r="G366" i="25"/>
  <c r="C366" i="25"/>
  <c r="D366" i="25" s="1"/>
  <c r="C365" i="25"/>
  <c r="D365" i="25" s="1"/>
  <c r="D101" i="47"/>
  <c r="E101" i="47" s="1"/>
  <c r="G101" i="47"/>
  <c r="C116" i="40"/>
  <c r="D116" i="40"/>
  <c r="F116" i="40"/>
  <c r="G57" i="48"/>
  <c r="C57" i="48"/>
  <c r="D57" i="48"/>
  <c r="F57" i="48"/>
  <c r="G250" i="18"/>
  <c r="C250" i="18"/>
  <c r="D250" i="18"/>
  <c r="F250" i="18"/>
  <c r="G50" i="50"/>
  <c r="C50" i="50"/>
  <c r="D50" i="50"/>
  <c r="F50" i="50"/>
  <c r="G249" i="18"/>
  <c r="C249" i="18"/>
  <c r="D249" i="18"/>
  <c r="F249" i="18"/>
  <c r="H98" i="46"/>
  <c r="G98" i="46"/>
  <c r="F384" i="11"/>
  <c r="G384" i="11" s="1"/>
  <c r="C384" i="11"/>
  <c r="D384" i="11"/>
  <c r="C410" i="7"/>
  <c r="D410" i="7" s="1"/>
  <c r="G298" i="23"/>
  <c r="H298" i="23"/>
  <c r="C298" i="23"/>
  <c r="D298" i="23" s="1"/>
  <c r="F298" i="23"/>
  <c r="G56" i="48"/>
  <c r="C56" i="48"/>
  <c r="D56" i="48" s="1"/>
  <c r="F56" i="48"/>
  <c r="G181" i="33"/>
  <c r="C181" i="33"/>
  <c r="D181" i="33" s="1"/>
  <c r="F181" i="33"/>
  <c r="C115" i="40"/>
  <c r="D115" i="40" s="1"/>
  <c r="F115" i="40"/>
  <c r="F412" i="4"/>
  <c r="G412" i="4"/>
  <c r="C412" i="4"/>
  <c r="D412" i="4" s="1"/>
  <c r="C413" i="4"/>
  <c r="D413" i="4"/>
  <c r="G238" i="20"/>
  <c r="H238" i="20"/>
  <c r="C238" i="20"/>
  <c r="D238" i="20"/>
  <c r="F238" i="20"/>
  <c r="G237" i="20"/>
  <c r="H237" i="20"/>
  <c r="C237" i="20"/>
  <c r="D237" i="20"/>
  <c r="F237" i="20"/>
  <c r="G49" i="50"/>
  <c r="C49" i="50"/>
  <c r="D49" i="50"/>
  <c r="F49" i="50"/>
  <c r="H195" i="30"/>
  <c r="D195" i="30"/>
  <c r="E195" i="30" s="1"/>
  <c r="G195" i="30"/>
  <c r="C175" i="45"/>
  <c r="D175" i="45"/>
  <c r="F175" i="45"/>
  <c r="G175" i="45" s="1"/>
  <c r="F346" i="12"/>
  <c r="G346" i="12"/>
  <c r="C346" i="12"/>
  <c r="D346" i="12" s="1"/>
  <c r="G165" i="38"/>
  <c r="C165" i="38"/>
  <c r="D165" i="38" s="1"/>
  <c r="F165" i="38"/>
  <c r="F246" i="19"/>
  <c r="C246" i="19"/>
  <c r="D246" i="19"/>
  <c r="F412" i="5"/>
  <c r="G412" i="5"/>
  <c r="C412" i="5"/>
  <c r="D412" i="5"/>
  <c r="C174" i="45"/>
  <c r="D174" i="45" s="1"/>
  <c r="F174" i="45"/>
  <c r="G174" i="45"/>
  <c r="F383" i="11"/>
  <c r="G383" i="11" s="1"/>
  <c r="C383" i="11"/>
  <c r="D383" i="11"/>
  <c r="G297" i="23"/>
  <c r="H297" i="23"/>
  <c r="C297" i="23"/>
  <c r="D297" i="23"/>
  <c r="F297" i="23"/>
  <c r="F411" i="5"/>
  <c r="G411" i="5"/>
  <c r="C411" i="5"/>
  <c r="D411" i="5"/>
  <c r="G24" i="51"/>
  <c r="F24" i="51"/>
  <c r="C24" i="51"/>
  <c r="D24" i="51" s="1"/>
  <c r="G23" i="51"/>
  <c r="F23" i="51"/>
  <c r="C23" i="51"/>
  <c r="D23" i="51" s="1"/>
  <c r="G22" i="51"/>
  <c r="F22" i="51"/>
  <c r="C22" i="51"/>
  <c r="B4" i="51" s="1"/>
  <c r="F21" i="51"/>
  <c r="C21" i="51"/>
  <c r="B10" i="51" s="1"/>
  <c r="B8" i="51"/>
  <c r="G4" i="51"/>
  <c r="H198" i="29"/>
  <c r="G409" i="7"/>
  <c r="C409" i="7"/>
  <c r="D409" i="7" s="1"/>
  <c r="H163" i="37"/>
  <c r="D163" i="37"/>
  <c r="E163" i="37" s="1"/>
  <c r="G48" i="50"/>
  <c r="C48" i="50"/>
  <c r="D48" i="50"/>
  <c r="F48" i="50"/>
  <c r="H194" i="30"/>
  <c r="D194" i="30"/>
  <c r="E194" i="30" s="1"/>
  <c r="G194" i="30"/>
  <c r="D198" i="29"/>
  <c r="E198" i="29" s="1"/>
  <c r="H100" i="47"/>
  <c r="D100" i="47"/>
  <c r="E100" i="47" s="1"/>
  <c r="G100" i="47"/>
  <c r="C114" i="40"/>
  <c r="D114" i="40" s="1"/>
  <c r="F114" i="40"/>
  <c r="G197" i="28"/>
  <c r="G198" i="28"/>
  <c r="G55" i="48"/>
  <c r="C55" i="48"/>
  <c r="D55" i="48"/>
  <c r="F55" i="48"/>
  <c r="G180" i="33"/>
  <c r="C180" i="33"/>
  <c r="D180" i="33"/>
  <c r="F180" i="33"/>
  <c r="H97" i="46"/>
  <c r="G97" i="46"/>
  <c r="F364" i="25"/>
  <c r="G364" i="25"/>
  <c r="C364" i="25"/>
  <c r="D364" i="25"/>
  <c r="G248" i="18"/>
  <c r="C248" i="18"/>
  <c r="D248" i="18" s="1"/>
  <c r="F248" i="18"/>
  <c r="G173" i="35"/>
  <c r="C173" i="35"/>
  <c r="D173" i="35" s="1"/>
  <c r="F173" i="35"/>
  <c r="F345" i="12"/>
  <c r="G345" i="12"/>
  <c r="C345" i="12"/>
  <c r="D345" i="12"/>
  <c r="G164" i="38"/>
  <c r="C164" i="38"/>
  <c r="D164" i="38" s="1"/>
  <c r="F164" i="38"/>
  <c r="F244" i="19"/>
  <c r="G244" i="19"/>
  <c r="F245" i="19"/>
  <c r="G245" i="19"/>
  <c r="C245" i="19"/>
  <c r="D245" i="19" s="1"/>
  <c r="C197" i="28"/>
  <c r="D197" i="28"/>
  <c r="C198" i="28"/>
  <c r="D198" i="28" s="1"/>
  <c r="F197" i="28"/>
  <c r="F198" i="28"/>
  <c r="G114" i="41"/>
  <c r="C114" i="41"/>
  <c r="D114" i="41" s="1"/>
  <c r="F114" i="41"/>
  <c r="H197" i="29"/>
  <c r="D197" i="29"/>
  <c r="E197" i="29" s="1"/>
  <c r="H99" i="47"/>
  <c r="D99" i="47"/>
  <c r="E99" i="47" s="1"/>
  <c r="G99" i="47"/>
  <c r="H193" i="32"/>
  <c r="D193" i="32"/>
  <c r="E193" i="32" s="1"/>
  <c r="G193" i="32"/>
  <c r="C51" i="49"/>
  <c r="D51" i="49" s="1"/>
  <c r="F51" i="49"/>
  <c r="G314" i="14"/>
  <c r="H314" i="14"/>
  <c r="C314" i="14"/>
  <c r="D314" i="14" s="1"/>
  <c r="F314" i="14"/>
  <c r="F364" i="24"/>
  <c r="G364" i="24"/>
  <c r="H364" i="24"/>
  <c r="C364" i="24"/>
  <c r="D364" i="24"/>
  <c r="C50" i="49"/>
  <c r="D50" i="49" s="1"/>
  <c r="F50" i="49"/>
  <c r="E10" i="51"/>
  <c r="E11" i="51" s="1"/>
  <c r="C15" i="51" s="1"/>
  <c r="B2" i="51"/>
  <c r="G113" i="41"/>
  <c r="C113" i="41"/>
  <c r="D113" i="41"/>
  <c r="F113" i="41"/>
  <c r="G313" i="14"/>
  <c r="H313" i="14"/>
  <c r="C313" i="14"/>
  <c r="D313" i="14" s="1"/>
  <c r="F313" i="14"/>
  <c r="H192" i="32"/>
  <c r="D192" i="32"/>
  <c r="E192" i="32" s="1"/>
  <c r="G192" i="32"/>
  <c r="F363" i="24"/>
  <c r="G363" i="24"/>
  <c r="H363" i="24"/>
  <c r="C363" i="24"/>
  <c r="D363" i="24"/>
  <c r="G172" i="35"/>
  <c r="C172" i="35"/>
  <c r="D172" i="35" s="1"/>
  <c r="F172" i="35"/>
  <c r="G47" i="50"/>
  <c r="C47" i="50"/>
  <c r="D47" i="50" s="1"/>
  <c r="F47" i="50"/>
  <c r="H96" i="46"/>
  <c r="E96" i="46"/>
  <c r="G96" i="46"/>
  <c r="G296" i="23"/>
  <c r="H296" i="23"/>
  <c r="C296" i="23"/>
  <c r="D296" i="23" s="1"/>
  <c r="F296" i="23"/>
  <c r="C173" i="45"/>
  <c r="D173" i="45" s="1"/>
  <c r="F173" i="45"/>
  <c r="G173" i="45"/>
  <c r="G163" i="38"/>
  <c r="C163" i="38"/>
  <c r="D163" i="38" s="1"/>
  <c r="F163" i="38"/>
  <c r="C244" i="19"/>
  <c r="D244" i="19" s="1"/>
  <c r="G179" i="33"/>
  <c r="C179" i="33"/>
  <c r="D179" i="33"/>
  <c r="F179" i="33"/>
  <c r="G247" i="18"/>
  <c r="C247" i="18"/>
  <c r="D247" i="18"/>
  <c r="F247" i="18"/>
  <c r="G171" i="35"/>
  <c r="C171" i="35"/>
  <c r="D171" i="35" s="1"/>
  <c r="F171" i="35"/>
  <c r="C113" i="40"/>
  <c r="D113" i="40"/>
  <c r="F113" i="40"/>
  <c r="F344" i="12"/>
  <c r="G344" i="12"/>
  <c r="C344" i="12"/>
  <c r="D344" i="12"/>
  <c r="G295" i="23"/>
  <c r="H295" i="23"/>
  <c r="C295" i="23"/>
  <c r="D295" i="23" s="1"/>
  <c r="F295" i="23"/>
  <c r="G54" i="48"/>
  <c r="C54" i="48"/>
  <c r="D54" i="48"/>
  <c r="F54" i="48"/>
  <c r="F342" i="12"/>
  <c r="G342" i="12"/>
  <c r="F343" i="12"/>
  <c r="G343" i="12"/>
  <c r="C343" i="12"/>
  <c r="D343" i="12"/>
  <c r="F382" i="11"/>
  <c r="G382" i="11" s="1"/>
  <c r="C382" i="11"/>
  <c r="D382" i="11"/>
  <c r="G408" i="7"/>
  <c r="C408" i="7"/>
  <c r="D408" i="7" s="1"/>
  <c r="F410" i="5"/>
  <c r="G410" i="5"/>
  <c r="C410" i="5"/>
  <c r="D410" i="5" s="1"/>
  <c r="H162" i="37"/>
  <c r="D162" i="37"/>
  <c r="E162" i="37"/>
  <c r="C49" i="49"/>
  <c r="D49" i="49"/>
  <c r="F49" i="49"/>
  <c r="F411" i="4"/>
  <c r="G411" i="4"/>
  <c r="C411" i="4"/>
  <c r="D411" i="4"/>
  <c r="G112" i="41"/>
  <c r="C112" i="41"/>
  <c r="D112" i="41"/>
  <c r="F112" i="41"/>
  <c r="G236" i="20"/>
  <c r="H236" i="20"/>
  <c r="C236" i="20"/>
  <c r="D236" i="20" s="1"/>
  <c r="F236" i="20"/>
  <c r="F363" i="25"/>
  <c r="G363" i="25"/>
  <c r="C363" i="25"/>
  <c r="D363" i="25" s="1"/>
  <c r="G312" i="14"/>
  <c r="H312" i="14"/>
  <c r="C312" i="14"/>
  <c r="D312" i="14"/>
  <c r="F312" i="14"/>
  <c r="H196" i="29"/>
  <c r="D196" i="29"/>
  <c r="E196" i="29" s="1"/>
  <c r="H191" i="32"/>
  <c r="D191" i="32"/>
  <c r="E191" i="32" s="1"/>
  <c r="G191" i="32"/>
  <c r="H193" i="30"/>
  <c r="D193" i="30"/>
  <c r="E193" i="30" s="1"/>
  <c r="G193" i="30"/>
  <c r="F362" i="24"/>
  <c r="G362" i="24"/>
  <c r="H362" i="24"/>
  <c r="C362" i="24"/>
  <c r="D362" i="24"/>
  <c r="G196" i="28"/>
  <c r="C196" i="28"/>
  <c r="D196" i="28" s="1"/>
  <c r="F196" i="28"/>
  <c r="H98" i="47"/>
  <c r="D98" i="47"/>
  <c r="E98" i="47" s="1"/>
  <c r="G98" i="47"/>
  <c r="C172" i="45"/>
  <c r="D172" i="45" s="1"/>
  <c r="F172" i="45"/>
  <c r="G172" i="45"/>
  <c r="G52" i="48"/>
  <c r="G53" i="48"/>
  <c r="C53" i="48"/>
  <c r="D53" i="48"/>
  <c r="F53" i="48"/>
  <c r="H192" i="30"/>
  <c r="D192" i="30"/>
  <c r="E192" i="30"/>
  <c r="G192" i="30"/>
  <c r="G170" i="35"/>
  <c r="G169" i="35"/>
  <c r="C169" i="35"/>
  <c r="D169" i="35"/>
  <c r="C170" i="35"/>
  <c r="D170" i="35" s="1"/>
  <c r="F169" i="35"/>
  <c r="F170" i="35"/>
  <c r="F243" i="19"/>
  <c r="G243" i="19"/>
  <c r="C243" i="19"/>
  <c r="D243" i="19" s="1"/>
  <c r="G162" i="38"/>
  <c r="C162" i="38"/>
  <c r="D162" i="38"/>
  <c r="F162" i="38"/>
  <c r="G195" i="28"/>
  <c r="C195" i="28"/>
  <c r="D195" i="28"/>
  <c r="F195" i="28"/>
  <c r="F410" i="4"/>
  <c r="G410" i="4"/>
  <c r="C410" i="4"/>
  <c r="D410" i="4" s="1"/>
  <c r="G324" i="13"/>
  <c r="G325" i="13"/>
  <c r="C325" i="13"/>
  <c r="D325" i="13"/>
  <c r="F325" i="13"/>
  <c r="H161" i="37"/>
  <c r="D161" i="37"/>
  <c r="E161" i="37"/>
  <c r="G178" i="33"/>
  <c r="C178" i="33"/>
  <c r="D178" i="33"/>
  <c r="F178" i="33"/>
  <c r="D94" i="46"/>
  <c r="E94" i="46" s="1"/>
  <c r="D95" i="46"/>
  <c r="E95" i="46" s="1"/>
  <c r="H95" i="46"/>
  <c r="G95" i="46"/>
  <c r="F408" i="5"/>
  <c r="G408" i="5"/>
  <c r="F409" i="5"/>
  <c r="G409" i="5"/>
  <c r="C409" i="5"/>
  <c r="D409" i="5"/>
  <c r="C408" i="5"/>
  <c r="D408" i="5" s="1"/>
  <c r="F362" i="25"/>
  <c r="G362" i="25"/>
  <c r="C362" i="25"/>
  <c r="D362" i="25" s="1"/>
  <c r="G235" i="20"/>
  <c r="H235" i="20"/>
  <c r="C235" i="20"/>
  <c r="D235" i="20" s="1"/>
  <c r="F235" i="20"/>
  <c r="F381" i="11"/>
  <c r="G381" i="11" s="1"/>
  <c r="C381" i="11"/>
  <c r="D381" i="11" s="1"/>
  <c r="H97" i="47"/>
  <c r="D97" i="47"/>
  <c r="E97" i="47" s="1"/>
  <c r="G97" i="47"/>
  <c r="G311" i="14"/>
  <c r="H311" i="14"/>
  <c r="C311" i="14"/>
  <c r="D311" i="14" s="1"/>
  <c r="F311" i="14"/>
  <c r="H195" i="29"/>
  <c r="D195" i="29"/>
  <c r="E195" i="29" s="1"/>
  <c r="H190" i="32"/>
  <c r="D190" i="32"/>
  <c r="E190" i="32" s="1"/>
  <c r="G190" i="32"/>
  <c r="G161" i="38"/>
  <c r="C161" i="38"/>
  <c r="D161" i="38" s="1"/>
  <c r="F161" i="38"/>
  <c r="C342" i="12"/>
  <c r="D342" i="12" s="1"/>
  <c r="C171" i="45"/>
  <c r="D171" i="45"/>
  <c r="F171" i="45"/>
  <c r="G171" i="45" s="1"/>
  <c r="F361" i="24"/>
  <c r="G361" i="24"/>
  <c r="H361" i="24"/>
  <c r="C361" i="24"/>
  <c r="D361" i="24" s="1"/>
  <c r="C112" i="40"/>
  <c r="D112" i="40"/>
  <c r="F112" i="40"/>
  <c r="G177" i="33"/>
  <c r="C177" i="33"/>
  <c r="D177" i="33"/>
  <c r="F177" i="33"/>
  <c r="G404" i="7"/>
  <c r="G405" i="7"/>
  <c r="G406" i="7"/>
  <c r="G407" i="7"/>
  <c r="F360" i="24"/>
  <c r="G360" i="24"/>
  <c r="H360" i="24"/>
  <c r="C360" i="24"/>
  <c r="D360" i="24" s="1"/>
  <c r="F242" i="19"/>
  <c r="G242" i="19"/>
  <c r="C242" i="19"/>
  <c r="D242" i="19" s="1"/>
  <c r="G111" i="41"/>
  <c r="C111" i="41"/>
  <c r="D111" i="41"/>
  <c r="F111" i="41"/>
  <c r="G246" i="18"/>
  <c r="C246" i="18"/>
  <c r="D246" i="18"/>
  <c r="F246" i="18"/>
  <c r="C406" i="7"/>
  <c r="D406" i="7"/>
  <c r="C407" i="7"/>
  <c r="D407" i="7" s="1"/>
  <c r="G245" i="18"/>
  <c r="C245" i="18"/>
  <c r="D245" i="18" s="1"/>
  <c r="F245" i="18"/>
  <c r="C48" i="49"/>
  <c r="D48" i="49"/>
  <c r="F48" i="49"/>
  <c r="G46" i="50"/>
  <c r="C46" i="50"/>
  <c r="D46" i="50"/>
  <c r="F46" i="50"/>
  <c r="F361" i="25"/>
  <c r="G361" i="25"/>
  <c r="C361" i="25"/>
  <c r="D361" i="25" s="1"/>
  <c r="G194" i="28"/>
  <c r="C194" i="28"/>
  <c r="D194" i="28"/>
  <c r="F194" i="28"/>
  <c r="C111" i="40"/>
  <c r="D111" i="40"/>
  <c r="F111" i="40"/>
  <c r="C324" i="13"/>
  <c r="D324" i="13" s="1"/>
  <c r="F324" i="13"/>
  <c r="G45" i="50"/>
  <c r="C45" i="50"/>
  <c r="D45" i="50" s="1"/>
  <c r="F45" i="50"/>
  <c r="G294" i="23"/>
  <c r="H294" i="23"/>
  <c r="C294" i="23"/>
  <c r="D294" i="23"/>
  <c r="F294" i="23"/>
  <c r="F379" i="11"/>
  <c r="G379" i="11" s="1"/>
  <c r="F380" i="11"/>
  <c r="G380" i="11" s="1"/>
  <c r="C380" i="11"/>
  <c r="D380" i="11" s="1"/>
  <c r="C379" i="11"/>
  <c r="D379" i="11"/>
  <c r="H160" i="37"/>
  <c r="D160" i="37"/>
  <c r="E160" i="37" s="1"/>
  <c r="G234" i="20"/>
  <c r="H234" i="20"/>
  <c r="C234" i="20"/>
  <c r="D234" i="20"/>
  <c r="F234" i="20"/>
  <c r="H191" i="30"/>
  <c r="D191" i="30"/>
  <c r="E191" i="30" s="1"/>
  <c r="G191" i="30"/>
  <c r="G309" i="14"/>
  <c r="H309" i="14"/>
  <c r="G310" i="14"/>
  <c r="H310" i="14"/>
  <c r="C310" i="14"/>
  <c r="D310" i="14" s="1"/>
  <c r="F310" i="14"/>
  <c r="C52" i="48"/>
  <c r="D52" i="48" s="1"/>
  <c r="F52" i="48"/>
  <c r="F409" i="4"/>
  <c r="G409" i="4"/>
  <c r="C409" i="4"/>
  <c r="D409" i="4" s="1"/>
  <c r="G110" i="41"/>
  <c r="C110" i="41"/>
  <c r="D110" i="41" s="1"/>
  <c r="F110" i="41"/>
  <c r="C47" i="49"/>
  <c r="D47" i="49"/>
  <c r="F47" i="49"/>
  <c r="H194" i="29"/>
  <c r="D194" i="29"/>
  <c r="E194" i="29" s="1"/>
  <c r="H189" i="32"/>
  <c r="D189" i="32"/>
  <c r="E189" i="32" s="1"/>
  <c r="G189" i="32"/>
  <c r="H42" i="46"/>
  <c r="H43" i="46"/>
  <c r="H44" i="46"/>
  <c r="H45" i="46"/>
  <c r="H46" i="46"/>
  <c r="H47" i="46"/>
  <c r="H48" i="46"/>
  <c r="H49" i="46"/>
  <c r="H50" i="46"/>
  <c r="H51" i="46"/>
  <c r="H52" i="46"/>
  <c r="H53" i="46"/>
  <c r="H54" i="46"/>
  <c r="H55" i="46"/>
  <c r="H56" i="46"/>
  <c r="H57" i="46"/>
  <c r="H58" i="46"/>
  <c r="H59" i="46"/>
  <c r="H60" i="46"/>
  <c r="H61" i="46"/>
  <c r="H62" i="46"/>
  <c r="H63" i="46"/>
  <c r="H64" i="46"/>
  <c r="H65" i="46"/>
  <c r="H66" i="46"/>
  <c r="H67" i="46"/>
  <c r="H68" i="46"/>
  <c r="H69" i="46"/>
  <c r="H70" i="46"/>
  <c r="H71" i="46"/>
  <c r="H72" i="46"/>
  <c r="H73" i="46"/>
  <c r="H74" i="46"/>
  <c r="H75" i="46"/>
  <c r="H76" i="46"/>
  <c r="H77" i="46"/>
  <c r="H78" i="46"/>
  <c r="H79" i="46"/>
  <c r="H80" i="46"/>
  <c r="H81" i="46"/>
  <c r="H82" i="46"/>
  <c r="H83" i="46"/>
  <c r="H84" i="46"/>
  <c r="H85" i="46"/>
  <c r="H86" i="46"/>
  <c r="H87" i="46"/>
  <c r="H88" i="46"/>
  <c r="H89" i="46"/>
  <c r="H90" i="46"/>
  <c r="H91" i="46"/>
  <c r="H92" i="46"/>
  <c r="H93" i="46"/>
  <c r="H94" i="46"/>
  <c r="H41" i="46"/>
  <c r="D23" i="46"/>
  <c r="D24" i="46"/>
  <c r="D25" i="46"/>
  <c r="D26" i="46"/>
  <c r="D27" i="46"/>
  <c r="D28" i="46"/>
  <c r="D29" i="46"/>
  <c r="D30" i="46"/>
  <c r="D31" i="46"/>
  <c r="F10" i="46" s="1"/>
  <c r="F11" i="46" s="1"/>
  <c r="D15" i="46" s="1"/>
  <c r="D32" i="46"/>
  <c r="D33" i="46"/>
  <c r="D34" i="46"/>
  <c r="D35" i="46"/>
  <c r="D36" i="46"/>
  <c r="D37" i="46"/>
  <c r="D38" i="46"/>
  <c r="D39" i="46"/>
  <c r="D40" i="46"/>
  <c r="D41" i="46"/>
  <c r="D42" i="46"/>
  <c r="D43" i="46"/>
  <c r="E43" i="46" s="1"/>
  <c r="D44" i="46"/>
  <c r="D45" i="46"/>
  <c r="D46" i="46"/>
  <c r="D47" i="46"/>
  <c r="D48" i="46"/>
  <c r="D49" i="46"/>
  <c r="D50" i="46"/>
  <c r="D51" i="46"/>
  <c r="D52" i="46"/>
  <c r="D53" i="46"/>
  <c r="D54" i="46"/>
  <c r="D55" i="46"/>
  <c r="E55" i="46" s="1"/>
  <c r="D56" i="46"/>
  <c r="D57" i="46"/>
  <c r="D58" i="46"/>
  <c r="D59" i="46"/>
  <c r="D60" i="46"/>
  <c r="D61" i="46"/>
  <c r="D62" i="46"/>
  <c r="D63" i="46"/>
  <c r="D64" i="46"/>
  <c r="D65" i="46"/>
  <c r="D66" i="46"/>
  <c r="D67" i="46"/>
  <c r="E67" i="46" s="1"/>
  <c r="D68" i="46"/>
  <c r="D69" i="46"/>
  <c r="D70" i="46"/>
  <c r="D71" i="46"/>
  <c r="D72" i="46"/>
  <c r="D73" i="46"/>
  <c r="D74" i="46"/>
  <c r="D75" i="46"/>
  <c r="D76" i="46"/>
  <c r="D77" i="46"/>
  <c r="D78" i="46"/>
  <c r="D79" i="46"/>
  <c r="E79" i="46" s="1"/>
  <c r="D80" i="46"/>
  <c r="D81" i="46"/>
  <c r="D82" i="46"/>
  <c r="D83" i="46"/>
  <c r="D84" i="46"/>
  <c r="D85" i="46"/>
  <c r="D86" i="46"/>
  <c r="D87" i="46"/>
  <c r="D88" i="46"/>
  <c r="E88" i="46" s="1"/>
  <c r="D89" i="46"/>
  <c r="D90" i="46"/>
  <c r="D91" i="46"/>
  <c r="E91" i="46" s="1"/>
  <c r="D92" i="46"/>
  <c r="E92" i="46" s="1"/>
  <c r="D93" i="46"/>
  <c r="D22" i="46"/>
  <c r="D21" i="46"/>
  <c r="E21" i="46" s="1"/>
  <c r="G21" i="46"/>
  <c r="G94" i="46"/>
  <c r="H96" i="47"/>
  <c r="D96" i="47"/>
  <c r="E96" i="47"/>
  <c r="G96" i="47"/>
  <c r="C170" i="45"/>
  <c r="D170" i="45" s="1"/>
  <c r="F170" i="45"/>
  <c r="G170" i="45" s="1"/>
  <c r="G160" i="38"/>
  <c r="C160" i="38"/>
  <c r="D160" i="38"/>
  <c r="F160" i="38"/>
  <c r="F241" i="19"/>
  <c r="G241" i="19"/>
  <c r="G244" i="18"/>
  <c r="C244" i="18"/>
  <c r="D244" i="18" s="1"/>
  <c r="F244" i="18"/>
  <c r="F341" i="12"/>
  <c r="G341" i="12"/>
  <c r="C341" i="12"/>
  <c r="D341" i="12" s="1"/>
  <c r="G176" i="33"/>
  <c r="C176" i="33"/>
  <c r="D176" i="33"/>
  <c r="F176" i="33"/>
  <c r="G193" i="28"/>
  <c r="C193" i="28"/>
  <c r="D193" i="28"/>
  <c r="F193" i="28"/>
  <c r="G233" i="20"/>
  <c r="H233" i="20"/>
  <c r="C233" i="20"/>
  <c r="D233" i="20" s="1"/>
  <c r="F233" i="20"/>
  <c r="F360" i="25"/>
  <c r="G360" i="25"/>
  <c r="C360" i="25"/>
  <c r="D360" i="25"/>
  <c r="C241" i="19"/>
  <c r="D241" i="19" s="1"/>
  <c r="F408" i="4"/>
  <c r="G408" i="4"/>
  <c r="C408" i="4"/>
  <c r="D408" i="4"/>
  <c r="G323" i="13"/>
  <c r="C323" i="13"/>
  <c r="D323" i="13" s="1"/>
  <c r="F323" i="13"/>
  <c r="G44" i="50"/>
  <c r="C44" i="50"/>
  <c r="D44" i="50"/>
  <c r="F44" i="50"/>
  <c r="G159" i="38"/>
  <c r="C159" i="38"/>
  <c r="D159" i="38"/>
  <c r="F159" i="38"/>
  <c r="H159" i="37"/>
  <c r="D159" i="37"/>
  <c r="E159" i="37" s="1"/>
  <c r="C405" i="7"/>
  <c r="D405" i="7" s="1"/>
  <c r="G293" i="23"/>
  <c r="H293" i="23"/>
  <c r="C293" i="23"/>
  <c r="D293" i="23" s="1"/>
  <c r="F293" i="23"/>
  <c r="G51" i="48"/>
  <c r="C51" i="48"/>
  <c r="D51" i="48" s="1"/>
  <c r="F51" i="48"/>
  <c r="F407" i="5"/>
  <c r="G407" i="5"/>
  <c r="C110" i="40"/>
  <c r="D110" i="40"/>
  <c r="F110" i="40"/>
  <c r="H190" i="30"/>
  <c r="D190" i="30"/>
  <c r="E190" i="30" s="1"/>
  <c r="G190" i="30"/>
  <c r="H188" i="32"/>
  <c r="G109" i="41"/>
  <c r="C46" i="49"/>
  <c r="D46" i="49"/>
  <c r="F46" i="49"/>
  <c r="F359" i="24"/>
  <c r="G359" i="24"/>
  <c r="H359" i="24"/>
  <c r="C359" i="24"/>
  <c r="D359" i="24" s="1"/>
  <c r="H193" i="29"/>
  <c r="D193" i="29"/>
  <c r="E193" i="29" s="1"/>
  <c r="C309" i="14"/>
  <c r="D309" i="14"/>
  <c r="F309" i="14"/>
  <c r="H95" i="47"/>
  <c r="D95" i="47"/>
  <c r="E95" i="47" s="1"/>
  <c r="G95" i="47"/>
  <c r="G168" i="35"/>
  <c r="C168" i="35"/>
  <c r="D168" i="35"/>
  <c r="F168" i="35"/>
  <c r="C109" i="40"/>
  <c r="D109" i="40"/>
  <c r="F109" i="40"/>
  <c r="F377" i="11"/>
  <c r="G377" i="11" s="1"/>
  <c r="F378" i="11"/>
  <c r="G378" i="11"/>
  <c r="G175" i="33"/>
  <c r="G50" i="48"/>
  <c r="F357" i="24"/>
  <c r="G357" i="24"/>
  <c r="H357" i="24"/>
  <c r="F358" i="24"/>
  <c r="G358" i="24"/>
  <c r="H358" i="24"/>
  <c r="G243" i="18"/>
  <c r="F407" i="4"/>
  <c r="G407" i="4"/>
  <c r="G43" i="50"/>
  <c r="C169" i="45"/>
  <c r="D169" i="45" s="1"/>
  <c r="F169" i="45"/>
  <c r="G169" i="45"/>
  <c r="F340" i="12"/>
  <c r="G340" i="12"/>
  <c r="F240" i="19"/>
  <c r="G240" i="19"/>
  <c r="G292" i="23"/>
  <c r="H292" i="23"/>
  <c r="F359" i="25"/>
  <c r="G359" i="25"/>
  <c r="G192" i="28"/>
  <c r="G322" i="13"/>
  <c r="H158" i="37"/>
  <c r="F406" i="5"/>
  <c r="G406" i="5"/>
  <c r="H192" i="29"/>
  <c r="G308" i="14"/>
  <c r="H308" i="14"/>
  <c r="H189" i="30"/>
  <c r="C42" i="48"/>
  <c r="D42" i="48"/>
  <c r="F42" i="48"/>
  <c r="G42" i="48"/>
  <c r="C43" i="48"/>
  <c r="D43" i="48"/>
  <c r="F43" i="48"/>
  <c r="G43" i="48"/>
  <c r="C44" i="48"/>
  <c r="D44" i="48"/>
  <c r="F44" i="48"/>
  <c r="G44" i="48"/>
  <c r="C45" i="48"/>
  <c r="D45" i="48"/>
  <c r="F45" i="48"/>
  <c r="G45" i="48"/>
  <c r="C46" i="48"/>
  <c r="D46" i="48"/>
  <c r="F46" i="48"/>
  <c r="G46" i="48"/>
  <c r="C47" i="48"/>
  <c r="D47" i="48"/>
  <c r="F47" i="48"/>
  <c r="G47" i="48"/>
  <c r="C48" i="48"/>
  <c r="D48" i="48"/>
  <c r="F48" i="48"/>
  <c r="G48" i="48"/>
  <c r="C49" i="48"/>
  <c r="D49" i="48"/>
  <c r="F49" i="48"/>
  <c r="G49" i="48"/>
  <c r="H155" i="37"/>
  <c r="H156" i="37"/>
  <c r="H157" i="37"/>
  <c r="G188" i="28"/>
  <c r="G189" i="28"/>
  <c r="G190" i="28"/>
  <c r="G191" i="28"/>
  <c r="G305" i="14"/>
  <c r="H305" i="14"/>
  <c r="G306" i="14"/>
  <c r="H306" i="14"/>
  <c r="G307" i="14"/>
  <c r="H307" i="14"/>
  <c r="G232" i="20"/>
  <c r="H232" i="20"/>
  <c r="G229" i="20"/>
  <c r="H229" i="20"/>
  <c r="G230" i="20"/>
  <c r="H230" i="20"/>
  <c r="G231" i="20"/>
  <c r="H231" i="20"/>
  <c r="G107" i="41"/>
  <c r="G108" i="41"/>
  <c r="H187" i="32"/>
  <c r="G291" i="23"/>
  <c r="H291" i="23"/>
  <c r="F318" i="13"/>
  <c r="G318" i="13"/>
  <c r="F319" i="13"/>
  <c r="G319" i="13"/>
  <c r="F320" i="13"/>
  <c r="G320" i="13"/>
  <c r="F321" i="13"/>
  <c r="G321" i="13"/>
  <c r="G239" i="18"/>
  <c r="G240" i="18"/>
  <c r="G241" i="18"/>
  <c r="G242" i="18"/>
  <c r="F353" i="24"/>
  <c r="G353" i="24"/>
  <c r="H353" i="24"/>
  <c r="F354" i="24"/>
  <c r="G354" i="24"/>
  <c r="H354" i="24"/>
  <c r="F355" i="24"/>
  <c r="G355" i="24"/>
  <c r="H355" i="24"/>
  <c r="F356" i="24"/>
  <c r="G356" i="24"/>
  <c r="H356" i="24"/>
  <c r="G39" i="50"/>
  <c r="G40" i="50"/>
  <c r="G41" i="50"/>
  <c r="G42" i="50"/>
  <c r="F235" i="19"/>
  <c r="G235" i="19"/>
  <c r="F236" i="19"/>
  <c r="G236" i="19"/>
  <c r="F237" i="19"/>
  <c r="G237" i="19"/>
  <c r="F238" i="19"/>
  <c r="G238" i="19"/>
  <c r="F239" i="19"/>
  <c r="G239" i="19"/>
  <c r="F335" i="12"/>
  <c r="G335" i="12"/>
  <c r="F336" i="12"/>
  <c r="G336" i="12"/>
  <c r="F337" i="12"/>
  <c r="G337" i="12"/>
  <c r="F338" i="12"/>
  <c r="G338" i="12"/>
  <c r="F339" i="12"/>
  <c r="G339" i="12"/>
  <c r="H91" i="47"/>
  <c r="H92" i="47"/>
  <c r="H93" i="47"/>
  <c r="H94" i="47"/>
  <c r="H184" i="32"/>
  <c r="H185" i="32"/>
  <c r="H186" i="32"/>
  <c r="G186" i="30"/>
  <c r="H186" i="30"/>
  <c r="G187" i="30"/>
  <c r="H187" i="30"/>
  <c r="G188" i="30"/>
  <c r="H188" i="30"/>
  <c r="G105" i="41"/>
  <c r="G106" i="41"/>
  <c r="F403" i="4"/>
  <c r="G403" i="4"/>
  <c r="F404" i="4"/>
  <c r="G404" i="4"/>
  <c r="F405" i="4"/>
  <c r="G405" i="4"/>
  <c r="F406" i="4"/>
  <c r="G406" i="4"/>
  <c r="H189" i="29"/>
  <c r="H190" i="29"/>
  <c r="H191" i="29"/>
  <c r="F374" i="11"/>
  <c r="G374" i="11"/>
  <c r="F375" i="11"/>
  <c r="G375" i="11"/>
  <c r="F376" i="11"/>
  <c r="G376" i="11"/>
  <c r="F402" i="5"/>
  <c r="G402" i="5"/>
  <c r="F403" i="5"/>
  <c r="G403" i="5"/>
  <c r="F404" i="5"/>
  <c r="G404" i="5"/>
  <c r="F405" i="5"/>
  <c r="G405" i="5"/>
  <c r="G400" i="7"/>
  <c r="G401" i="7"/>
  <c r="G402" i="7"/>
  <c r="G403" i="7"/>
  <c r="G164" i="35"/>
  <c r="G165" i="35"/>
  <c r="G166" i="35"/>
  <c r="G167" i="35"/>
  <c r="F171" i="33"/>
  <c r="G171" i="33"/>
  <c r="F172" i="33"/>
  <c r="G172" i="33"/>
  <c r="F173" i="33"/>
  <c r="G173" i="33"/>
  <c r="F174" i="33"/>
  <c r="G174" i="33"/>
  <c r="F155" i="38"/>
  <c r="G155" i="38"/>
  <c r="F156" i="38"/>
  <c r="G156" i="38"/>
  <c r="F157" i="38"/>
  <c r="G157" i="38"/>
  <c r="F158" i="38"/>
  <c r="G158" i="38"/>
  <c r="F355" i="25"/>
  <c r="G355" i="25"/>
  <c r="F356" i="25"/>
  <c r="G356" i="25"/>
  <c r="F357" i="25"/>
  <c r="G357" i="25"/>
  <c r="F358" i="25"/>
  <c r="G358" i="25"/>
  <c r="C108" i="40"/>
  <c r="D108" i="40" s="1"/>
  <c r="F108" i="40"/>
  <c r="C229" i="20"/>
  <c r="D229" i="20" s="1"/>
  <c r="C230" i="20"/>
  <c r="D230" i="20" s="1"/>
  <c r="C231" i="20"/>
  <c r="D231" i="20"/>
  <c r="C232" i="20"/>
  <c r="D232" i="20" s="1"/>
  <c r="F229" i="20"/>
  <c r="F230" i="20"/>
  <c r="F231" i="20"/>
  <c r="F232" i="20"/>
  <c r="C291" i="23"/>
  <c r="D291" i="23" s="1"/>
  <c r="C292" i="23"/>
  <c r="D292" i="23" s="1"/>
  <c r="F291" i="23"/>
  <c r="F292" i="23"/>
  <c r="C375" i="11"/>
  <c r="D375" i="11" s="1"/>
  <c r="C376" i="11"/>
  <c r="D376" i="11"/>
  <c r="C377" i="11"/>
  <c r="D377" i="11"/>
  <c r="C378" i="11"/>
  <c r="D378" i="11" s="1"/>
  <c r="C404" i="5"/>
  <c r="D404" i="5" s="1"/>
  <c r="C405" i="5"/>
  <c r="D405" i="5"/>
  <c r="C406" i="5"/>
  <c r="D406" i="5" s="1"/>
  <c r="C407" i="5"/>
  <c r="D407" i="5"/>
  <c r="C403" i="5"/>
  <c r="D403" i="5"/>
  <c r="C319" i="13"/>
  <c r="D319" i="13" s="1"/>
  <c r="C320" i="13"/>
  <c r="D320" i="13" s="1"/>
  <c r="C321" i="13"/>
  <c r="D321" i="13"/>
  <c r="C322" i="13"/>
  <c r="D322" i="13" s="1"/>
  <c r="F322" i="13"/>
  <c r="C318" i="13"/>
  <c r="D318" i="13" s="1"/>
  <c r="D155" i="37"/>
  <c r="E155" i="37" s="1"/>
  <c r="D156" i="37"/>
  <c r="E156" i="37" s="1"/>
  <c r="D157" i="37"/>
  <c r="E157" i="37" s="1"/>
  <c r="D158" i="37"/>
  <c r="E158" i="37" s="1"/>
  <c r="C164" i="35"/>
  <c r="D164" i="35"/>
  <c r="C165" i="35"/>
  <c r="D165" i="35" s="1"/>
  <c r="C166" i="35"/>
  <c r="D166" i="35"/>
  <c r="C167" i="35"/>
  <c r="D167" i="35"/>
  <c r="F164" i="35"/>
  <c r="F165" i="35"/>
  <c r="F166" i="35"/>
  <c r="F167" i="35"/>
  <c r="C356" i="25"/>
  <c r="D356" i="25"/>
  <c r="C357" i="25"/>
  <c r="D357" i="25" s="1"/>
  <c r="C358" i="25"/>
  <c r="D358" i="25"/>
  <c r="C359" i="25"/>
  <c r="D359" i="25"/>
  <c r="D91" i="47"/>
  <c r="E91" i="47" s="1"/>
  <c r="D92" i="47"/>
  <c r="E92" i="47" s="1"/>
  <c r="D93" i="47"/>
  <c r="E93" i="47"/>
  <c r="D94" i="47"/>
  <c r="E94" i="47" s="1"/>
  <c r="G91" i="47"/>
  <c r="G92" i="47"/>
  <c r="G93" i="47"/>
  <c r="G94" i="47"/>
  <c r="C50" i="48"/>
  <c r="D50" i="48"/>
  <c r="F50" i="48"/>
  <c r="C355" i="24"/>
  <c r="D355" i="24" s="1"/>
  <c r="C356" i="24"/>
  <c r="D356" i="24"/>
  <c r="C357" i="24"/>
  <c r="D357" i="24"/>
  <c r="C358" i="24"/>
  <c r="D358" i="24" s="1"/>
  <c r="C354" i="24"/>
  <c r="D354" i="24" s="1"/>
  <c r="D185" i="32"/>
  <c r="E185" i="32" s="1"/>
  <c r="D186" i="32"/>
  <c r="E186" i="32" s="1"/>
  <c r="D187" i="32"/>
  <c r="E187" i="32" s="1"/>
  <c r="D188" i="32"/>
  <c r="E188" i="32" s="1"/>
  <c r="G185" i="32"/>
  <c r="G186" i="32"/>
  <c r="G187" i="32"/>
  <c r="G188" i="32"/>
  <c r="D184" i="32"/>
  <c r="E184" i="32"/>
  <c r="G184" i="32"/>
  <c r="D186" i="30"/>
  <c r="E186" i="30" s="1"/>
  <c r="D187" i="30"/>
  <c r="E187" i="30" s="1"/>
  <c r="D188" i="30"/>
  <c r="E188" i="30" s="1"/>
  <c r="D189" i="30"/>
  <c r="E189" i="30" s="1"/>
  <c r="G189" i="30"/>
  <c r="C106" i="41"/>
  <c r="D106" i="41"/>
  <c r="C107" i="41"/>
  <c r="D107" i="41" s="1"/>
  <c r="C108" i="41"/>
  <c r="D108" i="41"/>
  <c r="C109" i="41"/>
  <c r="D109" i="41"/>
  <c r="F106" i="41"/>
  <c r="F107" i="41"/>
  <c r="F108" i="41"/>
  <c r="F109" i="41"/>
  <c r="C105" i="41"/>
  <c r="D105" i="41"/>
  <c r="F105" i="41"/>
  <c r="D190" i="29"/>
  <c r="E190" i="29" s="1"/>
  <c r="D191" i="29"/>
  <c r="E191" i="29" s="1"/>
  <c r="D192" i="29"/>
  <c r="E192" i="29" s="1"/>
  <c r="D189" i="29"/>
  <c r="E189" i="29" s="1"/>
  <c r="C305" i="14"/>
  <c r="D305" i="14"/>
  <c r="C306" i="14"/>
  <c r="D306" i="14" s="1"/>
  <c r="C307" i="14"/>
  <c r="D307" i="14" s="1"/>
  <c r="C308" i="14"/>
  <c r="D308" i="14"/>
  <c r="F305" i="14"/>
  <c r="F306" i="14"/>
  <c r="F307" i="14"/>
  <c r="F308" i="14"/>
  <c r="C240" i="18"/>
  <c r="D240" i="18"/>
  <c r="C241" i="18"/>
  <c r="D241" i="18" s="1"/>
  <c r="C242" i="18"/>
  <c r="D242" i="18" s="1"/>
  <c r="C243" i="18"/>
  <c r="D243" i="18"/>
  <c r="F240" i="18"/>
  <c r="F241" i="18"/>
  <c r="F242" i="18"/>
  <c r="F243" i="18"/>
  <c r="C239" i="18"/>
  <c r="D239" i="18"/>
  <c r="F239" i="18"/>
  <c r="C189" i="28"/>
  <c r="D189" i="28"/>
  <c r="C190" i="28"/>
  <c r="D190" i="28" s="1"/>
  <c r="C191" i="28"/>
  <c r="D191" i="28" s="1"/>
  <c r="C192" i="28"/>
  <c r="D192" i="28"/>
  <c r="F189" i="28"/>
  <c r="F190" i="28"/>
  <c r="F191" i="28"/>
  <c r="F192" i="28"/>
  <c r="C188" i="28"/>
  <c r="D188" i="28"/>
  <c r="F188" i="28"/>
  <c r="C401" i="7"/>
  <c r="D401" i="7"/>
  <c r="C402" i="7"/>
  <c r="D402" i="7"/>
  <c r="C403" i="7"/>
  <c r="D403" i="7" s="1"/>
  <c r="C404" i="7"/>
  <c r="D404" i="7"/>
  <c r="C42" i="49"/>
  <c r="D42" i="49" s="1"/>
  <c r="C43" i="49"/>
  <c r="D43" i="49" s="1"/>
  <c r="C44" i="49"/>
  <c r="D44" i="49"/>
  <c r="C45" i="49"/>
  <c r="D45" i="49"/>
  <c r="F42" i="49"/>
  <c r="F43" i="49"/>
  <c r="F44" i="49"/>
  <c r="F45" i="49"/>
  <c r="C404" i="4"/>
  <c r="D404" i="4" s="1"/>
  <c r="C405" i="4"/>
  <c r="D405" i="4" s="1"/>
  <c r="C406" i="4"/>
  <c r="D406" i="4"/>
  <c r="C407" i="4"/>
  <c r="D407" i="4"/>
  <c r="E90" i="46"/>
  <c r="E93" i="46"/>
  <c r="G90" i="46"/>
  <c r="G91" i="46"/>
  <c r="G92" i="46"/>
  <c r="G93" i="46"/>
  <c r="E89" i="46"/>
  <c r="G89" i="46"/>
  <c r="C172" i="33"/>
  <c r="D172" i="33"/>
  <c r="C173" i="33"/>
  <c r="D173" i="33" s="1"/>
  <c r="C174" i="33"/>
  <c r="D174" i="33"/>
  <c r="C175" i="33"/>
  <c r="D175" i="33" s="1"/>
  <c r="F175" i="33"/>
  <c r="C40" i="50"/>
  <c r="D40" i="50" s="1"/>
  <c r="C41" i="50"/>
  <c r="D41" i="50" s="1"/>
  <c r="C42" i="50"/>
  <c r="D42" i="50"/>
  <c r="C43" i="50"/>
  <c r="D43" i="50" s="1"/>
  <c r="F40" i="50"/>
  <c r="F41" i="50"/>
  <c r="F42" i="50"/>
  <c r="F43" i="50"/>
  <c r="C39" i="50"/>
  <c r="D39" i="50" s="1"/>
  <c r="F39" i="50"/>
  <c r="C165" i="45"/>
  <c r="D165" i="45"/>
  <c r="C166" i="45"/>
  <c r="D166" i="45" s="1"/>
  <c r="C167" i="45"/>
  <c r="D167" i="45"/>
  <c r="C168" i="45"/>
  <c r="D168" i="45" s="1"/>
  <c r="F165" i="45"/>
  <c r="G165" i="45" s="1"/>
  <c r="F166" i="45"/>
  <c r="G166" i="45"/>
  <c r="F167" i="45"/>
  <c r="G167" i="45"/>
  <c r="F168" i="45"/>
  <c r="G168" i="45" s="1"/>
  <c r="C337" i="12"/>
  <c r="D337" i="12"/>
  <c r="C338" i="12"/>
  <c r="D338" i="12" s="1"/>
  <c r="C339" i="12"/>
  <c r="D339" i="12" s="1"/>
  <c r="C340" i="12"/>
  <c r="D340" i="12"/>
  <c r="C336" i="12"/>
  <c r="D336" i="12"/>
  <c r="C237" i="19"/>
  <c r="D237" i="19" s="1"/>
  <c r="C238" i="19"/>
  <c r="D238" i="19"/>
  <c r="C239" i="19"/>
  <c r="D239" i="19" s="1"/>
  <c r="C240" i="19"/>
  <c r="D240" i="19" s="1"/>
  <c r="C236" i="19"/>
  <c r="D236" i="19"/>
  <c r="C155" i="38"/>
  <c r="D155" i="38"/>
  <c r="C156" i="38"/>
  <c r="D156" i="38" s="1"/>
  <c r="C157" i="38"/>
  <c r="D157" i="38"/>
  <c r="C158" i="38"/>
  <c r="D158" i="38" s="1"/>
  <c r="H154" i="37"/>
  <c r="D154" i="37"/>
  <c r="E154" i="37" s="1"/>
  <c r="C171" i="33"/>
  <c r="D171" i="33" s="1"/>
  <c r="G228" i="20"/>
  <c r="H228" i="20"/>
  <c r="C228" i="20"/>
  <c r="D228" i="20" s="1"/>
  <c r="F228" i="20"/>
  <c r="C400" i="7"/>
  <c r="D400" i="7" s="1"/>
  <c r="C355" i="25"/>
  <c r="D355" i="25" s="1"/>
  <c r="H188" i="29"/>
  <c r="D188" i="29"/>
  <c r="E188" i="29" s="1"/>
  <c r="C374" i="11"/>
  <c r="D374" i="11" s="1"/>
  <c r="G238" i="18"/>
  <c r="C238" i="18"/>
  <c r="D238" i="18"/>
  <c r="F238" i="18"/>
  <c r="H185" i="30"/>
  <c r="D185" i="30"/>
  <c r="E185" i="30" s="1"/>
  <c r="G185" i="30"/>
  <c r="H90" i="47"/>
  <c r="D90" i="47"/>
  <c r="E90" i="47" s="1"/>
  <c r="G90" i="47"/>
  <c r="C41" i="49"/>
  <c r="D41" i="49"/>
  <c r="F41" i="49"/>
  <c r="G163" i="35"/>
  <c r="C163" i="35"/>
  <c r="D163" i="35" s="1"/>
  <c r="F163" i="35"/>
  <c r="G154" i="38"/>
  <c r="C24" i="50"/>
  <c r="D24" i="50"/>
  <c r="F24" i="50"/>
  <c r="G24" i="50"/>
  <c r="C25" i="50"/>
  <c r="D25" i="50"/>
  <c r="F25" i="50"/>
  <c r="G25" i="50"/>
  <c r="C26" i="50"/>
  <c r="D26" i="50" s="1"/>
  <c r="F26" i="50"/>
  <c r="G26" i="50"/>
  <c r="C27" i="50"/>
  <c r="D27" i="50"/>
  <c r="F27" i="50"/>
  <c r="G27" i="50"/>
  <c r="C28" i="50"/>
  <c r="D28" i="50"/>
  <c r="F28" i="50"/>
  <c r="G28" i="50"/>
  <c r="C29" i="50"/>
  <c r="D29" i="50" s="1"/>
  <c r="F29" i="50"/>
  <c r="G29" i="50"/>
  <c r="C30" i="50"/>
  <c r="D30" i="50"/>
  <c r="F30" i="50"/>
  <c r="G30" i="50"/>
  <c r="C31" i="50"/>
  <c r="D31" i="50"/>
  <c r="F31" i="50"/>
  <c r="G31" i="50"/>
  <c r="C32" i="50"/>
  <c r="D32" i="50" s="1"/>
  <c r="F32" i="50"/>
  <c r="G32" i="50"/>
  <c r="C33" i="50"/>
  <c r="D33" i="50"/>
  <c r="F33" i="50"/>
  <c r="G33" i="50"/>
  <c r="C34" i="50"/>
  <c r="D34" i="50"/>
  <c r="F34" i="50"/>
  <c r="G34" i="50"/>
  <c r="C35" i="50"/>
  <c r="D35" i="50" s="1"/>
  <c r="F35" i="50"/>
  <c r="G35" i="50"/>
  <c r="C36" i="50"/>
  <c r="D36" i="50"/>
  <c r="F36" i="50"/>
  <c r="G36" i="50"/>
  <c r="C37" i="50"/>
  <c r="D37" i="50"/>
  <c r="F37" i="50"/>
  <c r="G37" i="50"/>
  <c r="C38" i="50"/>
  <c r="D38" i="50" s="1"/>
  <c r="F38" i="50"/>
  <c r="G38" i="50"/>
  <c r="C104" i="40"/>
  <c r="D104" i="40"/>
  <c r="F104" i="40"/>
  <c r="C105" i="40"/>
  <c r="D105" i="40" s="1"/>
  <c r="F105" i="40"/>
  <c r="C106" i="40"/>
  <c r="D106" i="40" s="1"/>
  <c r="F106" i="40"/>
  <c r="C107" i="40"/>
  <c r="D107" i="40" s="1"/>
  <c r="F107" i="40"/>
  <c r="G88" i="46"/>
  <c r="C235" i="19"/>
  <c r="D235" i="19" s="1"/>
  <c r="G304" i="14"/>
  <c r="H304" i="14"/>
  <c r="C304" i="14"/>
  <c r="D304" i="14" s="1"/>
  <c r="F304" i="14"/>
  <c r="H183" i="32"/>
  <c r="D183" i="32"/>
  <c r="E183" i="32" s="1"/>
  <c r="G183" i="32"/>
  <c r="C164" i="45"/>
  <c r="D164" i="45"/>
  <c r="F164" i="45"/>
  <c r="G164" i="45" s="1"/>
  <c r="G104" i="41"/>
  <c r="C104" i="41"/>
  <c r="D104" i="41" s="1"/>
  <c r="F104" i="41"/>
  <c r="C154" i="38"/>
  <c r="D154" i="38" s="1"/>
  <c r="F154" i="38"/>
  <c r="C403" i="4"/>
  <c r="D403" i="4"/>
  <c r="C335" i="12"/>
  <c r="D335" i="12" s="1"/>
  <c r="G162" i="35"/>
  <c r="C162" i="35"/>
  <c r="D162" i="35"/>
  <c r="F162" i="35"/>
  <c r="G399" i="7"/>
  <c r="C399" i="7"/>
  <c r="D399" i="7" s="1"/>
  <c r="G187" i="28"/>
  <c r="C187" i="28"/>
  <c r="D187" i="28"/>
  <c r="F187" i="28"/>
  <c r="H153" i="37"/>
  <c r="D153" i="37"/>
  <c r="E153" i="37" s="1"/>
  <c r="F373" i="11"/>
  <c r="G373" i="11" s="1"/>
  <c r="C373" i="11"/>
  <c r="D373" i="11" s="1"/>
  <c r="C287" i="23"/>
  <c r="D287" i="23"/>
  <c r="F287" i="23"/>
  <c r="G287" i="23"/>
  <c r="H287" i="23"/>
  <c r="C288" i="23"/>
  <c r="D288" i="23" s="1"/>
  <c r="F288" i="23"/>
  <c r="G288" i="23"/>
  <c r="H288" i="23"/>
  <c r="C289" i="23"/>
  <c r="D289" i="23" s="1"/>
  <c r="F289" i="23"/>
  <c r="G289" i="23"/>
  <c r="H289" i="23"/>
  <c r="C290" i="23"/>
  <c r="D290" i="23"/>
  <c r="F290" i="23"/>
  <c r="G290" i="23"/>
  <c r="H290" i="23"/>
  <c r="F354" i="25"/>
  <c r="G354" i="25"/>
  <c r="C354" i="25"/>
  <c r="D354" i="25" s="1"/>
  <c r="C353" i="24"/>
  <c r="D353" i="24"/>
  <c r="G170" i="33"/>
  <c r="C170" i="33"/>
  <c r="D170" i="33"/>
  <c r="F170" i="33"/>
  <c r="G317" i="13"/>
  <c r="C317" i="13"/>
  <c r="D317" i="13"/>
  <c r="F317" i="13"/>
  <c r="G103" i="41"/>
  <c r="C103" i="41"/>
  <c r="D103" i="41" s="1"/>
  <c r="F103" i="41"/>
  <c r="C40" i="49"/>
  <c r="D40" i="49"/>
  <c r="F40" i="49"/>
  <c r="G227" i="20"/>
  <c r="H227" i="20"/>
  <c r="C227" i="20"/>
  <c r="D227" i="20"/>
  <c r="F227" i="20"/>
  <c r="H187" i="29"/>
  <c r="D187" i="29"/>
  <c r="E187" i="29" s="1"/>
  <c r="F402" i="4"/>
  <c r="G402" i="4"/>
  <c r="C402" i="4"/>
  <c r="D402" i="4" s="1"/>
  <c r="H184" i="30"/>
  <c r="D184" i="30"/>
  <c r="E184" i="30" s="1"/>
  <c r="G184" i="30"/>
  <c r="H182" i="32"/>
  <c r="D182" i="32"/>
  <c r="E182" i="32" s="1"/>
  <c r="G182" i="32"/>
  <c r="C163" i="45"/>
  <c r="D163" i="45"/>
  <c r="F163" i="45"/>
  <c r="G163" i="45" s="1"/>
  <c r="G303" i="14"/>
  <c r="H303" i="14"/>
  <c r="C303" i="14"/>
  <c r="D303" i="14" s="1"/>
  <c r="F303" i="14"/>
  <c r="H181" i="32"/>
  <c r="D181" i="32"/>
  <c r="E181" i="32"/>
  <c r="G181" i="32"/>
  <c r="H89" i="47"/>
  <c r="D89" i="47"/>
  <c r="E89" i="47" s="1"/>
  <c r="G89" i="47"/>
  <c r="F334" i="12"/>
  <c r="G334" i="12"/>
  <c r="C334" i="12"/>
  <c r="D334" i="12"/>
  <c r="F234" i="19"/>
  <c r="G234" i="19"/>
  <c r="C234" i="19"/>
  <c r="D234" i="19" s="1"/>
  <c r="G153" i="38"/>
  <c r="C153" i="38"/>
  <c r="D153" i="38" s="1"/>
  <c r="F153" i="38"/>
  <c r="G237" i="18"/>
  <c r="C237" i="18"/>
  <c r="D237" i="18" s="1"/>
  <c r="F237" i="18"/>
  <c r="F401" i="4"/>
  <c r="G401" i="4"/>
  <c r="C401" i="4"/>
  <c r="D401" i="4" s="1"/>
  <c r="G169" i="33"/>
  <c r="C169" i="33"/>
  <c r="D169" i="33" s="1"/>
  <c r="F169" i="33"/>
  <c r="F372" i="11"/>
  <c r="G372" i="11"/>
  <c r="C372" i="11"/>
  <c r="D372" i="11"/>
  <c r="G316" i="13"/>
  <c r="C316" i="13"/>
  <c r="D316" i="13"/>
  <c r="F316" i="13"/>
  <c r="E87" i="46"/>
  <c r="G87" i="46"/>
  <c r="G161" i="35"/>
  <c r="C161" i="35"/>
  <c r="D161" i="35"/>
  <c r="F161" i="35"/>
  <c r="H152" i="37"/>
  <c r="D152" i="37"/>
  <c r="E152" i="37" s="1"/>
  <c r="G186" i="28"/>
  <c r="C186" i="28"/>
  <c r="D186" i="28" s="1"/>
  <c r="F186" i="28"/>
  <c r="G398" i="7"/>
  <c r="C398" i="7"/>
  <c r="D398" i="7" s="1"/>
  <c r="F353" i="25"/>
  <c r="G353" i="25"/>
  <c r="C353" i="25"/>
  <c r="D353" i="25"/>
  <c r="C39" i="49"/>
  <c r="D39" i="49" s="1"/>
  <c r="F39" i="49"/>
  <c r="H186" i="29"/>
  <c r="D186" i="29"/>
  <c r="E186" i="29" s="1"/>
  <c r="G226" i="20"/>
  <c r="H226" i="20"/>
  <c r="C226" i="20"/>
  <c r="D226" i="20" s="1"/>
  <c r="F226" i="20"/>
  <c r="F352" i="24"/>
  <c r="G352" i="24"/>
  <c r="H352" i="24"/>
  <c r="C352" i="24"/>
  <c r="D352" i="24"/>
  <c r="G160" i="35"/>
  <c r="C160" i="35"/>
  <c r="D160" i="35" s="1"/>
  <c r="F160" i="35"/>
  <c r="G102" i="41"/>
  <c r="C102" i="41"/>
  <c r="D102" i="41"/>
  <c r="F102" i="41"/>
  <c r="H183" i="30"/>
  <c r="D183" i="30"/>
  <c r="E183" i="30" s="1"/>
  <c r="G183" i="30"/>
  <c r="G302" i="14"/>
  <c r="H302" i="14"/>
  <c r="C302" i="14"/>
  <c r="D302" i="14"/>
  <c r="F302" i="14"/>
  <c r="H88" i="47"/>
  <c r="D88" i="47"/>
  <c r="E88" i="47" s="1"/>
  <c r="G88" i="47"/>
  <c r="F333" i="12"/>
  <c r="G333" i="12"/>
  <c r="C333" i="12"/>
  <c r="D333" i="12"/>
  <c r="C162" i="45"/>
  <c r="D162" i="45" s="1"/>
  <c r="F162" i="45"/>
  <c r="G162" i="45"/>
  <c r="F233" i="19"/>
  <c r="G233" i="19"/>
  <c r="C233" i="19"/>
  <c r="D233" i="19" s="1"/>
  <c r="G152" i="38"/>
  <c r="C152" i="38"/>
  <c r="D152" i="38"/>
  <c r="F152" i="38"/>
  <c r="G151" i="38"/>
  <c r="C151" i="38"/>
  <c r="D151" i="38"/>
  <c r="F151" i="38"/>
  <c r="G315" i="13"/>
  <c r="C315" i="13"/>
  <c r="D315" i="13" s="1"/>
  <c r="F315" i="13"/>
  <c r="H151" i="37"/>
  <c r="D151" i="37"/>
  <c r="E151" i="37" s="1"/>
  <c r="G185" i="28"/>
  <c r="C185" i="28"/>
  <c r="D185" i="28" s="1"/>
  <c r="F185" i="28"/>
  <c r="G168" i="33"/>
  <c r="C168" i="33"/>
  <c r="D168" i="33"/>
  <c r="F168" i="33"/>
  <c r="F400" i="4"/>
  <c r="G400" i="4"/>
  <c r="C400" i="4"/>
  <c r="D400" i="4"/>
  <c r="G397" i="7"/>
  <c r="C397" i="7"/>
  <c r="D397" i="7" s="1"/>
  <c r="G236" i="18"/>
  <c r="C236" i="18"/>
  <c r="D236" i="18" s="1"/>
  <c r="F236" i="18"/>
  <c r="F371" i="11"/>
  <c r="G371" i="11" s="1"/>
  <c r="C371" i="11"/>
  <c r="D371" i="11" s="1"/>
  <c r="C38" i="49"/>
  <c r="D38" i="49"/>
  <c r="F38" i="49"/>
  <c r="G101" i="41"/>
  <c r="C101" i="41"/>
  <c r="D101" i="41"/>
  <c r="F101" i="41"/>
  <c r="E86" i="46"/>
  <c r="G86" i="46"/>
  <c r="G301" i="14"/>
  <c r="H301" i="14"/>
  <c r="C301" i="14"/>
  <c r="D301" i="14"/>
  <c r="F301" i="14"/>
  <c r="G225" i="20"/>
  <c r="H225" i="20"/>
  <c r="C225" i="20"/>
  <c r="D225" i="20"/>
  <c r="F225" i="20"/>
  <c r="F352" i="25"/>
  <c r="G352" i="25"/>
  <c r="C352" i="25"/>
  <c r="D352" i="25"/>
  <c r="H185" i="29"/>
  <c r="D185" i="29"/>
  <c r="E185" i="29" s="1"/>
  <c r="H180" i="32"/>
  <c r="H182" i="30"/>
  <c r="D182" i="30"/>
  <c r="E182" i="30" s="1"/>
  <c r="G182" i="30"/>
  <c r="F399" i="4"/>
  <c r="G399" i="4"/>
  <c r="C399" i="4"/>
  <c r="D399" i="4"/>
  <c r="F351" i="24"/>
  <c r="G351" i="24"/>
  <c r="H351" i="24"/>
  <c r="C351" i="24"/>
  <c r="D351" i="24"/>
  <c r="H87" i="47"/>
  <c r="D87" i="47"/>
  <c r="E87" i="47" s="1"/>
  <c r="G87" i="47"/>
  <c r="F232" i="19"/>
  <c r="G232" i="19"/>
  <c r="C232" i="19"/>
  <c r="D232" i="19"/>
  <c r="C161" i="45"/>
  <c r="D161" i="45" s="1"/>
  <c r="F161" i="45"/>
  <c r="G161" i="45" s="1"/>
  <c r="G159" i="35"/>
  <c r="C159" i="35"/>
  <c r="D159" i="35" s="1"/>
  <c r="F159" i="35"/>
  <c r="C213" i="22"/>
  <c r="D213" i="22" s="1"/>
  <c r="F213" i="22"/>
  <c r="G213" i="22"/>
  <c r="G235" i="18"/>
  <c r="C235" i="18"/>
  <c r="D235" i="18"/>
  <c r="F235" i="18"/>
  <c r="E85" i="46"/>
  <c r="G85" i="46"/>
  <c r="F332" i="12"/>
  <c r="G332" i="12"/>
  <c r="C332" i="12"/>
  <c r="D332" i="12" s="1"/>
  <c r="C37" i="49"/>
  <c r="D37" i="49"/>
  <c r="F37" i="49"/>
  <c r="F370" i="11"/>
  <c r="G370" i="11"/>
  <c r="C370" i="11"/>
  <c r="D370" i="11" s="1"/>
  <c r="G167" i="33"/>
  <c r="C167" i="33"/>
  <c r="D167" i="33"/>
  <c r="F167" i="33"/>
  <c r="H150" i="37"/>
  <c r="D150" i="37"/>
  <c r="E150" i="37" s="1"/>
  <c r="G396" i="7"/>
  <c r="C396" i="7"/>
  <c r="D396" i="7"/>
  <c r="G184" i="28"/>
  <c r="C184" i="28"/>
  <c r="D184" i="28"/>
  <c r="F184" i="28"/>
  <c r="G314" i="13"/>
  <c r="C314" i="13"/>
  <c r="D314" i="13" s="1"/>
  <c r="F314" i="13"/>
  <c r="C398" i="5"/>
  <c r="D398" i="5"/>
  <c r="F398" i="5"/>
  <c r="G398" i="5"/>
  <c r="C399" i="5"/>
  <c r="D399" i="5" s="1"/>
  <c r="F399" i="5"/>
  <c r="G399" i="5"/>
  <c r="C400" i="5"/>
  <c r="D400" i="5"/>
  <c r="F400" i="5"/>
  <c r="G400" i="5"/>
  <c r="C401" i="5"/>
  <c r="D401" i="5"/>
  <c r="F401" i="5"/>
  <c r="G401" i="5"/>
  <c r="C402" i="5"/>
  <c r="D402" i="5" s="1"/>
  <c r="G100" i="41"/>
  <c r="C100" i="41"/>
  <c r="D100" i="41"/>
  <c r="F100" i="41"/>
  <c r="G224" i="20"/>
  <c r="H224" i="20"/>
  <c r="C224" i="20"/>
  <c r="D224" i="20"/>
  <c r="F224" i="20"/>
  <c r="F351" i="25"/>
  <c r="G351" i="25"/>
  <c r="C351" i="25"/>
  <c r="D351" i="25"/>
  <c r="G300" i="14"/>
  <c r="H300" i="14"/>
  <c r="C300" i="14"/>
  <c r="D300" i="14" s="1"/>
  <c r="F300" i="14"/>
  <c r="D178" i="32"/>
  <c r="E178" i="32" s="1"/>
  <c r="G178" i="32"/>
  <c r="H178" i="32"/>
  <c r="D179" i="32"/>
  <c r="E179" i="32" s="1"/>
  <c r="G179" i="32"/>
  <c r="H179" i="32"/>
  <c r="H181" i="30"/>
  <c r="D181" i="30"/>
  <c r="E181" i="30" s="1"/>
  <c r="G181" i="30"/>
  <c r="F350" i="24"/>
  <c r="G350" i="24"/>
  <c r="H350" i="24"/>
  <c r="C350" i="24"/>
  <c r="D350" i="24" s="1"/>
  <c r="H184" i="29"/>
  <c r="D184" i="29"/>
  <c r="E184" i="29" s="1"/>
  <c r="H86" i="47"/>
  <c r="D86" i="47"/>
  <c r="E86" i="47" s="1"/>
  <c r="G86" i="47"/>
  <c r="C160" i="45"/>
  <c r="D160" i="45" s="1"/>
  <c r="F160" i="45"/>
  <c r="G160" i="45" s="1"/>
  <c r="G150" i="38"/>
  <c r="C150" i="38"/>
  <c r="D150" i="38" s="1"/>
  <c r="F150" i="38"/>
  <c r="F331" i="12"/>
  <c r="G331" i="12"/>
  <c r="C331" i="12"/>
  <c r="D331" i="12"/>
  <c r="F231" i="19"/>
  <c r="G231" i="19"/>
  <c r="C231" i="19"/>
  <c r="D231" i="19" s="1"/>
  <c r="C212" i="22"/>
  <c r="D212" i="22"/>
  <c r="F212" i="22"/>
  <c r="G212" i="22"/>
  <c r="G234" i="18"/>
  <c r="C234" i="18"/>
  <c r="D234" i="18" s="1"/>
  <c r="F234" i="18"/>
  <c r="C183" i="28"/>
  <c r="D183" i="28" s="1"/>
  <c r="F183" i="28"/>
  <c r="G183" i="28"/>
  <c r="G395" i="7"/>
  <c r="C395" i="7"/>
  <c r="D395" i="7" s="1"/>
  <c r="C100" i="40"/>
  <c r="D100" i="40"/>
  <c r="F100" i="40"/>
  <c r="C101" i="40"/>
  <c r="D101" i="40"/>
  <c r="F101" i="40"/>
  <c r="C102" i="40"/>
  <c r="D102" i="40"/>
  <c r="F102" i="40"/>
  <c r="C103" i="40"/>
  <c r="D103" i="40"/>
  <c r="F103" i="40"/>
  <c r="E84" i="46"/>
  <c r="G84" i="46"/>
  <c r="F398" i="4"/>
  <c r="G398" i="4"/>
  <c r="F349" i="24"/>
  <c r="G349" i="24"/>
  <c r="H349" i="24"/>
  <c r="C349" i="24"/>
  <c r="D349" i="24" s="1"/>
  <c r="G166" i="33"/>
  <c r="C166" i="33"/>
  <c r="D166" i="33" s="1"/>
  <c r="F166" i="33"/>
  <c r="G313" i="13"/>
  <c r="C313" i="13"/>
  <c r="D313" i="13" s="1"/>
  <c r="F313" i="13"/>
  <c r="C398" i="4"/>
  <c r="D398" i="4" s="1"/>
  <c r="H149" i="37"/>
  <c r="D149" i="37"/>
  <c r="E149" i="37" s="1"/>
  <c r="F369" i="11"/>
  <c r="G369" i="11" s="1"/>
  <c r="C369" i="11"/>
  <c r="D369" i="11"/>
  <c r="G299" i="14"/>
  <c r="H299" i="14"/>
  <c r="C299" i="14"/>
  <c r="D299" i="14"/>
  <c r="F299" i="14"/>
  <c r="H183" i="29"/>
  <c r="D183" i="29"/>
  <c r="E183" i="29" s="1"/>
  <c r="G223" i="20"/>
  <c r="H223" i="20"/>
  <c r="C223" i="20"/>
  <c r="D223" i="20" s="1"/>
  <c r="F223" i="20"/>
  <c r="G99" i="41"/>
  <c r="C99" i="41"/>
  <c r="D99" i="41" s="1"/>
  <c r="F99" i="41"/>
  <c r="G149" i="38"/>
  <c r="C149" i="38"/>
  <c r="D149" i="38"/>
  <c r="F149" i="38"/>
  <c r="G41" i="48"/>
  <c r="C41" i="48"/>
  <c r="D41" i="48" s="1"/>
  <c r="F41" i="48"/>
  <c r="H180" i="30"/>
  <c r="D180" i="30"/>
  <c r="E180" i="30" s="1"/>
  <c r="G180" i="30"/>
  <c r="H85" i="47"/>
  <c r="D85" i="47"/>
  <c r="E85" i="47" s="1"/>
  <c r="G85" i="47"/>
  <c r="G233" i="18"/>
  <c r="C233" i="18"/>
  <c r="D233" i="18" s="1"/>
  <c r="F233" i="18"/>
  <c r="H179" i="30"/>
  <c r="D179" i="30"/>
  <c r="E179" i="30" s="1"/>
  <c r="G179" i="30"/>
  <c r="F230" i="19"/>
  <c r="G230" i="19"/>
  <c r="C230" i="19"/>
  <c r="D230" i="19" s="1"/>
  <c r="F330" i="12"/>
  <c r="G330" i="12"/>
  <c r="C330" i="12"/>
  <c r="D330" i="12" s="1"/>
  <c r="C36" i="49"/>
  <c r="D36" i="49"/>
  <c r="F36" i="49"/>
  <c r="C159" i="45"/>
  <c r="D159" i="45" s="1"/>
  <c r="F159" i="45"/>
  <c r="G159" i="45"/>
  <c r="C211" i="22"/>
  <c r="D211" i="22"/>
  <c r="F211" i="22"/>
  <c r="G211" i="22" s="1"/>
  <c r="G222" i="20"/>
  <c r="H222" i="20"/>
  <c r="C222" i="20"/>
  <c r="D222" i="20" s="1"/>
  <c r="F222" i="20"/>
  <c r="H148" i="37"/>
  <c r="D148" i="37"/>
  <c r="E148" i="37"/>
  <c r="G312" i="13"/>
  <c r="C312" i="13"/>
  <c r="D312" i="13"/>
  <c r="F312" i="13"/>
  <c r="G40" i="48"/>
  <c r="C40" i="48"/>
  <c r="D40" i="48"/>
  <c r="F40" i="48"/>
  <c r="F368" i="11"/>
  <c r="G368" i="11" s="1"/>
  <c r="C368" i="11"/>
  <c r="D368" i="11"/>
  <c r="G394" i="7"/>
  <c r="C394" i="7"/>
  <c r="D394" i="7"/>
  <c r="F397" i="4"/>
  <c r="G397" i="4"/>
  <c r="C397" i="4"/>
  <c r="D397" i="4"/>
  <c r="G165" i="33"/>
  <c r="C165" i="33"/>
  <c r="D165" i="33" s="1"/>
  <c r="F165" i="33"/>
  <c r="C35" i="49"/>
  <c r="D35" i="49" s="1"/>
  <c r="F35" i="49"/>
  <c r="E83" i="46"/>
  <c r="G83" i="46"/>
  <c r="H182" i="29"/>
  <c r="G98" i="41"/>
  <c r="C98" i="41"/>
  <c r="D98" i="41" s="1"/>
  <c r="F98" i="41"/>
  <c r="H177" i="32"/>
  <c r="G298" i="14"/>
  <c r="H298" i="14"/>
  <c r="C298" i="14"/>
  <c r="D298" i="14"/>
  <c r="F298" i="14"/>
  <c r="H84" i="47"/>
  <c r="D84" i="47"/>
  <c r="E84" i="47" s="1"/>
  <c r="G84" i="47"/>
  <c r="F328" i="12"/>
  <c r="G328" i="12"/>
  <c r="F329" i="12"/>
  <c r="G329" i="12"/>
  <c r="C329" i="12"/>
  <c r="D329" i="12" s="1"/>
  <c r="G232" i="18"/>
  <c r="C232" i="18"/>
  <c r="D232" i="18" s="1"/>
  <c r="F232" i="18"/>
  <c r="F434" i="7"/>
  <c r="G393" i="7"/>
  <c r="C393" i="7"/>
  <c r="D393" i="7"/>
  <c r="F367" i="11"/>
  <c r="G367" i="11" s="1"/>
  <c r="C367" i="11"/>
  <c r="D367" i="11" s="1"/>
  <c r="C21" i="4"/>
  <c r="C22" i="4"/>
  <c r="D22" i="4" s="1"/>
  <c r="C23" i="4"/>
  <c r="D23" i="4"/>
  <c r="C24" i="4"/>
  <c r="D24" i="4" s="1"/>
  <c r="C25" i="4"/>
  <c r="D25" i="4" s="1"/>
  <c r="C26" i="4"/>
  <c r="C27" i="4"/>
  <c r="D27" i="4" s="1"/>
  <c r="C28" i="4"/>
  <c r="D28" i="4"/>
  <c r="C29" i="4"/>
  <c r="D29" i="4" s="1"/>
  <c r="C30" i="4"/>
  <c r="D30" i="4"/>
  <c r="C31" i="4"/>
  <c r="D31" i="4"/>
  <c r="C32" i="4"/>
  <c r="D32" i="4" s="1"/>
  <c r="C33" i="4"/>
  <c r="D33" i="4" s="1"/>
  <c r="C34" i="4"/>
  <c r="C35" i="4"/>
  <c r="D35" i="4" s="1"/>
  <c r="C36" i="4"/>
  <c r="D36" i="4"/>
  <c r="C37" i="4"/>
  <c r="D37" i="4" s="1"/>
  <c r="C38" i="4"/>
  <c r="D38" i="4" s="1"/>
  <c r="C39" i="4"/>
  <c r="D39" i="4"/>
  <c r="C40" i="4"/>
  <c r="D40" i="4"/>
  <c r="C41" i="4"/>
  <c r="D41" i="4" s="1"/>
  <c r="C42" i="4"/>
  <c r="D42" i="4"/>
  <c r="C43" i="4"/>
  <c r="D43" i="4" s="1"/>
  <c r="C44" i="4"/>
  <c r="D44" i="4" s="1"/>
  <c r="C45" i="4"/>
  <c r="D45" i="4"/>
  <c r="C46" i="4"/>
  <c r="D46" i="4"/>
  <c r="C47" i="4"/>
  <c r="D47" i="4" s="1"/>
  <c r="C48" i="4"/>
  <c r="D48" i="4"/>
  <c r="C49" i="4"/>
  <c r="D49" i="4" s="1"/>
  <c r="C50" i="4"/>
  <c r="D50" i="4" s="1"/>
  <c r="C51" i="4"/>
  <c r="D51" i="4"/>
  <c r="C52" i="4"/>
  <c r="D52" i="4"/>
  <c r="C53" i="4"/>
  <c r="D53" i="4" s="1"/>
  <c r="C54" i="4"/>
  <c r="D54" i="4"/>
  <c r="C55" i="4"/>
  <c r="D55" i="4" s="1"/>
  <c r="C56" i="4"/>
  <c r="C57" i="4"/>
  <c r="D57" i="4" s="1"/>
  <c r="C58" i="4"/>
  <c r="D58" i="4" s="1"/>
  <c r="C59" i="4"/>
  <c r="D59" i="4"/>
  <c r="C60" i="4"/>
  <c r="D60" i="4" s="1"/>
  <c r="C61" i="4"/>
  <c r="D61" i="4"/>
  <c r="C62" i="4"/>
  <c r="D62" i="4"/>
  <c r="C63" i="4"/>
  <c r="D63" i="4" s="1"/>
  <c r="C64" i="4"/>
  <c r="D64" i="4" s="1"/>
  <c r="C65" i="4"/>
  <c r="D65" i="4"/>
  <c r="C66" i="4"/>
  <c r="D66" i="4" s="1"/>
  <c r="C67" i="4"/>
  <c r="D67" i="4"/>
  <c r="C68" i="4"/>
  <c r="D68" i="4"/>
  <c r="C69" i="4"/>
  <c r="D69" i="4" s="1"/>
  <c r="C70" i="4"/>
  <c r="D70" i="4" s="1"/>
  <c r="C71" i="4"/>
  <c r="D71" i="4"/>
  <c r="C72" i="4"/>
  <c r="D72" i="4" s="1"/>
  <c r="C73" i="4"/>
  <c r="D73" i="4"/>
  <c r="C74" i="4"/>
  <c r="D74" i="4"/>
  <c r="C75" i="4"/>
  <c r="D75" i="4" s="1"/>
  <c r="C76" i="4"/>
  <c r="D76" i="4" s="1"/>
  <c r="C77" i="4"/>
  <c r="D77" i="4"/>
  <c r="C78" i="4"/>
  <c r="D78" i="4" s="1"/>
  <c r="C79" i="4"/>
  <c r="D79" i="4"/>
  <c r="C80" i="4"/>
  <c r="D80" i="4"/>
  <c r="C81" i="4"/>
  <c r="D81" i="4" s="1"/>
  <c r="C82" i="4"/>
  <c r="D82" i="4" s="1"/>
  <c r="C83" i="4"/>
  <c r="D83" i="4"/>
  <c r="C84" i="4"/>
  <c r="D84" i="4" s="1"/>
  <c r="C85" i="4"/>
  <c r="D85" i="4"/>
  <c r="C86" i="4"/>
  <c r="D86" i="4"/>
  <c r="C87" i="4"/>
  <c r="D87" i="4" s="1"/>
  <c r="C88" i="4"/>
  <c r="D88" i="4" s="1"/>
  <c r="C89" i="4"/>
  <c r="D89" i="4"/>
  <c r="C90" i="4"/>
  <c r="D90" i="4" s="1"/>
  <c r="C91" i="4"/>
  <c r="D91" i="4"/>
  <c r="C92" i="4"/>
  <c r="D92" i="4"/>
  <c r="C93" i="4"/>
  <c r="D93" i="4" s="1"/>
  <c r="C94" i="4"/>
  <c r="D94" i="4" s="1"/>
  <c r="C95" i="4"/>
  <c r="D95" i="4"/>
  <c r="C96" i="4"/>
  <c r="D96" i="4" s="1"/>
  <c r="C97" i="4"/>
  <c r="D97" i="4"/>
  <c r="C98" i="4"/>
  <c r="D98" i="4"/>
  <c r="C99" i="4"/>
  <c r="D99" i="4" s="1"/>
  <c r="C100" i="4"/>
  <c r="D100" i="4" s="1"/>
  <c r="C101" i="4"/>
  <c r="D101" i="4"/>
  <c r="C102" i="4"/>
  <c r="D102" i="4" s="1"/>
  <c r="C103" i="4"/>
  <c r="D103" i="4"/>
  <c r="C104" i="4"/>
  <c r="D104" i="4"/>
  <c r="C105" i="4"/>
  <c r="D105" i="4" s="1"/>
  <c r="C106" i="4"/>
  <c r="C107" i="4"/>
  <c r="D107" i="4"/>
  <c r="C108" i="4"/>
  <c r="D108" i="4" s="1"/>
  <c r="C109" i="4"/>
  <c r="D109" i="4"/>
  <c r="C110" i="4"/>
  <c r="D110" i="4" s="1"/>
  <c r="C111" i="4"/>
  <c r="D111" i="4" s="1"/>
  <c r="C112" i="4"/>
  <c r="D112" i="4"/>
  <c r="C113" i="4"/>
  <c r="D113" i="4"/>
  <c r="C114" i="4"/>
  <c r="D114" i="4" s="1"/>
  <c r="C115" i="4"/>
  <c r="D115" i="4"/>
  <c r="C116" i="4"/>
  <c r="D116" i="4" s="1"/>
  <c r="C117" i="4"/>
  <c r="D117" i="4" s="1"/>
  <c r="C118" i="4"/>
  <c r="D118" i="4"/>
  <c r="C119" i="4"/>
  <c r="D119" i="4"/>
  <c r="C120" i="4"/>
  <c r="D120" i="4" s="1"/>
  <c r="C121" i="4"/>
  <c r="D121" i="4"/>
  <c r="C122" i="4"/>
  <c r="D122" i="4" s="1"/>
  <c r="C123" i="4"/>
  <c r="D123" i="4" s="1"/>
  <c r="C124" i="4"/>
  <c r="D124" i="4"/>
  <c r="C125" i="4"/>
  <c r="D125" i="4"/>
  <c r="C126" i="4"/>
  <c r="D126" i="4" s="1"/>
  <c r="C127" i="4"/>
  <c r="D127" i="4"/>
  <c r="C128" i="4"/>
  <c r="D128" i="4" s="1"/>
  <c r="C129" i="4"/>
  <c r="D129" i="4" s="1"/>
  <c r="C130" i="4"/>
  <c r="D130" i="4"/>
  <c r="C131" i="4"/>
  <c r="D131" i="4"/>
  <c r="C132" i="4"/>
  <c r="D132" i="4" s="1"/>
  <c r="C133" i="4"/>
  <c r="D133" i="4"/>
  <c r="C134" i="4"/>
  <c r="D134" i="4" s="1"/>
  <c r="C135" i="4"/>
  <c r="D135" i="4" s="1"/>
  <c r="C136" i="4"/>
  <c r="D136" i="4"/>
  <c r="C137" i="4"/>
  <c r="D137" i="4"/>
  <c r="C138" i="4"/>
  <c r="C139" i="4"/>
  <c r="D139" i="4" s="1"/>
  <c r="C140" i="4"/>
  <c r="D140" i="4"/>
  <c r="C141" i="4"/>
  <c r="D141" i="4"/>
  <c r="C142" i="4"/>
  <c r="D142" i="4" s="1"/>
  <c r="C143" i="4"/>
  <c r="D143" i="4" s="1"/>
  <c r="C144" i="4"/>
  <c r="D144" i="4"/>
  <c r="C145" i="4"/>
  <c r="D145" i="4" s="1"/>
  <c r="C146" i="4"/>
  <c r="D146" i="4"/>
  <c r="C147" i="4"/>
  <c r="D147" i="4"/>
  <c r="C148" i="4"/>
  <c r="D148" i="4" s="1"/>
  <c r="C149" i="4"/>
  <c r="D149" i="4" s="1"/>
  <c r="C150" i="4"/>
  <c r="D150" i="4"/>
  <c r="C151" i="4"/>
  <c r="D151" i="4" s="1"/>
  <c r="C152" i="4"/>
  <c r="D152" i="4"/>
  <c r="C153" i="4"/>
  <c r="D153" i="4"/>
  <c r="C154" i="4"/>
  <c r="D154" i="4" s="1"/>
  <c r="C155" i="4"/>
  <c r="D155" i="4" s="1"/>
  <c r="C156" i="4"/>
  <c r="D156" i="4"/>
  <c r="C157" i="4"/>
  <c r="D157" i="4" s="1"/>
  <c r="C158" i="4"/>
  <c r="C159" i="4"/>
  <c r="D159" i="4" s="1"/>
  <c r="C160" i="4"/>
  <c r="D160" i="4" s="1"/>
  <c r="C161" i="4"/>
  <c r="D161" i="4"/>
  <c r="C162" i="4"/>
  <c r="D162" i="4"/>
  <c r="C163" i="4"/>
  <c r="D163" i="4" s="1"/>
  <c r="C164" i="4"/>
  <c r="D164" i="4"/>
  <c r="C165" i="4"/>
  <c r="D165" i="4" s="1"/>
  <c r="C166" i="4"/>
  <c r="D166" i="4" s="1"/>
  <c r="C167" i="4"/>
  <c r="D167" i="4"/>
  <c r="C168" i="4"/>
  <c r="D168" i="4"/>
  <c r="C169" i="4"/>
  <c r="D169" i="4" s="1"/>
  <c r="C170" i="4"/>
  <c r="D170" i="4"/>
  <c r="C171" i="4"/>
  <c r="D171" i="4" s="1"/>
  <c r="C172" i="4"/>
  <c r="D172" i="4" s="1"/>
  <c r="C173" i="4"/>
  <c r="D173" i="4"/>
  <c r="C174" i="4"/>
  <c r="D174" i="4"/>
  <c r="C175" i="4"/>
  <c r="D175" i="4" s="1"/>
  <c r="C176" i="4"/>
  <c r="D176" i="4"/>
  <c r="C177" i="4"/>
  <c r="D177" i="4" s="1"/>
  <c r="C178" i="4"/>
  <c r="C179" i="4"/>
  <c r="D179" i="4" s="1"/>
  <c r="C180" i="4"/>
  <c r="D180" i="4" s="1"/>
  <c r="C181" i="4"/>
  <c r="D181" i="4"/>
  <c r="C182" i="4"/>
  <c r="C183" i="4"/>
  <c r="D183" i="4"/>
  <c r="C184" i="4"/>
  <c r="D184" i="4" s="1"/>
  <c r="C185" i="4"/>
  <c r="D185" i="4" s="1"/>
  <c r="C186" i="4"/>
  <c r="D186" i="4"/>
  <c r="C187" i="4"/>
  <c r="D187" i="4"/>
  <c r="C188" i="4"/>
  <c r="D188" i="4" s="1"/>
  <c r="C189" i="4"/>
  <c r="D189" i="4"/>
  <c r="C190" i="4"/>
  <c r="D190" i="4" s="1"/>
  <c r="C191" i="4"/>
  <c r="D191" i="4" s="1"/>
  <c r="C192" i="4"/>
  <c r="D192" i="4"/>
  <c r="C193" i="4"/>
  <c r="D193" i="4"/>
  <c r="C194" i="4"/>
  <c r="D194" i="4" s="1"/>
  <c r="C195" i="4"/>
  <c r="D195" i="4"/>
  <c r="C196" i="4"/>
  <c r="D196" i="4" s="1"/>
  <c r="C197" i="4"/>
  <c r="D197" i="4" s="1"/>
  <c r="C198" i="4"/>
  <c r="D198" i="4"/>
  <c r="C199" i="4"/>
  <c r="D199" i="4"/>
  <c r="C200" i="4"/>
  <c r="D200" i="4" s="1"/>
  <c r="C201" i="4"/>
  <c r="D201" i="4"/>
  <c r="C202" i="4"/>
  <c r="D202" i="4" s="1"/>
  <c r="C203" i="4"/>
  <c r="D203" i="4" s="1"/>
  <c r="C204" i="4"/>
  <c r="D204" i="4"/>
  <c r="C205" i="4"/>
  <c r="D205" i="4"/>
  <c r="C206" i="4"/>
  <c r="D206" i="4" s="1"/>
  <c r="C207" i="4"/>
  <c r="D207" i="4"/>
  <c r="C208" i="4"/>
  <c r="D208" i="4" s="1"/>
  <c r="C209" i="4"/>
  <c r="D209" i="4" s="1"/>
  <c r="C210" i="4"/>
  <c r="D210" i="4"/>
  <c r="C211" i="4"/>
  <c r="D211" i="4"/>
  <c r="C212" i="4"/>
  <c r="D212" i="4" s="1"/>
  <c r="C213" i="4"/>
  <c r="D213" i="4"/>
  <c r="C214" i="4"/>
  <c r="D214" i="4" s="1"/>
  <c r="C215" i="4"/>
  <c r="D215" i="4" s="1"/>
  <c r="C216" i="4"/>
  <c r="D216" i="4"/>
  <c r="C217" i="4"/>
  <c r="D217" i="4"/>
  <c r="C218" i="4"/>
  <c r="D218" i="4" s="1"/>
  <c r="C219" i="4"/>
  <c r="D219" i="4"/>
  <c r="C220" i="4"/>
  <c r="D220" i="4" s="1"/>
  <c r="C221" i="4"/>
  <c r="D221" i="4" s="1"/>
  <c r="C222" i="4"/>
  <c r="C223" i="4"/>
  <c r="D223" i="4" s="1"/>
  <c r="C224" i="4"/>
  <c r="D224" i="4"/>
  <c r="C225" i="4"/>
  <c r="D225" i="4" s="1"/>
  <c r="C226" i="4"/>
  <c r="D226" i="4"/>
  <c r="C227" i="4"/>
  <c r="D227" i="4"/>
  <c r="C228" i="4"/>
  <c r="D228" i="4" s="1"/>
  <c r="C229" i="4"/>
  <c r="D229" i="4" s="1"/>
  <c r="C230" i="4"/>
  <c r="D230" i="4"/>
  <c r="C231" i="4"/>
  <c r="D231" i="4" s="1"/>
  <c r="C232" i="4"/>
  <c r="D232" i="4"/>
  <c r="C233" i="4"/>
  <c r="D233" i="4"/>
  <c r="C234" i="4"/>
  <c r="D234" i="4" s="1"/>
  <c r="C235" i="4"/>
  <c r="D235" i="4" s="1"/>
  <c r="C236" i="4"/>
  <c r="D236" i="4"/>
  <c r="C237" i="4"/>
  <c r="D237" i="4" s="1"/>
  <c r="C238" i="4"/>
  <c r="D238" i="4"/>
  <c r="C239" i="4"/>
  <c r="D239" i="4"/>
  <c r="C240" i="4"/>
  <c r="D240" i="4" s="1"/>
  <c r="C241" i="4"/>
  <c r="D241" i="4" s="1"/>
  <c r="C242" i="4"/>
  <c r="D242" i="4"/>
  <c r="C243" i="4"/>
  <c r="D243" i="4" s="1"/>
  <c r="C244" i="4"/>
  <c r="D244" i="4"/>
  <c r="C245" i="4"/>
  <c r="D245" i="4"/>
  <c r="C246" i="4"/>
  <c r="D246" i="4" s="1"/>
  <c r="C247" i="4"/>
  <c r="D247" i="4" s="1"/>
  <c r="C248" i="4"/>
  <c r="D248" i="4"/>
  <c r="C249" i="4"/>
  <c r="D249" i="4" s="1"/>
  <c r="C250" i="4"/>
  <c r="D250" i="4"/>
  <c r="C251" i="4"/>
  <c r="D251" i="4"/>
  <c r="C252" i="4"/>
  <c r="D252" i="4" s="1"/>
  <c r="C253" i="4"/>
  <c r="D253" i="4" s="1"/>
  <c r="C254" i="4"/>
  <c r="D254" i="4"/>
  <c r="C255" i="4"/>
  <c r="D255" i="4" s="1"/>
  <c r="C256" i="4"/>
  <c r="D256" i="4"/>
  <c r="C257" i="4"/>
  <c r="D257" i="4"/>
  <c r="C258" i="4"/>
  <c r="D258" i="4" s="1"/>
  <c r="C259" i="4"/>
  <c r="D259" i="4" s="1"/>
  <c r="C260" i="4"/>
  <c r="D260" i="4"/>
  <c r="C261" i="4"/>
  <c r="D261" i="4" s="1"/>
  <c r="C262" i="4"/>
  <c r="D262" i="4"/>
  <c r="C263" i="4"/>
  <c r="D263" i="4"/>
  <c r="C264" i="4"/>
  <c r="D264" i="4" s="1"/>
  <c r="C265" i="4"/>
  <c r="D265" i="4" s="1"/>
  <c r="C266" i="4"/>
  <c r="C267" i="4"/>
  <c r="D267" i="4" s="1"/>
  <c r="C268" i="4"/>
  <c r="D268" i="4"/>
  <c r="C269" i="4"/>
  <c r="D269" i="4" s="1"/>
  <c r="C270" i="4"/>
  <c r="D270" i="4"/>
  <c r="C271" i="4"/>
  <c r="D271" i="4"/>
  <c r="C272" i="4"/>
  <c r="D272" i="4"/>
  <c r="C273" i="4"/>
  <c r="D273" i="4" s="1"/>
  <c r="C274" i="4"/>
  <c r="D274" i="4"/>
  <c r="C275" i="4"/>
  <c r="D275" i="4" s="1"/>
  <c r="C276" i="4"/>
  <c r="D276" i="4" s="1"/>
  <c r="C277" i="4"/>
  <c r="D277" i="4"/>
  <c r="C278" i="4"/>
  <c r="D278" i="4"/>
  <c r="C279" i="4"/>
  <c r="D279" i="4" s="1"/>
  <c r="C280" i="4"/>
  <c r="D280" i="4"/>
  <c r="C281" i="4"/>
  <c r="D281" i="4" s="1"/>
  <c r="C282" i="4"/>
  <c r="D282" i="4"/>
  <c r="C283" i="4"/>
  <c r="D283" i="4"/>
  <c r="C284" i="4"/>
  <c r="D284" i="4"/>
  <c r="C285" i="4"/>
  <c r="D285" i="4" s="1"/>
  <c r="C286" i="4"/>
  <c r="D286" i="4"/>
  <c r="C287" i="4"/>
  <c r="D287" i="4" s="1"/>
  <c r="C288" i="4"/>
  <c r="D288" i="4"/>
  <c r="C289" i="4"/>
  <c r="D289" i="4"/>
  <c r="C290" i="4"/>
  <c r="D290" i="4"/>
  <c r="C291" i="4"/>
  <c r="D291" i="4" s="1"/>
  <c r="C292" i="4"/>
  <c r="D292" i="4"/>
  <c r="C293" i="4"/>
  <c r="D293" i="4" s="1"/>
  <c r="C294" i="4"/>
  <c r="D294" i="4" s="1"/>
  <c r="C295" i="4"/>
  <c r="D295" i="4"/>
  <c r="C296" i="4"/>
  <c r="D296" i="4"/>
  <c r="C297" i="4"/>
  <c r="D297" i="4" s="1"/>
  <c r="C298" i="4"/>
  <c r="D298" i="4"/>
  <c r="C299" i="4"/>
  <c r="D299" i="4" s="1"/>
  <c r="C300" i="4"/>
  <c r="D300" i="4"/>
  <c r="C301" i="4"/>
  <c r="D301" i="4"/>
  <c r="C302" i="4"/>
  <c r="D302" i="4"/>
  <c r="C303" i="4"/>
  <c r="D303" i="4" s="1"/>
  <c r="C304" i="4"/>
  <c r="D304" i="4"/>
  <c r="C305" i="4"/>
  <c r="D305" i="4" s="1"/>
  <c r="C306" i="4"/>
  <c r="D306" i="4"/>
  <c r="C307" i="4"/>
  <c r="D307" i="4"/>
  <c r="C308" i="4"/>
  <c r="D308" i="4"/>
  <c r="C309" i="4"/>
  <c r="D309" i="4" s="1"/>
  <c r="C310" i="4"/>
  <c r="D310" i="4"/>
  <c r="C311" i="4"/>
  <c r="D311" i="4" s="1"/>
  <c r="C312" i="4"/>
  <c r="D312" i="4" s="1"/>
  <c r="C313" i="4"/>
  <c r="D313" i="4"/>
  <c r="C314" i="4"/>
  <c r="D314" i="4"/>
  <c r="C315" i="4"/>
  <c r="D315" i="4" s="1"/>
  <c r="C316" i="4"/>
  <c r="D316" i="4"/>
  <c r="C317" i="4"/>
  <c r="D317" i="4" s="1"/>
  <c r="C318" i="4"/>
  <c r="C319" i="4"/>
  <c r="D319" i="4" s="1"/>
  <c r="C320" i="4"/>
  <c r="D320" i="4" s="1"/>
  <c r="C321" i="4"/>
  <c r="D321" i="4"/>
  <c r="C322" i="4"/>
  <c r="D322" i="4" s="1"/>
  <c r="C323" i="4"/>
  <c r="D323" i="4"/>
  <c r="C324" i="4"/>
  <c r="D324" i="4"/>
  <c r="C325" i="4"/>
  <c r="D325" i="4" s="1"/>
  <c r="C326" i="4"/>
  <c r="D326" i="4" s="1"/>
  <c r="C327" i="4"/>
  <c r="D327" i="4"/>
  <c r="C328" i="4"/>
  <c r="D328" i="4" s="1"/>
  <c r="C329" i="4"/>
  <c r="D329" i="4" s="1"/>
  <c r="C330" i="4"/>
  <c r="D330" i="4"/>
  <c r="C331" i="4"/>
  <c r="D331" i="4" s="1"/>
  <c r="C332" i="4"/>
  <c r="D332" i="4" s="1"/>
  <c r="C333" i="4"/>
  <c r="D333" i="4"/>
  <c r="C334" i="4"/>
  <c r="C335" i="4"/>
  <c r="D335" i="4"/>
  <c r="C336" i="4"/>
  <c r="D336" i="4" s="1"/>
  <c r="C337" i="4"/>
  <c r="D337" i="4" s="1"/>
  <c r="C338" i="4"/>
  <c r="C339" i="4"/>
  <c r="D339" i="4" s="1"/>
  <c r="C340" i="4"/>
  <c r="D340" i="4" s="1"/>
  <c r="C341" i="4"/>
  <c r="D341" i="4" s="1"/>
  <c r="C342" i="4"/>
  <c r="D342" i="4"/>
  <c r="C343" i="4"/>
  <c r="D343" i="4"/>
  <c r="C344" i="4"/>
  <c r="D344" i="4" s="1"/>
  <c r="C345" i="4"/>
  <c r="D345" i="4" s="1"/>
  <c r="C346" i="4"/>
  <c r="D346" i="4"/>
  <c r="C347" i="4"/>
  <c r="D347" i="4" s="1"/>
  <c r="C348" i="4"/>
  <c r="D348" i="4" s="1"/>
  <c r="C349" i="4"/>
  <c r="D349" i="4"/>
  <c r="C350" i="4"/>
  <c r="D350" i="4" s="1"/>
  <c r="C351" i="4"/>
  <c r="D351" i="4" s="1"/>
  <c r="C352" i="4"/>
  <c r="D352" i="4" s="1"/>
  <c r="C353" i="4"/>
  <c r="D353" i="4" s="1"/>
  <c r="C354" i="4"/>
  <c r="D354" i="4"/>
  <c r="C355" i="4"/>
  <c r="D355" i="4"/>
  <c r="C356" i="4"/>
  <c r="D356" i="4" s="1"/>
  <c r="C357" i="4"/>
  <c r="D357" i="4" s="1"/>
  <c r="C358" i="4"/>
  <c r="D358" i="4"/>
  <c r="C359" i="4"/>
  <c r="D359" i="4" s="1"/>
  <c r="C360" i="4"/>
  <c r="D360" i="4" s="1"/>
  <c r="C361" i="4"/>
  <c r="D361" i="4"/>
  <c r="C362" i="4"/>
  <c r="C363" i="4"/>
  <c r="D363" i="4"/>
  <c r="C364" i="4"/>
  <c r="D364" i="4"/>
  <c r="C365" i="4"/>
  <c r="D365" i="4" s="1"/>
  <c r="C366" i="4"/>
  <c r="D366" i="4"/>
  <c r="C367" i="4"/>
  <c r="D367" i="4" s="1"/>
  <c r="C368" i="4"/>
  <c r="D368" i="4" s="1"/>
  <c r="C369" i="4"/>
  <c r="D369" i="4"/>
  <c r="C370" i="4"/>
  <c r="D370" i="4"/>
  <c r="C371" i="4"/>
  <c r="D371" i="4" s="1"/>
  <c r="C372" i="4"/>
  <c r="D372" i="4"/>
  <c r="C373" i="4"/>
  <c r="D373" i="4" s="1"/>
  <c r="C374" i="4"/>
  <c r="D374" i="4"/>
  <c r="C375" i="4"/>
  <c r="D375" i="4"/>
  <c r="C376" i="4"/>
  <c r="D376" i="4"/>
  <c r="C377" i="4"/>
  <c r="D377" i="4" s="1"/>
  <c r="C378" i="4"/>
  <c r="D378" i="4"/>
  <c r="C379" i="4"/>
  <c r="D379" i="4" s="1"/>
  <c r="C380" i="4"/>
  <c r="D380" i="4"/>
  <c r="C381" i="4"/>
  <c r="D381" i="4"/>
  <c r="C382" i="4"/>
  <c r="D382" i="4"/>
  <c r="C383" i="4"/>
  <c r="D383" i="4" s="1"/>
  <c r="C384" i="4"/>
  <c r="D384" i="4"/>
  <c r="C385" i="4"/>
  <c r="D385" i="4" s="1"/>
  <c r="C386" i="4"/>
  <c r="D386" i="4" s="1"/>
  <c r="C387" i="4"/>
  <c r="D387" i="4"/>
  <c r="C388" i="4"/>
  <c r="D388" i="4"/>
  <c r="C389" i="4"/>
  <c r="D389" i="4" s="1"/>
  <c r="C390" i="4"/>
  <c r="D390" i="4"/>
  <c r="C391" i="4"/>
  <c r="D391" i="4" s="1"/>
  <c r="C392" i="4"/>
  <c r="D392" i="4"/>
  <c r="C393" i="4"/>
  <c r="D393" i="4"/>
  <c r="C394" i="4"/>
  <c r="D394" i="4"/>
  <c r="C395" i="4"/>
  <c r="D395" i="4" s="1"/>
  <c r="C396" i="4"/>
  <c r="D396" i="4"/>
  <c r="C21" i="7"/>
  <c r="D21" i="7" s="1"/>
  <c r="C22" i="7"/>
  <c r="D22" i="7" s="1"/>
  <c r="C23" i="7"/>
  <c r="D23" i="7"/>
  <c r="C24" i="7"/>
  <c r="D24" i="7"/>
  <c r="C25" i="7"/>
  <c r="D25" i="7" s="1"/>
  <c r="C26" i="7"/>
  <c r="D26" i="7"/>
  <c r="C27" i="7"/>
  <c r="D27" i="7" s="1"/>
  <c r="C28" i="7"/>
  <c r="D28" i="7"/>
  <c r="C29" i="7"/>
  <c r="D29" i="7"/>
  <c r="C30" i="7"/>
  <c r="D30" i="7"/>
  <c r="C31" i="7"/>
  <c r="D31" i="7" s="1"/>
  <c r="C32" i="7"/>
  <c r="D32" i="7"/>
  <c r="C33" i="7"/>
  <c r="D33" i="7"/>
  <c r="C34" i="7"/>
  <c r="D34" i="7" s="1"/>
  <c r="C35" i="7"/>
  <c r="D35" i="7"/>
  <c r="C36" i="7"/>
  <c r="D36" i="7"/>
  <c r="C37" i="7"/>
  <c r="D37" i="7" s="1"/>
  <c r="C38" i="7"/>
  <c r="D38" i="7"/>
  <c r="C39" i="7"/>
  <c r="D39" i="7"/>
  <c r="C40" i="7"/>
  <c r="D40" i="7"/>
  <c r="C41" i="7"/>
  <c r="D41" i="7"/>
  <c r="C42" i="7"/>
  <c r="D42" i="7"/>
  <c r="C43" i="7"/>
  <c r="D43" i="7" s="1"/>
  <c r="C44" i="7"/>
  <c r="D44" i="7"/>
  <c r="C45" i="7"/>
  <c r="D45" i="7"/>
  <c r="C46" i="7"/>
  <c r="D46" i="7"/>
  <c r="C47" i="7"/>
  <c r="D47" i="7"/>
  <c r="C48" i="7"/>
  <c r="D48" i="7"/>
  <c r="C49" i="7"/>
  <c r="D49" i="7" s="1"/>
  <c r="C50" i="7"/>
  <c r="D50" i="7"/>
  <c r="C51" i="7"/>
  <c r="D51" i="7" s="1"/>
  <c r="C52" i="7"/>
  <c r="D52" i="7"/>
  <c r="C53" i="7"/>
  <c r="D53" i="7"/>
  <c r="C54" i="7"/>
  <c r="D54" i="7"/>
  <c r="C55" i="7"/>
  <c r="D55" i="7" s="1"/>
  <c r="C56" i="7"/>
  <c r="C57" i="7"/>
  <c r="D57" i="7"/>
  <c r="C58" i="7"/>
  <c r="D58" i="7" s="1"/>
  <c r="C59" i="7"/>
  <c r="D59" i="7" s="1"/>
  <c r="C60" i="7"/>
  <c r="D60" i="7" s="1"/>
  <c r="C61" i="7"/>
  <c r="D61" i="7"/>
  <c r="C62" i="7"/>
  <c r="D62" i="7" s="1"/>
  <c r="C63" i="7"/>
  <c r="D63" i="7"/>
  <c r="C64" i="7"/>
  <c r="D64" i="7"/>
  <c r="C65" i="7"/>
  <c r="D65" i="7" s="1"/>
  <c r="C66" i="7"/>
  <c r="D66" i="7" s="1"/>
  <c r="C67" i="7"/>
  <c r="D67" i="7"/>
  <c r="C68" i="7"/>
  <c r="D68" i="7" s="1"/>
  <c r="C69" i="7"/>
  <c r="D69" i="7"/>
  <c r="C70" i="7"/>
  <c r="D70" i="7"/>
  <c r="C71" i="7"/>
  <c r="D71" i="7" s="1"/>
  <c r="C72" i="7"/>
  <c r="D72" i="7" s="1"/>
  <c r="C73" i="7"/>
  <c r="D73" i="7"/>
  <c r="C74" i="7"/>
  <c r="D74" i="7" s="1"/>
  <c r="C75" i="7"/>
  <c r="D75" i="7"/>
  <c r="C76" i="7"/>
  <c r="D76" i="7"/>
  <c r="C77" i="7"/>
  <c r="D77" i="7" s="1"/>
  <c r="C78" i="7"/>
  <c r="D78" i="7" s="1"/>
  <c r="C79" i="7"/>
  <c r="D79" i="7"/>
  <c r="C80" i="7"/>
  <c r="D80" i="7" s="1"/>
  <c r="C81" i="7"/>
  <c r="D81" i="7"/>
  <c r="C82" i="7"/>
  <c r="D82" i="7" s="1"/>
  <c r="C83" i="7"/>
  <c r="D83" i="7" s="1"/>
  <c r="C84" i="7"/>
  <c r="D84" i="7" s="1"/>
  <c r="C85" i="7"/>
  <c r="D85" i="7"/>
  <c r="C86" i="7"/>
  <c r="D86" i="7" s="1"/>
  <c r="C87" i="7"/>
  <c r="D87" i="7"/>
  <c r="C88" i="7"/>
  <c r="D88" i="7"/>
  <c r="C89" i="7"/>
  <c r="D89" i="7" s="1"/>
  <c r="C90" i="7"/>
  <c r="D90" i="7" s="1"/>
  <c r="C91" i="7"/>
  <c r="D91" i="7"/>
  <c r="C92" i="7"/>
  <c r="D92" i="7" s="1"/>
  <c r="C93" i="7"/>
  <c r="D93" i="7"/>
  <c r="C94" i="7"/>
  <c r="D94" i="7"/>
  <c r="C95" i="7"/>
  <c r="D95" i="7" s="1"/>
  <c r="C96" i="7"/>
  <c r="D96" i="7" s="1"/>
  <c r="C97" i="7"/>
  <c r="D97" i="7"/>
  <c r="C98" i="7"/>
  <c r="D98" i="7" s="1"/>
  <c r="C99" i="7"/>
  <c r="D99" i="7"/>
  <c r="C100" i="7"/>
  <c r="D100" i="7"/>
  <c r="C101" i="7"/>
  <c r="D101" i="7" s="1"/>
  <c r="C102" i="7"/>
  <c r="D102" i="7" s="1"/>
  <c r="C103" i="7"/>
  <c r="D103" i="7"/>
  <c r="C104" i="7"/>
  <c r="D104" i="7" s="1"/>
  <c r="C105" i="7"/>
  <c r="D105" i="7"/>
  <c r="C106" i="7"/>
  <c r="D106" i="7" s="1"/>
  <c r="C107" i="7"/>
  <c r="D107" i="7" s="1"/>
  <c r="C108" i="7"/>
  <c r="D108" i="7" s="1"/>
  <c r="C109" i="7"/>
  <c r="D109" i="7"/>
  <c r="C110" i="7"/>
  <c r="D110" i="7" s="1"/>
  <c r="C111" i="7"/>
  <c r="D111" i="7"/>
  <c r="C112" i="7"/>
  <c r="D112" i="7"/>
  <c r="C113" i="7"/>
  <c r="D113" i="7" s="1"/>
  <c r="C114" i="7"/>
  <c r="D114" i="7" s="1"/>
  <c r="C115" i="7"/>
  <c r="D115" i="7"/>
  <c r="C116" i="7"/>
  <c r="D116" i="7" s="1"/>
  <c r="C117" i="7"/>
  <c r="D117" i="7"/>
  <c r="C118" i="7"/>
  <c r="D118" i="7"/>
  <c r="C119" i="7"/>
  <c r="D119" i="7" s="1"/>
  <c r="C120" i="7"/>
  <c r="D120" i="7" s="1"/>
  <c r="C121" i="7"/>
  <c r="D121" i="7"/>
  <c r="C122" i="7"/>
  <c r="D122" i="7" s="1"/>
  <c r="C123" i="7"/>
  <c r="D123" i="7"/>
  <c r="C124" i="7"/>
  <c r="D124" i="7" s="1"/>
  <c r="C125" i="7"/>
  <c r="D125" i="7" s="1"/>
  <c r="C126" i="7"/>
  <c r="D126" i="7" s="1"/>
  <c r="C127" i="7"/>
  <c r="D127" i="7"/>
  <c r="C128" i="7"/>
  <c r="C129" i="7"/>
  <c r="D129" i="7"/>
  <c r="C130" i="7"/>
  <c r="D130" i="7" s="1"/>
  <c r="C131" i="7"/>
  <c r="D131" i="7"/>
  <c r="C132" i="7"/>
  <c r="D132" i="7"/>
  <c r="C133" i="7"/>
  <c r="D133" i="7"/>
  <c r="C134" i="7"/>
  <c r="D134" i="7" s="1"/>
  <c r="C135" i="7"/>
  <c r="D135" i="7"/>
  <c r="C136" i="7"/>
  <c r="C137" i="7"/>
  <c r="D137" i="7"/>
  <c r="C138" i="7"/>
  <c r="D138" i="7" s="1"/>
  <c r="C139" i="7"/>
  <c r="D139" i="7" s="1"/>
  <c r="C140" i="7"/>
  <c r="D140" i="7" s="1"/>
  <c r="C141" i="7"/>
  <c r="D141" i="7"/>
  <c r="C142" i="7"/>
  <c r="D142" i="7"/>
  <c r="C143" i="7"/>
  <c r="D143" i="7" s="1"/>
  <c r="C144" i="7"/>
  <c r="D144" i="7" s="1"/>
  <c r="C145" i="7"/>
  <c r="D145" i="7" s="1"/>
  <c r="C146" i="7"/>
  <c r="D146" i="7"/>
  <c r="C147" i="7"/>
  <c r="D147" i="7" s="1"/>
  <c r="C148" i="7"/>
  <c r="D148" i="7"/>
  <c r="C149" i="7"/>
  <c r="D149" i="7"/>
  <c r="C150" i="7"/>
  <c r="D150" i="7" s="1"/>
  <c r="C151" i="7"/>
  <c r="D151" i="7" s="1"/>
  <c r="C152" i="7"/>
  <c r="D152" i="7"/>
  <c r="C153" i="7"/>
  <c r="D153" i="7"/>
  <c r="C154" i="7"/>
  <c r="D154" i="7" s="1"/>
  <c r="C155" i="7"/>
  <c r="D155" i="7"/>
  <c r="C156" i="7"/>
  <c r="D156" i="7" s="1"/>
  <c r="C157" i="7"/>
  <c r="D157" i="7" s="1"/>
  <c r="C158" i="7"/>
  <c r="D158" i="7" s="1"/>
  <c r="C159" i="7"/>
  <c r="D159" i="7"/>
  <c r="C160" i="7"/>
  <c r="D160" i="7"/>
  <c r="C161" i="7"/>
  <c r="D161" i="7" s="1"/>
  <c r="C162" i="7"/>
  <c r="D162" i="7" s="1"/>
  <c r="C163" i="7"/>
  <c r="D163" i="7" s="1"/>
  <c r="C164" i="7"/>
  <c r="D164" i="7"/>
  <c r="C165" i="7"/>
  <c r="D165" i="7" s="1"/>
  <c r="C166" i="7"/>
  <c r="D166" i="7"/>
  <c r="C167" i="7"/>
  <c r="D167" i="7"/>
  <c r="C168" i="7"/>
  <c r="D168" i="7" s="1"/>
  <c r="C169" i="7"/>
  <c r="D169" i="7" s="1"/>
  <c r="C170" i="7"/>
  <c r="D170" i="7"/>
  <c r="C171" i="7"/>
  <c r="D171" i="7"/>
  <c r="C172" i="7"/>
  <c r="D172" i="7" s="1"/>
  <c r="C173" i="7"/>
  <c r="D173" i="7"/>
  <c r="C174" i="7"/>
  <c r="D174" i="7" s="1"/>
  <c r="C175" i="7"/>
  <c r="D175" i="7" s="1"/>
  <c r="C176" i="7"/>
  <c r="D176" i="7" s="1"/>
  <c r="C177" i="7"/>
  <c r="D177" i="7"/>
  <c r="C178" i="7"/>
  <c r="D178" i="7"/>
  <c r="C179" i="7"/>
  <c r="D179" i="7" s="1"/>
  <c r="C180" i="7"/>
  <c r="D180" i="7" s="1"/>
  <c r="C181" i="7"/>
  <c r="D181" i="7" s="1"/>
  <c r="C182" i="7"/>
  <c r="D182" i="7"/>
  <c r="C183" i="7"/>
  <c r="D183" i="7" s="1"/>
  <c r="C184" i="7"/>
  <c r="D184" i="7"/>
  <c r="C185" i="7"/>
  <c r="D185" i="7"/>
  <c r="C186" i="7"/>
  <c r="D186" i="7" s="1"/>
  <c r="C187" i="7"/>
  <c r="D187" i="7" s="1"/>
  <c r="C188" i="7"/>
  <c r="D188" i="7"/>
  <c r="C189" i="7"/>
  <c r="D189" i="7"/>
  <c r="C190" i="7"/>
  <c r="D190" i="7" s="1"/>
  <c r="C191" i="7"/>
  <c r="D191" i="7"/>
  <c r="C192" i="7"/>
  <c r="D192" i="7" s="1"/>
  <c r="C193" i="7"/>
  <c r="D193" i="7" s="1"/>
  <c r="C194" i="7"/>
  <c r="D194" i="7" s="1"/>
  <c r="C195" i="7"/>
  <c r="D195" i="7"/>
  <c r="C196" i="7"/>
  <c r="D196" i="7"/>
  <c r="C197" i="7"/>
  <c r="D197" i="7" s="1"/>
  <c r="C198" i="7"/>
  <c r="D198" i="7" s="1"/>
  <c r="C199" i="7"/>
  <c r="D199" i="7" s="1"/>
  <c r="C200" i="7"/>
  <c r="D200" i="7"/>
  <c r="C201" i="7"/>
  <c r="D201" i="7" s="1"/>
  <c r="C202" i="7"/>
  <c r="D202" i="7"/>
  <c r="C203" i="7"/>
  <c r="D203" i="7"/>
  <c r="C204" i="7"/>
  <c r="D204" i="7"/>
  <c r="C205" i="7"/>
  <c r="D205" i="7" s="1"/>
  <c r="C206" i="7"/>
  <c r="D206" i="7"/>
  <c r="C207" i="7"/>
  <c r="D207" i="7" s="1"/>
  <c r="C208" i="7"/>
  <c r="D208" i="7"/>
  <c r="C209" i="7"/>
  <c r="D209" i="7"/>
  <c r="C210" i="7"/>
  <c r="D210" i="7"/>
  <c r="C211" i="7"/>
  <c r="D211" i="7" s="1"/>
  <c r="C212" i="7"/>
  <c r="D212" i="7"/>
  <c r="C213" i="7"/>
  <c r="D213" i="7" s="1"/>
  <c r="C214" i="7"/>
  <c r="D214" i="7"/>
  <c r="C215" i="7"/>
  <c r="D215" i="7"/>
  <c r="C216" i="7"/>
  <c r="D216" i="7"/>
  <c r="C217" i="7"/>
  <c r="D217" i="7" s="1"/>
  <c r="C218" i="7"/>
  <c r="D218" i="7"/>
  <c r="C219" i="7"/>
  <c r="D219" i="7" s="1"/>
  <c r="C220" i="7"/>
  <c r="D220" i="7"/>
  <c r="C221" i="7"/>
  <c r="D221" i="7"/>
  <c r="C222" i="7"/>
  <c r="D222" i="7"/>
  <c r="C223" i="7"/>
  <c r="D223" i="7" s="1"/>
  <c r="C224" i="7"/>
  <c r="D224" i="7"/>
  <c r="C225" i="7"/>
  <c r="D225" i="7" s="1"/>
  <c r="C226" i="7"/>
  <c r="D226" i="7"/>
  <c r="C227" i="7"/>
  <c r="D227" i="7"/>
  <c r="C228" i="7"/>
  <c r="D228" i="7"/>
  <c r="C229" i="7"/>
  <c r="D229" i="7" s="1"/>
  <c r="C230" i="7"/>
  <c r="D230" i="7"/>
  <c r="C231" i="7"/>
  <c r="D231" i="7" s="1"/>
  <c r="C232" i="7"/>
  <c r="D232" i="7"/>
  <c r="C233" i="7"/>
  <c r="D233" i="7"/>
  <c r="C234" i="7"/>
  <c r="D234" i="7"/>
  <c r="C235" i="7"/>
  <c r="D235" i="7" s="1"/>
  <c r="C236" i="7"/>
  <c r="D236" i="7"/>
  <c r="C237" i="7"/>
  <c r="D237" i="7" s="1"/>
  <c r="C238" i="7"/>
  <c r="D238" i="7"/>
  <c r="C239" i="7"/>
  <c r="D239" i="7"/>
  <c r="C240" i="7"/>
  <c r="D240" i="7"/>
  <c r="C241" i="7"/>
  <c r="D241" i="7" s="1"/>
  <c r="C242" i="7"/>
  <c r="D242" i="7"/>
  <c r="C243" i="7"/>
  <c r="D243" i="7" s="1"/>
  <c r="C244" i="7"/>
  <c r="D244" i="7"/>
  <c r="C245" i="7"/>
  <c r="D245" i="7"/>
  <c r="C246" i="7"/>
  <c r="D246" i="7"/>
  <c r="C247" i="7"/>
  <c r="D247" i="7" s="1"/>
  <c r="C248" i="7"/>
  <c r="D248" i="7"/>
  <c r="C249" i="7"/>
  <c r="D249" i="7" s="1"/>
  <c r="C250" i="7"/>
  <c r="D250" i="7"/>
  <c r="C251" i="7"/>
  <c r="D251" i="7"/>
  <c r="C252" i="7"/>
  <c r="D252" i="7"/>
  <c r="C253" i="7"/>
  <c r="D253" i="7" s="1"/>
  <c r="C254" i="7"/>
  <c r="D254" i="7"/>
  <c r="C255" i="7"/>
  <c r="D255" i="7" s="1"/>
  <c r="C256" i="7"/>
  <c r="D256" i="7"/>
  <c r="C257" i="7"/>
  <c r="D257" i="7"/>
  <c r="C258" i="7"/>
  <c r="D258" i="7"/>
  <c r="C259" i="7"/>
  <c r="D259" i="7" s="1"/>
  <c r="C260" i="7"/>
  <c r="D260" i="7"/>
  <c r="C261" i="7"/>
  <c r="D261" i="7" s="1"/>
  <c r="C262" i="7"/>
  <c r="D262" i="7"/>
  <c r="C263" i="7"/>
  <c r="D263" i="7"/>
  <c r="C264" i="7"/>
  <c r="D264" i="7"/>
  <c r="C265" i="7"/>
  <c r="D265" i="7" s="1"/>
  <c r="C266" i="7"/>
  <c r="D266" i="7"/>
  <c r="C267" i="7"/>
  <c r="D267" i="7" s="1"/>
  <c r="C268" i="7"/>
  <c r="D268" i="7"/>
  <c r="C269" i="7"/>
  <c r="D269" i="7"/>
  <c r="C270" i="7"/>
  <c r="D270" i="7"/>
  <c r="C271" i="7"/>
  <c r="D271" i="7" s="1"/>
  <c r="C272" i="7"/>
  <c r="D272" i="7"/>
  <c r="C273" i="7"/>
  <c r="D273" i="7" s="1"/>
  <c r="C274" i="7"/>
  <c r="D274" i="7"/>
  <c r="C275" i="7"/>
  <c r="D275" i="7"/>
  <c r="C276" i="7"/>
  <c r="D276" i="7"/>
  <c r="C277" i="7"/>
  <c r="D277" i="7" s="1"/>
  <c r="C278" i="7"/>
  <c r="D278" i="7"/>
  <c r="C279" i="7"/>
  <c r="D279" i="7" s="1"/>
  <c r="C280" i="7"/>
  <c r="D280" i="7"/>
  <c r="C281" i="7"/>
  <c r="D281" i="7"/>
  <c r="C282" i="7"/>
  <c r="D282" i="7"/>
  <c r="C283" i="7"/>
  <c r="D283" i="7" s="1"/>
  <c r="C284" i="7"/>
  <c r="D284" i="7"/>
  <c r="C285" i="7"/>
  <c r="D285" i="7" s="1"/>
  <c r="C286" i="7"/>
  <c r="D286" i="7"/>
  <c r="C287" i="7"/>
  <c r="D287" i="7"/>
  <c r="C288" i="7"/>
  <c r="D288" i="7"/>
  <c r="C289" i="7"/>
  <c r="D289" i="7" s="1"/>
  <c r="C290" i="7"/>
  <c r="D290" i="7"/>
  <c r="C291" i="7"/>
  <c r="D291" i="7" s="1"/>
  <c r="C292" i="7"/>
  <c r="D292" i="7"/>
  <c r="C293" i="7"/>
  <c r="D293" i="7"/>
  <c r="C294" i="7"/>
  <c r="D294" i="7"/>
  <c r="C295" i="7"/>
  <c r="D295" i="7" s="1"/>
  <c r="C296" i="7"/>
  <c r="D296" i="7"/>
  <c r="C297" i="7"/>
  <c r="D297" i="7" s="1"/>
  <c r="C298" i="7"/>
  <c r="D298" i="7"/>
  <c r="C299" i="7"/>
  <c r="D299" i="7"/>
  <c r="C300" i="7"/>
  <c r="D300" i="7"/>
  <c r="C301" i="7"/>
  <c r="D301" i="7" s="1"/>
  <c r="C302" i="7"/>
  <c r="D302" i="7"/>
  <c r="C303" i="7"/>
  <c r="D303" i="7" s="1"/>
  <c r="C304" i="7"/>
  <c r="D304" i="7"/>
  <c r="C305" i="7"/>
  <c r="D305" i="7"/>
  <c r="C306" i="7"/>
  <c r="D306" i="7"/>
  <c r="C307" i="7"/>
  <c r="D307" i="7" s="1"/>
  <c r="C308" i="7"/>
  <c r="D308" i="7"/>
  <c r="C309" i="7"/>
  <c r="D309" i="7" s="1"/>
  <c r="C310" i="7"/>
  <c r="D310" i="7"/>
  <c r="C311" i="7"/>
  <c r="D311" i="7"/>
  <c r="C312" i="7"/>
  <c r="D312" i="7"/>
  <c r="C313" i="7"/>
  <c r="D313" i="7" s="1"/>
  <c r="C314" i="7"/>
  <c r="D314" i="7"/>
  <c r="C315" i="7"/>
  <c r="D315" i="7" s="1"/>
  <c r="C316" i="7"/>
  <c r="D316" i="7"/>
  <c r="C317" i="7"/>
  <c r="D317" i="7"/>
  <c r="C318" i="7"/>
  <c r="D318" i="7"/>
  <c r="C319" i="7"/>
  <c r="D319" i="7" s="1"/>
  <c r="C320" i="7"/>
  <c r="D320" i="7"/>
  <c r="C321" i="7"/>
  <c r="D321" i="7" s="1"/>
  <c r="C322" i="7"/>
  <c r="D322" i="7"/>
  <c r="C323" i="7"/>
  <c r="D323" i="7"/>
  <c r="C324" i="7"/>
  <c r="D324" i="7"/>
  <c r="C325" i="7"/>
  <c r="D325" i="7" s="1"/>
  <c r="C326" i="7"/>
  <c r="D326" i="7"/>
  <c r="C327" i="7"/>
  <c r="D327" i="7" s="1"/>
  <c r="C328" i="7"/>
  <c r="D328" i="7"/>
  <c r="C329" i="7"/>
  <c r="D329" i="7"/>
  <c r="C330" i="7"/>
  <c r="D330" i="7"/>
  <c r="C331" i="7"/>
  <c r="D331" i="7" s="1"/>
  <c r="C332" i="7"/>
  <c r="D332" i="7"/>
  <c r="C333" i="7"/>
  <c r="D333" i="7" s="1"/>
  <c r="C334" i="7"/>
  <c r="D334" i="7"/>
  <c r="C335" i="7"/>
  <c r="D335" i="7"/>
  <c r="C336" i="7"/>
  <c r="D336" i="7"/>
  <c r="C337" i="7"/>
  <c r="D337" i="7" s="1"/>
  <c r="C338" i="7"/>
  <c r="D338" i="7"/>
  <c r="C339" i="7"/>
  <c r="D339" i="7" s="1"/>
  <c r="C340" i="7"/>
  <c r="D340" i="7"/>
  <c r="C341" i="7"/>
  <c r="D341" i="7"/>
  <c r="C342" i="7"/>
  <c r="D342" i="7"/>
  <c r="C343" i="7"/>
  <c r="D343" i="7" s="1"/>
  <c r="C344" i="7"/>
  <c r="D344" i="7"/>
  <c r="C345" i="7"/>
  <c r="D345" i="7" s="1"/>
  <c r="C346" i="7"/>
  <c r="D346" i="7"/>
  <c r="C347" i="7"/>
  <c r="D347" i="7"/>
  <c r="C348" i="7"/>
  <c r="D348" i="7"/>
  <c r="C349" i="7"/>
  <c r="D349" i="7" s="1"/>
  <c r="C350" i="7"/>
  <c r="D350" i="7"/>
  <c r="C351" i="7"/>
  <c r="D351" i="7" s="1"/>
  <c r="C352" i="7"/>
  <c r="D352" i="7"/>
  <c r="C353" i="7"/>
  <c r="D353" i="7"/>
  <c r="C354" i="7"/>
  <c r="D354" i="7"/>
  <c r="C355" i="7"/>
  <c r="D355" i="7" s="1"/>
  <c r="C356" i="7"/>
  <c r="D356" i="7"/>
  <c r="C357" i="7"/>
  <c r="D357" i="7" s="1"/>
  <c r="C358" i="7"/>
  <c r="D358" i="7"/>
  <c r="C359" i="7"/>
  <c r="D359" i="7"/>
  <c r="C360" i="7"/>
  <c r="D360" i="7"/>
  <c r="C361" i="7"/>
  <c r="D361" i="7" s="1"/>
  <c r="C362" i="7"/>
  <c r="D362" i="7"/>
  <c r="C363" i="7"/>
  <c r="D363" i="7" s="1"/>
  <c r="C364" i="7"/>
  <c r="D364" i="7"/>
  <c r="C365" i="7"/>
  <c r="D365" i="7"/>
  <c r="C366" i="7"/>
  <c r="D366" i="7"/>
  <c r="C367" i="7"/>
  <c r="D367" i="7" s="1"/>
  <c r="C368" i="7"/>
  <c r="D368" i="7"/>
  <c r="C369" i="7"/>
  <c r="D369" i="7" s="1"/>
  <c r="C370" i="7"/>
  <c r="D370" i="7"/>
  <c r="C371" i="7"/>
  <c r="D371" i="7"/>
  <c r="C372" i="7"/>
  <c r="D372" i="7"/>
  <c r="C373" i="7"/>
  <c r="D373" i="7" s="1"/>
  <c r="C374" i="7"/>
  <c r="D374" i="7"/>
  <c r="C375" i="7"/>
  <c r="D375" i="7" s="1"/>
  <c r="C376" i="7"/>
  <c r="D376" i="7"/>
  <c r="C377" i="7"/>
  <c r="D377" i="7"/>
  <c r="C378" i="7"/>
  <c r="D378" i="7"/>
  <c r="C379" i="7"/>
  <c r="D379" i="7" s="1"/>
  <c r="C380" i="7"/>
  <c r="D380" i="7"/>
  <c r="C381" i="7"/>
  <c r="D381" i="7" s="1"/>
  <c r="C382" i="7"/>
  <c r="D382" i="7"/>
  <c r="C383" i="7"/>
  <c r="D383" i="7"/>
  <c r="C384" i="7"/>
  <c r="D384" i="7"/>
  <c r="C385" i="7"/>
  <c r="D385" i="7" s="1"/>
  <c r="C386" i="7"/>
  <c r="D386" i="7"/>
  <c r="C387" i="7"/>
  <c r="D387" i="7" s="1"/>
  <c r="C388" i="7"/>
  <c r="D388" i="7"/>
  <c r="C389" i="7"/>
  <c r="D389" i="7"/>
  <c r="C390" i="7"/>
  <c r="D390" i="7"/>
  <c r="C391" i="7"/>
  <c r="D391" i="7" s="1"/>
  <c r="C392" i="7"/>
  <c r="D392" i="7"/>
  <c r="C21" i="8"/>
  <c r="D21" i="8" s="1"/>
  <c r="C22" i="8"/>
  <c r="C23" i="8"/>
  <c r="D23" i="8" s="1"/>
  <c r="C24" i="8"/>
  <c r="C25" i="8"/>
  <c r="D25" i="8"/>
  <c r="C26" i="8"/>
  <c r="C27" i="8"/>
  <c r="D27" i="8" s="1"/>
  <c r="C28" i="8"/>
  <c r="D28" i="8"/>
  <c r="C29" i="8"/>
  <c r="C30" i="8"/>
  <c r="C31" i="8"/>
  <c r="D31" i="8" s="1"/>
  <c r="C32" i="8"/>
  <c r="D32" i="8" s="1"/>
  <c r="C33" i="8"/>
  <c r="D33" i="8" s="1"/>
  <c r="C34" i="8"/>
  <c r="C35" i="8"/>
  <c r="D35" i="8"/>
  <c r="C36" i="8"/>
  <c r="D36" i="8" s="1"/>
  <c r="C37" i="8"/>
  <c r="D37" i="8"/>
  <c r="C38" i="8"/>
  <c r="C39" i="8"/>
  <c r="D39" i="8" s="1"/>
  <c r="C40" i="8"/>
  <c r="D40" i="8"/>
  <c r="C41" i="8"/>
  <c r="D41" i="8" s="1"/>
  <c r="C42" i="8"/>
  <c r="C43" i="8"/>
  <c r="D43" i="8" s="1"/>
  <c r="C44" i="8"/>
  <c r="D44" i="8"/>
  <c r="C45" i="8"/>
  <c r="D45" i="8"/>
  <c r="C46" i="8"/>
  <c r="C47" i="8"/>
  <c r="D47" i="8" s="1"/>
  <c r="C48" i="8"/>
  <c r="D48" i="8" s="1"/>
  <c r="C49" i="8"/>
  <c r="C50" i="8"/>
  <c r="C51" i="8"/>
  <c r="D51" i="8"/>
  <c r="C52" i="8"/>
  <c r="D52" i="8" s="1"/>
  <c r="C53" i="8"/>
  <c r="D53" i="8" s="1"/>
  <c r="C54" i="8"/>
  <c r="C55" i="8"/>
  <c r="D55" i="8" s="1"/>
  <c r="C56" i="8"/>
  <c r="D56" i="8"/>
  <c r="C57" i="8"/>
  <c r="D57" i="8" s="1"/>
  <c r="C58" i="8"/>
  <c r="C59" i="8"/>
  <c r="D59" i="8" s="1"/>
  <c r="C60" i="8"/>
  <c r="C61" i="8"/>
  <c r="D61" i="8"/>
  <c r="C62" i="8"/>
  <c r="C63" i="8"/>
  <c r="D63" i="8"/>
  <c r="C64" i="8"/>
  <c r="C65" i="8"/>
  <c r="D65" i="8" s="1"/>
  <c r="C66" i="8"/>
  <c r="C67" i="8"/>
  <c r="D67" i="8" s="1"/>
  <c r="C68" i="8"/>
  <c r="C69" i="8"/>
  <c r="D69" i="8"/>
  <c r="C70" i="8"/>
  <c r="C71" i="8"/>
  <c r="D71" i="8"/>
  <c r="C72" i="8"/>
  <c r="D72" i="8"/>
  <c r="C73" i="8"/>
  <c r="D73" i="8"/>
  <c r="C74" i="8"/>
  <c r="C75" i="8"/>
  <c r="D75" i="8"/>
  <c r="C76" i="8"/>
  <c r="D76" i="8"/>
  <c r="C77" i="8"/>
  <c r="D77" i="8" s="1"/>
  <c r="C78" i="8"/>
  <c r="C79" i="8"/>
  <c r="D79" i="8"/>
  <c r="C80" i="8"/>
  <c r="D80" i="8"/>
  <c r="C81" i="8"/>
  <c r="D81" i="8" s="1"/>
  <c r="C82" i="8"/>
  <c r="C83" i="8"/>
  <c r="D83" i="8"/>
  <c r="C84" i="8"/>
  <c r="D84" i="8" s="1"/>
  <c r="C85" i="8"/>
  <c r="D85" i="8"/>
  <c r="C86" i="8"/>
  <c r="C87" i="8"/>
  <c r="D87" i="8"/>
  <c r="C88" i="8"/>
  <c r="C89" i="8"/>
  <c r="D89" i="8"/>
  <c r="C90" i="8"/>
  <c r="C91" i="8"/>
  <c r="D91" i="8" s="1"/>
  <c r="C92" i="8"/>
  <c r="D92" i="8"/>
  <c r="C93" i="8"/>
  <c r="D93" i="8"/>
  <c r="C94" i="8"/>
  <c r="C95" i="8"/>
  <c r="D95" i="8"/>
  <c r="C96" i="8"/>
  <c r="D96" i="8"/>
  <c r="C97" i="8"/>
  <c r="D97" i="8"/>
  <c r="C98" i="8"/>
  <c r="C99" i="8"/>
  <c r="D99" i="8"/>
  <c r="C100" i="8"/>
  <c r="D100" i="8"/>
  <c r="C101" i="8"/>
  <c r="D101" i="8"/>
  <c r="C102" i="8"/>
  <c r="C103" i="8"/>
  <c r="D103" i="8"/>
  <c r="C104" i="8"/>
  <c r="D104" i="8"/>
  <c r="C105" i="8"/>
  <c r="D105" i="8" s="1"/>
  <c r="C106" i="8"/>
  <c r="C107" i="8"/>
  <c r="D107" i="8"/>
  <c r="C108" i="8"/>
  <c r="C109" i="8"/>
  <c r="D109" i="8"/>
  <c r="C110" i="8"/>
  <c r="C111" i="8"/>
  <c r="D111" i="8" s="1"/>
  <c r="C112" i="8"/>
  <c r="D112" i="8" s="1"/>
  <c r="C113" i="8"/>
  <c r="D113" i="8"/>
  <c r="C114" i="8"/>
  <c r="C115" i="8"/>
  <c r="D115" i="8" s="1"/>
  <c r="C116" i="8"/>
  <c r="D116" i="8"/>
  <c r="C117" i="8"/>
  <c r="D117" i="8"/>
  <c r="C118" i="8"/>
  <c r="C119" i="8"/>
  <c r="D119" i="8" s="1"/>
  <c r="C120" i="8"/>
  <c r="C121" i="8"/>
  <c r="D121" i="8"/>
  <c r="C122" i="8"/>
  <c r="C123" i="8"/>
  <c r="D123" i="8"/>
  <c r="C124" i="8"/>
  <c r="D124" i="8" s="1"/>
  <c r="C125" i="8"/>
  <c r="D125" i="8" s="1"/>
  <c r="C126" i="8"/>
  <c r="C127" i="8"/>
  <c r="D127" i="8" s="1"/>
  <c r="C128" i="8"/>
  <c r="C129" i="8"/>
  <c r="C130" i="8"/>
  <c r="C131" i="8"/>
  <c r="D131" i="8"/>
  <c r="C132" i="8"/>
  <c r="C133" i="8"/>
  <c r="D133" i="8"/>
  <c r="C134" i="8"/>
  <c r="C135" i="8"/>
  <c r="D135" i="8" s="1"/>
  <c r="C136" i="8"/>
  <c r="D136" i="8"/>
  <c r="C137" i="8"/>
  <c r="D137" i="8"/>
  <c r="C138" i="8"/>
  <c r="C139" i="8"/>
  <c r="D139" i="8"/>
  <c r="C140" i="8"/>
  <c r="D140" i="8"/>
  <c r="C141" i="8"/>
  <c r="D141" i="8"/>
  <c r="C142" i="8"/>
  <c r="C143" i="8"/>
  <c r="D143" i="8"/>
  <c r="C144" i="8"/>
  <c r="D144" i="8"/>
  <c r="C145" i="8"/>
  <c r="D145" i="8"/>
  <c r="C146" i="8"/>
  <c r="C147" i="8"/>
  <c r="D147" i="8"/>
  <c r="C148" i="8"/>
  <c r="D148" i="8"/>
  <c r="C149" i="8"/>
  <c r="D149" i="8" s="1"/>
  <c r="C150" i="8"/>
  <c r="G150" i="8"/>
  <c r="C21" i="10"/>
  <c r="C22" i="10"/>
  <c r="C23" i="10"/>
  <c r="C24" i="10"/>
  <c r="D24" i="10" s="1"/>
  <c r="C25" i="10"/>
  <c r="D25" i="10" s="1"/>
  <c r="C26" i="10"/>
  <c r="C27" i="10"/>
  <c r="D27" i="10" s="1"/>
  <c r="C28" i="10"/>
  <c r="D28" i="10"/>
  <c r="C29" i="10"/>
  <c r="D29" i="10" s="1"/>
  <c r="C30" i="10"/>
  <c r="C31" i="10"/>
  <c r="D31" i="10" s="1"/>
  <c r="C32" i="10"/>
  <c r="D32" i="10" s="1"/>
  <c r="C33" i="10"/>
  <c r="D33" i="10" s="1"/>
  <c r="C34" i="10"/>
  <c r="C35" i="10"/>
  <c r="D35" i="10"/>
  <c r="C36" i="10"/>
  <c r="D36" i="10" s="1"/>
  <c r="C37" i="10"/>
  <c r="D37" i="10"/>
  <c r="C38" i="10"/>
  <c r="C39" i="10"/>
  <c r="D39" i="10" s="1"/>
  <c r="C40" i="10"/>
  <c r="D40" i="10" s="1"/>
  <c r="C41" i="10"/>
  <c r="D41" i="10" s="1"/>
  <c r="C42" i="10"/>
  <c r="C43" i="10"/>
  <c r="D43" i="10" s="1"/>
  <c r="C44" i="10"/>
  <c r="D44" i="10"/>
  <c r="C45" i="10"/>
  <c r="D45" i="10"/>
  <c r="C46" i="10"/>
  <c r="C47" i="10"/>
  <c r="D47" i="10" s="1"/>
  <c r="C48" i="10"/>
  <c r="D48" i="10" s="1"/>
  <c r="C49" i="10"/>
  <c r="C50" i="10"/>
  <c r="C51" i="10"/>
  <c r="C52" i="10"/>
  <c r="D52" i="10"/>
  <c r="C53" i="10"/>
  <c r="D53" i="10"/>
  <c r="C54" i="10"/>
  <c r="C55" i="10"/>
  <c r="D55" i="10" s="1"/>
  <c r="C56" i="10"/>
  <c r="D56" i="10" s="1"/>
  <c r="C57" i="10"/>
  <c r="D57" i="10"/>
  <c r="C58" i="10"/>
  <c r="C59" i="10"/>
  <c r="D59" i="10"/>
  <c r="C60" i="10"/>
  <c r="D60" i="10"/>
  <c r="C61" i="10"/>
  <c r="D61" i="10"/>
  <c r="C62" i="10"/>
  <c r="C63" i="10"/>
  <c r="D63" i="10" s="1"/>
  <c r="C64" i="10"/>
  <c r="D64" i="10"/>
  <c r="C65" i="10"/>
  <c r="D65" i="10"/>
  <c r="C66" i="10"/>
  <c r="C67" i="10"/>
  <c r="D67" i="10"/>
  <c r="C68" i="10"/>
  <c r="D68" i="10"/>
  <c r="C69" i="10"/>
  <c r="C70" i="10"/>
  <c r="C71" i="10"/>
  <c r="D71" i="10"/>
  <c r="C72" i="10"/>
  <c r="D72" i="10" s="1"/>
  <c r="C73" i="10"/>
  <c r="D73" i="10"/>
  <c r="C74" i="10"/>
  <c r="C75" i="10"/>
  <c r="D75" i="10" s="1"/>
  <c r="C76" i="10"/>
  <c r="D76" i="10" s="1"/>
  <c r="C77" i="10"/>
  <c r="D77" i="10" s="1"/>
  <c r="C78" i="10"/>
  <c r="C79" i="10"/>
  <c r="D79" i="10" s="1"/>
  <c r="C80" i="10"/>
  <c r="D80" i="10"/>
  <c r="C81" i="10"/>
  <c r="D81" i="10"/>
  <c r="C82" i="10"/>
  <c r="C83" i="10"/>
  <c r="D83" i="10" s="1"/>
  <c r="C84" i="10"/>
  <c r="D84" i="10" s="1"/>
  <c r="C85" i="10"/>
  <c r="D85" i="10"/>
  <c r="C86" i="10"/>
  <c r="C87" i="10"/>
  <c r="C88" i="10"/>
  <c r="D88" i="10" s="1"/>
  <c r="C89" i="10"/>
  <c r="D89" i="10" s="1"/>
  <c r="C90" i="10"/>
  <c r="C91" i="10"/>
  <c r="C92" i="10"/>
  <c r="D92" i="10" s="1"/>
  <c r="C93" i="10"/>
  <c r="C94" i="10"/>
  <c r="C95" i="10"/>
  <c r="D95" i="10"/>
  <c r="C96" i="10"/>
  <c r="D96" i="10" s="1"/>
  <c r="C97" i="10"/>
  <c r="D97" i="10" s="1"/>
  <c r="C98" i="10"/>
  <c r="C99" i="10"/>
  <c r="D99" i="10" s="1"/>
  <c r="C100" i="10"/>
  <c r="D100" i="10"/>
  <c r="C101" i="10"/>
  <c r="D101" i="10" s="1"/>
  <c r="C102" i="10"/>
  <c r="C103" i="10"/>
  <c r="C104" i="10"/>
  <c r="D104" i="10"/>
  <c r="C105" i="10"/>
  <c r="D105" i="10"/>
  <c r="C106" i="10"/>
  <c r="C107" i="10"/>
  <c r="D107" i="10" s="1"/>
  <c r="C108" i="10"/>
  <c r="D108" i="10"/>
  <c r="C109" i="10"/>
  <c r="C110" i="10"/>
  <c r="C111" i="10"/>
  <c r="D111" i="10" s="1"/>
  <c r="C112" i="10"/>
  <c r="D112" i="10" s="1"/>
  <c r="C113" i="10"/>
  <c r="D113" i="10" s="1"/>
  <c r="C114" i="10"/>
  <c r="C115" i="10"/>
  <c r="D115" i="10"/>
  <c r="C116" i="10"/>
  <c r="D116" i="10" s="1"/>
  <c r="C117" i="10"/>
  <c r="D117" i="10"/>
  <c r="C118" i="10"/>
  <c r="C119" i="10"/>
  <c r="D119" i="10" s="1"/>
  <c r="C120" i="10"/>
  <c r="D120" i="10" s="1"/>
  <c r="C121" i="10"/>
  <c r="D121" i="10" s="1"/>
  <c r="C122" i="10"/>
  <c r="C123" i="10"/>
  <c r="D123" i="10" s="1"/>
  <c r="C124" i="10"/>
  <c r="D124" i="10"/>
  <c r="C125" i="10"/>
  <c r="D125" i="10"/>
  <c r="C126" i="10"/>
  <c r="C127" i="10"/>
  <c r="D127" i="10" s="1"/>
  <c r="C128" i="10"/>
  <c r="D128" i="10" s="1"/>
  <c r="C129" i="10"/>
  <c r="D129" i="10"/>
  <c r="C130" i="10"/>
  <c r="C131" i="10"/>
  <c r="D131" i="10"/>
  <c r="C132" i="10"/>
  <c r="D132" i="10"/>
  <c r="C133" i="10"/>
  <c r="D133" i="10"/>
  <c r="C134" i="10"/>
  <c r="C135" i="10"/>
  <c r="D135" i="10" s="1"/>
  <c r="C136" i="10"/>
  <c r="D136" i="10"/>
  <c r="C137" i="10"/>
  <c r="C138" i="10"/>
  <c r="C139" i="10"/>
  <c r="D139" i="10" s="1"/>
  <c r="C140" i="10"/>
  <c r="D140" i="10" s="1"/>
  <c r="C141" i="10"/>
  <c r="D141" i="10" s="1"/>
  <c r="C142" i="10"/>
  <c r="G142" i="10"/>
  <c r="C21" i="11"/>
  <c r="C22" i="11"/>
  <c r="D22" i="11" s="1"/>
  <c r="C23" i="11"/>
  <c r="D23" i="11"/>
  <c r="C24" i="11"/>
  <c r="D24" i="11"/>
  <c r="C25" i="11"/>
  <c r="D25" i="11"/>
  <c r="C26" i="11"/>
  <c r="D26" i="11" s="1"/>
  <c r="C27" i="11"/>
  <c r="C28" i="11"/>
  <c r="D28" i="11"/>
  <c r="C29" i="11"/>
  <c r="D29" i="11"/>
  <c r="C30" i="11"/>
  <c r="D30" i="11" s="1"/>
  <c r="C31" i="11"/>
  <c r="D31" i="11" s="1"/>
  <c r="C32" i="11"/>
  <c r="D32" i="11" s="1"/>
  <c r="C33" i="11"/>
  <c r="D33" i="11"/>
  <c r="C34" i="11"/>
  <c r="D34" i="11"/>
  <c r="C35" i="11"/>
  <c r="D35" i="11"/>
  <c r="C36" i="11"/>
  <c r="C37" i="11"/>
  <c r="D37" i="11"/>
  <c r="C38" i="11"/>
  <c r="D38" i="11"/>
  <c r="C39" i="11"/>
  <c r="D39" i="11" s="1"/>
  <c r="C40" i="11"/>
  <c r="D40" i="11"/>
  <c r="C41" i="11"/>
  <c r="D41" i="11" s="1"/>
  <c r="C42" i="11"/>
  <c r="D42" i="11"/>
  <c r="C43" i="11"/>
  <c r="D43" i="11"/>
  <c r="C44" i="11"/>
  <c r="D44" i="11"/>
  <c r="C45" i="11"/>
  <c r="D45" i="11" s="1"/>
  <c r="C46" i="11"/>
  <c r="D46" i="11"/>
  <c r="C47" i="11"/>
  <c r="C48" i="11"/>
  <c r="D48" i="11"/>
  <c r="C49" i="11"/>
  <c r="D49" i="11" s="1"/>
  <c r="C50" i="11"/>
  <c r="D50" i="11" s="1"/>
  <c r="C51" i="11"/>
  <c r="D51" i="11" s="1"/>
  <c r="C52" i="11"/>
  <c r="D52" i="11"/>
  <c r="C53" i="11"/>
  <c r="D53" i="11"/>
  <c r="C54" i="11"/>
  <c r="D54" i="11"/>
  <c r="C55" i="11"/>
  <c r="D55" i="11" s="1"/>
  <c r="C56" i="11"/>
  <c r="D56" i="11" s="1"/>
  <c r="C57" i="11"/>
  <c r="D57" i="11" s="1"/>
  <c r="C58" i="11"/>
  <c r="D58" i="11"/>
  <c r="C59" i="11"/>
  <c r="D59" i="11"/>
  <c r="C60" i="11"/>
  <c r="D60" i="11"/>
  <c r="C61" i="11"/>
  <c r="D61" i="11" s="1"/>
  <c r="C62" i="11"/>
  <c r="D62" i="11" s="1"/>
  <c r="C63" i="11"/>
  <c r="D63" i="11" s="1"/>
  <c r="C64" i="11"/>
  <c r="C65" i="11"/>
  <c r="D65" i="11"/>
  <c r="C66" i="11"/>
  <c r="D66" i="11" s="1"/>
  <c r="C67" i="11"/>
  <c r="C68" i="11"/>
  <c r="C69" i="11"/>
  <c r="D69" i="11"/>
  <c r="C70" i="11"/>
  <c r="D70" i="11"/>
  <c r="C71" i="11"/>
  <c r="D71" i="11" s="1"/>
  <c r="C72" i="11"/>
  <c r="D72" i="11"/>
  <c r="C73" i="11"/>
  <c r="D73" i="11" s="1"/>
  <c r="C74" i="11"/>
  <c r="D74" i="11"/>
  <c r="C75" i="11"/>
  <c r="C76" i="11"/>
  <c r="D76" i="11" s="1"/>
  <c r="C77" i="11"/>
  <c r="D77" i="11" s="1"/>
  <c r="C78" i="11"/>
  <c r="D78" i="11"/>
  <c r="C79" i="11"/>
  <c r="D79" i="11"/>
  <c r="C80" i="11"/>
  <c r="D80" i="11"/>
  <c r="C81" i="11"/>
  <c r="D81" i="11" s="1"/>
  <c r="C82" i="11"/>
  <c r="D82" i="11" s="1"/>
  <c r="C83" i="11"/>
  <c r="C84" i="11"/>
  <c r="D84" i="11" s="1"/>
  <c r="C85" i="11"/>
  <c r="D85" i="11"/>
  <c r="C86" i="11"/>
  <c r="D86" i="11" s="1"/>
  <c r="C87" i="11"/>
  <c r="D87" i="11"/>
  <c r="C88" i="11"/>
  <c r="D88" i="11"/>
  <c r="C89" i="11"/>
  <c r="D89" i="11"/>
  <c r="C90" i="11"/>
  <c r="D90" i="11" s="1"/>
  <c r="C91" i="11"/>
  <c r="C92" i="11"/>
  <c r="D92" i="11"/>
  <c r="C93" i="11"/>
  <c r="D93" i="11"/>
  <c r="C94" i="11"/>
  <c r="D94" i="11" s="1"/>
  <c r="C95" i="11"/>
  <c r="D95" i="11" s="1"/>
  <c r="C96" i="11"/>
  <c r="D96" i="11" s="1"/>
  <c r="C97" i="11"/>
  <c r="D97" i="11"/>
  <c r="C98" i="11"/>
  <c r="D98" i="11"/>
  <c r="C99" i="11"/>
  <c r="C100" i="11"/>
  <c r="D100" i="11"/>
  <c r="C101" i="11"/>
  <c r="D101" i="11"/>
  <c r="C102" i="11"/>
  <c r="D102" i="11"/>
  <c r="C103" i="11"/>
  <c r="D103" i="11" s="1"/>
  <c r="C104" i="11"/>
  <c r="D104" i="11"/>
  <c r="C105" i="11"/>
  <c r="D105" i="11" s="1"/>
  <c r="C106" i="11"/>
  <c r="D106" i="11"/>
  <c r="C107" i="11"/>
  <c r="D107" i="11"/>
  <c r="C108" i="11"/>
  <c r="C109" i="11"/>
  <c r="D109" i="11" s="1"/>
  <c r="C110" i="11"/>
  <c r="D110" i="11"/>
  <c r="C111" i="11"/>
  <c r="D111" i="11"/>
  <c r="C112" i="11"/>
  <c r="D112" i="11"/>
  <c r="C113" i="11"/>
  <c r="D113" i="11" s="1"/>
  <c r="C114" i="11"/>
  <c r="D114" i="11" s="1"/>
  <c r="C115" i="11"/>
  <c r="D115" i="11" s="1"/>
  <c r="C116" i="11"/>
  <c r="D116" i="11"/>
  <c r="C117" i="11"/>
  <c r="D117" i="11"/>
  <c r="C118" i="11"/>
  <c r="D118" i="11"/>
  <c r="C119" i="11"/>
  <c r="D119" i="11" s="1"/>
  <c r="C120" i="11"/>
  <c r="C121" i="11"/>
  <c r="D121" i="11"/>
  <c r="C122" i="11"/>
  <c r="D122" i="11" s="1"/>
  <c r="C123" i="11"/>
  <c r="D123" i="11"/>
  <c r="C124" i="11"/>
  <c r="D124" i="11" s="1"/>
  <c r="C125" i="11"/>
  <c r="D125" i="11"/>
  <c r="C126" i="11"/>
  <c r="D126" i="11"/>
  <c r="C127" i="11"/>
  <c r="D127" i="11"/>
  <c r="C128" i="11"/>
  <c r="D128" i="11" s="1"/>
  <c r="C129" i="11"/>
  <c r="D129" i="11"/>
  <c r="C130" i="11"/>
  <c r="D130" i="11" s="1"/>
  <c r="C131" i="11"/>
  <c r="D131" i="11"/>
  <c r="C132" i="11"/>
  <c r="C133" i="11"/>
  <c r="D133" i="11" s="1"/>
  <c r="C134" i="11"/>
  <c r="D134" i="11" s="1"/>
  <c r="C135" i="11"/>
  <c r="C136" i="11"/>
  <c r="D136" i="11"/>
  <c r="C137" i="11"/>
  <c r="D137" i="11" s="1"/>
  <c r="C138" i="11"/>
  <c r="D138" i="11"/>
  <c r="C139" i="11"/>
  <c r="C140" i="11"/>
  <c r="D140" i="11" s="1"/>
  <c r="C141" i="11"/>
  <c r="D141" i="11" s="1"/>
  <c r="C142" i="11"/>
  <c r="D142" i="11"/>
  <c r="C143" i="11"/>
  <c r="D143" i="11"/>
  <c r="C144" i="11"/>
  <c r="D144" i="11"/>
  <c r="C145" i="11"/>
  <c r="D145" i="11" s="1"/>
  <c r="C146" i="11"/>
  <c r="D146" i="11" s="1"/>
  <c r="C147" i="11"/>
  <c r="C148" i="11"/>
  <c r="C149" i="11"/>
  <c r="D149" i="11"/>
  <c r="C150" i="11"/>
  <c r="D150" i="11"/>
  <c r="C151" i="11"/>
  <c r="D151" i="11"/>
  <c r="C152" i="11"/>
  <c r="C153" i="11"/>
  <c r="D153" i="11"/>
  <c r="C154" i="11"/>
  <c r="D154" i="11"/>
  <c r="C155" i="11"/>
  <c r="C156" i="11"/>
  <c r="D156" i="11"/>
  <c r="C157" i="11"/>
  <c r="D157" i="11"/>
  <c r="C158" i="11"/>
  <c r="D158" i="11"/>
  <c r="C159" i="11"/>
  <c r="C160" i="11"/>
  <c r="D160" i="11"/>
  <c r="C161" i="11"/>
  <c r="D161" i="11"/>
  <c r="C162" i="11"/>
  <c r="D162" i="11" s="1"/>
  <c r="C163" i="11"/>
  <c r="D163" i="11"/>
  <c r="C164" i="11"/>
  <c r="D164" i="11" s="1"/>
  <c r="C165" i="11"/>
  <c r="D165" i="11"/>
  <c r="C166" i="11"/>
  <c r="D166" i="11"/>
  <c r="C167" i="11"/>
  <c r="D167" i="11"/>
  <c r="C168" i="11"/>
  <c r="C169" i="11"/>
  <c r="D169" i="11"/>
  <c r="C170" i="11"/>
  <c r="D170" i="11"/>
  <c r="C171" i="11"/>
  <c r="D171" i="11"/>
  <c r="C172" i="11"/>
  <c r="C173" i="11"/>
  <c r="D173" i="11"/>
  <c r="C174" i="11"/>
  <c r="D174" i="11"/>
  <c r="C175" i="11"/>
  <c r="D175" i="11" s="1"/>
  <c r="C176" i="11"/>
  <c r="D176" i="11"/>
  <c r="C177" i="11"/>
  <c r="D177" i="11" s="1"/>
  <c r="C178" i="11"/>
  <c r="D178" i="11"/>
  <c r="C179" i="11"/>
  <c r="D179" i="11"/>
  <c r="C180" i="11"/>
  <c r="D180" i="11"/>
  <c r="C181" i="11"/>
  <c r="D181" i="11" s="1"/>
  <c r="C182" i="11"/>
  <c r="C183" i="11"/>
  <c r="D183" i="11"/>
  <c r="C184" i="11"/>
  <c r="D184" i="11"/>
  <c r="C185" i="11"/>
  <c r="D185" i="11" s="1"/>
  <c r="C186" i="11"/>
  <c r="D186" i="11" s="1"/>
  <c r="C187" i="11"/>
  <c r="D187" i="11" s="1"/>
  <c r="C188" i="11"/>
  <c r="D188" i="11"/>
  <c r="C189" i="11"/>
  <c r="D189" i="11"/>
  <c r="C190" i="11"/>
  <c r="D190" i="11"/>
  <c r="C191" i="11"/>
  <c r="D191" i="11" s="1"/>
  <c r="C192" i="11"/>
  <c r="C193" i="11"/>
  <c r="D193" i="11"/>
  <c r="C194" i="11"/>
  <c r="D194" i="11" s="1"/>
  <c r="C195" i="11"/>
  <c r="D195" i="11"/>
  <c r="C196" i="11"/>
  <c r="C197" i="11"/>
  <c r="D197" i="11"/>
  <c r="C198" i="11"/>
  <c r="D198" i="11" s="1"/>
  <c r="C199" i="11"/>
  <c r="D199" i="11" s="1"/>
  <c r="C200" i="11"/>
  <c r="C201" i="11"/>
  <c r="D201" i="11" s="1"/>
  <c r="C202" i="11"/>
  <c r="D202" i="11"/>
  <c r="C203" i="11"/>
  <c r="D203" i="11" s="1"/>
  <c r="C204" i="11"/>
  <c r="C205" i="11"/>
  <c r="D205" i="11" s="1"/>
  <c r="C206" i="11"/>
  <c r="D206" i="11" s="1"/>
  <c r="C207" i="11"/>
  <c r="D207" i="11" s="1"/>
  <c r="C208" i="11"/>
  <c r="D208" i="11"/>
  <c r="C209" i="11"/>
  <c r="D209" i="11"/>
  <c r="C210" i="11"/>
  <c r="D210" i="11"/>
  <c r="C211" i="11"/>
  <c r="C212" i="11"/>
  <c r="D212" i="11"/>
  <c r="C213" i="11"/>
  <c r="D213" i="11"/>
  <c r="C214" i="11"/>
  <c r="D214" i="11" s="1"/>
  <c r="C215" i="11"/>
  <c r="D215" i="11"/>
  <c r="C216" i="11"/>
  <c r="D216" i="11" s="1"/>
  <c r="C217" i="11"/>
  <c r="D217" i="11"/>
  <c r="C218" i="11"/>
  <c r="D218" i="11"/>
  <c r="C219" i="11"/>
  <c r="D219" i="11"/>
  <c r="C220" i="11"/>
  <c r="D220" i="11" s="1"/>
  <c r="C221" i="11"/>
  <c r="D221" i="11"/>
  <c r="C222" i="11"/>
  <c r="D222" i="11" s="1"/>
  <c r="C223" i="11"/>
  <c r="D223" i="11"/>
  <c r="C224" i="11"/>
  <c r="C225" i="11"/>
  <c r="D225" i="11" s="1"/>
  <c r="C226" i="11"/>
  <c r="D226" i="11" s="1"/>
  <c r="C227" i="11"/>
  <c r="D227" i="11"/>
  <c r="C228" i="11"/>
  <c r="D228" i="11"/>
  <c r="C229" i="11"/>
  <c r="D229" i="11"/>
  <c r="C230" i="11"/>
  <c r="D230" i="11" s="1"/>
  <c r="C231" i="11"/>
  <c r="D231" i="11" s="1"/>
  <c r="C232" i="11"/>
  <c r="C233" i="11"/>
  <c r="D233" i="11" s="1"/>
  <c r="C234" i="11"/>
  <c r="D234" i="11"/>
  <c r="C235" i="11"/>
  <c r="C236" i="11"/>
  <c r="C237" i="11"/>
  <c r="D237" i="11"/>
  <c r="C238" i="11"/>
  <c r="D238" i="11"/>
  <c r="C239" i="11"/>
  <c r="D239" i="11"/>
  <c r="C240" i="11"/>
  <c r="C241" i="11"/>
  <c r="D241" i="11"/>
  <c r="C242" i="11"/>
  <c r="D242" i="11"/>
  <c r="C243" i="11"/>
  <c r="D243" i="11"/>
  <c r="C244" i="11"/>
  <c r="D244" i="11" s="1"/>
  <c r="C245" i="11"/>
  <c r="D245" i="11" s="1"/>
  <c r="C246" i="11"/>
  <c r="D246" i="11" s="1"/>
  <c r="C247" i="11"/>
  <c r="D247" i="11"/>
  <c r="C248" i="11"/>
  <c r="D248" i="11"/>
  <c r="C249" i="11"/>
  <c r="D249" i="11"/>
  <c r="C250" i="11"/>
  <c r="D250" i="11" s="1"/>
  <c r="C251" i="11"/>
  <c r="D251" i="11" s="1"/>
  <c r="C252" i="11"/>
  <c r="D252" i="11" s="1"/>
  <c r="C253" i="11"/>
  <c r="D253" i="11"/>
  <c r="C254" i="11"/>
  <c r="D254" i="11"/>
  <c r="C255" i="11"/>
  <c r="D255" i="11"/>
  <c r="C256" i="11"/>
  <c r="C257" i="11"/>
  <c r="D257" i="11"/>
  <c r="C258" i="11"/>
  <c r="D258" i="11"/>
  <c r="C259" i="11"/>
  <c r="D259" i="11" s="1"/>
  <c r="C260" i="11"/>
  <c r="D260" i="11"/>
  <c r="C261" i="11"/>
  <c r="D261" i="11" s="1"/>
  <c r="C262" i="11"/>
  <c r="D262" i="11"/>
  <c r="C263" i="11"/>
  <c r="D263" i="11"/>
  <c r="C264" i="11"/>
  <c r="D264" i="11"/>
  <c r="C265" i="11"/>
  <c r="D265" i="11" s="1"/>
  <c r="C266" i="11"/>
  <c r="D266" i="11"/>
  <c r="C267" i="11"/>
  <c r="D267" i="11" s="1"/>
  <c r="C268" i="11"/>
  <c r="C269" i="11"/>
  <c r="D269" i="11" s="1"/>
  <c r="C270" i="11"/>
  <c r="D270" i="11" s="1"/>
  <c r="C271" i="11"/>
  <c r="D271" i="11" s="1"/>
  <c r="C272" i="11"/>
  <c r="D272" i="11"/>
  <c r="C273" i="11"/>
  <c r="D273" i="11"/>
  <c r="C274" i="11"/>
  <c r="D274" i="11"/>
  <c r="C275" i="11"/>
  <c r="D275" i="11" s="1"/>
  <c r="C276" i="11"/>
  <c r="D276" i="11" s="1"/>
  <c r="C277" i="11"/>
  <c r="D277" i="11" s="1"/>
  <c r="C278" i="11"/>
  <c r="D278" i="11"/>
  <c r="C279" i="11"/>
  <c r="D279" i="11"/>
  <c r="C280" i="11"/>
  <c r="D280" i="11"/>
  <c r="C281" i="11"/>
  <c r="D281" i="11" s="1"/>
  <c r="C282" i="11"/>
  <c r="D282" i="11" s="1"/>
  <c r="C283" i="11"/>
  <c r="D283" i="11" s="1"/>
  <c r="C284" i="11"/>
  <c r="D284" i="11"/>
  <c r="C285" i="11"/>
  <c r="D285" i="11"/>
  <c r="C286" i="11"/>
  <c r="D286" i="11"/>
  <c r="C287" i="11"/>
  <c r="D287" i="11" s="1"/>
  <c r="C288" i="11"/>
  <c r="D288" i="11" s="1"/>
  <c r="C289" i="11"/>
  <c r="D289" i="11" s="1"/>
  <c r="C290" i="11"/>
  <c r="D290" i="11"/>
  <c r="C291" i="11"/>
  <c r="C292" i="11"/>
  <c r="D292" i="11" s="1"/>
  <c r="C293" i="11"/>
  <c r="D293" i="11"/>
  <c r="C294" i="11"/>
  <c r="D294" i="11"/>
  <c r="C295" i="11"/>
  <c r="D295" i="11"/>
  <c r="C296" i="11"/>
  <c r="D296" i="11" s="1"/>
  <c r="C297" i="11"/>
  <c r="D297" i="11"/>
  <c r="C298" i="11"/>
  <c r="D298" i="11" s="1"/>
  <c r="C299" i="11"/>
  <c r="D299" i="11"/>
  <c r="C300" i="11"/>
  <c r="D300" i="11"/>
  <c r="C301" i="11"/>
  <c r="D301" i="11"/>
  <c r="C302" i="11"/>
  <c r="D302" i="11" s="1"/>
  <c r="C303" i="11"/>
  <c r="D303" i="11"/>
  <c r="C304" i="11"/>
  <c r="D304" i="11" s="1"/>
  <c r="C305" i="11"/>
  <c r="D305" i="11"/>
  <c r="C306" i="11"/>
  <c r="D306" i="11"/>
  <c r="C307" i="11"/>
  <c r="D307" i="11"/>
  <c r="C308" i="11"/>
  <c r="D308" i="11" s="1"/>
  <c r="C309" i="11"/>
  <c r="D309" i="11"/>
  <c r="C310" i="11"/>
  <c r="D310" i="11" s="1"/>
  <c r="C311" i="11"/>
  <c r="D311" i="11"/>
  <c r="C312" i="11"/>
  <c r="D312" i="11"/>
  <c r="C313" i="11"/>
  <c r="D313" i="11"/>
  <c r="C314" i="11"/>
  <c r="D314" i="11" s="1"/>
  <c r="C315" i="11"/>
  <c r="D315" i="11"/>
  <c r="C316" i="11"/>
  <c r="D316" i="11" s="1"/>
  <c r="C317" i="11"/>
  <c r="D317" i="11"/>
  <c r="C318" i="11"/>
  <c r="D318" i="11"/>
  <c r="C319" i="11"/>
  <c r="D319" i="11"/>
  <c r="C320" i="11"/>
  <c r="D320" i="11" s="1"/>
  <c r="C321" i="11"/>
  <c r="D321" i="11"/>
  <c r="C322" i="11"/>
  <c r="D322" i="11" s="1"/>
  <c r="C323" i="11"/>
  <c r="D323" i="11"/>
  <c r="C324" i="11"/>
  <c r="D324" i="11"/>
  <c r="C325" i="11"/>
  <c r="D325" i="11"/>
  <c r="C326" i="11"/>
  <c r="D326" i="11" s="1"/>
  <c r="C327" i="11"/>
  <c r="D327" i="11"/>
  <c r="C328" i="11"/>
  <c r="D328" i="11" s="1"/>
  <c r="C329" i="11"/>
  <c r="D329" i="11"/>
  <c r="C330" i="11"/>
  <c r="D330" i="11"/>
  <c r="C331" i="11"/>
  <c r="D331" i="11"/>
  <c r="C332" i="11"/>
  <c r="D332" i="11" s="1"/>
  <c r="C333" i="11"/>
  <c r="D333" i="11"/>
  <c r="C334" i="11"/>
  <c r="D334" i="11" s="1"/>
  <c r="C335" i="11"/>
  <c r="D335" i="11"/>
  <c r="C336" i="11"/>
  <c r="D336" i="11"/>
  <c r="C337" i="11"/>
  <c r="D337" i="11"/>
  <c r="C338" i="11"/>
  <c r="D338" i="11" s="1"/>
  <c r="C339" i="11"/>
  <c r="D339" i="11"/>
  <c r="C340" i="11"/>
  <c r="D340" i="11" s="1"/>
  <c r="C341" i="11"/>
  <c r="D341" i="11"/>
  <c r="C342" i="11"/>
  <c r="D342" i="11"/>
  <c r="C343" i="11"/>
  <c r="D343" i="11"/>
  <c r="C344" i="11"/>
  <c r="D344" i="11" s="1"/>
  <c r="C345" i="11"/>
  <c r="D345" i="11"/>
  <c r="C346" i="11"/>
  <c r="D346" i="11" s="1"/>
  <c r="C347" i="11"/>
  <c r="D347" i="11"/>
  <c r="C348" i="11"/>
  <c r="D348" i="11"/>
  <c r="C349" i="11"/>
  <c r="D349" i="11"/>
  <c r="C350" i="11"/>
  <c r="D350" i="11" s="1"/>
  <c r="C351" i="11"/>
  <c r="D351" i="11"/>
  <c r="C352" i="11"/>
  <c r="D352" i="11" s="1"/>
  <c r="C353" i="11"/>
  <c r="D353" i="11"/>
  <c r="C354" i="11"/>
  <c r="D354" i="11"/>
  <c r="C355" i="11"/>
  <c r="D355" i="11"/>
  <c r="C356" i="11"/>
  <c r="D356" i="11" s="1"/>
  <c r="C357" i="11"/>
  <c r="D357" i="11"/>
  <c r="C358" i="11"/>
  <c r="D358" i="11" s="1"/>
  <c r="C359" i="11"/>
  <c r="D359" i="11"/>
  <c r="C360" i="11"/>
  <c r="D360" i="11"/>
  <c r="C361" i="11"/>
  <c r="D361" i="11"/>
  <c r="C362" i="11"/>
  <c r="D362" i="11" s="1"/>
  <c r="C363" i="11"/>
  <c r="D363" i="11"/>
  <c r="C364" i="11"/>
  <c r="D364" i="11" s="1"/>
  <c r="C365" i="11"/>
  <c r="D365" i="11"/>
  <c r="C366" i="11"/>
  <c r="D366" i="11"/>
  <c r="F263" i="11"/>
  <c r="G263" i="11"/>
  <c r="C21" i="12"/>
  <c r="D21" i="12" s="1"/>
  <c r="C22" i="12"/>
  <c r="C23" i="12"/>
  <c r="D23" i="12"/>
  <c r="C24" i="12"/>
  <c r="D24" i="12"/>
  <c r="C25" i="12"/>
  <c r="D25" i="12" s="1"/>
  <c r="C26" i="12"/>
  <c r="D26" i="12" s="1"/>
  <c r="C27" i="12"/>
  <c r="D27" i="12"/>
  <c r="C28" i="12"/>
  <c r="C29" i="12"/>
  <c r="D29" i="12"/>
  <c r="C30" i="12"/>
  <c r="D30" i="12" s="1"/>
  <c r="C31" i="12"/>
  <c r="D31" i="12"/>
  <c r="C32" i="12"/>
  <c r="D32" i="12"/>
  <c r="C33" i="12"/>
  <c r="D33" i="12"/>
  <c r="C34" i="12"/>
  <c r="D34" i="12" s="1"/>
  <c r="C35" i="12"/>
  <c r="C36" i="12"/>
  <c r="D36" i="12"/>
  <c r="C37" i="12"/>
  <c r="D37" i="12"/>
  <c r="C38" i="12"/>
  <c r="D38" i="12" s="1"/>
  <c r="C39" i="12"/>
  <c r="D39" i="12" s="1"/>
  <c r="C40" i="12"/>
  <c r="D40" i="12"/>
  <c r="C41" i="12"/>
  <c r="D41" i="12" s="1"/>
  <c r="C42" i="12"/>
  <c r="D42" i="12"/>
  <c r="C43" i="12"/>
  <c r="D43" i="12"/>
  <c r="C44" i="12"/>
  <c r="D44" i="12" s="1"/>
  <c r="C45" i="12"/>
  <c r="D45" i="12" s="1"/>
  <c r="C46" i="12"/>
  <c r="D46" i="12"/>
  <c r="C47" i="12"/>
  <c r="D47" i="12" s="1"/>
  <c r="C48" i="12"/>
  <c r="D48" i="12"/>
  <c r="C49" i="12"/>
  <c r="D49" i="12"/>
  <c r="C50" i="12"/>
  <c r="D50" i="12" s="1"/>
  <c r="C51" i="12"/>
  <c r="D51" i="12" s="1"/>
  <c r="C52" i="12"/>
  <c r="D52" i="12"/>
  <c r="C53" i="12"/>
  <c r="D53" i="12" s="1"/>
  <c r="C54" i="12"/>
  <c r="D54" i="12"/>
  <c r="C55" i="12"/>
  <c r="D55" i="12"/>
  <c r="C56" i="12"/>
  <c r="D56" i="12" s="1"/>
  <c r="C57" i="12"/>
  <c r="D57" i="12" s="1"/>
  <c r="C58" i="12"/>
  <c r="D58" i="12"/>
  <c r="C59" i="12"/>
  <c r="D59" i="12" s="1"/>
  <c r="C60" i="12"/>
  <c r="D60" i="12"/>
  <c r="C61" i="12"/>
  <c r="D61" i="12"/>
  <c r="C62" i="12"/>
  <c r="D62" i="12" s="1"/>
  <c r="C63" i="12"/>
  <c r="D63" i="12" s="1"/>
  <c r="C64" i="12"/>
  <c r="D64" i="12"/>
  <c r="C65" i="12"/>
  <c r="D65" i="12" s="1"/>
  <c r="C66" i="12"/>
  <c r="D66" i="12"/>
  <c r="C67" i="12"/>
  <c r="D67" i="12"/>
  <c r="C68" i="12"/>
  <c r="D68" i="12" s="1"/>
  <c r="C69" i="12"/>
  <c r="D69" i="12" s="1"/>
  <c r="C70" i="12"/>
  <c r="D70" i="12"/>
  <c r="C71" i="12"/>
  <c r="D71" i="12" s="1"/>
  <c r="C72" i="12"/>
  <c r="D72" i="12"/>
  <c r="C73" i="12"/>
  <c r="D73" i="12"/>
  <c r="C74" i="12"/>
  <c r="D74" i="12" s="1"/>
  <c r="C75" i="12"/>
  <c r="D75" i="12" s="1"/>
  <c r="C76" i="12"/>
  <c r="D76" i="12"/>
  <c r="C77" i="12"/>
  <c r="C78" i="12"/>
  <c r="D78" i="12"/>
  <c r="C79" i="12"/>
  <c r="D79" i="12" s="1"/>
  <c r="C80" i="12"/>
  <c r="D80" i="12"/>
  <c r="C81" i="12"/>
  <c r="D81" i="12"/>
  <c r="C82" i="12"/>
  <c r="D82" i="12"/>
  <c r="C83" i="12"/>
  <c r="D83" i="12" s="1"/>
  <c r="C84" i="12"/>
  <c r="D84" i="12"/>
  <c r="C85" i="12"/>
  <c r="D85" i="12" s="1"/>
  <c r="C86" i="12"/>
  <c r="D86" i="12"/>
  <c r="C87" i="12"/>
  <c r="C88" i="12"/>
  <c r="D88" i="12" s="1"/>
  <c r="C89" i="12"/>
  <c r="D89" i="12"/>
  <c r="C90" i="12"/>
  <c r="D90" i="12" s="1"/>
  <c r="C91" i="12"/>
  <c r="D91" i="12"/>
  <c r="C92" i="12"/>
  <c r="D92" i="12"/>
  <c r="C93" i="12"/>
  <c r="D93" i="12" s="1"/>
  <c r="C94" i="12"/>
  <c r="D94" i="12" s="1"/>
  <c r="C95" i="12"/>
  <c r="D95" i="12"/>
  <c r="C96" i="12"/>
  <c r="D96" i="12" s="1"/>
  <c r="C97" i="12"/>
  <c r="C98" i="12"/>
  <c r="D98" i="12" s="1"/>
  <c r="C99" i="12"/>
  <c r="D99" i="12"/>
  <c r="C100" i="12"/>
  <c r="D100" i="12"/>
  <c r="C101" i="12"/>
  <c r="D101" i="12"/>
  <c r="C102" i="12"/>
  <c r="D102" i="12" s="1"/>
  <c r="C103" i="12"/>
  <c r="D103" i="12"/>
  <c r="C104" i="12"/>
  <c r="D104" i="12" s="1"/>
  <c r="C105" i="12"/>
  <c r="D105" i="12"/>
  <c r="C106" i="12"/>
  <c r="D106" i="12"/>
  <c r="C107" i="12"/>
  <c r="D107" i="12"/>
  <c r="C108" i="12"/>
  <c r="D108" i="12" s="1"/>
  <c r="C109" i="12"/>
  <c r="D109" i="12"/>
  <c r="C110" i="12"/>
  <c r="D110" i="12" s="1"/>
  <c r="C111" i="12"/>
  <c r="D111" i="12"/>
  <c r="C112" i="12"/>
  <c r="D112" i="12"/>
  <c r="C113" i="12"/>
  <c r="D113" i="12"/>
  <c r="C114" i="12"/>
  <c r="D114" i="12" s="1"/>
  <c r="C115" i="12"/>
  <c r="D115" i="12"/>
  <c r="C116" i="12"/>
  <c r="D116" i="12" s="1"/>
  <c r="C117" i="12"/>
  <c r="C118" i="12"/>
  <c r="D118" i="12" s="1"/>
  <c r="C119" i="12"/>
  <c r="D119" i="12" s="1"/>
  <c r="C120" i="12"/>
  <c r="D120" i="12"/>
  <c r="C121" i="12"/>
  <c r="D121" i="12"/>
  <c r="C122" i="12"/>
  <c r="D122" i="12"/>
  <c r="C123" i="12"/>
  <c r="D123" i="12"/>
  <c r="C124" i="12"/>
  <c r="D124" i="12" s="1"/>
  <c r="C125" i="12"/>
  <c r="D125" i="12" s="1"/>
  <c r="C126" i="12"/>
  <c r="D126" i="12"/>
  <c r="C127" i="12"/>
  <c r="D127" i="12"/>
  <c r="C128" i="12"/>
  <c r="D128" i="12"/>
  <c r="C129" i="12"/>
  <c r="D129" i="12"/>
  <c r="C130" i="12"/>
  <c r="D130" i="12" s="1"/>
  <c r="C131" i="12"/>
  <c r="D131" i="12" s="1"/>
  <c r="C132" i="12"/>
  <c r="D132" i="12"/>
  <c r="C133" i="12"/>
  <c r="D133" i="12"/>
  <c r="C134" i="12"/>
  <c r="D134" i="12"/>
  <c r="C135" i="12"/>
  <c r="D135" i="12"/>
  <c r="C136" i="12"/>
  <c r="D136" i="12" s="1"/>
  <c r="C137" i="12"/>
  <c r="C138" i="12"/>
  <c r="D138" i="12"/>
  <c r="C139" i="12"/>
  <c r="D139" i="12" s="1"/>
  <c r="C140" i="12"/>
  <c r="D140" i="12"/>
  <c r="C141" i="12"/>
  <c r="D141" i="12" s="1"/>
  <c r="C142" i="12"/>
  <c r="D142" i="12"/>
  <c r="C143" i="12"/>
  <c r="C144" i="12"/>
  <c r="D144" i="12" s="1"/>
  <c r="C145" i="12"/>
  <c r="D145" i="12"/>
  <c r="C146" i="12"/>
  <c r="D146" i="12"/>
  <c r="C147" i="12"/>
  <c r="D147" i="12"/>
  <c r="C148" i="12"/>
  <c r="D148" i="12"/>
  <c r="C149" i="12"/>
  <c r="D149" i="12" s="1"/>
  <c r="C150" i="12"/>
  <c r="D150" i="12" s="1"/>
  <c r="C151" i="12"/>
  <c r="D151" i="12"/>
  <c r="C152" i="12"/>
  <c r="D152" i="12"/>
  <c r="C153" i="12"/>
  <c r="D153" i="12"/>
  <c r="C154" i="12"/>
  <c r="D154" i="12"/>
  <c r="C155" i="12"/>
  <c r="D155" i="12" s="1"/>
  <c r="C156" i="12"/>
  <c r="D156" i="12" s="1"/>
  <c r="C157" i="12"/>
  <c r="D157" i="12"/>
  <c r="C158" i="12"/>
  <c r="D158" i="12"/>
  <c r="C159" i="12"/>
  <c r="D159" i="12"/>
  <c r="C160" i="12"/>
  <c r="D160" i="12"/>
  <c r="C161" i="12"/>
  <c r="D161" i="12" s="1"/>
  <c r="C162" i="12"/>
  <c r="D162" i="12" s="1"/>
  <c r="C163" i="12"/>
  <c r="D163" i="12"/>
  <c r="C164" i="12"/>
  <c r="D164" i="12"/>
  <c r="C165" i="12"/>
  <c r="D165" i="12"/>
  <c r="C166" i="12"/>
  <c r="D166" i="12"/>
  <c r="C167" i="12"/>
  <c r="D167" i="12" s="1"/>
  <c r="C168" i="12"/>
  <c r="D168" i="12" s="1"/>
  <c r="C169" i="12"/>
  <c r="D169" i="12"/>
  <c r="C170" i="12"/>
  <c r="D170" i="12"/>
  <c r="C171" i="12"/>
  <c r="D171" i="12"/>
  <c r="C172" i="12"/>
  <c r="D172" i="12"/>
  <c r="C173" i="12"/>
  <c r="D173" i="12" s="1"/>
  <c r="C174" i="12"/>
  <c r="D174" i="12" s="1"/>
  <c r="C175" i="12"/>
  <c r="D175" i="12"/>
  <c r="C176" i="12"/>
  <c r="D176" i="12"/>
  <c r="C177" i="12"/>
  <c r="D177" i="12"/>
  <c r="C178" i="12"/>
  <c r="D178" i="12"/>
  <c r="C179" i="12"/>
  <c r="D179" i="12" s="1"/>
  <c r="C180" i="12"/>
  <c r="D180" i="12" s="1"/>
  <c r="C181" i="12"/>
  <c r="C182" i="12"/>
  <c r="D182" i="12" s="1"/>
  <c r="C183" i="12"/>
  <c r="D183" i="12"/>
  <c r="C184" i="12"/>
  <c r="D184" i="12" s="1"/>
  <c r="C185" i="12"/>
  <c r="D185" i="12"/>
  <c r="C186" i="12"/>
  <c r="D186" i="12"/>
  <c r="C187" i="12"/>
  <c r="D187" i="12"/>
  <c r="C188" i="12"/>
  <c r="D188" i="12" s="1"/>
  <c r="C189" i="12"/>
  <c r="D189" i="12"/>
  <c r="C190" i="12"/>
  <c r="D190" i="12" s="1"/>
  <c r="C191" i="12"/>
  <c r="D191" i="12"/>
  <c r="C192" i="12"/>
  <c r="D192" i="12"/>
  <c r="C193" i="12"/>
  <c r="D193" i="12"/>
  <c r="C194" i="12"/>
  <c r="D194" i="12" s="1"/>
  <c r="C195" i="12"/>
  <c r="D195" i="12"/>
  <c r="C196" i="12"/>
  <c r="D196" i="12" s="1"/>
  <c r="C197" i="12"/>
  <c r="D197" i="12"/>
  <c r="C198" i="12"/>
  <c r="D198" i="12"/>
  <c r="C199" i="12"/>
  <c r="D199" i="12"/>
  <c r="C200" i="12"/>
  <c r="D200" i="12" s="1"/>
  <c r="C201" i="12"/>
  <c r="D201" i="12"/>
  <c r="C202" i="12"/>
  <c r="D202" i="12" s="1"/>
  <c r="C203" i="12"/>
  <c r="D203" i="12"/>
  <c r="C204" i="12"/>
  <c r="D204" i="12"/>
  <c r="C205" i="12"/>
  <c r="D205" i="12"/>
  <c r="C206" i="12"/>
  <c r="D206" i="12" s="1"/>
  <c r="C207" i="12"/>
  <c r="D207" i="12"/>
  <c r="C208" i="12"/>
  <c r="D208" i="12" s="1"/>
  <c r="C209" i="12"/>
  <c r="C210" i="12"/>
  <c r="D210" i="12" s="1"/>
  <c r="C211" i="12"/>
  <c r="D211" i="12" s="1"/>
  <c r="C212" i="12"/>
  <c r="D212" i="12"/>
  <c r="C213" i="12"/>
  <c r="D213" i="12"/>
  <c r="C214" i="12"/>
  <c r="D214" i="12"/>
  <c r="C215" i="12"/>
  <c r="D215" i="12"/>
  <c r="C216" i="12"/>
  <c r="D216" i="12" s="1"/>
  <c r="C217" i="12"/>
  <c r="D217" i="12" s="1"/>
  <c r="C218" i="12"/>
  <c r="D218" i="12"/>
  <c r="C219" i="12"/>
  <c r="D219" i="12"/>
  <c r="C220" i="12"/>
  <c r="D220" i="12" s="1"/>
  <c r="C221" i="12"/>
  <c r="D221" i="12"/>
  <c r="C222" i="12"/>
  <c r="D222" i="12" s="1"/>
  <c r="C223" i="12"/>
  <c r="D223" i="12" s="1"/>
  <c r="C224" i="12"/>
  <c r="D224" i="12"/>
  <c r="C225" i="12"/>
  <c r="D225" i="12"/>
  <c r="C226" i="12"/>
  <c r="D226" i="12" s="1"/>
  <c r="C227" i="12"/>
  <c r="D227" i="12"/>
  <c r="C228" i="12"/>
  <c r="D228" i="12" s="1"/>
  <c r="C229" i="12"/>
  <c r="D229" i="12" s="1"/>
  <c r="C230" i="12"/>
  <c r="D230" i="12"/>
  <c r="C231" i="12"/>
  <c r="D231" i="12"/>
  <c r="C232" i="12"/>
  <c r="D232" i="12" s="1"/>
  <c r="C233" i="12"/>
  <c r="D233" i="12"/>
  <c r="C234" i="12"/>
  <c r="D234" i="12" s="1"/>
  <c r="C235" i="12"/>
  <c r="D235" i="12" s="1"/>
  <c r="C236" i="12"/>
  <c r="D236" i="12"/>
  <c r="C237" i="12"/>
  <c r="C238" i="12"/>
  <c r="D238" i="12"/>
  <c r="C239" i="12"/>
  <c r="D239" i="12" s="1"/>
  <c r="C240" i="12"/>
  <c r="D240" i="12"/>
  <c r="C241" i="12"/>
  <c r="C242" i="12"/>
  <c r="D242" i="12" s="1"/>
  <c r="C243" i="12"/>
  <c r="D243" i="12"/>
  <c r="C244" i="12"/>
  <c r="D244" i="12"/>
  <c r="C245" i="12"/>
  <c r="D245" i="12"/>
  <c r="C246" i="12"/>
  <c r="D246" i="12"/>
  <c r="C247" i="12"/>
  <c r="D247" i="12" s="1"/>
  <c r="C248" i="12"/>
  <c r="D248" i="12" s="1"/>
  <c r="C249" i="12"/>
  <c r="D249" i="12"/>
  <c r="C250" i="12"/>
  <c r="D250" i="12"/>
  <c r="C251" i="12"/>
  <c r="D251" i="12"/>
  <c r="C252" i="12"/>
  <c r="D252" i="12"/>
  <c r="C253" i="12"/>
  <c r="D253" i="12" s="1"/>
  <c r="C254" i="12"/>
  <c r="D254" i="12" s="1"/>
  <c r="C255" i="12"/>
  <c r="D255" i="12"/>
  <c r="C256" i="12"/>
  <c r="D256" i="12"/>
  <c r="C257" i="12"/>
  <c r="D257" i="12" s="1"/>
  <c r="C258" i="12"/>
  <c r="D258" i="12"/>
  <c r="C259" i="12"/>
  <c r="D259" i="12" s="1"/>
  <c r="C260" i="12"/>
  <c r="D260" i="12" s="1"/>
  <c r="C261" i="12"/>
  <c r="D261" i="12"/>
  <c r="C262" i="12"/>
  <c r="D262" i="12"/>
  <c r="C263" i="12"/>
  <c r="D263" i="12" s="1"/>
  <c r="C264" i="12"/>
  <c r="D264" i="12"/>
  <c r="C265" i="12"/>
  <c r="D265" i="12" s="1"/>
  <c r="C266" i="12"/>
  <c r="D266" i="12" s="1"/>
  <c r="C267" i="12"/>
  <c r="D267" i="12"/>
  <c r="C268" i="12"/>
  <c r="D268" i="12"/>
  <c r="C269" i="12"/>
  <c r="D269" i="12" s="1"/>
  <c r="C270" i="12"/>
  <c r="D270" i="12"/>
  <c r="C271" i="12"/>
  <c r="D271" i="12" s="1"/>
  <c r="C272" i="12"/>
  <c r="D272" i="12" s="1"/>
  <c r="C273" i="12"/>
  <c r="D273" i="12"/>
  <c r="C274" i="12"/>
  <c r="D274" i="12"/>
  <c r="C275" i="12"/>
  <c r="D275" i="12"/>
  <c r="C276" i="12"/>
  <c r="D276" i="12"/>
  <c r="C277" i="12"/>
  <c r="D277" i="12" s="1"/>
  <c r="C278" i="12"/>
  <c r="D278" i="12" s="1"/>
  <c r="C279" i="12"/>
  <c r="D279" i="12"/>
  <c r="C280" i="12"/>
  <c r="D280" i="12"/>
  <c r="C281" i="12"/>
  <c r="D281" i="12"/>
  <c r="C282" i="12"/>
  <c r="D282" i="12"/>
  <c r="C283" i="12"/>
  <c r="D283" i="12" s="1"/>
  <c r="C284" i="12"/>
  <c r="D284" i="12" s="1"/>
  <c r="C285" i="12"/>
  <c r="D285" i="12"/>
  <c r="C286" i="12"/>
  <c r="D286" i="12"/>
  <c r="C287" i="12"/>
  <c r="D287" i="12"/>
  <c r="C288" i="12"/>
  <c r="D288" i="12"/>
  <c r="C289" i="12"/>
  <c r="D289" i="12" s="1"/>
  <c r="C290" i="12"/>
  <c r="D290" i="12" s="1"/>
  <c r="C291" i="12"/>
  <c r="D291" i="12"/>
  <c r="C292" i="12"/>
  <c r="D292" i="12"/>
  <c r="C293" i="12"/>
  <c r="D293" i="12" s="1"/>
  <c r="C294" i="12"/>
  <c r="D294" i="12"/>
  <c r="C295" i="12"/>
  <c r="D295" i="12" s="1"/>
  <c r="C296" i="12"/>
  <c r="D296" i="12" s="1"/>
  <c r="C297" i="12"/>
  <c r="C298" i="12"/>
  <c r="D298" i="12" s="1"/>
  <c r="C299" i="12"/>
  <c r="D299" i="12"/>
  <c r="C300" i="12"/>
  <c r="D300" i="12" s="1"/>
  <c r="C301" i="12"/>
  <c r="D301" i="12" s="1"/>
  <c r="C302" i="12"/>
  <c r="D302" i="12"/>
  <c r="C303" i="12"/>
  <c r="D303" i="12"/>
  <c r="C304" i="12"/>
  <c r="D304" i="12" s="1"/>
  <c r="C305" i="12"/>
  <c r="D305" i="12"/>
  <c r="C306" i="12"/>
  <c r="D306" i="12" s="1"/>
  <c r="C307" i="12"/>
  <c r="D307" i="12" s="1"/>
  <c r="C308" i="12"/>
  <c r="D308" i="12"/>
  <c r="C309" i="12"/>
  <c r="D309" i="12"/>
  <c r="C310" i="12"/>
  <c r="D310" i="12" s="1"/>
  <c r="C311" i="12"/>
  <c r="D311" i="12"/>
  <c r="C312" i="12"/>
  <c r="D312" i="12" s="1"/>
  <c r="C313" i="12"/>
  <c r="C314" i="12"/>
  <c r="D314" i="12" s="1"/>
  <c r="C315" i="12"/>
  <c r="D315" i="12" s="1"/>
  <c r="C316" i="12"/>
  <c r="D316" i="12"/>
  <c r="C317" i="12"/>
  <c r="D317" i="12"/>
  <c r="C318" i="12"/>
  <c r="D318" i="12" s="1"/>
  <c r="C319" i="12"/>
  <c r="D319" i="12"/>
  <c r="C320" i="12"/>
  <c r="D320" i="12" s="1"/>
  <c r="C321" i="12"/>
  <c r="D321" i="12" s="1"/>
  <c r="C322" i="12"/>
  <c r="D322" i="12"/>
  <c r="C323" i="12"/>
  <c r="D323" i="12"/>
  <c r="C324" i="12"/>
  <c r="D324" i="12" s="1"/>
  <c r="C325" i="12"/>
  <c r="C326" i="12"/>
  <c r="D326" i="12" s="1"/>
  <c r="C327" i="12"/>
  <c r="D327" i="12"/>
  <c r="C328" i="12"/>
  <c r="D328" i="12"/>
  <c r="C21" i="13"/>
  <c r="C22" i="13"/>
  <c r="D22" i="13"/>
  <c r="C23" i="13"/>
  <c r="D23" i="13" s="1"/>
  <c r="C24" i="13"/>
  <c r="C25" i="13"/>
  <c r="D25" i="13" s="1"/>
  <c r="C26" i="13"/>
  <c r="D26" i="13"/>
  <c r="C27" i="13"/>
  <c r="D27" i="13"/>
  <c r="C28" i="13"/>
  <c r="D28" i="13" s="1"/>
  <c r="C29" i="13"/>
  <c r="C30" i="13"/>
  <c r="D30" i="13"/>
  <c r="C31" i="13"/>
  <c r="D31" i="13"/>
  <c r="C32" i="13"/>
  <c r="D32" i="13" s="1"/>
  <c r="C33" i="13"/>
  <c r="D33" i="13" s="1"/>
  <c r="C34" i="13"/>
  <c r="D34" i="13"/>
  <c r="C35" i="13"/>
  <c r="D35" i="13"/>
  <c r="C36" i="13"/>
  <c r="D36" i="13" s="1"/>
  <c r="C37" i="13"/>
  <c r="C38" i="13"/>
  <c r="D38" i="13" s="1"/>
  <c r="C39" i="13"/>
  <c r="D39" i="13"/>
  <c r="C40" i="13"/>
  <c r="D40" i="13"/>
  <c r="C41" i="13"/>
  <c r="C42" i="13"/>
  <c r="D42" i="13"/>
  <c r="C43" i="13"/>
  <c r="D43" i="13"/>
  <c r="C44" i="13"/>
  <c r="D44" i="13"/>
  <c r="C45" i="13"/>
  <c r="D45" i="13" s="1"/>
  <c r="C46" i="13"/>
  <c r="D46" i="13" s="1"/>
  <c r="C47" i="13"/>
  <c r="D47" i="13"/>
  <c r="C48" i="13"/>
  <c r="D48" i="13"/>
  <c r="C49" i="13"/>
  <c r="D49" i="13"/>
  <c r="C50" i="13"/>
  <c r="D50" i="13"/>
  <c r="C51" i="13"/>
  <c r="D51" i="13" s="1"/>
  <c r="C52" i="13"/>
  <c r="D52" i="13" s="1"/>
  <c r="C53" i="13"/>
  <c r="C54" i="13"/>
  <c r="D54" i="13" s="1"/>
  <c r="C55" i="13"/>
  <c r="D55" i="13"/>
  <c r="C56" i="13"/>
  <c r="D56" i="13" s="1"/>
  <c r="C57" i="13"/>
  <c r="D57" i="13" s="1"/>
  <c r="C58" i="13"/>
  <c r="D58" i="13"/>
  <c r="C59" i="13"/>
  <c r="C60" i="13"/>
  <c r="D60" i="13"/>
  <c r="C61" i="13"/>
  <c r="D61" i="13"/>
  <c r="C62" i="13"/>
  <c r="D62" i="13" s="1"/>
  <c r="C63" i="13"/>
  <c r="D63" i="13"/>
  <c r="C64" i="13"/>
  <c r="D64" i="13" s="1"/>
  <c r="C65" i="13"/>
  <c r="D65" i="13" s="1"/>
  <c r="C66" i="13"/>
  <c r="D66" i="13"/>
  <c r="C67" i="13"/>
  <c r="D67" i="13"/>
  <c r="C68" i="13"/>
  <c r="D68" i="13"/>
  <c r="C69" i="13"/>
  <c r="C70" i="13"/>
  <c r="D70" i="13" s="1"/>
  <c r="C71" i="13"/>
  <c r="D71" i="13"/>
  <c r="C72" i="13"/>
  <c r="D72" i="13"/>
  <c r="C73" i="13"/>
  <c r="D73" i="13" s="1"/>
  <c r="C74" i="13"/>
  <c r="D74" i="13"/>
  <c r="C75" i="13"/>
  <c r="D75" i="13" s="1"/>
  <c r="C76" i="13"/>
  <c r="D76" i="13" s="1"/>
  <c r="C77" i="13"/>
  <c r="D77" i="13"/>
  <c r="C78" i="13"/>
  <c r="D78" i="13"/>
  <c r="C79" i="13"/>
  <c r="D79" i="13" s="1"/>
  <c r="C80" i="13"/>
  <c r="D80" i="13"/>
  <c r="C81" i="13"/>
  <c r="C82" i="13"/>
  <c r="D82" i="13"/>
  <c r="C83" i="13"/>
  <c r="D83" i="13" s="1"/>
  <c r="C84" i="13"/>
  <c r="D84" i="13" s="1"/>
  <c r="C85" i="13"/>
  <c r="C86" i="13"/>
  <c r="D86" i="13" s="1"/>
  <c r="C87" i="13"/>
  <c r="D87" i="13"/>
  <c r="C88" i="13"/>
  <c r="D88" i="13" s="1"/>
  <c r="C89" i="13"/>
  <c r="C90" i="13"/>
  <c r="D90" i="13" s="1"/>
  <c r="C91" i="13"/>
  <c r="D91" i="13" s="1"/>
  <c r="C92" i="13"/>
  <c r="D92" i="13"/>
  <c r="C93" i="13"/>
  <c r="C94" i="13"/>
  <c r="D94" i="13"/>
  <c r="C95" i="13"/>
  <c r="D95" i="13" s="1"/>
  <c r="C96" i="13"/>
  <c r="D96" i="13" s="1"/>
  <c r="C97" i="13"/>
  <c r="D97" i="13"/>
  <c r="C98" i="13"/>
  <c r="D98" i="13"/>
  <c r="C99" i="13"/>
  <c r="D99" i="13" s="1"/>
  <c r="C100" i="13"/>
  <c r="D100" i="13"/>
  <c r="C101" i="13"/>
  <c r="D101" i="13" s="1"/>
  <c r="C102" i="13"/>
  <c r="D102" i="13" s="1"/>
  <c r="C103" i="13"/>
  <c r="D103" i="13"/>
  <c r="C104" i="13"/>
  <c r="D104" i="13"/>
  <c r="C105" i="13"/>
  <c r="C106" i="13"/>
  <c r="D106" i="13"/>
  <c r="C107" i="13"/>
  <c r="D107" i="13"/>
  <c r="C108" i="13"/>
  <c r="D108" i="13"/>
  <c r="C109" i="13"/>
  <c r="D109" i="13" s="1"/>
  <c r="C110" i="13"/>
  <c r="D110" i="13" s="1"/>
  <c r="C111" i="13"/>
  <c r="D111" i="13"/>
  <c r="C112" i="13"/>
  <c r="D112" i="13"/>
  <c r="C113" i="13"/>
  <c r="D113" i="13" s="1"/>
  <c r="C114" i="13"/>
  <c r="D114" i="13"/>
  <c r="C115" i="13"/>
  <c r="D115" i="13" s="1"/>
  <c r="C116" i="13"/>
  <c r="D116" i="13" s="1"/>
  <c r="C117" i="13"/>
  <c r="C118" i="13"/>
  <c r="D118" i="13" s="1"/>
  <c r="C119" i="13"/>
  <c r="D119" i="13"/>
  <c r="C120" i="13"/>
  <c r="D120" i="13" s="1"/>
  <c r="C121" i="13"/>
  <c r="D121" i="13" s="1"/>
  <c r="C122" i="13"/>
  <c r="D122" i="13"/>
  <c r="C123" i="13"/>
  <c r="D123" i="13"/>
  <c r="C124" i="13"/>
  <c r="D124" i="13" s="1"/>
  <c r="C125" i="13"/>
  <c r="C126" i="13"/>
  <c r="D126" i="13"/>
  <c r="C127" i="13"/>
  <c r="D127" i="13"/>
  <c r="C128" i="13"/>
  <c r="D128" i="13" s="1"/>
  <c r="C129" i="13"/>
  <c r="D129" i="13" s="1"/>
  <c r="C130" i="13"/>
  <c r="D130" i="13"/>
  <c r="C131" i="13"/>
  <c r="D131" i="13"/>
  <c r="C132" i="13"/>
  <c r="D132" i="13" s="1"/>
  <c r="C133" i="13"/>
  <c r="C134" i="13"/>
  <c r="D134" i="13" s="1"/>
  <c r="C135" i="13"/>
  <c r="D135" i="13"/>
  <c r="C136" i="13"/>
  <c r="D136" i="13"/>
  <c r="C137" i="13"/>
  <c r="D137" i="13" s="1"/>
  <c r="C138" i="13"/>
  <c r="D138" i="13"/>
  <c r="C139" i="13"/>
  <c r="D139" i="13" s="1"/>
  <c r="C140" i="13"/>
  <c r="D140" i="13" s="1"/>
  <c r="C141" i="13"/>
  <c r="C142" i="13"/>
  <c r="D142" i="13" s="1"/>
  <c r="C143" i="13"/>
  <c r="D143" i="13"/>
  <c r="C144" i="13"/>
  <c r="D144" i="13"/>
  <c r="C145" i="13"/>
  <c r="D145" i="13" s="1"/>
  <c r="C146" i="13"/>
  <c r="D146" i="13"/>
  <c r="C147" i="13"/>
  <c r="D147" i="13" s="1"/>
  <c r="C148" i="13"/>
  <c r="D148" i="13" s="1"/>
  <c r="C149" i="13"/>
  <c r="D149" i="13"/>
  <c r="C150" i="13"/>
  <c r="D150" i="13"/>
  <c r="C151" i="13"/>
  <c r="C152" i="13"/>
  <c r="D152" i="13" s="1"/>
  <c r="C153" i="13"/>
  <c r="D153" i="13" s="1"/>
  <c r="C154" i="13"/>
  <c r="D154" i="13"/>
  <c r="C155" i="13"/>
  <c r="D155" i="13"/>
  <c r="C156" i="13"/>
  <c r="D156" i="13" s="1"/>
  <c r="C157" i="13"/>
  <c r="D157" i="13"/>
  <c r="C158" i="13"/>
  <c r="D158" i="13" s="1"/>
  <c r="C159" i="13"/>
  <c r="D159" i="13" s="1"/>
  <c r="C160" i="13"/>
  <c r="D160" i="13"/>
  <c r="C161" i="13"/>
  <c r="D161" i="13"/>
  <c r="C162" i="13"/>
  <c r="D162" i="13" s="1"/>
  <c r="C163" i="13"/>
  <c r="D163" i="13"/>
  <c r="C164" i="13"/>
  <c r="D164" i="13" s="1"/>
  <c r="C165" i="13"/>
  <c r="D165" i="13" s="1"/>
  <c r="C166" i="13"/>
  <c r="D166" i="13"/>
  <c r="C167" i="13"/>
  <c r="D167" i="13"/>
  <c r="C168" i="13"/>
  <c r="D168" i="13" s="1"/>
  <c r="C169" i="13"/>
  <c r="D169" i="13"/>
  <c r="C170" i="13"/>
  <c r="D170" i="13" s="1"/>
  <c r="C171" i="13"/>
  <c r="D171" i="13" s="1"/>
  <c r="C172" i="13"/>
  <c r="D172" i="13"/>
  <c r="C173" i="13"/>
  <c r="D173" i="13"/>
  <c r="C174" i="13"/>
  <c r="D174" i="13" s="1"/>
  <c r="C175" i="13"/>
  <c r="D175" i="13"/>
  <c r="C176" i="13"/>
  <c r="D176" i="13" s="1"/>
  <c r="C177" i="13"/>
  <c r="D177" i="13" s="1"/>
  <c r="C178" i="13"/>
  <c r="D178" i="13"/>
  <c r="C179" i="13"/>
  <c r="D179" i="13"/>
  <c r="C180" i="13"/>
  <c r="D180" i="13" s="1"/>
  <c r="C181" i="13"/>
  <c r="D181" i="13"/>
  <c r="C182" i="13"/>
  <c r="D182" i="13" s="1"/>
  <c r="C183" i="13"/>
  <c r="D183" i="13" s="1"/>
  <c r="C184" i="13"/>
  <c r="D184" i="13"/>
  <c r="C185" i="13"/>
  <c r="C186" i="13"/>
  <c r="D186" i="13"/>
  <c r="C187" i="13"/>
  <c r="D187" i="13"/>
  <c r="C188" i="13"/>
  <c r="D188" i="13" s="1"/>
  <c r="C189" i="13"/>
  <c r="D189" i="13"/>
  <c r="C190" i="13"/>
  <c r="D190" i="13" s="1"/>
  <c r="C191" i="13"/>
  <c r="D191" i="13" s="1"/>
  <c r="C192" i="13"/>
  <c r="D192" i="13"/>
  <c r="C193" i="13"/>
  <c r="D193" i="13"/>
  <c r="C194" i="13"/>
  <c r="D194" i="13"/>
  <c r="C195" i="13"/>
  <c r="D195" i="13"/>
  <c r="C196" i="13"/>
  <c r="D196" i="13" s="1"/>
  <c r="C197" i="13"/>
  <c r="D197" i="13" s="1"/>
  <c r="C198" i="13"/>
  <c r="D198" i="13"/>
  <c r="C199" i="13"/>
  <c r="D199" i="13"/>
  <c r="C200" i="13"/>
  <c r="D200" i="13"/>
  <c r="C201" i="13"/>
  <c r="C202" i="13"/>
  <c r="D202" i="13" s="1"/>
  <c r="C203" i="13"/>
  <c r="D203" i="13"/>
  <c r="C204" i="13"/>
  <c r="D204" i="13"/>
  <c r="C205" i="13"/>
  <c r="D205" i="13" s="1"/>
  <c r="C206" i="13"/>
  <c r="D206" i="13"/>
  <c r="C207" i="13"/>
  <c r="D207" i="13" s="1"/>
  <c r="C208" i="13"/>
  <c r="D208" i="13" s="1"/>
  <c r="C209" i="13"/>
  <c r="D209" i="13"/>
  <c r="C210" i="13"/>
  <c r="D210" i="13"/>
  <c r="C211" i="13"/>
  <c r="D211" i="13" s="1"/>
  <c r="C212" i="13"/>
  <c r="D212" i="13"/>
  <c r="C213" i="13"/>
  <c r="C214" i="13"/>
  <c r="D214" i="13"/>
  <c r="C215" i="13"/>
  <c r="D215" i="13" s="1"/>
  <c r="C216" i="13"/>
  <c r="D216" i="13" s="1"/>
  <c r="C217" i="13"/>
  <c r="D217" i="13"/>
  <c r="C218" i="13"/>
  <c r="D218" i="13"/>
  <c r="C219" i="13"/>
  <c r="D219" i="13"/>
  <c r="C220" i="13"/>
  <c r="D220" i="13"/>
  <c r="C221" i="13"/>
  <c r="D221" i="13" s="1"/>
  <c r="C222" i="13"/>
  <c r="D222" i="13" s="1"/>
  <c r="C223" i="13"/>
  <c r="D223" i="13"/>
  <c r="C224" i="13"/>
  <c r="D224" i="13"/>
  <c r="C225" i="13"/>
  <c r="D225" i="13"/>
  <c r="C226" i="13"/>
  <c r="D226" i="13"/>
  <c r="C227" i="13"/>
  <c r="D227" i="13" s="1"/>
  <c r="C228" i="13"/>
  <c r="D228" i="13" s="1"/>
  <c r="C229" i="13"/>
  <c r="D229" i="13"/>
  <c r="C230" i="13"/>
  <c r="D230" i="13"/>
  <c r="C231" i="13"/>
  <c r="D231" i="13"/>
  <c r="C232" i="13"/>
  <c r="D232" i="13"/>
  <c r="C233" i="13"/>
  <c r="D233" i="13" s="1"/>
  <c r="C234" i="13"/>
  <c r="D234" i="13" s="1"/>
  <c r="C235" i="13"/>
  <c r="D235" i="13"/>
  <c r="C236" i="13"/>
  <c r="D236" i="13"/>
  <c r="C237" i="13"/>
  <c r="D237" i="13" s="1"/>
  <c r="C238" i="13"/>
  <c r="D238" i="13"/>
  <c r="C239" i="13"/>
  <c r="D239" i="13" s="1"/>
  <c r="C240" i="13"/>
  <c r="D240" i="13" s="1"/>
  <c r="C241" i="13"/>
  <c r="C242" i="13"/>
  <c r="D242" i="13" s="1"/>
  <c r="C243" i="13"/>
  <c r="D243" i="13"/>
  <c r="C244" i="13"/>
  <c r="D244" i="13" s="1"/>
  <c r="C245" i="13"/>
  <c r="D245" i="13" s="1"/>
  <c r="C246" i="13"/>
  <c r="D246" i="13"/>
  <c r="C247" i="13"/>
  <c r="D247" i="13"/>
  <c r="C248" i="13"/>
  <c r="D248" i="13" s="1"/>
  <c r="C249" i="13"/>
  <c r="D249" i="13"/>
  <c r="C250" i="13"/>
  <c r="D250" i="13" s="1"/>
  <c r="C251" i="13"/>
  <c r="D251" i="13" s="1"/>
  <c r="C252" i="13"/>
  <c r="D252" i="13"/>
  <c r="C253" i="13"/>
  <c r="D253" i="13"/>
  <c r="C254" i="13"/>
  <c r="D254" i="13" s="1"/>
  <c r="C255" i="13"/>
  <c r="D255" i="13"/>
  <c r="C256" i="13"/>
  <c r="D256" i="13" s="1"/>
  <c r="C257" i="13"/>
  <c r="D257" i="13" s="1"/>
  <c r="C258" i="13"/>
  <c r="D258" i="13"/>
  <c r="C259" i="13"/>
  <c r="D259" i="13"/>
  <c r="C260" i="13"/>
  <c r="D260" i="13" s="1"/>
  <c r="C261" i="13"/>
  <c r="D261" i="13"/>
  <c r="C262" i="13"/>
  <c r="D262" i="13" s="1"/>
  <c r="C263" i="13"/>
  <c r="D263" i="13" s="1"/>
  <c r="C264" i="13"/>
  <c r="D264" i="13"/>
  <c r="C265" i="13"/>
  <c r="D265" i="13"/>
  <c r="C266" i="13"/>
  <c r="D266" i="13" s="1"/>
  <c r="C267" i="13"/>
  <c r="D267" i="13"/>
  <c r="C268" i="13"/>
  <c r="D268" i="13" s="1"/>
  <c r="C269" i="13"/>
  <c r="D269" i="13" s="1"/>
  <c r="C270" i="13"/>
  <c r="D270" i="13"/>
  <c r="C271" i="13"/>
  <c r="D271" i="13"/>
  <c r="C272" i="13"/>
  <c r="D272" i="13" s="1"/>
  <c r="C273" i="13"/>
  <c r="D273" i="13"/>
  <c r="C274" i="13"/>
  <c r="D274" i="13" s="1"/>
  <c r="C275" i="13"/>
  <c r="D275" i="13" s="1"/>
  <c r="C276" i="13"/>
  <c r="D276" i="13"/>
  <c r="C277" i="13"/>
  <c r="D277" i="13"/>
  <c r="C278" i="13"/>
  <c r="D278" i="13" s="1"/>
  <c r="C279" i="13"/>
  <c r="D279" i="13"/>
  <c r="C280" i="13"/>
  <c r="D280" i="13" s="1"/>
  <c r="C281" i="13"/>
  <c r="D281" i="13" s="1"/>
  <c r="C282" i="13"/>
  <c r="D282" i="13"/>
  <c r="C283" i="13"/>
  <c r="D283" i="13"/>
  <c r="C284" i="13"/>
  <c r="D284" i="13" s="1"/>
  <c r="C285" i="13"/>
  <c r="D285" i="13"/>
  <c r="C286" i="13"/>
  <c r="D286" i="13" s="1"/>
  <c r="C287" i="13"/>
  <c r="D287" i="13" s="1"/>
  <c r="C288" i="13"/>
  <c r="D288" i="13"/>
  <c r="C289" i="13"/>
  <c r="D289" i="13"/>
  <c r="C290" i="13"/>
  <c r="D290" i="13" s="1"/>
  <c r="C291" i="13"/>
  <c r="D291" i="13"/>
  <c r="C292" i="13"/>
  <c r="D292" i="13" s="1"/>
  <c r="C293" i="13"/>
  <c r="D293" i="13" s="1"/>
  <c r="C294" i="13"/>
  <c r="D294" i="13"/>
  <c r="C295" i="13"/>
  <c r="D295" i="13"/>
  <c r="C296" i="13"/>
  <c r="D296" i="13" s="1"/>
  <c r="C297" i="13"/>
  <c r="D297" i="13"/>
  <c r="C298" i="13"/>
  <c r="D298" i="13" s="1"/>
  <c r="C299" i="13"/>
  <c r="D299" i="13" s="1"/>
  <c r="C300" i="13"/>
  <c r="D300" i="13"/>
  <c r="C301" i="13"/>
  <c r="D301" i="13"/>
  <c r="C302" i="13"/>
  <c r="D302" i="13" s="1"/>
  <c r="C303" i="13"/>
  <c r="D303" i="13"/>
  <c r="C304" i="13"/>
  <c r="D304" i="13" s="1"/>
  <c r="C305" i="13"/>
  <c r="D305" i="13" s="1"/>
  <c r="C306" i="13"/>
  <c r="D306" i="13"/>
  <c r="C307" i="13"/>
  <c r="D307" i="13"/>
  <c r="C308" i="13"/>
  <c r="D308" i="13" s="1"/>
  <c r="C309" i="13"/>
  <c r="D309" i="13"/>
  <c r="C310" i="13"/>
  <c r="D310" i="13" s="1"/>
  <c r="C311" i="13"/>
  <c r="G66" i="13"/>
  <c r="C21" i="14"/>
  <c r="D21" i="14"/>
  <c r="C22" i="14"/>
  <c r="D22" i="14"/>
  <c r="C23" i="14"/>
  <c r="D23" i="14" s="1"/>
  <c r="C24" i="14"/>
  <c r="D24" i="14"/>
  <c r="C25" i="14"/>
  <c r="D25" i="14" s="1"/>
  <c r="C26" i="14"/>
  <c r="D26" i="14" s="1"/>
  <c r="C27" i="14"/>
  <c r="D27" i="14" s="1"/>
  <c r="C28" i="14"/>
  <c r="D28" i="14"/>
  <c r="C29" i="14"/>
  <c r="D29" i="14" s="1"/>
  <c r="C30" i="14"/>
  <c r="D30" i="14"/>
  <c r="C31" i="14"/>
  <c r="D31" i="14" s="1"/>
  <c r="C32" i="14"/>
  <c r="D32" i="14" s="1"/>
  <c r="C33" i="14"/>
  <c r="D33" i="14" s="1"/>
  <c r="C34" i="14"/>
  <c r="D34" i="14"/>
  <c r="C35" i="14"/>
  <c r="D35" i="14" s="1"/>
  <c r="C36" i="14"/>
  <c r="D36" i="14"/>
  <c r="C37" i="14"/>
  <c r="D37" i="14" s="1"/>
  <c r="C38" i="14"/>
  <c r="D38" i="14" s="1"/>
  <c r="C39" i="14"/>
  <c r="D39" i="14" s="1"/>
  <c r="C40" i="14"/>
  <c r="D40" i="14"/>
  <c r="C41" i="14"/>
  <c r="D41" i="14" s="1"/>
  <c r="C42" i="14"/>
  <c r="D42" i="14"/>
  <c r="C43" i="14"/>
  <c r="D43" i="14" s="1"/>
  <c r="C44" i="14"/>
  <c r="D44" i="14" s="1"/>
  <c r="C45" i="14"/>
  <c r="D45" i="14"/>
  <c r="C46" i="14"/>
  <c r="D46" i="14"/>
  <c r="C47" i="14"/>
  <c r="D47" i="14" s="1"/>
  <c r="C48" i="14"/>
  <c r="D48" i="14"/>
  <c r="C49" i="14"/>
  <c r="D49" i="14" s="1"/>
  <c r="C50" i="14"/>
  <c r="D50" i="14" s="1"/>
  <c r="C51" i="14"/>
  <c r="D51" i="14" s="1"/>
  <c r="C52" i="14"/>
  <c r="D52" i="14"/>
  <c r="C53" i="14"/>
  <c r="D53" i="14" s="1"/>
  <c r="C54" i="14"/>
  <c r="D54" i="14"/>
  <c r="C55" i="14"/>
  <c r="D55" i="14" s="1"/>
  <c r="C56" i="14"/>
  <c r="D56" i="14" s="1"/>
  <c r="C57" i="14"/>
  <c r="D57" i="14" s="1"/>
  <c r="C58" i="14"/>
  <c r="D58" i="14"/>
  <c r="C59" i="14"/>
  <c r="D59" i="14" s="1"/>
  <c r="C60" i="14"/>
  <c r="D60" i="14"/>
  <c r="C61" i="14"/>
  <c r="D61" i="14" s="1"/>
  <c r="C62" i="14"/>
  <c r="D62" i="14" s="1"/>
  <c r="C63" i="14"/>
  <c r="D63" i="14" s="1"/>
  <c r="C64" i="14"/>
  <c r="D64" i="14"/>
  <c r="C65" i="14"/>
  <c r="D65" i="14" s="1"/>
  <c r="C66" i="14"/>
  <c r="D66" i="14"/>
  <c r="C67" i="14"/>
  <c r="D67" i="14" s="1"/>
  <c r="C68" i="14"/>
  <c r="D68" i="14" s="1"/>
  <c r="C69" i="14"/>
  <c r="D69" i="14"/>
  <c r="C70" i="14"/>
  <c r="D70" i="14"/>
  <c r="C71" i="14"/>
  <c r="D71" i="14" s="1"/>
  <c r="C72" i="14"/>
  <c r="D72" i="14"/>
  <c r="C73" i="14"/>
  <c r="D73" i="14" s="1"/>
  <c r="C74" i="14"/>
  <c r="D74" i="14" s="1"/>
  <c r="C75" i="14"/>
  <c r="D75" i="14" s="1"/>
  <c r="C76" i="14"/>
  <c r="D76" i="14"/>
  <c r="C77" i="14"/>
  <c r="D77" i="14" s="1"/>
  <c r="C78" i="14"/>
  <c r="D78" i="14"/>
  <c r="C79" i="14"/>
  <c r="D79" i="14" s="1"/>
  <c r="C80" i="14"/>
  <c r="D80" i="14" s="1"/>
  <c r="C81" i="14"/>
  <c r="D81" i="14" s="1"/>
  <c r="C82" i="14"/>
  <c r="D82" i="14"/>
  <c r="C83" i="14"/>
  <c r="D83" i="14" s="1"/>
  <c r="C84" i="14"/>
  <c r="D84" i="14"/>
  <c r="C85" i="14"/>
  <c r="D85" i="14" s="1"/>
  <c r="C86" i="14"/>
  <c r="D86" i="14" s="1"/>
  <c r="C87" i="14"/>
  <c r="D87" i="14"/>
  <c r="C88" i="14"/>
  <c r="D88" i="14"/>
  <c r="C89" i="14"/>
  <c r="D89" i="14" s="1"/>
  <c r="C90" i="14"/>
  <c r="D90" i="14"/>
  <c r="C91" i="14"/>
  <c r="D91" i="14" s="1"/>
  <c r="C92" i="14"/>
  <c r="D92" i="14" s="1"/>
  <c r="C93" i="14"/>
  <c r="D93" i="14"/>
  <c r="C94" i="14"/>
  <c r="D94" i="14"/>
  <c r="C95" i="14"/>
  <c r="D95" i="14" s="1"/>
  <c r="C96" i="14"/>
  <c r="D96" i="14"/>
  <c r="C97" i="14"/>
  <c r="D97" i="14" s="1"/>
  <c r="C98" i="14"/>
  <c r="D98" i="14" s="1"/>
  <c r="C99" i="14"/>
  <c r="D99" i="14" s="1"/>
  <c r="C100" i="14"/>
  <c r="D100" i="14"/>
  <c r="C101" i="14"/>
  <c r="D101" i="14" s="1"/>
  <c r="C102" i="14"/>
  <c r="D102" i="14"/>
  <c r="C103" i="14"/>
  <c r="D103" i="14" s="1"/>
  <c r="C104" i="14"/>
  <c r="D104" i="14" s="1"/>
  <c r="C105" i="14"/>
  <c r="D105" i="14"/>
  <c r="C106" i="14"/>
  <c r="D106" i="14"/>
  <c r="C107" i="14"/>
  <c r="D107" i="14" s="1"/>
  <c r="C108" i="14"/>
  <c r="D108" i="14"/>
  <c r="C109" i="14"/>
  <c r="D109" i="14" s="1"/>
  <c r="C110" i="14"/>
  <c r="D110" i="14" s="1"/>
  <c r="C111" i="14"/>
  <c r="D111" i="14"/>
  <c r="C112" i="14"/>
  <c r="D112" i="14"/>
  <c r="C113" i="14"/>
  <c r="D113" i="14" s="1"/>
  <c r="C114" i="14"/>
  <c r="D114" i="14"/>
  <c r="C115" i="14"/>
  <c r="D115" i="14" s="1"/>
  <c r="C116" i="14"/>
  <c r="D116" i="14" s="1"/>
  <c r="C117" i="14"/>
  <c r="D117" i="14"/>
  <c r="C118" i="14"/>
  <c r="D118" i="14"/>
  <c r="C119" i="14"/>
  <c r="D119" i="14" s="1"/>
  <c r="C120" i="14"/>
  <c r="D120" i="14"/>
  <c r="C121" i="14"/>
  <c r="D121" i="14" s="1"/>
  <c r="C122" i="14"/>
  <c r="D122" i="14" s="1"/>
  <c r="C123" i="14"/>
  <c r="D123" i="14"/>
  <c r="C124" i="14"/>
  <c r="D124" i="14"/>
  <c r="C125" i="14"/>
  <c r="D125" i="14" s="1"/>
  <c r="C126" i="14"/>
  <c r="D126" i="14"/>
  <c r="C127" i="14"/>
  <c r="D127" i="14" s="1"/>
  <c r="C128" i="14"/>
  <c r="D128" i="14" s="1"/>
  <c r="C129" i="14"/>
  <c r="D129" i="14"/>
  <c r="C130" i="14"/>
  <c r="D130" i="14"/>
  <c r="C131" i="14"/>
  <c r="D131" i="14" s="1"/>
  <c r="C132" i="14"/>
  <c r="D132" i="14"/>
  <c r="C133" i="14"/>
  <c r="D133" i="14" s="1"/>
  <c r="C134" i="14"/>
  <c r="D134" i="14" s="1"/>
  <c r="C135" i="14"/>
  <c r="D135" i="14"/>
  <c r="C136" i="14"/>
  <c r="D136" i="14"/>
  <c r="C137" i="14"/>
  <c r="D137" i="14" s="1"/>
  <c r="C138" i="14"/>
  <c r="D138" i="14"/>
  <c r="C139" i="14"/>
  <c r="D139" i="14" s="1"/>
  <c r="C140" i="14"/>
  <c r="D140" i="14" s="1"/>
  <c r="C141" i="14"/>
  <c r="D141" i="14"/>
  <c r="C142" i="14"/>
  <c r="D142" i="14"/>
  <c r="C143" i="14"/>
  <c r="D143" i="14" s="1"/>
  <c r="C144" i="14"/>
  <c r="D144" i="14"/>
  <c r="C145" i="14"/>
  <c r="D145" i="14" s="1"/>
  <c r="C146" i="14"/>
  <c r="D146" i="14" s="1"/>
  <c r="C147" i="14"/>
  <c r="D147" i="14"/>
  <c r="C148" i="14"/>
  <c r="D148" i="14"/>
  <c r="C149" i="14"/>
  <c r="D149" i="14" s="1"/>
  <c r="C150" i="14"/>
  <c r="D150" i="14"/>
  <c r="C151" i="14"/>
  <c r="D151" i="14" s="1"/>
  <c r="C152" i="14"/>
  <c r="D152" i="14" s="1"/>
  <c r="C153" i="14"/>
  <c r="D153" i="14"/>
  <c r="C154" i="14"/>
  <c r="D154" i="14"/>
  <c r="C155" i="14"/>
  <c r="D155" i="14" s="1"/>
  <c r="C156" i="14"/>
  <c r="D156" i="14"/>
  <c r="C157" i="14"/>
  <c r="D157" i="14" s="1"/>
  <c r="C158" i="14"/>
  <c r="D158" i="14" s="1"/>
  <c r="C159" i="14"/>
  <c r="D159" i="14"/>
  <c r="C160" i="14"/>
  <c r="D160" i="14"/>
  <c r="C161" i="14"/>
  <c r="D161" i="14" s="1"/>
  <c r="C162" i="14"/>
  <c r="D162" i="14"/>
  <c r="C163" i="14"/>
  <c r="D163" i="14" s="1"/>
  <c r="C164" i="14"/>
  <c r="D164" i="14" s="1"/>
  <c r="C165" i="14"/>
  <c r="D165" i="14"/>
  <c r="C166" i="14"/>
  <c r="D166" i="14"/>
  <c r="C167" i="14"/>
  <c r="D167" i="14" s="1"/>
  <c r="C168" i="14"/>
  <c r="D168" i="14"/>
  <c r="C169" i="14"/>
  <c r="D169" i="14" s="1"/>
  <c r="C170" i="14"/>
  <c r="D170" i="14" s="1"/>
  <c r="C171" i="14"/>
  <c r="D171" i="14"/>
  <c r="C172" i="14"/>
  <c r="D172" i="14"/>
  <c r="C173" i="14"/>
  <c r="D173" i="14" s="1"/>
  <c r="C174" i="14"/>
  <c r="D174" i="14"/>
  <c r="C175" i="14"/>
  <c r="D175" i="14" s="1"/>
  <c r="C176" i="14"/>
  <c r="D176" i="14" s="1"/>
  <c r="C177" i="14"/>
  <c r="D177" i="14"/>
  <c r="C178" i="14"/>
  <c r="D178" i="14"/>
  <c r="C179" i="14"/>
  <c r="D179" i="14" s="1"/>
  <c r="C180" i="14"/>
  <c r="D180" i="14"/>
  <c r="C181" i="14"/>
  <c r="D181" i="14" s="1"/>
  <c r="C182" i="14"/>
  <c r="D182" i="14" s="1"/>
  <c r="C183" i="14"/>
  <c r="D183" i="14"/>
  <c r="C184" i="14"/>
  <c r="D184" i="14"/>
  <c r="C185" i="14"/>
  <c r="D185" i="14" s="1"/>
  <c r="C186" i="14"/>
  <c r="D186" i="14"/>
  <c r="C187" i="14"/>
  <c r="D187" i="14" s="1"/>
  <c r="C188" i="14"/>
  <c r="D188" i="14" s="1"/>
  <c r="C189" i="14"/>
  <c r="D189" i="14"/>
  <c r="C190" i="14"/>
  <c r="D190" i="14"/>
  <c r="C191" i="14"/>
  <c r="D191" i="14" s="1"/>
  <c r="C192" i="14"/>
  <c r="C193" i="14"/>
  <c r="D193" i="14"/>
  <c r="C194" i="14"/>
  <c r="D194" i="14"/>
  <c r="C195" i="14"/>
  <c r="D195" i="14"/>
  <c r="C196" i="14"/>
  <c r="D196" i="14" s="1"/>
  <c r="C197" i="14"/>
  <c r="D197" i="14" s="1"/>
  <c r="C198" i="14"/>
  <c r="D198" i="14" s="1"/>
  <c r="C199" i="14"/>
  <c r="D199" i="14" s="1"/>
  <c r="C200" i="14"/>
  <c r="D200" i="14"/>
  <c r="C201" i="14"/>
  <c r="D201" i="14"/>
  <c r="C202" i="14"/>
  <c r="D202" i="14" s="1"/>
  <c r="C203" i="14"/>
  <c r="D203" i="14"/>
  <c r="C204" i="14"/>
  <c r="D204" i="14" s="1"/>
  <c r="C205" i="14"/>
  <c r="D205" i="14"/>
  <c r="C206" i="14"/>
  <c r="D206" i="14"/>
  <c r="C207" i="14"/>
  <c r="D207" i="14"/>
  <c r="C208" i="14"/>
  <c r="D208" i="14" s="1"/>
  <c r="C209" i="14"/>
  <c r="D209" i="14"/>
  <c r="C210" i="14"/>
  <c r="D210" i="14" s="1"/>
  <c r="C211" i="14"/>
  <c r="D211" i="14"/>
  <c r="C212" i="14"/>
  <c r="D212" i="14"/>
  <c r="C213" i="14"/>
  <c r="D213" i="14"/>
  <c r="C214" i="14"/>
  <c r="D214" i="14" s="1"/>
  <c r="C215" i="14"/>
  <c r="D215" i="14"/>
  <c r="C216" i="14"/>
  <c r="D216" i="14" s="1"/>
  <c r="C217" i="14"/>
  <c r="D217" i="14"/>
  <c r="C218" i="14"/>
  <c r="D218" i="14"/>
  <c r="C219" i="14"/>
  <c r="D219" i="14"/>
  <c r="C220" i="14"/>
  <c r="D220" i="14" s="1"/>
  <c r="C221" i="14"/>
  <c r="D221" i="14" s="1"/>
  <c r="C222" i="14"/>
  <c r="D222" i="14" s="1"/>
  <c r="C223" i="14"/>
  <c r="D223" i="14" s="1"/>
  <c r="C224" i="14"/>
  <c r="D224" i="14"/>
  <c r="C225" i="14"/>
  <c r="D225" i="14"/>
  <c r="C226" i="14"/>
  <c r="D226" i="14" s="1"/>
  <c r="C227" i="14"/>
  <c r="D227" i="14"/>
  <c r="C228" i="14"/>
  <c r="D228" i="14" s="1"/>
  <c r="C229" i="14"/>
  <c r="D229" i="14" s="1"/>
  <c r="C230" i="14"/>
  <c r="D230" i="14"/>
  <c r="C231" i="14"/>
  <c r="D231" i="14"/>
  <c r="C232" i="14"/>
  <c r="D232" i="14" s="1"/>
  <c r="C233" i="14"/>
  <c r="D233" i="14" s="1"/>
  <c r="C234" i="14"/>
  <c r="D234" i="14" s="1"/>
  <c r="C235" i="14"/>
  <c r="D235" i="14" s="1"/>
  <c r="C236" i="14"/>
  <c r="D236" i="14"/>
  <c r="C237" i="14"/>
  <c r="D237" i="14"/>
  <c r="C238" i="14"/>
  <c r="D238" i="14" s="1"/>
  <c r="C239" i="14"/>
  <c r="D239" i="14"/>
  <c r="C240" i="14"/>
  <c r="D240" i="14" s="1"/>
  <c r="C241" i="14"/>
  <c r="D241" i="14"/>
  <c r="C242" i="14"/>
  <c r="D242" i="14"/>
  <c r="C243" i="14"/>
  <c r="D243" i="14"/>
  <c r="C244" i="14"/>
  <c r="D244" i="14" s="1"/>
  <c r="C245" i="14"/>
  <c r="D245" i="14" s="1"/>
  <c r="C246" i="14"/>
  <c r="D246" i="14" s="1"/>
  <c r="C247" i="14"/>
  <c r="D247" i="14"/>
  <c r="C248" i="14"/>
  <c r="D248" i="14"/>
  <c r="C249" i="14"/>
  <c r="D249" i="14"/>
  <c r="C250" i="14"/>
  <c r="D250" i="14" s="1"/>
  <c r="C251" i="14"/>
  <c r="D251" i="14"/>
  <c r="C252" i="14"/>
  <c r="D252" i="14" s="1"/>
  <c r="C253" i="14"/>
  <c r="D253" i="14"/>
  <c r="C254" i="14"/>
  <c r="D254" i="14"/>
  <c r="C255" i="14"/>
  <c r="D255" i="14"/>
  <c r="C256" i="14"/>
  <c r="D256" i="14" s="1"/>
  <c r="C257" i="14"/>
  <c r="D257" i="14" s="1"/>
  <c r="C258" i="14"/>
  <c r="D258" i="14" s="1"/>
  <c r="C259" i="14"/>
  <c r="D259" i="14" s="1"/>
  <c r="C260" i="14"/>
  <c r="D260" i="14"/>
  <c r="C261" i="14"/>
  <c r="D261" i="14"/>
  <c r="C262" i="14"/>
  <c r="D262" i="14" s="1"/>
  <c r="C263" i="14"/>
  <c r="D263" i="14"/>
  <c r="C264" i="14"/>
  <c r="D264" i="14" s="1"/>
  <c r="C265" i="14"/>
  <c r="D265" i="14" s="1"/>
  <c r="C266" i="14"/>
  <c r="D266" i="14"/>
  <c r="C267" i="14"/>
  <c r="D267" i="14"/>
  <c r="C268" i="14"/>
  <c r="D268" i="14" s="1"/>
  <c r="C269" i="14"/>
  <c r="D269" i="14" s="1"/>
  <c r="C270" i="14"/>
  <c r="D270" i="14" s="1"/>
  <c r="C271" i="14"/>
  <c r="D271" i="14" s="1"/>
  <c r="C272" i="14"/>
  <c r="D272" i="14"/>
  <c r="C273" i="14"/>
  <c r="D273" i="14"/>
  <c r="C274" i="14"/>
  <c r="D274" i="14" s="1"/>
  <c r="C275" i="14"/>
  <c r="D275" i="14"/>
  <c r="C276" i="14"/>
  <c r="C277" i="14"/>
  <c r="D277" i="14"/>
  <c r="C278" i="14"/>
  <c r="D278" i="14" s="1"/>
  <c r="C279" i="14"/>
  <c r="D279" i="14" s="1"/>
  <c r="C280" i="14"/>
  <c r="D280" i="14" s="1"/>
  <c r="C281" i="14"/>
  <c r="D281" i="14"/>
  <c r="C282" i="14"/>
  <c r="D282" i="14" s="1"/>
  <c r="C283" i="14"/>
  <c r="D283" i="14"/>
  <c r="C284" i="14"/>
  <c r="D284" i="14" s="1"/>
  <c r="C285" i="14"/>
  <c r="D285" i="14"/>
  <c r="C286" i="14"/>
  <c r="D286" i="14" s="1"/>
  <c r="C287" i="14"/>
  <c r="D287" i="14"/>
  <c r="C288" i="14"/>
  <c r="D288" i="14" s="1"/>
  <c r="C289" i="14"/>
  <c r="D289" i="14"/>
  <c r="C290" i="14"/>
  <c r="D290" i="14" s="1"/>
  <c r="C291" i="14"/>
  <c r="D291" i="14"/>
  <c r="C292" i="14"/>
  <c r="D292" i="14"/>
  <c r="C293" i="14"/>
  <c r="D293" i="14"/>
  <c r="C294" i="14"/>
  <c r="D294" i="14" s="1"/>
  <c r="C295" i="14"/>
  <c r="D295" i="14"/>
  <c r="C296" i="14"/>
  <c r="D296" i="14" s="1"/>
  <c r="C297" i="14"/>
  <c r="D297" i="14"/>
  <c r="G186" i="14"/>
  <c r="C21" i="18"/>
  <c r="D21" i="18" s="1"/>
  <c r="C22" i="18"/>
  <c r="C23" i="18"/>
  <c r="D23" i="18" s="1"/>
  <c r="C24" i="18"/>
  <c r="D24" i="18"/>
  <c r="C25" i="18"/>
  <c r="D25" i="18" s="1"/>
  <c r="C26" i="18"/>
  <c r="D26" i="18"/>
  <c r="C27" i="18"/>
  <c r="D27" i="18" s="1"/>
  <c r="C28" i="18"/>
  <c r="D28" i="18"/>
  <c r="C29" i="18"/>
  <c r="D29" i="18" s="1"/>
  <c r="C30" i="18"/>
  <c r="D30" i="18"/>
  <c r="C31" i="18"/>
  <c r="D31" i="18" s="1"/>
  <c r="C32" i="18"/>
  <c r="D32" i="18" s="1"/>
  <c r="C33" i="18"/>
  <c r="D33" i="18"/>
  <c r="C34" i="18"/>
  <c r="D34" i="18"/>
  <c r="C35" i="18"/>
  <c r="D35" i="18" s="1"/>
  <c r="C36" i="18"/>
  <c r="D36" i="18"/>
  <c r="C37" i="18"/>
  <c r="D37" i="18" s="1"/>
  <c r="C38" i="18"/>
  <c r="D38" i="18"/>
  <c r="C39" i="18"/>
  <c r="D39" i="18" s="1"/>
  <c r="C40" i="18"/>
  <c r="D40" i="18"/>
  <c r="C41" i="18"/>
  <c r="D41" i="18" s="1"/>
  <c r="C42" i="18"/>
  <c r="D42" i="18"/>
  <c r="C43" i="18"/>
  <c r="D43" i="18" s="1"/>
  <c r="C44" i="18"/>
  <c r="D44" i="18" s="1"/>
  <c r="C45" i="18"/>
  <c r="D45" i="18"/>
  <c r="C46" i="18"/>
  <c r="D46" i="18"/>
  <c r="C47" i="18"/>
  <c r="D47" i="18" s="1"/>
  <c r="C48" i="18"/>
  <c r="D48" i="18"/>
  <c r="C49" i="18"/>
  <c r="D49" i="18" s="1"/>
  <c r="C50" i="18"/>
  <c r="D50" i="18"/>
  <c r="C51" i="18"/>
  <c r="D51" i="18" s="1"/>
  <c r="C52" i="18"/>
  <c r="D52" i="18"/>
  <c r="C53" i="18"/>
  <c r="D53" i="18" s="1"/>
  <c r="C54" i="18"/>
  <c r="D54" i="18"/>
  <c r="C55" i="18"/>
  <c r="D55" i="18" s="1"/>
  <c r="C56" i="18"/>
  <c r="D56" i="18"/>
  <c r="C57" i="18"/>
  <c r="D57" i="18"/>
  <c r="C58" i="18"/>
  <c r="D58" i="18"/>
  <c r="C59" i="18"/>
  <c r="D59" i="18" s="1"/>
  <c r="C60" i="18"/>
  <c r="D60" i="18"/>
  <c r="C61" i="18"/>
  <c r="D61" i="18" s="1"/>
  <c r="C62" i="18"/>
  <c r="D62" i="18"/>
  <c r="C63" i="18"/>
  <c r="D63" i="18"/>
  <c r="C64" i="18"/>
  <c r="D64" i="18"/>
  <c r="C65" i="18"/>
  <c r="D65" i="18" s="1"/>
  <c r="C66" i="18"/>
  <c r="D66" i="18"/>
  <c r="C67" i="18"/>
  <c r="D67" i="18" s="1"/>
  <c r="C68" i="18"/>
  <c r="D68" i="18" s="1"/>
  <c r="C69" i="18"/>
  <c r="C70" i="18"/>
  <c r="D70" i="18" s="1"/>
  <c r="C71" i="18"/>
  <c r="D71" i="18"/>
  <c r="C72" i="18"/>
  <c r="D72" i="18" s="1"/>
  <c r="C73" i="18"/>
  <c r="D73" i="18"/>
  <c r="C74" i="18"/>
  <c r="D74" i="18"/>
  <c r="C75" i="18"/>
  <c r="D75" i="18" s="1"/>
  <c r="C76" i="18"/>
  <c r="D76" i="18" s="1"/>
  <c r="C77" i="18"/>
  <c r="D77" i="18"/>
  <c r="C78" i="18"/>
  <c r="D78" i="18" s="1"/>
  <c r="C79" i="18"/>
  <c r="D79" i="18"/>
  <c r="C80" i="18"/>
  <c r="D80" i="18"/>
  <c r="C81" i="18"/>
  <c r="D81" i="18"/>
  <c r="C82" i="18"/>
  <c r="D82" i="18" s="1"/>
  <c r="C83" i="18"/>
  <c r="D83" i="18" s="1"/>
  <c r="C84" i="18"/>
  <c r="D84" i="18" s="1"/>
  <c r="C85" i="18"/>
  <c r="D85" i="18" s="1"/>
  <c r="C86" i="18"/>
  <c r="D86" i="18"/>
  <c r="C87" i="18"/>
  <c r="D87" i="18"/>
  <c r="C88" i="18"/>
  <c r="D88" i="18" s="1"/>
  <c r="C89" i="18"/>
  <c r="D89" i="18"/>
  <c r="C90" i="18"/>
  <c r="D90" i="18" s="1"/>
  <c r="C91" i="18"/>
  <c r="D91" i="18" s="1"/>
  <c r="C92" i="18"/>
  <c r="D92" i="18"/>
  <c r="C93" i="18"/>
  <c r="D93" i="18"/>
  <c r="C94" i="18"/>
  <c r="D94" i="18" s="1"/>
  <c r="C95" i="18"/>
  <c r="D95" i="18" s="1"/>
  <c r="C96" i="18"/>
  <c r="D96" i="18" s="1"/>
  <c r="C97" i="18"/>
  <c r="D97" i="18" s="1"/>
  <c r="C98" i="18"/>
  <c r="D98" i="18"/>
  <c r="C99" i="18"/>
  <c r="D99" i="18" s="1"/>
  <c r="C100" i="18"/>
  <c r="D100" i="18" s="1"/>
  <c r="C101" i="18"/>
  <c r="D101" i="18"/>
  <c r="C102" i="18"/>
  <c r="D102" i="18" s="1"/>
  <c r="C103" i="18"/>
  <c r="D103" i="18"/>
  <c r="C104" i="18"/>
  <c r="D104" i="18"/>
  <c r="C105" i="18"/>
  <c r="D105" i="18"/>
  <c r="C106" i="18"/>
  <c r="D106" i="18" s="1"/>
  <c r="C107" i="18"/>
  <c r="D107" i="18"/>
  <c r="C108" i="18"/>
  <c r="D108" i="18" s="1"/>
  <c r="C109" i="18"/>
  <c r="D109" i="18"/>
  <c r="C110" i="18"/>
  <c r="D110" i="18"/>
  <c r="C111" i="18"/>
  <c r="D111" i="18" s="1"/>
  <c r="C112" i="18"/>
  <c r="D112" i="18" s="1"/>
  <c r="C113" i="18"/>
  <c r="D113" i="18"/>
  <c r="C114" i="18"/>
  <c r="D114" i="18" s="1"/>
  <c r="C115" i="18"/>
  <c r="C116" i="18"/>
  <c r="D116" i="18" s="1"/>
  <c r="C117" i="18"/>
  <c r="D117" i="18"/>
  <c r="C118" i="18"/>
  <c r="D118" i="18"/>
  <c r="C119" i="18"/>
  <c r="D119" i="18"/>
  <c r="C120" i="18"/>
  <c r="D120" i="18" s="1"/>
  <c r="C121" i="18"/>
  <c r="D121" i="18"/>
  <c r="C122" i="18"/>
  <c r="D122" i="18" s="1"/>
  <c r="C123" i="18"/>
  <c r="C124" i="18"/>
  <c r="D124" i="18"/>
  <c r="C125" i="18"/>
  <c r="D125" i="18" s="1"/>
  <c r="C126" i="18"/>
  <c r="D126" i="18"/>
  <c r="C127" i="18"/>
  <c r="D127" i="18" s="1"/>
  <c r="C128" i="18"/>
  <c r="D128" i="18" s="1"/>
  <c r="C129" i="18"/>
  <c r="D129" i="18"/>
  <c r="C130" i="18"/>
  <c r="D130" i="18" s="1"/>
  <c r="C131" i="18"/>
  <c r="D131" i="18" s="1"/>
  <c r="C132" i="18"/>
  <c r="D132" i="18"/>
  <c r="C133" i="18"/>
  <c r="D133" i="18" s="1"/>
  <c r="C134" i="18"/>
  <c r="D134" i="18"/>
  <c r="C135" i="18"/>
  <c r="D135" i="18"/>
  <c r="C136" i="18"/>
  <c r="D136" i="18"/>
  <c r="C137" i="18"/>
  <c r="D137" i="18" s="1"/>
  <c r="C138" i="18"/>
  <c r="D138" i="18"/>
  <c r="C139" i="18"/>
  <c r="D139" i="18" s="1"/>
  <c r="C140" i="18"/>
  <c r="D140" i="18" s="1"/>
  <c r="C141" i="18"/>
  <c r="D141" i="18"/>
  <c r="C142" i="18"/>
  <c r="D142" i="18" s="1"/>
  <c r="C143" i="18"/>
  <c r="C144" i="18"/>
  <c r="D144" i="18"/>
  <c r="C145" i="18"/>
  <c r="D145" i="18" s="1"/>
  <c r="C146" i="18"/>
  <c r="D146" i="18"/>
  <c r="C147" i="18"/>
  <c r="D147" i="18" s="1"/>
  <c r="C148" i="18"/>
  <c r="D148" i="18"/>
  <c r="C149" i="18"/>
  <c r="D149" i="18" s="1"/>
  <c r="C150" i="18"/>
  <c r="D150" i="18"/>
  <c r="C151" i="18"/>
  <c r="D151" i="18" s="1"/>
  <c r="C152" i="18"/>
  <c r="D152" i="18"/>
  <c r="C153" i="18"/>
  <c r="D153" i="18" s="1"/>
  <c r="C154" i="18"/>
  <c r="D154" i="18"/>
  <c r="C155" i="18"/>
  <c r="C156" i="18"/>
  <c r="D156" i="18" s="1"/>
  <c r="C157" i="18"/>
  <c r="D157" i="18" s="1"/>
  <c r="C158" i="18"/>
  <c r="D158" i="18" s="1"/>
  <c r="C159" i="18"/>
  <c r="D159" i="18"/>
  <c r="C160" i="18"/>
  <c r="D160" i="18"/>
  <c r="C161" i="18"/>
  <c r="D161" i="18"/>
  <c r="C162" i="18"/>
  <c r="D162" i="18" s="1"/>
  <c r="C163" i="18"/>
  <c r="D163" i="18"/>
  <c r="C164" i="18"/>
  <c r="D164" i="18" s="1"/>
  <c r="C165" i="18"/>
  <c r="D165" i="18" s="1"/>
  <c r="C166" i="18"/>
  <c r="D166" i="18"/>
  <c r="C167" i="18"/>
  <c r="D167" i="18"/>
  <c r="C168" i="18"/>
  <c r="D168" i="18" s="1"/>
  <c r="C169" i="18"/>
  <c r="D169" i="18"/>
  <c r="C170" i="18"/>
  <c r="D170" i="18" s="1"/>
  <c r="C171" i="18"/>
  <c r="D171" i="18"/>
  <c r="C172" i="18"/>
  <c r="D172" i="18"/>
  <c r="C173" i="18"/>
  <c r="D173" i="18"/>
  <c r="C174" i="18"/>
  <c r="D174" i="18" s="1"/>
  <c r="C175" i="18"/>
  <c r="D175" i="18"/>
  <c r="C176" i="18"/>
  <c r="D176" i="18" s="1"/>
  <c r="C177" i="18"/>
  <c r="D177" i="18" s="1"/>
  <c r="C178" i="18"/>
  <c r="D178" i="18"/>
  <c r="C179" i="18"/>
  <c r="C180" i="18"/>
  <c r="D180" i="18" s="1"/>
  <c r="C181" i="18"/>
  <c r="D181" i="18"/>
  <c r="C182" i="18"/>
  <c r="D182" i="18" s="1"/>
  <c r="C183" i="18"/>
  <c r="D183" i="18"/>
  <c r="C184" i="18"/>
  <c r="D184" i="18" s="1"/>
  <c r="C185" i="18"/>
  <c r="D185" i="18"/>
  <c r="C186" i="18"/>
  <c r="D186" i="18" s="1"/>
  <c r="C187" i="18"/>
  <c r="D187" i="18"/>
  <c r="C188" i="18"/>
  <c r="D188" i="18" s="1"/>
  <c r="C189" i="18"/>
  <c r="D189" i="18"/>
  <c r="C190" i="18"/>
  <c r="D190" i="18"/>
  <c r="C191" i="18"/>
  <c r="D191" i="18" s="1"/>
  <c r="C192" i="18"/>
  <c r="D192" i="18"/>
  <c r="C193" i="18"/>
  <c r="D193" i="18" s="1"/>
  <c r="C194" i="18"/>
  <c r="D194" i="18"/>
  <c r="C195" i="18"/>
  <c r="C196" i="18"/>
  <c r="D196" i="18"/>
  <c r="C197" i="18"/>
  <c r="D197" i="18"/>
  <c r="C198" i="18"/>
  <c r="D198" i="18"/>
  <c r="C199" i="18"/>
  <c r="C200" i="18"/>
  <c r="D200" i="18" s="1"/>
  <c r="C201" i="18"/>
  <c r="D201" i="18"/>
  <c r="C202" i="18"/>
  <c r="D202" i="18" s="1"/>
  <c r="C203" i="18"/>
  <c r="D203" i="18"/>
  <c r="C204" i="18"/>
  <c r="D204" i="18" s="1"/>
  <c r="C205" i="18"/>
  <c r="D205" i="18"/>
  <c r="C206" i="18"/>
  <c r="D206" i="18" s="1"/>
  <c r="C207" i="18"/>
  <c r="D207" i="18"/>
  <c r="C208" i="18"/>
  <c r="D208" i="18" s="1"/>
  <c r="C209" i="18"/>
  <c r="D209" i="18"/>
  <c r="C210" i="18"/>
  <c r="D210" i="18" s="1"/>
  <c r="C211" i="18"/>
  <c r="D211" i="18"/>
  <c r="C212" i="18"/>
  <c r="D212" i="18" s="1"/>
  <c r="C213" i="18"/>
  <c r="D213" i="18"/>
  <c r="C214" i="18"/>
  <c r="D214" i="18" s="1"/>
  <c r="C215" i="18"/>
  <c r="D215" i="18"/>
  <c r="C216" i="18"/>
  <c r="D216" i="18" s="1"/>
  <c r="C217" i="18"/>
  <c r="D217" i="18"/>
  <c r="C218" i="18"/>
  <c r="D218" i="18" s="1"/>
  <c r="C219" i="18"/>
  <c r="D219" i="18"/>
  <c r="C220" i="18"/>
  <c r="D220" i="18" s="1"/>
  <c r="C221" i="18"/>
  <c r="D221" i="18"/>
  <c r="C222" i="18"/>
  <c r="D222" i="18" s="1"/>
  <c r="C223" i="18"/>
  <c r="C224" i="18"/>
  <c r="D224" i="18" s="1"/>
  <c r="C225" i="18"/>
  <c r="D225" i="18"/>
  <c r="C226" i="18"/>
  <c r="D226" i="18" s="1"/>
  <c r="C227" i="18"/>
  <c r="D227" i="18"/>
  <c r="C228" i="18"/>
  <c r="D228" i="18"/>
  <c r="C229" i="18"/>
  <c r="D229" i="18"/>
  <c r="C230" i="18"/>
  <c r="D230" i="18" s="1"/>
  <c r="C231" i="18"/>
  <c r="D231" i="18"/>
  <c r="C21" i="19"/>
  <c r="C22" i="19"/>
  <c r="D22" i="19" s="1"/>
  <c r="C23" i="19"/>
  <c r="D23" i="19"/>
  <c r="C24" i="19"/>
  <c r="C25" i="19"/>
  <c r="D25" i="19"/>
  <c r="C26" i="19"/>
  <c r="D26" i="19" s="1"/>
  <c r="C27" i="19"/>
  <c r="D27" i="19"/>
  <c r="C28" i="19"/>
  <c r="D28" i="19" s="1"/>
  <c r="C29" i="19"/>
  <c r="D29" i="19"/>
  <c r="C30" i="19"/>
  <c r="D30" i="19"/>
  <c r="C31" i="19"/>
  <c r="D31" i="19"/>
  <c r="C32" i="19"/>
  <c r="C33" i="19"/>
  <c r="D33" i="19" s="1"/>
  <c r="C34" i="19"/>
  <c r="D34" i="19"/>
  <c r="C35" i="19"/>
  <c r="D35" i="19" s="1"/>
  <c r="C36" i="19"/>
  <c r="D36" i="19"/>
  <c r="C37" i="19"/>
  <c r="D37" i="19" s="1"/>
  <c r="C38" i="19"/>
  <c r="C39" i="19"/>
  <c r="D39" i="19" s="1"/>
  <c r="C40" i="19"/>
  <c r="C41" i="19"/>
  <c r="D41" i="19"/>
  <c r="C42" i="19"/>
  <c r="D42" i="19" s="1"/>
  <c r="C43" i="19"/>
  <c r="D43" i="19"/>
  <c r="C44" i="19"/>
  <c r="C45" i="19"/>
  <c r="D45" i="19"/>
  <c r="C46" i="19"/>
  <c r="D46" i="19" s="1"/>
  <c r="C47" i="19"/>
  <c r="D47" i="19" s="1"/>
  <c r="C48" i="19"/>
  <c r="D48" i="19" s="1"/>
  <c r="C49" i="19"/>
  <c r="D49" i="19"/>
  <c r="C50" i="19"/>
  <c r="D50" i="19"/>
  <c r="C51" i="19"/>
  <c r="D51" i="19"/>
  <c r="C52" i="19"/>
  <c r="C53" i="19"/>
  <c r="D53" i="19" s="1"/>
  <c r="C54" i="19"/>
  <c r="D54" i="19"/>
  <c r="C55" i="19"/>
  <c r="D55" i="19" s="1"/>
  <c r="C56" i="19"/>
  <c r="D56" i="19"/>
  <c r="C57" i="19"/>
  <c r="D57" i="19" s="1"/>
  <c r="C58" i="19"/>
  <c r="D58" i="19"/>
  <c r="C59" i="19"/>
  <c r="D59" i="19" s="1"/>
  <c r="C60" i="19"/>
  <c r="C61" i="19"/>
  <c r="D61" i="19" s="1"/>
  <c r="C62" i="19"/>
  <c r="D62" i="19"/>
  <c r="C63" i="19"/>
  <c r="D63" i="19"/>
  <c r="C64" i="19"/>
  <c r="D64" i="19"/>
  <c r="C65" i="19"/>
  <c r="D65" i="19" s="1"/>
  <c r="C66" i="19"/>
  <c r="D66" i="19" s="1"/>
  <c r="C67" i="19"/>
  <c r="D67" i="19" s="1"/>
  <c r="C68" i="19"/>
  <c r="C69" i="19"/>
  <c r="D69" i="19"/>
  <c r="C70" i="19"/>
  <c r="D70" i="19" s="1"/>
  <c r="C71" i="19"/>
  <c r="D71" i="19"/>
  <c r="C72" i="19"/>
  <c r="D72" i="19" s="1"/>
  <c r="C73" i="19"/>
  <c r="D73" i="19"/>
  <c r="C74" i="19"/>
  <c r="D74" i="19" s="1"/>
  <c r="C75" i="19"/>
  <c r="D75" i="19"/>
  <c r="C76" i="19"/>
  <c r="C77" i="19"/>
  <c r="D77" i="19"/>
  <c r="C78" i="19"/>
  <c r="D78" i="19" s="1"/>
  <c r="C79" i="19"/>
  <c r="D79" i="19" s="1"/>
  <c r="C80" i="19"/>
  <c r="D80" i="19" s="1"/>
  <c r="C81" i="19"/>
  <c r="D81" i="19"/>
  <c r="C82" i="19"/>
  <c r="D82" i="19"/>
  <c r="C83" i="19"/>
  <c r="D83" i="19"/>
  <c r="C84" i="19"/>
  <c r="D84" i="19" s="1"/>
  <c r="C85" i="19"/>
  <c r="D85" i="19" s="1"/>
  <c r="C86" i="19"/>
  <c r="D86" i="19" s="1"/>
  <c r="C87" i="19"/>
  <c r="D87" i="19"/>
  <c r="C88" i="19"/>
  <c r="C89" i="19"/>
  <c r="D89" i="19" s="1"/>
  <c r="C90" i="19"/>
  <c r="D90" i="19"/>
  <c r="C91" i="19"/>
  <c r="D91" i="19" s="1"/>
  <c r="C92" i="19"/>
  <c r="D92" i="19"/>
  <c r="C93" i="19"/>
  <c r="D93" i="19" s="1"/>
  <c r="C94" i="19"/>
  <c r="D94" i="19"/>
  <c r="C95" i="19"/>
  <c r="D95" i="19" s="1"/>
  <c r="C96" i="19"/>
  <c r="C97" i="19"/>
  <c r="D97" i="19" s="1"/>
  <c r="C98" i="19"/>
  <c r="D98" i="19" s="1"/>
  <c r="C99" i="19"/>
  <c r="D99" i="19" s="1"/>
  <c r="C100" i="19"/>
  <c r="C101" i="19"/>
  <c r="D101" i="19"/>
  <c r="C102" i="19"/>
  <c r="D102" i="19" s="1"/>
  <c r="C103" i="19"/>
  <c r="D103" i="19"/>
  <c r="C104" i="19"/>
  <c r="D104" i="19" s="1"/>
  <c r="C105" i="19"/>
  <c r="D105" i="19"/>
  <c r="C106" i="19"/>
  <c r="D106" i="19" s="1"/>
  <c r="C107" i="19"/>
  <c r="D107" i="19"/>
  <c r="C108" i="19"/>
  <c r="C109" i="19"/>
  <c r="D109" i="19"/>
  <c r="C110" i="19"/>
  <c r="D110" i="19" s="1"/>
  <c r="C111" i="19"/>
  <c r="D111" i="19" s="1"/>
  <c r="C112" i="19"/>
  <c r="D112" i="19" s="1"/>
  <c r="C113" i="19"/>
  <c r="D113" i="19"/>
  <c r="C114" i="19"/>
  <c r="D114" i="19"/>
  <c r="C115" i="19"/>
  <c r="D115" i="19"/>
  <c r="C116" i="19"/>
  <c r="D116" i="19" s="1"/>
  <c r="C117" i="19"/>
  <c r="D117" i="19" s="1"/>
  <c r="C118" i="19"/>
  <c r="D118" i="19" s="1"/>
  <c r="C119" i="19"/>
  <c r="D119" i="19"/>
  <c r="C120" i="19"/>
  <c r="D120" i="19"/>
  <c r="C121" i="19"/>
  <c r="D121" i="19"/>
  <c r="C122" i="19"/>
  <c r="D122" i="19" s="1"/>
  <c r="C123" i="19"/>
  <c r="D123" i="19" s="1"/>
  <c r="C124" i="19"/>
  <c r="C125" i="19"/>
  <c r="D125" i="19" s="1"/>
  <c r="C126" i="19"/>
  <c r="D126" i="19"/>
  <c r="C127" i="19"/>
  <c r="D127" i="19" s="1"/>
  <c r="C128" i="19"/>
  <c r="D128" i="19"/>
  <c r="C129" i="19"/>
  <c r="D129" i="19" s="1"/>
  <c r="C130" i="19"/>
  <c r="D130" i="19"/>
  <c r="C131" i="19"/>
  <c r="D131" i="19" s="1"/>
  <c r="C132" i="19"/>
  <c r="D132" i="19"/>
  <c r="C133" i="19"/>
  <c r="D133" i="19" s="1"/>
  <c r="C134" i="19"/>
  <c r="D134" i="19"/>
  <c r="C135" i="19"/>
  <c r="D135" i="19" s="1"/>
  <c r="C136" i="19"/>
  <c r="D136" i="19"/>
  <c r="C137" i="19"/>
  <c r="D137" i="19" s="1"/>
  <c r="C138" i="19"/>
  <c r="D138" i="19"/>
  <c r="C139" i="19"/>
  <c r="D139" i="19" s="1"/>
  <c r="C140" i="19"/>
  <c r="C141" i="19"/>
  <c r="D141" i="19" s="1"/>
  <c r="C142" i="19"/>
  <c r="D142" i="19" s="1"/>
  <c r="C143" i="19"/>
  <c r="D143" i="19" s="1"/>
  <c r="C144" i="19"/>
  <c r="C145" i="19"/>
  <c r="D145" i="19"/>
  <c r="C146" i="19"/>
  <c r="D146" i="19" s="1"/>
  <c r="C147" i="19"/>
  <c r="D147" i="19"/>
  <c r="C148" i="19"/>
  <c r="D148" i="19" s="1"/>
  <c r="C149" i="19"/>
  <c r="D149" i="19"/>
  <c r="C150" i="19"/>
  <c r="D150" i="19" s="1"/>
  <c r="C151" i="19"/>
  <c r="D151" i="19"/>
  <c r="C152" i="19"/>
  <c r="D152" i="19" s="1"/>
  <c r="C153" i="19"/>
  <c r="D153" i="19"/>
  <c r="C154" i="19"/>
  <c r="D154" i="19" s="1"/>
  <c r="C155" i="19"/>
  <c r="D155" i="19"/>
  <c r="C156" i="19"/>
  <c r="D156" i="19" s="1"/>
  <c r="C157" i="19"/>
  <c r="D157" i="19"/>
  <c r="C158" i="19"/>
  <c r="D158" i="19" s="1"/>
  <c r="C159" i="19"/>
  <c r="D159" i="19"/>
  <c r="C160" i="19"/>
  <c r="D160" i="19" s="1"/>
  <c r="C161" i="19"/>
  <c r="D161" i="19"/>
  <c r="C162" i="19"/>
  <c r="D162" i="19" s="1"/>
  <c r="C163" i="19"/>
  <c r="D163" i="19"/>
  <c r="C164" i="19"/>
  <c r="C165" i="19"/>
  <c r="D165" i="19"/>
  <c r="C166" i="19"/>
  <c r="D166" i="19" s="1"/>
  <c r="C167" i="19"/>
  <c r="D167" i="19" s="1"/>
  <c r="C168" i="19"/>
  <c r="D168" i="19" s="1"/>
  <c r="C169" i="19"/>
  <c r="D169" i="19"/>
  <c r="C170" i="19"/>
  <c r="D170" i="19"/>
  <c r="C171" i="19"/>
  <c r="D171" i="19"/>
  <c r="C172" i="19"/>
  <c r="D172" i="19" s="1"/>
  <c r="C173" i="19"/>
  <c r="D173" i="19" s="1"/>
  <c r="C174" i="19"/>
  <c r="D174" i="19" s="1"/>
  <c r="C175" i="19"/>
  <c r="D175" i="19"/>
  <c r="C176" i="19"/>
  <c r="D176" i="19"/>
  <c r="C177" i="19"/>
  <c r="D177" i="19"/>
  <c r="C178" i="19"/>
  <c r="D178" i="19" s="1"/>
  <c r="C179" i="19"/>
  <c r="D179" i="19" s="1"/>
  <c r="C180" i="19"/>
  <c r="C181" i="19"/>
  <c r="D181" i="19" s="1"/>
  <c r="C182" i="19"/>
  <c r="D182" i="19"/>
  <c r="C183" i="19"/>
  <c r="D183" i="19" s="1"/>
  <c r="C184" i="19"/>
  <c r="C185" i="19"/>
  <c r="D185" i="19" s="1"/>
  <c r="C186" i="19"/>
  <c r="D186" i="19" s="1"/>
  <c r="C187" i="19"/>
  <c r="D187" i="19" s="1"/>
  <c r="C188" i="19"/>
  <c r="D188" i="19"/>
  <c r="C189" i="19"/>
  <c r="D189" i="19"/>
  <c r="C190" i="19"/>
  <c r="D190" i="19"/>
  <c r="C191" i="19"/>
  <c r="D191" i="19" s="1"/>
  <c r="C192" i="19"/>
  <c r="D192" i="19" s="1"/>
  <c r="C193" i="19"/>
  <c r="D193" i="19" s="1"/>
  <c r="C194" i="19"/>
  <c r="D194" i="19"/>
  <c r="C195" i="19"/>
  <c r="D195" i="19"/>
  <c r="C196" i="19"/>
  <c r="C197" i="19"/>
  <c r="D197" i="19" s="1"/>
  <c r="C198" i="19"/>
  <c r="D198" i="19" s="1"/>
  <c r="C199" i="19"/>
  <c r="D199" i="19"/>
  <c r="C200" i="19"/>
  <c r="D200" i="19" s="1"/>
  <c r="C201" i="19"/>
  <c r="D201" i="19"/>
  <c r="C202" i="19"/>
  <c r="D202" i="19" s="1"/>
  <c r="C203" i="19"/>
  <c r="C204" i="19"/>
  <c r="C205" i="19"/>
  <c r="D205" i="19" s="1"/>
  <c r="C206" i="19"/>
  <c r="D206" i="19"/>
  <c r="C207" i="19"/>
  <c r="D207" i="19" s="1"/>
  <c r="C208" i="19"/>
  <c r="C209" i="19"/>
  <c r="D209" i="19"/>
  <c r="C210" i="19"/>
  <c r="D210" i="19"/>
  <c r="C211" i="19"/>
  <c r="D211" i="19" s="1"/>
  <c r="C212" i="19"/>
  <c r="D212" i="19" s="1"/>
  <c r="C213" i="19"/>
  <c r="D213" i="19" s="1"/>
  <c r="C214" i="19"/>
  <c r="D214" i="19"/>
  <c r="C215" i="19"/>
  <c r="C216" i="19"/>
  <c r="D216" i="19" s="1"/>
  <c r="C217" i="19"/>
  <c r="D217" i="19" s="1"/>
  <c r="C218" i="19"/>
  <c r="D218" i="19" s="1"/>
  <c r="C219" i="19"/>
  <c r="D219" i="19"/>
  <c r="C220" i="19"/>
  <c r="C221" i="19"/>
  <c r="D221" i="19"/>
  <c r="C222" i="19"/>
  <c r="D222" i="19"/>
  <c r="C223" i="19"/>
  <c r="D223" i="19"/>
  <c r="C224" i="19"/>
  <c r="D224" i="19" s="1"/>
  <c r="C225" i="19"/>
  <c r="D225" i="19" s="1"/>
  <c r="C226" i="19"/>
  <c r="D226" i="19" s="1"/>
  <c r="C227" i="19"/>
  <c r="D227" i="19"/>
  <c r="C228" i="19"/>
  <c r="C229" i="19"/>
  <c r="D229" i="19" s="1"/>
  <c r="C21" i="24"/>
  <c r="C22" i="24"/>
  <c r="D22" i="24" s="1"/>
  <c r="C23" i="24"/>
  <c r="D23" i="24" s="1"/>
  <c r="C24" i="24"/>
  <c r="D24" i="24" s="1"/>
  <c r="C25" i="24"/>
  <c r="D25" i="24"/>
  <c r="C26" i="24"/>
  <c r="D26" i="24"/>
  <c r="C27" i="24"/>
  <c r="D27" i="24"/>
  <c r="C28" i="24"/>
  <c r="D28" i="24" s="1"/>
  <c r="C29" i="24"/>
  <c r="D29" i="24" s="1"/>
  <c r="C30" i="24"/>
  <c r="D30" i="24" s="1"/>
  <c r="C31" i="24"/>
  <c r="D31" i="24"/>
  <c r="C32" i="24"/>
  <c r="D32" i="24"/>
  <c r="C33" i="24"/>
  <c r="D33" i="24"/>
  <c r="C34" i="24"/>
  <c r="D34" i="24" s="1"/>
  <c r="C35" i="24"/>
  <c r="D35" i="24" s="1"/>
  <c r="C36" i="24"/>
  <c r="D36" i="24" s="1"/>
  <c r="C37" i="24"/>
  <c r="D37" i="24"/>
  <c r="C38" i="24"/>
  <c r="D38" i="24"/>
  <c r="C39" i="24"/>
  <c r="D39" i="24"/>
  <c r="C40" i="24"/>
  <c r="D40" i="24" s="1"/>
  <c r="C41" i="24"/>
  <c r="D41" i="24" s="1"/>
  <c r="C42" i="24"/>
  <c r="D42" i="24" s="1"/>
  <c r="C43" i="24"/>
  <c r="D43" i="24"/>
  <c r="C44" i="24"/>
  <c r="D44" i="24"/>
  <c r="C45" i="24"/>
  <c r="C46" i="24"/>
  <c r="D46" i="24" s="1"/>
  <c r="C47" i="24"/>
  <c r="D47" i="24" s="1"/>
  <c r="C48" i="24"/>
  <c r="D48" i="24"/>
  <c r="C49" i="24"/>
  <c r="D49" i="24" s="1"/>
  <c r="C50" i="24"/>
  <c r="D50" i="24"/>
  <c r="C51" i="24"/>
  <c r="D51" i="24" s="1"/>
  <c r="C52" i="24"/>
  <c r="D52" i="24" s="1"/>
  <c r="C53" i="24"/>
  <c r="D53" i="24" s="1"/>
  <c r="C54" i="24"/>
  <c r="C55" i="24"/>
  <c r="D55" i="24" s="1"/>
  <c r="C56" i="24"/>
  <c r="D56" i="24"/>
  <c r="C57" i="24"/>
  <c r="D57" i="24"/>
  <c r="C58" i="24"/>
  <c r="D58" i="24"/>
  <c r="C59" i="24"/>
  <c r="D59" i="24" s="1"/>
  <c r="C60" i="24"/>
  <c r="D60" i="24" s="1"/>
  <c r="C61" i="24"/>
  <c r="D61" i="24" s="1"/>
  <c r="C62" i="24"/>
  <c r="D62" i="24"/>
  <c r="C63" i="24"/>
  <c r="D63" i="24"/>
  <c r="C64" i="24"/>
  <c r="D64" i="24"/>
  <c r="C65" i="24"/>
  <c r="D65" i="24" s="1"/>
  <c r="C66" i="24"/>
  <c r="D66" i="24" s="1"/>
  <c r="C67" i="24"/>
  <c r="D67" i="24" s="1"/>
  <c r="C68" i="24"/>
  <c r="D68" i="24"/>
  <c r="C69" i="24"/>
  <c r="D69" i="24"/>
  <c r="C70" i="24"/>
  <c r="D70" i="24"/>
  <c r="C71" i="24"/>
  <c r="D71" i="24" s="1"/>
  <c r="C72" i="24"/>
  <c r="D72" i="24" s="1"/>
  <c r="C73" i="24"/>
  <c r="D73" i="24" s="1"/>
  <c r="C74" i="24"/>
  <c r="D74" i="24"/>
  <c r="C75" i="24"/>
  <c r="D75" i="24"/>
  <c r="C76" i="24"/>
  <c r="D76" i="24"/>
  <c r="C77" i="24"/>
  <c r="D77" i="24" s="1"/>
  <c r="C78" i="24"/>
  <c r="D78" i="24" s="1"/>
  <c r="C79" i="24"/>
  <c r="D79" i="24" s="1"/>
  <c r="C80" i="24"/>
  <c r="D80" i="24"/>
  <c r="C81" i="24"/>
  <c r="D81" i="24"/>
  <c r="C82" i="24"/>
  <c r="D82" i="24"/>
  <c r="C83" i="24"/>
  <c r="D83" i="24" s="1"/>
  <c r="C84" i="24"/>
  <c r="D84" i="24" s="1"/>
  <c r="C85" i="24"/>
  <c r="D85" i="24" s="1"/>
  <c r="C86" i="24"/>
  <c r="D86" i="24"/>
  <c r="C87" i="24"/>
  <c r="D87" i="24"/>
  <c r="C88" i="24"/>
  <c r="D88" i="24"/>
  <c r="C89" i="24"/>
  <c r="D89" i="24" s="1"/>
  <c r="C90" i="24"/>
  <c r="D90" i="24" s="1"/>
  <c r="C91" i="24"/>
  <c r="D91" i="24" s="1"/>
  <c r="C92" i="24"/>
  <c r="D92" i="24"/>
  <c r="C93" i="24"/>
  <c r="D93" i="24"/>
  <c r="C94" i="24"/>
  <c r="D94" i="24"/>
  <c r="C95" i="24"/>
  <c r="D95" i="24" s="1"/>
  <c r="C96" i="24"/>
  <c r="D96" i="24" s="1"/>
  <c r="C97" i="24"/>
  <c r="D97" i="24" s="1"/>
  <c r="C98" i="24"/>
  <c r="D98" i="24"/>
  <c r="C99" i="24"/>
  <c r="D99" i="24"/>
  <c r="C100" i="24"/>
  <c r="D100" i="24"/>
  <c r="C101" i="24"/>
  <c r="D101" i="24" s="1"/>
  <c r="C102" i="24"/>
  <c r="D102" i="24" s="1"/>
  <c r="C103" i="24"/>
  <c r="D103" i="24" s="1"/>
  <c r="C104" i="24"/>
  <c r="D104" i="24"/>
  <c r="C105" i="24"/>
  <c r="D105" i="24"/>
  <c r="C106" i="24"/>
  <c r="D106" i="24"/>
  <c r="C107" i="24"/>
  <c r="D107" i="24" s="1"/>
  <c r="C108" i="24"/>
  <c r="D108" i="24" s="1"/>
  <c r="C109" i="24"/>
  <c r="D109" i="24" s="1"/>
  <c r="C110" i="24"/>
  <c r="D110" i="24"/>
  <c r="C111" i="24"/>
  <c r="D111" i="24"/>
  <c r="C112" i="24"/>
  <c r="D112" i="24"/>
  <c r="C113" i="24"/>
  <c r="D113" i="24" s="1"/>
  <c r="C114" i="24"/>
  <c r="D114" i="24" s="1"/>
  <c r="C115" i="24"/>
  <c r="D115" i="24" s="1"/>
  <c r="C116" i="24"/>
  <c r="D116" i="24"/>
  <c r="C117" i="24"/>
  <c r="D117" i="24"/>
  <c r="C118" i="24"/>
  <c r="D118" i="24"/>
  <c r="C119" i="24"/>
  <c r="D119" i="24" s="1"/>
  <c r="C120" i="24"/>
  <c r="D120" i="24" s="1"/>
  <c r="C121" i="24"/>
  <c r="D121" i="24" s="1"/>
  <c r="C122" i="24"/>
  <c r="D122" i="24"/>
  <c r="C123" i="24"/>
  <c r="D123" i="24"/>
  <c r="C124" i="24"/>
  <c r="D124" i="24"/>
  <c r="C125" i="24"/>
  <c r="D125" i="24" s="1"/>
  <c r="C126" i="24"/>
  <c r="D126" i="24" s="1"/>
  <c r="C127" i="24"/>
  <c r="D127" i="24" s="1"/>
  <c r="C128" i="24"/>
  <c r="D128" i="24"/>
  <c r="C129" i="24"/>
  <c r="D129" i="24"/>
  <c r="C130" i="24"/>
  <c r="D130" i="24"/>
  <c r="C131" i="24"/>
  <c r="D131" i="24" s="1"/>
  <c r="C132" i="24"/>
  <c r="D132" i="24" s="1"/>
  <c r="C133" i="24"/>
  <c r="D133" i="24" s="1"/>
  <c r="C134" i="24"/>
  <c r="D134" i="24"/>
  <c r="C135" i="24"/>
  <c r="D135" i="24"/>
  <c r="C136" i="24"/>
  <c r="D136" i="24"/>
  <c r="C137" i="24"/>
  <c r="D137" i="24" s="1"/>
  <c r="C138" i="24"/>
  <c r="D138" i="24" s="1"/>
  <c r="C139" i="24"/>
  <c r="D139" i="24" s="1"/>
  <c r="C140" i="24"/>
  <c r="D140" i="24"/>
  <c r="C141" i="24"/>
  <c r="D141" i="24"/>
  <c r="C142" i="24"/>
  <c r="D142" i="24"/>
  <c r="C143" i="24"/>
  <c r="D143" i="24" s="1"/>
  <c r="C144" i="24"/>
  <c r="D144" i="24" s="1"/>
  <c r="C145" i="24"/>
  <c r="D145" i="24" s="1"/>
  <c r="C146" i="24"/>
  <c r="D146" i="24"/>
  <c r="C147" i="24"/>
  <c r="D147" i="24"/>
  <c r="C148" i="24"/>
  <c r="D148" i="24"/>
  <c r="C149" i="24"/>
  <c r="D149" i="24" s="1"/>
  <c r="C150" i="24"/>
  <c r="D150" i="24" s="1"/>
  <c r="C151" i="24"/>
  <c r="D151" i="24" s="1"/>
  <c r="C152" i="24"/>
  <c r="D152" i="24"/>
  <c r="C153" i="24"/>
  <c r="D153" i="24"/>
  <c r="C154" i="24"/>
  <c r="C155" i="24"/>
  <c r="D155" i="24" s="1"/>
  <c r="C156" i="24"/>
  <c r="D156" i="24" s="1"/>
  <c r="C157" i="24"/>
  <c r="D157" i="24"/>
  <c r="C158" i="24"/>
  <c r="D158" i="24" s="1"/>
  <c r="C159" i="24"/>
  <c r="D159" i="24"/>
  <c r="C160" i="24"/>
  <c r="D160" i="24" s="1"/>
  <c r="C161" i="24"/>
  <c r="D161" i="24" s="1"/>
  <c r="C162" i="24"/>
  <c r="D162" i="24" s="1"/>
  <c r="C163" i="24"/>
  <c r="D163" i="24"/>
  <c r="C164" i="24"/>
  <c r="D164" i="24" s="1"/>
  <c r="C165" i="24"/>
  <c r="D165" i="24"/>
  <c r="C166" i="24"/>
  <c r="D166" i="24" s="1"/>
  <c r="C167" i="24"/>
  <c r="D167" i="24" s="1"/>
  <c r="C168" i="24"/>
  <c r="D168" i="24" s="1"/>
  <c r="C169" i="24"/>
  <c r="D169" i="24"/>
  <c r="C170" i="24"/>
  <c r="D170" i="24" s="1"/>
  <c r="C171" i="24"/>
  <c r="D171" i="24"/>
  <c r="C172" i="24"/>
  <c r="D172" i="24" s="1"/>
  <c r="C173" i="24"/>
  <c r="D173" i="24" s="1"/>
  <c r="C174" i="24"/>
  <c r="D174" i="24" s="1"/>
  <c r="C175" i="24"/>
  <c r="D175" i="24"/>
  <c r="C176" i="24"/>
  <c r="D176" i="24" s="1"/>
  <c r="C177" i="24"/>
  <c r="D177" i="24"/>
  <c r="C178" i="24"/>
  <c r="D178" i="24" s="1"/>
  <c r="C179" i="24"/>
  <c r="D179" i="24" s="1"/>
  <c r="C180" i="24"/>
  <c r="D180" i="24" s="1"/>
  <c r="C181" i="24"/>
  <c r="D181" i="24"/>
  <c r="C182" i="24"/>
  <c r="D182" i="24" s="1"/>
  <c r="C183" i="24"/>
  <c r="D183" i="24"/>
  <c r="C184" i="24"/>
  <c r="D184" i="24" s="1"/>
  <c r="C185" i="24"/>
  <c r="D185" i="24" s="1"/>
  <c r="C186" i="24"/>
  <c r="D186" i="24" s="1"/>
  <c r="C187" i="24"/>
  <c r="D187" i="24"/>
  <c r="C188" i="24"/>
  <c r="D188" i="24" s="1"/>
  <c r="C189" i="24"/>
  <c r="D189" i="24"/>
  <c r="C190" i="24"/>
  <c r="D190" i="24" s="1"/>
  <c r="C191" i="24"/>
  <c r="D191" i="24" s="1"/>
  <c r="C192" i="24"/>
  <c r="D192" i="24" s="1"/>
  <c r="C193" i="24"/>
  <c r="D193" i="24"/>
  <c r="C194" i="24"/>
  <c r="D194" i="24" s="1"/>
  <c r="C195" i="24"/>
  <c r="D195" i="24"/>
  <c r="C196" i="24"/>
  <c r="D196" i="24" s="1"/>
  <c r="C197" i="24"/>
  <c r="D197" i="24" s="1"/>
  <c r="C198" i="24"/>
  <c r="D198" i="24" s="1"/>
  <c r="C199" i="24"/>
  <c r="D199" i="24"/>
  <c r="C200" i="24"/>
  <c r="D200" i="24" s="1"/>
  <c r="C201" i="24"/>
  <c r="D201" i="24"/>
  <c r="C202" i="24"/>
  <c r="C203" i="24"/>
  <c r="D203" i="24"/>
  <c r="C204" i="24"/>
  <c r="D204" i="24" s="1"/>
  <c r="C205" i="24"/>
  <c r="D205" i="24" s="1"/>
  <c r="C206" i="24"/>
  <c r="D206" i="24" s="1"/>
  <c r="C207" i="24"/>
  <c r="D207" i="24"/>
  <c r="C208" i="24"/>
  <c r="D208" i="24"/>
  <c r="C209" i="24"/>
  <c r="D209" i="24"/>
  <c r="C210" i="24"/>
  <c r="D210" i="24" s="1"/>
  <c r="C211" i="24"/>
  <c r="D211" i="24" s="1"/>
  <c r="C212" i="24"/>
  <c r="D212" i="24" s="1"/>
  <c r="C213" i="24"/>
  <c r="D213" i="24"/>
  <c r="C214" i="24"/>
  <c r="D214" i="24"/>
  <c r="C215" i="24"/>
  <c r="D215" i="24"/>
  <c r="C216" i="24"/>
  <c r="D216" i="24" s="1"/>
  <c r="C217" i="24"/>
  <c r="D217" i="24" s="1"/>
  <c r="C218" i="24"/>
  <c r="D218" i="24" s="1"/>
  <c r="C219" i="24"/>
  <c r="D219" i="24"/>
  <c r="C220" i="24"/>
  <c r="D220" i="24"/>
  <c r="C221" i="24"/>
  <c r="D221" i="24"/>
  <c r="C222" i="24"/>
  <c r="D222" i="24" s="1"/>
  <c r="C223" i="24"/>
  <c r="D223" i="24" s="1"/>
  <c r="C224" i="24"/>
  <c r="D224" i="24" s="1"/>
  <c r="C225" i="24"/>
  <c r="D225" i="24"/>
  <c r="C226" i="24"/>
  <c r="D226" i="24"/>
  <c r="C227" i="24"/>
  <c r="D227" i="24"/>
  <c r="C228" i="24"/>
  <c r="D228" i="24" s="1"/>
  <c r="C229" i="24"/>
  <c r="D229" i="24" s="1"/>
  <c r="C230" i="24"/>
  <c r="D230" i="24" s="1"/>
  <c r="C231" i="24"/>
  <c r="D231" i="24"/>
  <c r="C232" i="24"/>
  <c r="D232" i="24"/>
  <c r="C233" i="24"/>
  <c r="D233" i="24"/>
  <c r="C234" i="24"/>
  <c r="D234" i="24" s="1"/>
  <c r="C235" i="24"/>
  <c r="D235" i="24" s="1"/>
  <c r="C236" i="24"/>
  <c r="D236" i="24" s="1"/>
  <c r="C237" i="24"/>
  <c r="D237" i="24"/>
  <c r="C238" i="24"/>
  <c r="D238" i="24"/>
  <c r="C239" i="24"/>
  <c r="D239" i="24"/>
  <c r="C240" i="24"/>
  <c r="D240" i="24" s="1"/>
  <c r="C241" i="24"/>
  <c r="D241" i="24" s="1"/>
  <c r="C242" i="24"/>
  <c r="D242" i="24" s="1"/>
  <c r="C243" i="24"/>
  <c r="D243" i="24"/>
  <c r="C244" i="24"/>
  <c r="D244" i="24"/>
  <c r="C245" i="24"/>
  <c r="D245" i="24"/>
  <c r="C246" i="24"/>
  <c r="D246" i="24" s="1"/>
  <c r="C247" i="24"/>
  <c r="D247" i="24" s="1"/>
  <c r="C248" i="24"/>
  <c r="D248" i="24" s="1"/>
  <c r="C249" i="24"/>
  <c r="D249" i="24"/>
  <c r="C250" i="24"/>
  <c r="D250" i="24"/>
  <c r="C251" i="24"/>
  <c r="D251" i="24"/>
  <c r="C252" i="24"/>
  <c r="D252" i="24" s="1"/>
  <c r="C253" i="24"/>
  <c r="D253" i="24" s="1"/>
  <c r="C254" i="24"/>
  <c r="D254" i="24" s="1"/>
  <c r="C255" i="24"/>
  <c r="D255" i="24"/>
  <c r="C256" i="24"/>
  <c r="D256" i="24"/>
  <c r="C257" i="24"/>
  <c r="D257" i="24"/>
  <c r="C258" i="24"/>
  <c r="D258" i="24" s="1"/>
  <c r="C259" i="24"/>
  <c r="D259" i="24" s="1"/>
  <c r="C260" i="24"/>
  <c r="D260" i="24" s="1"/>
  <c r="C261" i="24"/>
  <c r="D261" i="24"/>
  <c r="C262" i="24"/>
  <c r="D262" i="24"/>
  <c r="C263" i="24"/>
  <c r="D263" i="24"/>
  <c r="C264" i="24"/>
  <c r="D264" i="24" s="1"/>
  <c r="C265" i="24"/>
  <c r="D265" i="24" s="1"/>
  <c r="C266" i="24"/>
  <c r="D266" i="24" s="1"/>
  <c r="C267" i="24"/>
  <c r="D267" i="24"/>
  <c r="C268" i="24"/>
  <c r="D268" i="24"/>
  <c r="C269" i="24"/>
  <c r="D269" i="24"/>
  <c r="C270" i="24"/>
  <c r="D270" i="24" s="1"/>
  <c r="C271" i="24"/>
  <c r="D271" i="24" s="1"/>
  <c r="C272" i="24"/>
  <c r="D272" i="24" s="1"/>
  <c r="C273" i="24"/>
  <c r="D273" i="24"/>
  <c r="C274" i="24"/>
  <c r="D274" i="24"/>
  <c r="C275" i="24"/>
  <c r="D275" i="24"/>
  <c r="C276" i="24"/>
  <c r="D276" i="24" s="1"/>
  <c r="C277" i="24"/>
  <c r="D277" i="24" s="1"/>
  <c r="C278" i="24"/>
  <c r="D278" i="24" s="1"/>
  <c r="C279" i="24"/>
  <c r="D279" i="24"/>
  <c r="C280" i="24"/>
  <c r="D280" i="24"/>
  <c r="C281" i="24"/>
  <c r="D281" i="24"/>
  <c r="C282" i="24"/>
  <c r="D282" i="24" s="1"/>
  <c r="C283" i="24"/>
  <c r="D283" i="24" s="1"/>
  <c r="C284" i="24"/>
  <c r="D284" i="24" s="1"/>
  <c r="C285" i="24"/>
  <c r="D285" i="24"/>
  <c r="C286" i="24"/>
  <c r="D286" i="24"/>
  <c r="C287" i="24"/>
  <c r="D287" i="24"/>
  <c r="C288" i="24"/>
  <c r="D288" i="24" s="1"/>
  <c r="C289" i="24"/>
  <c r="D289" i="24" s="1"/>
  <c r="C290" i="24"/>
  <c r="D290" i="24" s="1"/>
  <c r="C291" i="24"/>
  <c r="D291" i="24"/>
  <c r="C292" i="24"/>
  <c r="D292" i="24"/>
  <c r="C293" i="24"/>
  <c r="D293" i="24"/>
  <c r="C294" i="24"/>
  <c r="D294" i="24" s="1"/>
  <c r="C295" i="24"/>
  <c r="D295" i="24" s="1"/>
  <c r="C296" i="24"/>
  <c r="D296" i="24" s="1"/>
  <c r="C297" i="24"/>
  <c r="D297" i="24"/>
  <c r="C298" i="24"/>
  <c r="D298" i="24"/>
  <c r="C299" i="24"/>
  <c r="D299" i="24"/>
  <c r="C300" i="24"/>
  <c r="D300" i="24" s="1"/>
  <c r="C301" i="24"/>
  <c r="D301" i="24" s="1"/>
  <c r="C302" i="24"/>
  <c r="D302" i="24" s="1"/>
  <c r="C303" i="24"/>
  <c r="D303" i="24"/>
  <c r="C304" i="24"/>
  <c r="D304" i="24"/>
  <c r="C305" i="24"/>
  <c r="D305" i="24"/>
  <c r="C306" i="24"/>
  <c r="D306" i="24" s="1"/>
  <c r="C307" i="24"/>
  <c r="D307" i="24" s="1"/>
  <c r="C308" i="24"/>
  <c r="D308" i="24" s="1"/>
  <c r="C309" i="24"/>
  <c r="D309" i="24"/>
  <c r="C310" i="24"/>
  <c r="D310" i="24"/>
  <c r="C311" i="24"/>
  <c r="D311" i="24"/>
  <c r="C312" i="24"/>
  <c r="D312" i="24" s="1"/>
  <c r="C313" i="24"/>
  <c r="D313" i="24" s="1"/>
  <c r="C314" i="24"/>
  <c r="D314" i="24" s="1"/>
  <c r="C315" i="24"/>
  <c r="D315" i="24"/>
  <c r="C316" i="24"/>
  <c r="D316" i="24"/>
  <c r="C317" i="24"/>
  <c r="D317" i="24"/>
  <c r="C318" i="24"/>
  <c r="D318" i="24" s="1"/>
  <c r="C319" i="24"/>
  <c r="D319" i="24" s="1"/>
  <c r="C320" i="24"/>
  <c r="D320" i="24" s="1"/>
  <c r="C321" i="24"/>
  <c r="D321" i="24"/>
  <c r="C322" i="24"/>
  <c r="D322" i="24"/>
  <c r="C323" i="24"/>
  <c r="D323" i="24"/>
  <c r="C324" i="24"/>
  <c r="D324" i="24" s="1"/>
  <c r="C325" i="24"/>
  <c r="D325" i="24" s="1"/>
  <c r="C326" i="24"/>
  <c r="D326" i="24" s="1"/>
  <c r="C327" i="24"/>
  <c r="D327" i="24"/>
  <c r="C328" i="24"/>
  <c r="C329" i="24"/>
  <c r="D329" i="24" s="1"/>
  <c r="C330" i="24"/>
  <c r="D330" i="24" s="1"/>
  <c r="C331" i="24"/>
  <c r="D331" i="24" s="1"/>
  <c r="C332" i="24"/>
  <c r="D332" i="24"/>
  <c r="C333" i="24"/>
  <c r="D333" i="24" s="1"/>
  <c r="C334" i="24"/>
  <c r="D334" i="24" s="1"/>
  <c r="C335" i="24"/>
  <c r="D335" i="24" s="1"/>
  <c r="C336" i="24"/>
  <c r="D336" i="24" s="1"/>
  <c r="C337" i="24"/>
  <c r="D337" i="24" s="1"/>
  <c r="C338" i="24"/>
  <c r="D338" i="24"/>
  <c r="C339" i="24"/>
  <c r="D339" i="24" s="1"/>
  <c r="C340" i="24"/>
  <c r="D340" i="24" s="1"/>
  <c r="C341" i="24"/>
  <c r="D341" i="24" s="1"/>
  <c r="C342" i="24"/>
  <c r="D342" i="24" s="1"/>
  <c r="C343" i="24"/>
  <c r="D343" i="24" s="1"/>
  <c r="C344" i="24"/>
  <c r="D344" i="24"/>
  <c r="C345" i="24"/>
  <c r="D345" i="24" s="1"/>
  <c r="C346" i="24"/>
  <c r="D346" i="24" s="1"/>
  <c r="C347" i="24"/>
  <c r="D347" i="24" s="1"/>
  <c r="C348" i="24"/>
  <c r="D348" i="24" s="1"/>
  <c r="C21" i="22"/>
  <c r="C22" i="22"/>
  <c r="C23" i="22"/>
  <c r="C24" i="22"/>
  <c r="D24" i="22" s="1"/>
  <c r="C25" i="22"/>
  <c r="D25" i="22"/>
  <c r="C26" i="22"/>
  <c r="D26" i="22"/>
  <c r="C27" i="22"/>
  <c r="C28" i="22"/>
  <c r="D28" i="22" s="1"/>
  <c r="C29" i="22"/>
  <c r="D29" i="22" s="1"/>
  <c r="C30" i="22"/>
  <c r="D30" i="22"/>
  <c r="C31" i="22"/>
  <c r="C32" i="22"/>
  <c r="D32" i="22"/>
  <c r="C33" i="22"/>
  <c r="D33" i="22"/>
  <c r="C34" i="22"/>
  <c r="D34" i="22"/>
  <c r="C35" i="22"/>
  <c r="C36" i="22"/>
  <c r="D36" i="22" s="1"/>
  <c r="C37" i="22"/>
  <c r="D37" i="22"/>
  <c r="C38" i="22"/>
  <c r="D38" i="22" s="1"/>
  <c r="C39" i="22"/>
  <c r="C40" i="22"/>
  <c r="D40" i="22"/>
  <c r="C41" i="22"/>
  <c r="D41" i="22"/>
  <c r="C42" i="22"/>
  <c r="D42" i="22"/>
  <c r="C43" i="22"/>
  <c r="C44" i="22"/>
  <c r="D44" i="22"/>
  <c r="C45" i="22"/>
  <c r="D45" i="22" s="1"/>
  <c r="C46" i="22"/>
  <c r="D46" i="22" s="1"/>
  <c r="C47" i="22"/>
  <c r="C48" i="22"/>
  <c r="D48" i="22"/>
  <c r="C49" i="22"/>
  <c r="D49" i="22"/>
  <c r="C50" i="22"/>
  <c r="D50" i="22" s="1"/>
  <c r="C51" i="22"/>
  <c r="C52" i="22"/>
  <c r="D52" i="22" s="1"/>
  <c r="C53" i="22"/>
  <c r="D53" i="22" s="1"/>
  <c r="C54" i="22"/>
  <c r="D54" i="22" s="1"/>
  <c r="C55" i="22"/>
  <c r="C56" i="22"/>
  <c r="D56" i="22" s="1"/>
  <c r="C57" i="22"/>
  <c r="D57" i="22" s="1"/>
  <c r="C58" i="22"/>
  <c r="D58" i="22" s="1"/>
  <c r="C59" i="22"/>
  <c r="C60" i="22"/>
  <c r="D60" i="22" s="1"/>
  <c r="C61" i="22"/>
  <c r="D61" i="22" s="1"/>
  <c r="C62" i="22"/>
  <c r="D62" i="22" s="1"/>
  <c r="C63" i="22"/>
  <c r="C64" i="22"/>
  <c r="D64" i="22" s="1"/>
  <c r="C65" i="22"/>
  <c r="D65" i="22" s="1"/>
  <c r="C66" i="22"/>
  <c r="D66" i="22"/>
  <c r="C67" i="22"/>
  <c r="C68" i="22"/>
  <c r="D68" i="22" s="1"/>
  <c r="C69" i="22"/>
  <c r="D69" i="22"/>
  <c r="C70" i="22"/>
  <c r="D70" i="22" s="1"/>
  <c r="C71" i="22"/>
  <c r="C72" i="22"/>
  <c r="D72" i="22" s="1"/>
  <c r="C73" i="22"/>
  <c r="D73" i="22"/>
  <c r="C74" i="22"/>
  <c r="D74" i="22"/>
  <c r="C75" i="22"/>
  <c r="C76" i="22"/>
  <c r="D76" i="22"/>
  <c r="C77" i="22"/>
  <c r="D77" i="22" s="1"/>
  <c r="C78" i="22"/>
  <c r="D78" i="22"/>
  <c r="C79" i="22"/>
  <c r="C80" i="22"/>
  <c r="D80" i="22"/>
  <c r="C81" i="22"/>
  <c r="D81" i="22"/>
  <c r="C82" i="22"/>
  <c r="D82" i="22"/>
  <c r="C83" i="22"/>
  <c r="C84" i="22"/>
  <c r="D84" i="22" s="1"/>
  <c r="C85" i="22"/>
  <c r="D85" i="22"/>
  <c r="C86" i="22"/>
  <c r="D86" i="22" s="1"/>
  <c r="C87" i="22"/>
  <c r="C88" i="22"/>
  <c r="D88" i="22"/>
  <c r="C89" i="22"/>
  <c r="D89" i="22"/>
  <c r="C90" i="22"/>
  <c r="D90" i="22" s="1"/>
  <c r="C91" i="22"/>
  <c r="C92" i="22"/>
  <c r="D92" i="22"/>
  <c r="C93" i="22"/>
  <c r="D93" i="22" s="1"/>
  <c r="C94" i="22"/>
  <c r="D94" i="22" s="1"/>
  <c r="C95" i="22"/>
  <c r="C96" i="22"/>
  <c r="D96" i="22"/>
  <c r="C97" i="22"/>
  <c r="D97" i="22" s="1"/>
  <c r="C98" i="22"/>
  <c r="D98" i="22" s="1"/>
  <c r="C99" i="22"/>
  <c r="C100" i="22"/>
  <c r="D100" i="22" s="1"/>
  <c r="C101" i="22"/>
  <c r="D101" i="22" s="1"/>
  <c r="C102" i="22"/>
  <c r="D102" i="22" s="1"/>
  <c r="C103" i="22"/>
  <c r="C104" i="22"/>
  <c r="D104" i="22"/>
  <c r="C105" i="22"/>
  <c r="D105" i="22" s="1"/>
  <c r="C106" i="22"/>
  <c r="D106" i="22" s="1"/>
  <c r="C107" i="22"/>
  <c r="C108" i="22"/>
  <c r="D108" i="22" s="1"/>
  <c r="C109" i="22"/>
  <c r="D109" i="22" s="1"/>
  <c r="C110" i="22"/>
  <c r="D110" i="22" s="1"/>
  <c r="C111" i="22"/>
  <c r="C112" i="22"/>
  <c r="D112" i="22" s="1"/>
  <c r="C113" i="22"/>
  <c r="D113" i="22" s="1"/>
  <c r="C114" i="22"/>
  <c r="D114" i="22"/>
  <c r="C115" i="22"/>
  <c r="C116" i="22"/>
  <c r="D116" i="22" s="1"/>
  <c r="C117" i="22"/>
  <c r="D117" i="22" s="1"/>
  <c r="C118" i="22"/>
  <c r="D118" i="22" s="1"/>
  <c r="C119" i="22"/>
  <c r="C120" i="22"/>
  <c r="D120" i="22" s="1"/>
  <c r="C121" i="22"/>
  <c r="D121" i="22"/>
  <c r="C122" i="22"/>
  <c r="D122" i="22"/>
  <c r="C123" i="22"/>
  <c r="C124" i="22"/>
  <c r="D124" i="22"/>
  <c r="C125" i="22"/>
  <c r="D125" i="22" s="1"/>
  <c r="C126" i="22"/>
  <c r="D126" i="22"/>
  <c r="C127" i="22"/>
  <c r="C128" i="22"/>
  <c r="D128" i="22"/>
  <c r="C129" i="22"/>
  <c r="D129" i="22"/>
  <c r="C130" i="22"/>
  <c r="D130" i="22"/>
  <c r="C131" i="22"/>
  <c r="C132" i="22"/>
  <c r="D132" i="22" s="1"/>
  <c r="C133" i="22"/>
  <c r="D133" i="22"/>
  <c r="C134" i="22"/>
  <c r="D134" i="22" s="1"/>
  <c r="C135" i="22"/>
  <c r="C136" i="22"/>
  <c r="D136" i="22"/>
  <c r="C137" i="22"/>
  <c r="D137" i="22"/>
  <c r="C138" i="22"/>
  <c r="D138" i="22"/>
  <c r="C139" i="22"/>
  <c r="C140" i="22"/>
  <c r="D140" i="22"/>
  <c r="C141" i="22"/>
  <c r="D141" i="22" s="1"/>
  <c r="C142" i="22"/>
  <c r="D142" i="22" s="1"/>
  <c r="C143" i="22"/>
  <c r="C144" i="22"/>
  <c r="D144" i="22"/>
  <c r="C145" i="22"/>
  <c r="D145" i="22"/>
  <c r="C146" i="22"/>
  <c r="D146" i="22" s="1"/>
  <c r="C147" i="22"/>
  <c r="C148" i="22"/>
  <c r="D148" i="22" s="1"/>
  <c r="C149" i="22"/>
  <c r="D149" i="22" s="1"/>
  <c r="C150" i="22"/>
  <c r="D150" i="22" s="1"/>
  <c r="C151" i="22"/>
  <c r="C152" i="22"/>
  <c r="D152" i="22" s="1"/>
  <c r="C153" i="22"/>
  <c r="D153" i="22" s="1"/>
  <c r="C154" i="22"/>
  <c r="D154" i="22" s="1"/>
  <c r="C155" i="22"/>
  <c r="C156" i="22"/>
  <c r="D156" i="22" s="1"/>
  <c r="C157" i="22"/>
  <c r="D157" i="22" s="1"/>
  <c r="C158" i="22"/>
  <c r="D158" i="22" s="1"/>
  <c r="C159" i="22"/>
  <c r="C160" i="22"/>
  <c r="D160" i="22" s="1"/>
  <c r="C161" i="22"/>
  <c r="D161" i="22" s="1"/>
  <c r="C162" i="22"/>
  <c r="D162" i="22"/>
  <c r="C163" i="22"/>
  <c r="C164" i="22"/>
  <c r="D164" i="22" s="1"/>
  <c r="C165" i="22"/>
  <c r="D165" i="22"/>
  <c r="C166" i="22"/>
  <c r="D166" i="22" s="1"/>
  <c r="C167" i="22"/>
  <c r="C168" i="22"/>
  <c r="D168" i="22" s="1"/>
  <c r="C169" i="22"/>
  <c r="D169" i="22"/>
  <c r="C170" i="22"/>
  <c r="D170" i="22"/>
  <c r="C171" i="22"/>
  <c r="C172" i="22"/>
  <c r="D172" i="22"/>
  <c r="C173" i="22"/>
  <c r="D173" i="22" s="1"/>
  <c r="C174" i="22"/>
  <c r="D174" i="22"/>
  <c r="C175" i="22"/>
  <c r="C176" i="22"/>
  <c r="D176" i="22"/>
  <c r="C177" i="22"/>
  <c r="D177" i="22"/>
  <c r="C178" i="22"/>
  <c r="D178" i="22"/>
  <c r="C179" i="22"/>
  <c r="C180" i="22"/>
  <c r="D180" i="22" s="1"/>
  <c r="C181" i="22"/>
  <c r="D181" i="22"/>
  <c r="C182" i="22"/>
  <c r="D182" i="22" s="1"/>
  <c r="C183" i="22"/>
  <c r="C184" i="22"/>
  <c r="D184" i="22"/>
  <c r="C185" i="22"/>
  <c r="D185" i="22"/>
  <c r="C186" i="22"/>
  <c r="D186" i="22" s="1"/>
  <c r="C187" i="22"/>
  <c r="C188" i="22"/>
  <c r="D188" i="22"/>
  <c r="C189" i="22"/>
  <c r="D189" i="22" s="1"/>
  <c r="C190" i="22"/>
  <c r="D190" i="22" s="1"/>
  <c r="C191" i="22"/>
  <c r="C192" i="22"/>
  <c r="D192" i="22"/>
  <c r="C193" i="22"/>
  <c r="D193" i="22" s="1"/>
  <c r="C194" i="22"/>
  <c r="D194" i="22" s="1"/>
  <c r="C195" i="22"/>
  <c r="C196" i="22"/>
  <c r="D196" i="22" s="1"/>
  <c r="C197" i="22"/>
  <c r="D197" i="22" s="1"/>
  <c r="C198" i="22"/>
  <c r="D198" i="22" s="1"/>
  <c r="C199" i="22"/>
  <c r="C200" i="22"/>
  <c r="D200" i="22"/>
  <c r="C201" i="22"/>
  <c r="D201" i="22" s="1"/>
  <c r="C202" i="22"/>
  <c r="D202" i="22" s="1"/>
  <c r="C203" i="22"/>
  <c r="C204" i="22"/>
  <c r="D204" i="22" s="1"/>
  <c r="C205" i="22"/>
  <c r="D205" i="22" s="1"/>
  <c r="C206" i="22"/>
  <c r="D206" i="22" s="1"/>
  <c r="C207" i="22"/>
  <c r="C208" i="22"/>
  <c r="D208" i="22" s="1"/>
  <c r="C209" i="22"/>
  <c r="D209" i="22" s="1"/>
  <c r="C210" i="22"/>
  <c r="D210" i="22"/>
  <c r="C21" i="20"/>
  <c r="D21" i="20"/>
  <c r="C22" i="20"/>
  <c r="D22" i="20"/>
  <c r="C23" i="20"/>
  <c r="C24" i="20"/>
  <c r="D24" i="20" s="1"/>
  <c r="C25" i="20"/>
  <c r="D25" i="20"/>
  <c r="C26" i="20"/>
  <c r="D26" i="20" s="1"/>
  <c r="C27" i="20"/>
  <c r="D27" i="20"/>
  <c r="C28" i="20"/>
  <c r="D28" i="20" s="1"/>
  <c r="C29" i="20"/>
  <c r="D29" i="20"/>
  <c r="C30" i="20"/>
  <c r="D30" i="20" s="1"/>
  <c r="C31" i="20"/>
  <c r="D31" i="20"/>
  <c r="C32" i="20"/>
  <c r="D32" i="20" s="1"/>
  <c r="C33" i="20"/>
  <c r="D33" i="20"/>
  <c r="C34" i="20"/>
  <c r="D34" i="20" s="1"/>
  <c r="C35" i="20"/>
  <c r="D35" i="20" s="1"/>
  <c r="C36" i="20"/>
  <c r="D36" i="20" s="1"/>
  <c r="C37" i="20"/>
  <c r="D37" i="20"/>
  <c r="C38" i="20"/>
  <c r="D38" i="20" s="1"/>
  <c r="C39" i="20"/>
  <c r="D39" i="20"/>
  <c r="C40" i="20"/>
  <c r="D40" i="20" s="1"/>
  <c r="C41" i="20"/>
  <c r="D41" i="20"/>
  <c r="C42" i="20"/>
  <c r="D42" i="20" s="1"/>
  <c r="C43" i="20"/>
  <c r="D43" i="20"/>
  <c r="C44" i="20"/>
  <c r="D44" i="20" s="1"/>
  <c r="C45" i="20"/>
  <c r="D45" i="20"/>
  <c r="C46" i="20"/>
  <c r="D46" i="20" s="1"/>
  <c r="C47" i="20"/>
  <c r="D47" i="20"/>
  <c r="C48" i="20"/>
  <c r="D48" i="20" s="1"/>
  <c r="C49" i="20"/>
  <c r="D49" i="20"/>
  <c r="C50" i="20"/>
  <c r="D50" i="20" s="1"/>
  <c r="C51" i="20"/>
  <c r="D51" i="20" s="1"/>
  <c r="C52" i="20"/>
  <c r="D52" i="20" s="1"/>
  <c r="C53" i="20"/>
  <c r="D53" i="20"/>
  <c r="C54" i="20"/>
  <c r="D54" i="20" s="1"/>
  <c r="C55" i="20"/>
  <c r="D55" i="20"/>
  <c r="C56" i="20"/>
  <c r="D56" i="20" s="1"/>
  <c r="C57" i="20"/>
  <c r="D57" i="20"/>
  <c r="C58" i="20"/>
  <c r="D58" i="20" s="1"/>
  <c r="C59" i="20"/>
  <c r="D59" i="20" s="1"/>
  <c r="C60" i="20"/>
  <c r="D60" i="20" s="1"/>
  <c r="C61" i="20"/>
  <c r="D61" i="20"/>
  <c r="C62" i="20"/>
  <c r="D62" i="20" s="1"/>
  <c r="C63" i="20"/>
  <c r="D63" i="20"/>
  <c r="C64" i="20"/>
  <c r="D64" i="20" s="1"/>
  <c r="C65" i="20"/>
  <c r="D65" i="20"/>
  <c r="C66" i="20"/>
  <c r="D66" i="20" s="1"/>
  <c r="C67" i="20"/>
  <c r="D67" i="20"/>
  <c r="C68" i="20"/>
  <c r="D68" i="20" s="1"/>
  <c r="C69" i="20"/>
  <c r="D69" i="20"/>
  <c r="C70" i="20"/>
  <c r="D70" i="20" s="1"/>
  <c r="C71" i="20"/>
  <c r="D71" i="20"/>
  <c r="C72" i="20"/>
  <c r="D72" i="20" s="1"/>
  <c r="C73" i="20"/>
  <c r="D73" i="20"/>
  <c r="C74" i="20"/>
  <c r="D74" i="20" s="1"/>
  <c r="C75" i="20"/>
  <c r="D75" i="20" s="1"/>
  <c r="C76" i="20"/>
  <c r="D76" i="20" s="1"/>
  <c r="C77" i="20"/>
  <c r="D77" i="20"/>
  <c r="C78" i="20"/>
  <c r="D78" i="20" s="1"/>
  <c r="C79" i="20"/>
  <c r="D79" i="20"/>
  <c r="C80" i="20"/>
  <c r="D80" i="20" s="1"/>
  <c r="C81" i="20"/>
  <c r="D81" i="20"/>
  <c r="C82" i="20"/>
  <c r="D82" i="20" s="1"/>
  <c r="C83" i="20"/>
  <c r="D83" i="20" s="1"/>
  <c r="C84" i="20"/>
  <c r="D84" i="20" s="1"/>
  <c r="C85" i="20"/>
  <c r="D85" i="20"/>
  <c r="C86" i="20"/>
  <c r="D86" i="20" s="1"/>
  <c r="C87" i="20"/>
  <c r="D87" i="20"/>
  <c r="C88" i="20"/>
  <c r="D88" i="20" s="1"/>
  <c r="C89" i="20"/>
  <c r="D89" i="20"/>
  <c r="C90" i="20"/>
  <c r="D90" i="20" s="1"/>
  <c r="C91" i="20"/>
  <c r="D91" i="20"/>
  <c r="C92" i="20"/>
  <c r="D92" i="20" s="1"/>
  <c r="C93" i="20"/>
  <c r="D93" i="20"/>
  <c r="C94" i="20"/>
  <c r="D94" i="20" s="1"/>
  <c r="C95" i="20"/>
  <c r="D95" i="20"/>
  <c r="C96" i="20"/>
  <c r="D96" i="20" s="1"/>
  <c r="C97" i="20"/>
  <c r="D97" i="20"/>
  <c r="C98" i="20"/>
  <c r="D98" i="20" s="1"/>
  <c r="C99" i="20"/>
  <c r="D99" i="20" s="1"/>
  <c r="C100" i="20"/>
  <c r="D100" i="20" s="1"/>
  <c r="C101" i="20"/>
  <c r="D101" i="20"/>
  <c r="C102" i="20"/>
  <c r="D102" i="20" s="1"/>
  <c r="C103" i="20"/>
  <c r="D103" i="20"/>
  <c r="C104" i="20"/>
  <c r="D104" i="20" s="1"/>
  <c r="C105" i="20"/>
  <c r="D105" i="20"/>
  <c r="C106" i="20"/>
  <c r="D106" i="20" s="1"/>
  <c r="C107" i="20"/>
  <c r="D107" i="20" s="1"/>
  <c r="C108" i="20"/>
  <c r="D108" i="20" s="1"/>
  <c r="C109" i="20"/>
  <c r="D109" i="20"/>
  <c r="C110" i="20"/>
  <c r="D110" i="20" s="1"/>
  <c r="C111" i="20"/>
  <c r="D111" i="20"/>
  <c r="C112" i="20"/>
  <c r="D112" i="20" s="1"/>
  <c r="C113" i="20"/>
  <c r="D113" i="20"/>
  <c r="C114" i="20"/>
  <c r="D114" i="20" s="1"/>
  <c r="C115" i="20"/>
  <c r="D115" i="20"/>
  <c r="C116" i="20"/>
  <c r="D116" i="20" s="1"/>
  <c r="C117" i="20"/>
  <c r="D117" i="20"/>
  <c r="C118" i="20"/>
  <c r="D118" i="20" s="1"/>
  <c r="C119" i="20"/>
  <c r="D119" i="20"/>
  <c r="C120" i="20"/>
  <c r="D120" i="20" s="1"/>
  <c r="C121" i="20"/>
  <c r="D121" i="20"/>
  <c r="C122" i="20"/>
  <c r="D122" i="20" s="1"/>
  <c r="C123" i="20"/>
  <c r="D123" i="20"/>
  <c r="C124" i="20"/>
  <c r="D124" i="20" s="1"/>
  <c r="C125" i="20"/>
  <c r="D125" i="20"/>
  <c r="C126" i="20"/>
  <c r="D126" i="20" s="1"/>
  <c r="C127" i="20"/>
  <c r="D127" i="20"/>
  <c r="C128" i="20"/>
  <c r="D128" i="20" s="1"/>
  <c r="C129" i="20"/>
  <c r="D129" i="20"/>
  <c r="C130" i="20"/>
  <c r="D130" i="20" s="1"/>
  <c r="C131" i="20"/>
  <c r="D131" i="20"/>
  <c r="C132" i="20"/>
  <c r="D132" i="20" s="1"/>
  <c r="C133" i="20"/>
  <c r="D133" i="20"/>
  <c r="C134" i="20"/>
  <c r="D134" i="20" s="1"/>
  <c r="C135" i="20"/>
  <c r="D135" i="20"/>
  <c r="C136" i="20"/>
  <c r="D136" i="20" s="1"/>
  <c r="C137" i="20"/>
  <c r="D137" i="20"/>
  <c r="C138" i="20"/>
  <c r="D138" i="20" s="1"/>
  <c r="C139" i="20"/>
  <c r="D139" i="20"/>
  <c r="C140" i="20"/>
  <c r="D140" i="20" s="1"/>
  <c r="C141" i="20"/>
  <c r="D141" i="20"/>
  <c r="C142" i="20"/>
  <c r="D142" i="20" s="1"/>
  <c r="C143" i="20"/>
  <c r="D143" i="20"/>
  <c r="C144" i="20"/>
  <c r="D144" i="20" s="1"/>
  <c r="C145" i="20"/>
  <c r="D145" i="20"/>
  <c r="C146" i="20"/>
  <c r="D146" i="20" s="1"/>
  <c r="C147" i="20"/>
  <c r="D147" i="20"/>
  <c r="C148" i="20"/>
  <c r="D148" i="20" s="1"/>
  <c r="C149" i="20"/>
  <c r="D149" i="20"/>
  <c r="C150" i="20"/>
  <c r="D150" i="20" s="1"/>
  <c r="C151" i="20"/>
  <c r="D151" i="20"/>
  <c r="C152" i="20"/>
  <c r="D152" i="20" s="1"/>
  <c r="C153" i="20"/>
  <c r="D153" i="20"/>
  <c r="C154" i="20"/>
  <c r="D154" i="20" s="1"/>
  <c r="C155" i="20"/>
  <c r="D155" i="20"/>
  <c r="C156" i="20"/>
  <c r="D156" i="20" s="1"/>
  <c r="C157" i="20"/>
  <c r="D157" i="20"/>
  <c r="C158" i="20"/>
  <c r="D158" i="20" s="1"/>
  <c r="C159" i="20"/>
  <c r="D159" i="20"/>
  <c r="C160" i="20"/>
  <c r="D160" i="20" s="1"/>
  <c r="C161" i="20"/>
  <c r="D161" i="20"/>
  <c r="C162" i="20"/>
  <c r="D162" i="20" s="1"/>
  <c r="C163" i="20"/>
  <c r="D163" i="20"/>
  <c r="C164" i="20"/>
  <c r="D164" i="20" s="1"/>
  <c r="C165" i="20"/>
  <c r="D165" i="20"/>
  <c r="C166" i="20"/>
  <c r="D166" i="20" s="1"/>
  <c r="C167" i="20"/>
  <c r="D167" i="20"/>
  <c r="C168" i="20"/>
  <c r="D168" i="20" s="1"/>
  <c r="C169" i="20"/>
  <c r="D169" i="20"/>
  <c r="C170" i="20"/>
  <c r="D170" i="20" s="1"/>
  <c r="C171" i="20"/>
  <c r="D171" i="20"/>
  <c r="C172" i="20"/>
  <c r="D172" i="20" s="1"/>
  <c r="C173" i="20"/>
  <c r="D173" i="20"/>
  <c r="C174" i="20"/>
  <c r="D174" i="20" s="1"/>
  <c r="C175" i="20"/>
  <c r="D175" i="20"/>
  <c r="C176" i="20"/>
  <c r="D176" i="20" s="1"/>
  <c r="C177" i="20"/>
  <c r="D177" i="20" s="1"/>
  <c r="C178" i="20"/>
  <c r="D178" i="20"/>
  <c r="C179" i="20"/>
  <c r="D179" i="20" s="1"/>
  <c r="C180" i="20"/>
  <c r="D180" i="20" s="1"/>
  <c r="C181" i="20"/>
  <c r="D181" i="20"/>
  <c r="C182" i="20"/>
  <c r="D182" i="20" s="1"/>
  <c r="C183" i="20"/>
  <c r="D183" i="20" s="1"/>
  <c r="C184" i="20"/>
  <c r="D184" i="20" s="1"/>
  <c r="C185" i="20"/>
  <c r="D185" i="20"/>
  <c r="C186" i="20"/>
  <c r="D186" i="20" s="1"/>
  <c r="C187" i="20"/>
  <c r="D187" i="20"/>
  <c r="C188" i="20"/>
  <c r="D188" i="20" s="1"/>
  <c r="C189" i="20"/>
  <c r="D189" i="20"/>
  <c r="C190" i="20"/>
  <c r="D190" i="20" s="1"/>
  <c r="C191" i="20"/>
  <c r="D191" i="20" s="1"/>
  <c r="C192" i="20"/>
  <c r="D192" i="20" s="1"/>
  <c r="C193" i="20"/>
  <c r="D193" i="20"/>
  <c r="C194" i="20"/>
  <c r="D194" i="20" s="1"/>
  <c r="C195" i="20"/>
  <c r="D195" i="20" s="1"/>
  <c r="C196" i="20"/>
  <c r="D196" i="20"/>
  <c r="C197" i="20"/>
  <c r="D197" i="20" s="1"/>
  <c r="C198" i="20"/>
  <c r="D198" i="20" s="1"/>
  <c r="C199" i="20"/>
  <c r="D199" i="20"/>
  <c r="C200" i="20"/>
  <c r="D200" i="20" s="1"/>
  <c r="C201" i="20"/>
  <c r="D201" i="20" s="1"/>
  <c r="C202" i="20"/>
  <c r="D202" i="20" s="1"/>
  <c r="C203" i="20"/>
  <c r="D203" i="20"/>
  <c r="C204" i="20"/>
  <c r="D204" i="20" s="1"/>
  <c r="C205" i="20"/>
  <c r="D205" i="20"/>
  <c r="C206" i="20"/>
  <c r="D206" i="20" s="1"/>
  <c r="C207" i="20"/>
  <c r="D207" i="20"/>
  <c r="C208" i="20"/>
  <c r="D208" i="20" s="1"/>
  <c r="C209" i="20"/>
  <c r="D209" i="20" s="1"/>
  <c r="C210" i="20"/>
  <c r="D210" i="20" s="1"/>
  <c r="C211" i="20"/>
  <c r="D211" i="20"/>
  <c r="C212" i="20"/>
  <c r="D212" i="20" s="1"/>
  <c r="C213" i="20"/>
  <c r="D213" i="20" s="1"/>
  <c r="C214" i="20"/>
  <c r="D214" i="20"/>
  <c r="C215" i="20"/>
  <c r="D215" i="20" s="1"/>
  <c r="C216" i="20"/>
  <c r="D216" i="20" s="1"/>
  <c r="C217" i="20"/>
  <c r="D217" i="20"/>
  <c r="C218" i="20"/>
  <c r="D218" i="20" s="1"/>
  <c r="C219" i="20"/>
  <c r="D219" i="20" s="1"/>
  <c r="C220" i="20"/>
  <c r="D220" i="20" s="1"/>
  <c r="C221" i="20"/>
  <c r="D221" i="20"/>
  <c r="C21" i="16"/>
  <c r="C22" i="16"/>
  <c r="C23" i="16"/>
  <c r="C24" i="16"/>
  <c r="C25" i="16"/>
  <c r="D25" i="16"/>
  <c r="C26" i="16"/>
  <c r="D26" i="16" s="1"/>
  <c r="C27" i="16"/>
  <c r="C28" i="16"/>
  <c r="C29" i="16"/>
  <c r="D29" i="16"/>
  <c r="C30" i="16"/>
  <c r="D30" i="16" s="1"/>
  <c r="C31" i="16"/>
  <c r="C32" i="16"/>
  <c r="C33" i="16"/>
  <c r="D33" i="16"/>
  <c r="C34" i="16"/>
  <c r="D34" i="16" s="1"/>
  <c r="C35" i="16"/>
  <c r="C36" i="16"/>
  <c r="C37" i="16"/>
  <c r="D37" i="16"/>
  <c r="C38" i="16"/>
  <c r="D38" i="16" s="1"/>
  <c r="C39" i="16"/>
  <c r="C40" i="16"/>
  <c r="C41" i="16"/>
  <c r="D41" i="16"/>
  <c r="C42" i="16"/>
  <c r="D42" i="16" s="1"/>
  <c r="C43" i="16"/>
  <c r="C44" i="16"/>
  <c r="C45" i="16"/>
  <c r="D45" i="16"/>
  <c r="C46" i="16"/>
  <c r="D46" i="16" s="1"/>
  <c r="C47" i="16"/>
  <c r="C48" i="16"/>
  <c r="C49" i="16"/>
  <c r="D49" i="16"/>
  <c r="C50" i="16"/>
  <c r="D50" i="16" s="1"/>
  <c r="C51" i="16"/>
  <c r="C52" i="16"/>
  <c r="C53" i="16"/>
  <c r="D53" i="16"/>
  <c r="C54" i="16"/>
  <c r="D54" i="16" s="1"/>
  <c r="C55" i="16"/>
  <c r="C56" i="16"/>
  <c r="C57" i="16"/>
  <c r="D57" i="16"/>
  <c r="C58" i="16"/>
  <c r="D58" i="16" s="1"/>
  <c r="C59" i="16"/>
  <c r="C60" i="16"/>
  <c r="C61" i="16"/>
  <c r="D61" i="16"/>
  <c r="C62" i="16"/>
  <c r="D62" i="16" s="1"/>
  <c r="C63" i="16"/>
  <c r="C64" i="16"/>
  <c r="C65" i="16"/>
  <c r="D65" i="16"/>
  <c r="C66" i="16"/>
  <c r="D66" i="16" s="1"/>
  <c r="C67" i="16"/>
  <c r="C68" i="16"/>
  <c r="C69" i="16"/>
  <c r="D69" i="16"/>
  <c r="C70" i="16"/>
  <c r="D70" i="16" s="1"/>
  <c r="C71" i="16"/>
  <c r="C72" i="16"/>
  <c r="C73" i="16"/>
  <c r="D73" i="16"/>
  <c r="C74" i="16"/>
  <c r="D74" i="16" s="1"/>
  <c r="C75" i="16"/>
  <c r="C76" i="16"/>
  <c r="C77" i="16"/>
  <c r="D77" i="16"/>
  <c r="C78" i="16"/>
  <c r="C79" i="16"/>
  <c r="C80" i="16"/>
  <c r="C81" i="16"/>
  <c r="D81" i="16" s="1"/>
  <c r="C82" i="16"/>
  <c r="D82" i="16" s="1"/>
  <c r="C83" i="16"/>
  <c r="C84" i="16"/>
  <c r="C85" i="16"/>
  <c r="D85" i="16" s="1"/>
  <c r="C86" i="16"/>
  <c r="D86" i="16"/>
  <c r="C87" i="16"/>
  <c r="C88" i="16"/>
  <c r="C89" i="16"/>
  <c r="D89" i="16" s="1"/>
  <c r="C90" i="16"/>
  <c r="D90" i="16" s="1"/>
  <c r="C91" i="16"/>
  <c r="C92" i="16"/>
  <c r="C93" i="16"/>
  <c r="D93" i="16" s="1"/>
  <c r="C94" i="16"/>
  <c r="D94" i="16"/>
  <c r="C95" i="16"/>
  <c r="C96" i="16"/>
  <c r="C97" i="16"/>
  <c r="D97" i="16" s="1"/>
  <c r="C98" i="16"/>
  <c r="D98" i="16" s="1"/>
  <c r="C99" i="16"/>
  <c r="C100" i="16"/>
  <c r="C101" i="16"/>
  <c r="D101" i="16" s="1"/>
  <c r="C102" i="16"/>
  <c r="D102" i="16"/>
  <c r="C103" i="16"/>
  <c r="C104" i="16"/>
  <c r="C105" i="16"/>
  <c r="D105" i="16" s="1"/>
  <c r="C106" i="16"/>
  <c r="D106" i="16" s="1"/>
  <c r="C107" i="16"/>
  <c r="G87" i="16"/>
  <c r="C21" i="25"/>
  <c r="D21" i="25" s="1"/>
  <c r="C22" i="25"/>
  <c r="D22" i="25"/>
  <c r="C23" i="25"/>
  <c r="D23" i="25"/>
  <c r="C24" i="25"/>
  <c r="D24" i="25" s="1"/>
  <c r="C25" i="25"/>
  <c r="D25" i="25" s="1"/>
  <c r="C26" i="25"/>
  <c r="D26" i="25"/>
  <c r="C27" i="25"/>
  <c r="C28" i="25"/>
  <c r="D28" i="25"/>
  <c r="C29" i="25"/>
  <c r="D29" i="25" s="1"/>
  <c r="C30" i="25"/>
  <c r="D30" i="25" s="1"/>
  <c r="C31" i="25"/>
  <c r="D31" i="25"/>
  <c r="C32" i="25"/>
  <c r="C33" i="25"/>
  <c r="D33" i="25"/>
  <c r="C34" i="25"/>
  <c r="D34" i="25" s="1"/>
  <c r="C35" i="25"/>
  <c r="D35" i="25"/>
  <c r="C36" i="25"/>
  <c r="D36" i="25"/>
  <c r="C37" i="25"/>
  <c r="D37" i="25" s="1"/>
  <c r="C38" i="25"/>
  <c r="D38" i="25" s="1"/>
  <c r="C39" i="25"/>
  <c r="C40" i="25"/>
  <c r="D40" i="25"/>
  <c r="C41" i="25"/>
  <c r="D41" i="25"/>
  <c r="C42" i="25"/>
  <c r="D42" i="25" s="1"/>
  <c r="C43" i="25"/>
  <c r="D43" i="25" s="1"/>
  <c r="C44" i="25"/>
  <c r="D44" i="25"/>
  <c r="C45" i="25"/>
  <c r="D45" i="25" s="1"/>
  <c r="C46" i="25"/>
  <c r="D46" i="25"/>
  <c r="C47" i="25"/>
  <c r="D47" i="25"/>
  <c r="C48" i="25"/>
  <c r="D48" i="25" s="1"/>
  <c r="C49" i="25"/>
  <c r="D49" i="25" s="1"/>
  <c r="C50" i="25"/>
  <c r="D50" i="25"/>
  <c r="C51" i="25"/>
  <c r="D51" i="25" s="1"/>
  <c r="C52" i="25"/>
  <c r="C53" i="25"/>
  <c r="D53" i="25" s="1"/>
  <c r="C54" i="25"/>
  <c r="D54" i="25"/>
  <c r="C55" i="25"/>
  <c r="D55" i="25"/>
  <c r="C56" i="25"/>
  <c r="D56" i="25" s="1"/>
  <c r="C57" i="25"/>
  <c r="D57" i="25" s="1"/>
  <c r="C58" i="25"/>
  <c r="D58" i="25"/>
  <c r="C59" i="25"/>
  <c r="D59" i="25" s="1"/>
  <c r="C60" i="25"/>
  <c r="D60" i="25"/>
  <c r="C61" i="25"/>
  <c r="D61" i="25"/>
  <c r="C62" i="25"/>
  <c r="D62" i="25" s="1"/>
  <c r="C63" i="25"/>
  <c r="D63" i="25" s="1"/>
  <c r="C64" i="25"/>
  <c r="C65" i="25"/>
  <c r="D65" i="25"/>
  <c r="C66" i="25"/>
  <c r="D66" i="25"/>
  <c r="C67" i="25"/>
  <c r="D67" i="25" s="1"/>
  <c r="C68" i="25"/>
  <c r="D68" i="25" s="1"/>
  <c r="C69" i="25"/>
  <c r="D69" i="25"/>
  <c r="C70" i="25"/>
  <c r="D70" i="25" s="1"/>
  <c r="C71" i="25"/>
  <c r="D71" i="25"/>
  <c r="C72" i="25"/>
  <c r="D72" i="25"/>
  <c r="C73" i="25"/>
  <c r="D73" i="25" s="1"/>
  <c r="C74" i="25"/>
  <c r="D74" i="25" s="1"/>
  <c r="C75" i="25"/>
  <c r="D75" i="25"/>
  <c r="C76" i="25"/>
  <c r="D76" i="25" s="1"/>
  <c r="C77" i="25"/>
  <c r="D77" i="25"/>
  <c r="C78" i="25"/>
  <c r="D78" i="25"/>
  <c r="C79" i="25"/>
  <c r="C80" i="25"/>
  <c r="D80" i="25"/>
  <c r="C81" i="25"/>
  <c r="D81" i="25" s="1"/>
  <c r="C82" i="25"/>
  <c r="D82" i="25" s="1"/>
  <c r="C83" i="25"/>
  <c r="D83" i="25"/>
  <c r="C84" i="25"/>
  <c r="C85" i="25"/>
  <c r="D85" i="25"/>
  <c r="C86" i="25"/>
  <c r="D86" i="25" s="1"/>
  <c r="C87" i="25"/>
  <c r="D87" i="25" s="1"/>
  <c r="C88" i="25"/>
  <c r="D88" i="25"/>
  <c r="C89" i="25"/>
  <c r="D89" i="25" s="1"/>
  <c r="C90" i="25"/>
  <c r="D90" i="25"/>
  <c r="C91" i="25"/>
  <c r="C92" i="25"/>
  <c r="D92" i="25"/>
  <c r="C93" i="25"/>
  <c r="D93" i="25"/>
  <c r="C94" i="25"/>
  <c r="D94" i="25" s="1"/>
  <c r="C95" i="25"/>
  <c r="D95" i="25" s="1"/>
  <c r="C96" i="25"/>
  <c r="C97" i="25"/>
  <c r="D97" i="25"/>
  <c r="C98" i="25"/>
  <c r="D98" i="25"/>
  <c r="C99" i="25"/>
  <c r="D99" i="25" s="1"/>
  <c r="C100" i="25"/>
  <c r="D100" i="25" s="1"/>
  <c r="C101" i="25"/>
  <c r="D101" i="25"/>
  <c r="C102" i="25"/>
  <c r="D102" i="25" s="1"/>
  <c r="C103" i="25"/>
  <c r="C104" i="25"/>
  <c r="D104" i="25" s="1"/>
  <c r="C105" i="25"/>
  <c r="D105" i="25"/>
  <c r="C106" i="25"/>
  <c r="D106" i="25"/>
  <c r="C107" i="25"/>
  <c r="D107" i="25" s="1"/>
  <c r="C108" i="25"/>
  <c r="D108" i="25" s="1"/>
  <c r="C109" i="25"/>
  <c r="D109" i="25"/>
  <c r="C110" i="25"/>
  <c r="D110" i="25" s="1"/>
  <c r="C111" i="25"/>
  <c r="D111" i="25"/>
  <c r="C112" i="25"/>
  <c r="D112" i="25"/>
  <c r="C113" i="25"/>
  <c r="D113" i="25" s="1"/>
  <c r="C114" i="25"/>
  <c r="D114" i="25" s="1"/>
  <c r="C115" i="25"/>
  <c r="D115" i="25"/>
  <c r="C116" i="25"/>
  <c r="C117" i="25"/>
  <c r="D117" i="25"/>
  <c r="C118" i="25"/>
  <c r="D118" i="25" s="1"/>
  <c r="C119" i="25"/>
  <c r="D119" i="25" s="1"/>
  <c r="C120" i="25"/>
  <c r="D120" i="25"/>
  <c r="C121" i="25"/>
  <c r="D121" i="25" s="1"/>
  <c r="C122" i="25"/>
  <c r="D122" i="25"/>
  <c r="C123" i="25"/>
  <c r="D123" i="25"/>
  <c r="C124" i="25"/>
  <c r="D124" i="25" s="1"/>
  <c r="C125" i="25"/>
  <c r="D125" i="25" s="1"/>
  <c r="C126" i="25"/>
  <c r="D126" i="25"/>
  <c r="C127" i="25"/>
  <c r="D127" i="25" s="1"/>
  <c r="C128" i="25"/>
  <c r="C129" i="25"/>
  <c r="D129" i="25" s="1"/>
  <c r="C130" i="25"/>
  <c r="C131" i="25"/>
  <c r="D131" i="25" s="1"/>
  <c r="C132" i="25"/>
  <c r="C133" i="25"/>
  <c r="D133" i="25" s="1"/>
  <c r="C134" i="25"/>
  <c r="D134" i="25" s="1"/>
  <c r="C135" i="25"/>
  <c r="C136" i="25"/>
  <c r="D136" i="25"/>
  <c r="C137" i="25"/>
  <c r="D137" i="25"/>
  <c r="C138" i="25"/>
  <c r="D138" i="25" s="1"/>
  <c r="C139" i="25"/>
  <c r="D139" i="25" s="1"/>
  <c r="C140" i="25"/>
  <c r="D140" i="25"/>
  <c r="C141" i="25"/>
  <c r="D141" i="25" s="1"/>
  <c r="C142" i="25"/>
  <c r="D142" i="25"/>
  <c r="C143" i="25"/>
  <c r="D143" i="25"/>
  <c r="C144" i="25"/>
  <c r="C145" i="25"/>
  <c r="D145" i="25"/>
  <c r="C146" i="25"/>
  <c r="D146" i="25" s="1"/>
  <c r="C147" i="25"/>
  <c r="C148" i="25"/>
  <c r="D148" i="25" s="1"/>
  <c r="C149" i="25"/>
  <c r="D149" i="25"/>
  <c r="C150" i="25"/>
  <c r="D150" i="25"/>
  <c r="C151" i="25"/>
  <c r="D151" i="25" s="1"/>
  <c r="C152" i="25"/>
  <c r="D152" i="25" s="1"/>
  <c r="C153" i="25"/>
  <c r="D153" i="25"/>
  <c r="C154" i="25"/>
  <c r="D154" i="25" s="1"/>
  <c r="C155" i="25"/>
  <c r="D155" i="25"/>
  <c r="C156" i="25"/>
  <c r="D156" i="25"/>
  <c r="C157" i="25"/>
  <c r="D157" i="25" s="1"/>
  <c r="C158" i="25"/>
  <c r="D158" i="25" s="1"/>
  <c r="C159" i="25"/>
  <c r="D159" i="25"/>
  <c r="C160" i="25"/>
  <c r="D160" i="25" s="1"/>
  <c r="C161" i="25"/>
  <c r="D161" i="25"/>
  <c r="C162" i="25"/>
  <c r="D162" i="25"/>
  <c r="C163" i="25"/>
  <c r="C164" i="25"/>
  <c r="C165" i="25"/>
  <c r="D165" i="25" s="1"/>
  <c r="C166" i="25"/>
  <c r="D166" i="25"/>
  <c r="C167" i="25"/>
  <c r="D167" i="25" s="1"/>
  <c r="C168" i="25"/>
  <c r="D168" i="25"/>
  <c r="C169" i="25"/>
  <c r="D169" i="25"/>
  <c r="C170" i="25"/>
  <c r="D170" i="25" s="1"/>
  <c r="C171" i="25"/>
  <c r="C172" i="25"/>
  <c r="D172" i="25" s="1"/>
  <c r="C173" i="25"/>
  <c r="D173" i="25" s="1"/>
  <c r="C174" i="25"/>
  <c r="D174" i="25"/>
  <c r="C175" i="25"/>
  <c r="D175" i="25" s="1"/>
  <c r="C176" i="25"/>
  <c r="D176" i="25"/>
  <c r="C177" i="25"/>
  <c r="D177" i="25"/>
  <c r="C178" i="25"/>
  <c r="D178" i="25" s="1"/>
  <c r="C179" i="25"/>
  <c r="D179" i="25" s="1"/>
  <c r="C180" i="25"/>
  <c r="C181" i="25"/>
  <c r="D181" i="25"/>
  <c r="C182" i="25"/>
  <c r="D182" i="25"/>
  <c r="C183" i="25"/>
  <c r="D183" i="25" s="1"/>
  <c r="C184" i="25"/>
  <c r="D184" i="25" s="1"/>
  <c r="C185" i="25"/>
  <c r="D185" i="25"/>
  <c r="C186" i="25"/>
  <c r="D186" i="25" s="1"/>
  <c r="C187" i="25"/>
  <c r="D187" i="25"/>
  <c r="C188" i="25"/>
  <c r="D188" i="25"/>
  <c r="C189" i="25"/>
  <c r="D189" i="25" s="1"/>
  <c r="C190" i="25"/>
  <c r="D190" i="25" s="1"/>
  <c r="C191" i="25"/>
  <c r="D191" i="25"/>
  <c r="C192" i="25"/>
  <c r="D192" i="25" s="1"/>
  <c r="C193" i="25"/>
  <c r="D193" i="25"/>
  <c r="C194" i="25"/>
  <c r="D194" i="25"/>
  <c r="C195" i="25"/>
  <c r="D195" i="25" s="1"/>
  <c r="C196" i="25"/>
  <c r="D196" i="25" s="1"/>
  <c r="C197" i="25"/>
  <c r="D197" i="25"/>
  <c r="C198" i="25"/>
  <c r="D198" i="25" s="1"/>
  <c r="C199" i="25"/>
  <c r="C200" i="25"/>
  <c r="D200" i="25" s="1"/>
  <c r="C201" i="25"/>
  <c r="D201" i="25"/>
  <c r="C202" i="25"/>
  <c r="D202" i="25"/>
  <c r="C203" i="25"/>
  <c r="D203" i="25" s="1"/>
  <c r="C204" i="25"/>
  <c r="D204" i="25" s="1"/>
  <c r="C205" i="25"/>
  <c r="D205" i="25"/>
  <c r="C206" i="25"/>
  <c r="D206" i="25" s="1"/>
  <c r="C207" i="25"/>
  <c r="D207" i="25"/>
  <c r="C208" i="25"/>
  <c r="C209" i="25"/>
  <c r="D209" i="25" s="1"/>
  <c r="C210" i="25"/>
  <c r="D210" i="25"/>
  <c r="C211" i="25"/>
  <c r="C212" i="25"/>
  <c r="D212" i="25"/>
  <c r="C213" i="25"/>
  <c r="D213" i="25" s="1"/>
  <c r="C214" i="25"/>
  <c r="D214" i="25"/>
  <c r="C215" i="25"/>
  <c r="D215" i="25"/>
  <c r="C216" i="25"/>
  <c r="D216" i="25" s="1"/>
  <c r="C217" i="25"/>
  <c r="D217" i="25" s="1"/>
  <c r="C218" i="25"/>
  <c r="D218" i="25"/>
  <c r="C219" i="25"/>
  <c r="D219" i="25" s="1"/>
  <c r="C220" i="25"/>
  <c r="D220" i="25"/>
  <c r="C221" i="25"/>
  <c r="D221" i="25"/>
  <c r="C222" i="25"/>
  <c r="D222" i="25" s="1"/>
  <c r="C223" i="25"/>
  <c r="D223" i="25" s="1"/>
  <c r="C224" i="25"/>
  <c r="C225" i="25"/>
  <c r="D225" i="25"/>
  <c r="C226" i="25"/>
  <c r="D226" i="25"/>
  <c r="C227" i="25"/>
  <c r="D227" i="25" s="1"/>
  <c r="C228" i="25"/>
  <c r="D228" i="25" s="1"/>
  <c r="C229" i="25"/>
  <c r="D229" i="25"/>
  <c r="C230" i="25"/>
  <c r="D230" i="25" s="1"/>
  <c r="C231" i="25"/>
  <c r="D231" i="25"/>
  <c r="C232" i="25"/>
  <c r="D232" i="25"/>
  <c r="C233" i="25"/>
  <c r="D233" i="25" s="1"/>
  <c r="C234" i="25"/>
  <c r="D234" i="25" s="1"/>
  <c r="C235" i="25"/>
  <c r="C236" i="25"/>
  <c r="D236" i="25" s="1"/>
  <c r="C237" i="25"/>
  <c r="D237" i="25"/>
  <c r="C238" i="25"/>
  <c r="D238" i="25" s="1"/>
  <c r="C239" i="25"/>
  <c r="C240" i="25"/>
  <c r="D240" i="25" s="1"/>
  <c r="C241" i="25"/>
  <c r="D241" i="25" s="1"/>
  <c r="C242" i="25"/>
  <c r="D242" i="25"/>
  <c r="C243" i="25"/>
  <c r="C244" i="25"/>
  <c r="D244" i="25"/>
  <c r="C245" i="25"/>
  <c r="D245" i="25" s="1"/>
  <c r="C246" i="25"/>
  <c r="D246" i="25"/>
  <c r="C247" i="25"/>
  <c r="D247" i="25"/>
  <c r="C248" i="25"/>
  <c r="D248" i="25" s="1"/>
  <c r="C249" i="25"/>
  <c r="D249" i="25" s="1"/>
  <c r="C250" i="25"/>
  <c r="D250" i="25"/>
  <c r="C251" i="25"/>
  <c r="D251" i="25" s="1"/>
  <c r="C252" i="25"/>
  <c r="D252" i="25"/>
  <c r="C253" i="25"/>
  <c r="D253" i="25"/>
  <c r="C254" i="25"/>
  <c r="D254" i="25" s="1"/>
  <c r="C255" i="25"/>
  <c r="C256" i="25"/>
  <c r="D256" i="25" s="1"/>
  <c r="C257" i="25"/>
  <c r="D257" i="25"/>
  <c r="C258" i="25"/>
  <c r="D258" i="25"/>
  <c r="C259" i="25"/>
  <c r="D259" i="25" s="1"/>
  <c r="C260" i="25"/>
  <c r="D260" i="25" s="1"/>
  <c r="C261" i="25"/>
  <c r="D261" i="25"/>
  <c r="C262" i="25"/>
  <c r="D262" i="25" s="1"/>
  <c r="C263" i="25"/>
  <c r="D263" i="25"/>
  <c r="C264" i="25"/>
  <c r="C265" i="25"/>
  <c r="D265" i="25"/>
  <c r="C266" i="25"/>
  <c r="D266" i="25"/>
  <c r="C267" i="25"/>
  <c r="D267" i="25" s="1"/>
  <c r="C268" i="25"/>
  <c r="D268" i="25" s="1"/>
  <c r="C269" i="25"/>
  <c r="D269" i="25"/>
  <c r="C270" i="25"/>
  <c r="D270" i="25" s="1"/>
  <c r="C271" i="25"/>
  <c r="D271" i="25"/>
  <c r="C272" i="25"/>
  <c r="D272" i="25"/>
  <c r="C273" i="25"/>
  <c r="D273" i="25" s="1"/>
  <c r="C274" i="25"/>
  <c r="D274" i="25" s="1"/>
  <c r="C275" i="25"/>
  <c r="D275" i="25"/>
  <c r="C276" i="25"/>
  <c r="C277" i="25"/>
  <c r="D277" i="25"/>
  <c r="C278" i="25"/>
  <c r="D278" i="25" s="1"/>
  <c r="C279" i="25"/>
  <c r="D279" i="25" s="1"/>
  <c r="C280" i="25"/>
  <c r="D280" i="25"/>
  <c r="C281" i="25"/>
  <c r="D281" i="25" s="1"/>
  <c r="C282" i="25"/>
  <c r="D282" i="25"/>
  <c r="C283" i="25"/>
  <c r="D283" i="25"/>
  <c r="C284" i="25"/>
  <c r="D284" i="25" s="1"/>
  <c r="C285" i="25"/>
  <c r="D285" i="25" s="1"/>
  <c r="C286" i="25"/>
  <c r="D286" i="25"/>
  <c r="C287" i="25"/>
  <c r="D287" i="25" s="1"/>
  <c r="C288" i="25"/>
  <c r="C289" i="25"/>
  <c r="D289" i="25" s="1"/>
  <c r="C290" i="25"/>
  <c r="D290" i="25"/>
  <c r="C291" i="25"/>
  <c r="D291" i="25"/>
  <c r="C292" i="25"/>
  <c r="D292" i="25" s="1"/>
  <c r="C293" i="25"/>
  <c r="D293" i="25" s="1"/>
  <c r="C294" i="25"/>
  <c r="D294" i="25"/>
  <c r="C295" i="25"/>
  <c r="C296" i="25"/>
  <c r="D296" i="25"/>
  <c r="C297" i="25"/>
  <c r="D297" i="25" s="1"/>
  <c r="C298" i="25"/>
  <c r="D298" i="25" s="1"/>
  <c r="C299" i="25"/>
  <c r="D299" i="25"/>
  <c r="C300" i="25"/>
  <c r="D300" i="25" s="1"/>
  <c r="C301" i="25"/>
  <c r="D301" i="25"/>
  <c r="C302" i="25"/>
  <c r="D302" i="25"/>
  <c r="C303" i="25"/>
  <c r="D303" i="25" s="1"/>
  <c r="C304" i="25"/>
  <c r="D304" i="25" s="1"/>
  <c r="C305" i="25"/>
  <c r="D305" i="25"/>
  <c r="C306" i="25"/>
  <c r="D306" i="25" s="1"/>
  <c r="C307" i="25"/>
  <c r="D307" i="25"/>
  <c r="C308" i="25"/>
  <c r="C309" i="25"/>
  <c r="D309" i="25"/>
  <c r="C310" i="25"/>
  <c r="D310" i="25"/>
  <c r="C311" i="25"/>
  <c r="C312" i="25"/>
  <c r="D312" i="25"/>
  <c r="C313" i="25"/>
  <c r="D313" i="25" s="1"/>
  <c r="C314" i="25"/>
  <c r="D314" i="25"/>
  <c r="C315" i="25"/>
  <c r="D315" i="25"/>
  <c r="C316" i="25"/>
  <c r="D316" i="25" s="1"/>
  <c r="C317" i="25"/>
  <c r="D317" i="25" s="1"/>
  <c r="C318" i="25"/>
  <c r="D318" i="25"/>
  <c r="C319" i="25"/>
  <c r="D319" i="25" s="1"/>
  <c r="C320" i="25"/>
  <c r="C321" i="25"/>
  <c r="D321" i="25" s="1"/>
  <c r="C322" i="25"/>
  <c r="D322" i="25"/>
  <c r="C323" i="25"/>
  <c r="D323" i="25"/>
  <c r="C324" i="25"/>
  <c r="C325" i="25"/>
  <c r="D325" i="25"/>
  <c r="C326" i="25"/>
  <c r="D326" i="25" s="1"/>
  <c r="C327" i="25"/>
  <c r="D327" i="25"/>
  <c r="C328" i="25"/>
  <c r="C329" i="25"/>
  <c r="D329" i="25"/>
  <c r="C330" i="25"/>
  <c r="D330" i="25"/>
  <c r="C331" i="25"/>
  <c r="D331" i="25" s="1"/>
  <c r="C332" i="25"/>
  <c r="C333" i="25"/>
  <c r="D333" i="25" s="1"/>
  <c r="C334" i="25"/>
  <c r="D334" i="25"/>
  <c r="C335" i="25"/>
  <c r="D335" i="25"/>
  <c r="C336" i="25"/>
  <c r="D336" i="25" s="1"/>
  <c r="C337" i="25"/>
  <c r="D337" i="25" s="1"/>
  <c r="C338" i="25"/>
  <c r="D338" i="25"/>
  <c r="C339" i="25"/>
  <c r="D339" i="25" s="1"/>
  <c r="C340" i="25"/>
  <c r="D340" i="25"/>
  <c r="C341" i="25"/>
  <c r="D341" i="25"/>
  <c r="C342" i="25"/>
  <c r="D342" i="25" s="1"/>
  <c r="C343" i="25"/>
  <c r="D343" i="25" s="1"/>
  <c r="C344" i="25"/>
  <c r="D344" i="25"/>
  <c r="C345" i="25"/>
  <c r="D345" i="25" s="1"/>
  <c r="C346" i="25"/>
  <c r="D346" i="25"/>
  <c r="C347" i="25"/>
  <c r="D347" i="25"/>
  <c r="C348" i="25"/>
  <c r="D348" i="25" s="1"/>
  <c r="C349" i="25"/>
  <c r="D349" i="25" s="1"/>
  <c r="C350" i="25"/>
  <c r="C21" i="41"/>
  <c r="C22" i="41"/>
  <c r="D22" i="41" s="1"/>
  <c r="C23" i="41"/>
  <c r="D23" i="41"/>
  <c r="C24" i="41"/>
  <c r="D24" i="41"/>
  <c r="C25" i="41"/>
  <c r="D25" i="41" s="1"/>
  <c r="C26" i="41"/>
  <c r="D26" i="41" s="1"/>
  <c r="C27" i="41"/>
  <c r="D27" i="41"/>
  <c r="C28" i="41"/>
  <c r="D28" i="41" s="1"/>
  <c r="C29" i="41"/>
  <c r="D29" i="41"/>
  <c r="C30" i="41"/>
  <c r="D30" i="41"/>
  <c r="C31" i="41"/>
  <c r="D31" i="41" s="1"/>
  <c r="C32" i="41"/>
  <c r="D32" i="41" s="1"/>
  <c r="C33" i="41"/>
  <c r="D33" i="41"/>
  <c r="C34" i="41"/>
  <c r="D34" i="41" s="1"/>
  <c r="C35" i="41"/>
  <c r="D35" i="41"/>
  <c r="C36" i="41"/>
  <c r="D36" i="41"/>
  <c r="C37" i="41"/>
  <c r="D37" i="41" s="1"/>
  <c r="C38" i="41"/>
  <c r="D38" i="41" s="1"/>
  <c r="C39" i="41"/>
  <c r="D39" i="41"/>
  <c r="C40" i="41"/>
  <c r="D40" i="41" s="1"/>
  <c r="C41" i="41"/>
  <c r="D41" i="41"/>
  <c r="C42" i="41"/>
  <c r="D42" i="41"/>
  <c r="C43" i="41"/>
  <c r="D43" i="41" s="1"/>
  <c r="C44" i="41"/>
  <c r="D44" i="41" s="1"/>
  <c r="C45" i="41"/>
  <c r="D45" i="41"/>
  <c r="C46" i="41"/>
  <c r="D46" i="41" s="1"/>
  <c r="C47" i="41"/>
  <c r="D47" i="41"/>
  <c r="C48" i="41"/>
  <c r="D48" i="41"/>
  <c r="C49" i="41"/>
  <c r="D49" i="41" s="1"/>
  <c r="C50" i="41"/>
  <c r="D50" i="41" s="1"/>
  <c r="C51" i="41"/>
  <c r="D51" i="41"/>
  <c r="C52" i="41"/>
  <c r="D52" i="41" s="1"/>
  <c r="C53" i="41"/>
  <c r="D53" i="41"/>
  <c r="C54" i="41"/>
  <c r="D54" i="41"/>
  <c r="C55" i="41"/>
  <c r="D55" i="41" s="1"/>
  <c r="C56" i="41"/>
  <c r="D56" i="41" s="1"/>
  <c r="C57" i="41"/>
  <c r="D57" i="41"/>
  <c r="C58" i="41"/>
  <c r="D58" i="41" s="1"/>
  <c r="C59" i="41"/>
  <c r="D59" i="41"/>
  <c r="C60" i="41"/>
  <c r="D60" i="41"/>
  <c r="C61" i="41"/>
  <c r="D61" i="41" s="1"/>
  <c r="C62" i="41"/>
  <c r="C63" i="41"/>
  <c r="D63" i="41" s="1"/>
  <c r="C64" i="41"/>
  <c r="D64" i="41" s="1"/>
  <c r="C65" i="41"/>
  <c r="D65" i="41"/>
  <c r="C66" i="41"/>
  <c r="D66" i="41" s="1"/>
  <c r="C67" i="41"/>
  <c r="D67" i="41"/>
  <c r="C68" i="41"/>
  <c r="D68" i="41"/>
  <c r="C69" i="41"/>
  <c r="D69" i="41" s="1"/>
  <c r="C70" i="41"/>
  <c r="D70" i="41" s="1"/>
  <c r="C71" i="41"/>
  <c r="D71" i="41"/>
  <c r="C72" i="41"/>
  <c r="D72" i="41" s="1"/>
  <c r="C73" i="41"/>
  <c r="D73" i="41"/>
  <c r="C74" i="41"/>
  <c r="D74" i="41"/>
  <c r="C75" i="41"/>
  <c r="D75" i="41" s="1"/>
  <c r="C76" i="41"/>
  <c r="D76" i="41" s="1"/>
  <c r="C77" i="41"/>
  <c r="D77" i="41"/>
  <c r="C78" i="41"/>
  <c r="D78" i="41" s="1"/>
  <c r="C79" i="41"/>
  <c r="D79" i="41"/>
  <c r="C80" i="41"/>
  <c r="D80" i="41"/>
  <c r="C81" i="41"/>
  <c r="D81" i="41" s="1"/>
  <c r="C82" i="41"/>
  <c r="D82" i="41" s="1"/>
  <c r="C83" i="41"/>
  <c r="D83" i="41"/>
  <c r="C84" i="41"/>
  <c r="D84" i="41" s="1"/>
  <c r="C85" i="41"/>
  <c r="D85" i="41"/>
  <c r="C86" i="41"/>
  <c r="D86" i="41"/>
  <c r="C87" i="41"/>
  <c r="D87" i="41" s="1"/>
  <c r="C88" i="41"/>
  <c r="D88" i="41" s="1"/>
  <c r="C89" i="41"/>
  <c r="D89" i="41"/>
  <c r="C90" i="41"/>
  <c r="D90" i="41" s="1"/>
  <c r="C91" i="41"/>
  <c r="D91" i="41"/>
  <c r="C92" i="41"/>
  <c r="D92" i="41"/>
  <c r="C93" i="41"/>
  <c r="D93" i="41" s="1"/>
  <c r="C94" i="41"/>
  <c r="D94" i="41" s="1"/>
  <c r="C95" i="41"/>
  <c r="D95" i="41"/>
  <c r="C96" i="41"/>
  <c r="D96" i="41" s="1"/>
  <c r="C97" i="41"/>
  <c r="D97" i="41"/>
  <c r="C21" i="43"/>
  <c r="C22" i="43"/>
  <c r="D22" i="43" s="1"/>
  <c r="C23" i="43"/>
  <c r="D23" i="43"/>
  <c r="C24" i="43"/>
  <c r="D24" i="43" s="1"/>
  <c r="C25" i="43"/>
  <c r="C26" i="43"/>
  <c r="D26" i="43" s="1"/>
  <c r="C27" i="43"/>
  <c r="D27" i="43"/>
  <c r="C28" i="43"/>
  <c r="D28" i="43" s="1"/>
  <c r="C29" i="43"/>
  <c r="C30" i="43"/>
  <c r="D30" i="43"/>
  <c r="C31" i="43"/>
  <c r="D31" i="43" s="1"/>
  <c r="C32" i="43"/>
  <c r="D32" i="43"/>
  <c r="C33" i="43"/>
  <c r="C34" i="43"/>
  <c r="D34" i="43"/>
  <c r="C35" i="43"/>
  <c r="D35" i="43" s="1"/>
  <c r="C36" i="43"/>
  <c r="D36" i="43" s="1"/>
  <c r="C37" i="43"/>
  <c r="C38" i="43"/>
  <c r="D38" i="43" s="1"/>
  <c r="C39" i="43"/>
  <c r="D39" i="43"/>
  <c r="C40" i="43"/>
  <c r="D40" i="43"/>
  <c r="C41" i="43"/>
  <c r="C42" i="43"/>
  <c r="D42" i="43" s="1"/>
  <c r="C43" i="43"/>
  <c r="D43" i="43" s="1"/>
  <c r="C44" i="43"/>
  <c r="C45" i="43"/>
  <c r="C46" i="43"/>
  <c r="D46" i="43"/>
  <c r="C47" i="43"/>
  <c r="D47" i="43" s="1"/>
  <c r="C48" i="43"/>
  <c r="D48" i="43"/>
  <c r="C49" i="43"/>
  <c r="C50" i="43"/>
  <c r="D50" i="43" s="1"/>
  <c r="C51" i="43"/>
  <c r="D51" i="43"/>
  <c r="C52" i="43"/>
  <c r="D52" i="43" s="1"/>
  <c r="C53" i="43"/>
  <c r="C54" i="43"/>
  <c r="D54" i="43" s="1"/>
  <c r="C55" i="43"/>
  <c r="D55" i="43"/>
  <c r="C56" i="43"/>
  <c r="D56" i="43" s="1"/>
  <c r="C57" i="43"/>
  <c r="C58" i="43"/>
  <c r="D58" i="43"/>
  <c r="C59" i="43"/>
  <c r="D59" i="43" s="1"/>
  <c r="C60" i="43"/>
  <c r="D60" i="43"/>
  <c r="C61" i="43"/>
  <c r="C62" i="43"/>
  <c r="D62" i="43"/>
  <c r="C63" i="43"/>
  <c r="D63" i="43" s="1"/>
  <c r="C64" i="43"/>
  <c r="D64" i="43" s="1"/>
  <c r="C65" i="43"/>
  <c r="C66" i="43"/>
  <c r="D66" i="43" s="1"/>
  <c r="C67" i="43"/>
  <c r="D67" i="43"/>
  <c r="C68" i="43"/>
  <c r="D68" i="43"/>
  <c r="C69" i="43"/>
  <c r="C70" i="43"/>
  <c r="D70" i="43" s="1"/>
  <c r="C71" i="43"/>
  <c r="D71" i="43" s="1"/>
  <c r="C72" i="43"/>
  <c r="D72" i="43" s="1"/>
  <c r="C73" i="43"/>
  <c r="C74" i="43"/>
  <c r="D74" i="43"/>
  <c r="C75" i="43"/>
  <c r="D75" i="43"/>
  <c r="C76" i="43"/>
  <c r="D76" i="43" s="1"/>
  <c r="C77" i="43"/>
  <c r="C78" i="43"/>
  <c r="D78" i="43" s="1"/>
  <c r="C79" i="43"/>
  <c r="D79" i="43" s="1"/>
  <c r="C80" i="43"/>
  <c r="D80" i="43"/>
  <c r="C81" i="43"/>
  <c r="C82" i="43"/>
  <c r="D82" i="43"/>
  <c r="C83" i="43"/>
  <c r="D83" i="43" s="1"/>
  <c r="C21" i="45"/>
  <c r="C22" i="45"/>
  <c r="D22" i="45" s="1"/>
  <c r="C23" i="45"/>
  <c r="D23" i="45" s="1"/>
  <c r="C24" i="45"/>
  <c r="D24" i="45"/>
  <c r="C25" i="45"/>
  <c r="C26" i="45"/>
  <c r="C27" i="45"/>
  <c r="D27" i="45"/>
  <c r="C28" i="45"/>
  <c r="D28" i="45"/>
  <c r="C29" i="45"/>
  <c r="C30" i="45"/>
  <c r="D30" i="45"/>
  <c r="C31" i="45"/>
  <c r="D31" i="45" s="1"/>
  <c r="C32" i="45"/>
  <c r="D32" i="45"/>
  <c r="C33" i="45"/>
  <c r="C34" i="45"/>
  <c r="C35" i="45"/>
  <c r="D35" i="45" s="1"/>
  <c r="C36" i="45"/>
  <c r="D36" i="45" s="1"/>
  <c r="C37" i="45"/>
  <c r="C38" i="45"/>
  <c r="D38" i="45" s="1"/>
  <c r="C39" i="45"/>
  <c r="D39" i="45"/>
  <c r="C40" i="45"/>
  <c r="D40" i="45" s="1"/>
  <c r="C41" i="45"/>
  <c r="C42" i="45"/>
  <c r="C43" i="45"/>
  <c r="D43" i="45"/>
  <c r="C44" i="45"/>
  <c r="D44" i="45" s="1"/>
  <c r="C45" i="45"/>
  <c r="C46" i="45"/>
  <c r="D46" i="45" s="1"/>
  <c r="C47" i="45"/>
  <c r="D47" i="45"/>
  <c r="C48" i="45"/>
  <c r="D48" i="45"/>
  <c r="C49" i="45"/>
  <c r="C50" i="45"/>
  <c r="C51" i="45"/>
  <c r="D51" i="45" s="1"/>
  <c r="C52" i="45"/>
  <c r="D52" i="45"/>
  <c r="C53" i="45"/>
  <c r="C54" i="45"/>
  <c r="D54" i="45"/>
  <c r="C55" i="45"/>
  <c r="D55" i="45" s="1"/>
  <c r="C56" i="45"/>
  <c r="D56" i="45"/>
  <c r="C57" i="45"/>
  <c r="C58" i="45"/>
  <c r="C59" i="45"/>
  <c r="D59" i="45" s="1"/>
  <c r="C60" i="45"/>
  <c r="D60" i="45" s="1"/>
  <c r="C61" i="45"/>
  <c r="C62" i="45"/>
  <c r="D62" i="45"/>
  <c r="C63" i="45"/>
  <c r="D63" i="45"/>
  <c r="C64" i="45"/>
  <c r="D64" i="45" s="1"/>
  <c r="C65" i="45"/>
  <c r="F66" i="45"/>
  <c r="F67" i="45"/>
  <c r="F68" i="45"/>
  <c r="F69" i="45"/>
  <c r="C71" i="45"/>
  <c r="D71" i="45"/>
  <c r="C72" i="45"/>
  <c r="D72" i="45" s="1"/>
  <c r="C73" i="45"/>
  <c r="D73" i="45"/>
  <c r="C74" i="45"/>
  <c r="D74" i="45"/>
  <c r="C75" i="45"/>
  <c r="D75" i="45" s="1"/>
  <c r="C76" i="45"/>
  <c r="D76" i="45" s="1"/>
  <c r="C77" i="45"/>
  <c r="D77" i="45"/>
  <c r="C78" i="45"/>
  <c r="D78" i="45" s="1"/>
  <c r="C79" i="45"/>
  <c r="D79" i="45"/>
  <c r="C80" i="45"/>
  <c r="D80" i="45"/>
  <c r="C81" i="45"/>
  <c r="D81" i="45" s="1"/>
  <c r="C82" i="45"/>
  <c r="D82" i="45" s="1"/>
  <c r="C83" i="45"/>
  <c r="D83" i="45"/>
  <c r="C84" i="45"/>
  <c r="D84" i="45" s="1"/>
  <c r="C85" i="45"/>
  <c r="D85" i="45"/>
  <c r="C86" i="45"/>
  <c r="D86" i="45"/>
  <c r="C87" i="45"/>
  <c r="D87" i="45" s="1"/>
  <c r="C88" i="45"/>
  <c r="D88" i="45" s="1"/>
  <c r="C89" i="45"/>
  <c r="D89" i="45"/>
  <c r="C90" i="45"/>
  <c r="D90" i="45" s="1"/>
  <c r="C91" i="45"/>
  <c r="D91" i="45"/>
  <c r="C92" i="45"/>
  <c r="D92" i="45"/>
  <c r="C93" i="45"/>
  <c r="D93" i="45" s="1"/>
  <c r="C94" i="45"/>
  <c r="D94" i="45" s="1"/>
  <c r="C95" i="45"/>
  <c r="D95" i="45"/>
  <c r="C96" i="45"/>
  <c r="D96" i="45" s="1"/>
  <c r="C97" i="45"/>
  <c r="D97" i="45"/>
  <c r="C98" i="45"/>
  <c r="D98" i="45"/>
  <c r="C99" i="45"/>
  <c r="D99" i="45" s="1"/>
  <c r="C100" i="45"/>
  <c r="D100" i="45" s="1"/>
  <c r="C101" i="45"/>
  <c r="D101" i="45"/>
  <c r="C102" i="45"/>
  <c r="D102" i="45" s="1"/>
  <c r="C103" i="45"/>
  <c r="D103" i="45"/>
  <c r="C104" i="45"/>
  <c r="D104" i="45"/>
  <c r="C105" i="45"/>
  <c r="D105" i="45" s="1"/>
  <c r="C106" i="45"/>
  <c r="D106" i="45" s="1"/>
  <c r="C107" i="45"/>
  <c r="D107" i="45"/>
  <c r="C108" i="45"/>
  <c r="D108" i="45" s="1"/>
  <c r="C109" i="45"/>
  <c r="D109" i="45"/>
  <c r="C110" i="45"/>
  <c r="D110" i="45"/>
  <c r="C111" i="45"/>
  <c r="D111" i="45" s="1"/>
  <c r="C112" i="45"/>
  <c r="D112" i="45" s="1"/>
  <c r="C113" i="45"/>
  <c r="D113" i="45"/>
  <c r="C114" i="45"/>
  <c r="D114" i="45" s="1"/>
  <c r="C115" i="45"/>
  <c r="D115" i="45"/>
  <c r="C116" i="45"/>
  <c r="D116" i="45"/>
  <c r="C117" i="45"/>
  <c r="D117" i="45" s="1"/>
  <c r="C118" i="45"/>
  <c r="D118" i="45" s="1"/>
  <c r="C119" i="45"/>
  <c r="D119" i="45"/>
  <c r="C120" i="45"/>
  <c r="D120" i="45" s="1"/>
  <c r="C121" i="45"/>
  <c r="D121" i="45"/>
  <c r="C122" i="45"/>
  <c r="D122" i="45"/>
  <c r="C123" i="45"/>
  <c r="D123" i="45" s="1"/>
  <c r="C124" i="45"/>
  <c r="D124" i="45" s="1"/>
  <c r="C125" i="45"/>
  <c r="D125" i="45"/>
  <c r="C126" i="45"/>
  <c r="D126" i="45" s="1"/>
  <c r="C127" i="45"/>
  <c r="D127" i="45"/>
  <c r="C128" i="45"/>
  <c r="D128" i="45"/>
  <c r="C129" i="45"/>
  <c r="D129" i="45" s="1"/>
  <c r="C130" i="45"/>
  <c r="D130" i="45" s="1"/>
  <c r="C131" i="45"/>
  <c r="D131" i="45"/>
  <c r="C132" i="45"/>
  <c r="D132" i="45" s="1"/>
  <c r="C133" i="45"/>
  <c r="D133" i="45"/>
  <c r="C134" i="45"/>
  <c r="D134" i="45"/>
  <c r="C135" i="45"/>
  <c r="D135" i="45" s="1"/>
  <c r="C136" i="45"/>
  <c r="D136" i="45" s="1"/>
  <c r="C137" i="45"/>
  <c r="D137" i="45"/>
  <c r="C138" i="45"/>
  <c r="D138" i="45" s="1"/>
  <c r="C139" i="45"/>
  <c r="D139" i="45"/>
  <c r="C140" i="45"/>
  <c r="D140" i="45"/>
  <c r="C141" i="45"/>
  <c r="D141" i="45" s="1"/>
  <c r="C142" i="45"/>
  <c r="C143" i="45"/>
  <c r="D143" i="45" s="1"/>
  <c r="C144" i="45"/>
  <c r="D144" i="45"/>
  <c r="C145" i="45"/>
  <c r="D145" i="45"/>
  <c r="C146" i="45"/>
  <c r="D146" i="45" s="1"/>
  <c r="C147" i="45"/>
  <c r="D147" i="45" s="1"/>
  <c r="C148" i="45"/>
  <c r="D148" i="45"/>
  <c r="C149" i="45"/>
  <c r="D149" i="45" s="1"/>
  <c r="C150" i="45"/>
  <c r="D150" i="45"/>
  <c r="C151" i="45"/>
  <c r="D151" i="45"/>
  <c r="C152" i="45"/>
  <c r="D152" i="45" s="1"/>
  <c r="C153" i="45"/>
  <c r="D153" i="45" s="1"/>
  <c r="C154" i="45"/>
  <c r="C155" i="45"/>
  <c r="D155" i="45" s="1"/>
  <c r="C156" i="45"/>
  <c r="D156" i="45"/>
  <c r="C157" i="45"/>
  <c r="D157" i="45" s="1"/>
  <c r="C158" i="45"/>
  <c r="C21" i="50"/>
  <c r="D21" i="50" s="1"/>
  <c r="C22" i="50"/>
  <c r="D22" i="50" s="1"/>
  <c r="C23" i="50"/>
  <c r="D23" i="50"/>
  <c r="G395" i="4"/>
  <c r="G392" i="7"/>
  <c r="G231" i="18"/>
  <c r="G228" i="19"/>
  <c r="H346" i="24"/>
  <c r="F209" i="22"/>
  <c r="G209" i="22"/>
  <c r="G220" i="20"/>
  <c r="H389" i="25"/>
  <c r="G97" i="41"/>
  <c r="G83" i="43"/>
  <c r="F156" i="45"/>
  <c r="G156" i="45" s="1"/>
  <c r="G396" i="4"/>
  <c r="G229" i="19"/>
  <c r="H347" i="24"/>
  <c r="F210" i="22"/>
  <c r="G210" i="22"/>
  <c r="G221" i="20"/>
  <c r="F157" i="45"/>
  <c r="G157" i="45"/>
  <c r="H348" i="24"/>
  <c r="F158" i="45"/>
  <c r="G158" i="45"/>
  <c r="G22" i="50"/>
  <c r="G23" i="50"/>
  <c r="G393" i="4"/>
  <c r="G390" i="7"/>
  <c r="G326" i="12"/>
  <c r="G229" i="18"/>
  <c r="G226" i="19"/>
  <c r="H344" i="24"/>
  <c r="F207" i="22"/>
  <c r="G207" i="22" s="1"/>
  <c r="G218" i="20"/>
  <c r="G95" i="41"/>
  <c r="G81" i="43"/>
  <c r="F154" i="45"/>
  <c r="G154" i="45"/>
  <c r="G353" i="4"/>
  <c r="F167" i="22"/>
  <c r="G167" i="22"/>
  <c r="G394" i="4"/>
  <c r="G391" i="7"/>
  <c r="G327" i="12"/>
  <c r="G230" i="18"/>
  <c r="G227" i="19"/>
  <c r="H345" i="24"/>
  <c r="F208" i="22"/>
  <c r="G208" i="22" s="1"/>
  <c r="G219" i="20"/>
  <c r="G96" i="41"/>
  <c r="G82" i="43"/>
  <c r="F155" i="45"/>
  <c r="G155" i="45"/>
  <c r="G391" i="4"/>
  <c r="G388" i="7"/>
  <c r="G324" i="12"/>
  <c r="G227" i="18"/>
  <c r="G224" i="19"/>
  <c r="H342" i="24"/>
  <c r="F205" i="22"/>
  <c r="G205" i="22"/>
  <c r="G216" i="20"/>
  <c r="G93" i="41"/>
  <c r="G79" i="43"/>
  <c r="F152" i="45"/>
  <c r="G152" i="45" s="1"/>
  <c r="C21" i="9"/>
  <c r="D21" i="9" s="1"/>
  <c r="C22" i="9"/>
  <c r="C23" i="9"/>
  <c r="D23" i="9" s="1"/>
  <c r="C24" i="9"/>
  <c r="C25" i="9"/>
  <c r="D25" i="9"/>
  <c r="C26" i="9"/>
  <c r="C27" i="9"/>
  <c r="D27" i="9"/>
  <c r="C28" i="9"/>
  <c r="D28" i="9"/>
  <c r="C29" i="9"/>
  <c r="D29" i="9" s="1"/>
  <c r="C30" i="9"/>
  <c r="C31" i="9"/>
  <c r="D31" i="9" s="1"/>
  <c r="C32" i="9"/>
  <c r="D32" i="9"/>
  <c r="C33" i="9"/>
  <c r="D33" i="9"/>
  <c r="C34" i="9"/>
  <c r="C35" i="9"/>
  <c r="D35" i="9"/>
  <c r="C36" i="9"/>
  <c r="C37" i="9"/>
  <c r="D37" i="9"/>
  <c r="C38" i="9"/>
  <c r="C39" i="9"/>
  <c r="D39" i="9"/>
  <c r="C40" i="9"/>
  <c r="D40" i="9" s="1"/>
  <c r="C41" i="9"/>
  <c r="C42" i="9"/>
  <c r="C43" i="9"/>
  <c r="D43" i="9"/>
  <c r="C44" i="9"/>
  <c r="D44" i="9" s="1"/>
  <c r="C45" i="9"/>
  <c r="D45" i="9" s="1"/>
  <c r="C46" i="9"/>
  <c r="C47" i="9"/>
  <c r="D47" i="9"/>
  <c r="C48" i="9"/>
  <c r="D48" i="9"/>
  <c r="C49" i="9"/>
  <c r="D49" i="9" s="1"/>
  <c r="C50" i="9"/>
  <c r="C51" i="9"/>
  <c r="D51" i="9" s="1"/>
  <c r="C52" i="9"/>
  <c r="D52" i="9" s="1"/>
  <c r="C53" i="9"/>
  <c r="D53" i="9"/>
  <c r="C54" i="9"/>
  <c r="C55" i="9"/>
  <c r="D55" i="9"/>
  <c r="C56" i="9"/>
  <c r="C57" i="9"/>
  <c r="D57" i="9"/>
  <c r="C58" i="9"/>
  <c r="C59" i="9"/>
  <c r="D59" i="9"/>
  <c r="C60" i="9"/>
  <c r="D60" i="9" s="1"/>
  <c r="C61" i="9"/>
  <c r="D61" i="9"/>
  <c r="C62" i="9"/>
  <c r="C63" i="9"/>
  <c r="D63" i="9"/>
  <c r="C64" i="9"/>
  <c r="D64" i="9"/>
  <c r="C65" i="9"/>
  <c r="D65" i="9" s="1"/>
  <c r="C66" i="9"/>
  <c r="C67" i="9"/>
  <c r="D67" i="9" s="1"/>
  <c r="C68" i="9"/>
  <c r="C69" i="9"/>
  <c r="D69" i="9" s="1"/>
  <c r="C70" i="9"/>
  <c r="C71" i="9"/>
  <c r="D71" i="9" s="1"/>
  <c r="C72" i="9"/>
  <c r="D72" i="9" s="1"/>
  <c r="C73" i="9"/>
  <c r="D73" i="9"/>
  <c r="C74" i="9"/>
  <c r="C75" i="9"/>
  <c r="D75" i="9"/>
  <c r="C76" i="9"/>
  <c r="D76" i="9" s="1"/>
  <c r="C77" i="9"/>
  <c r="D77" i="9"/>
  <c r="C78" i="9"/>
  <c r="C79" i="9"/>
  <c r="D79" i="9" s="1"/>
  <c r="C80" i="9"/>
  <c r="D80" i="9"/>
  <c r="C81" i="9"/>
  <c r="D81" i="9" s="1"/>
  <c r="C82" i="9"/>
  <c r="C83" i="9"/>
  <c r="D83" i="9" s="1"/>
  <c r="C84" i="9"/>
  <c r="D84" i="9"/>
  <c r="C85" i="9"/>
  <c r="D85" i="9"/>
  <c r="C86" i="9"/>
  <c r="C87" i="9"/>
  <c r="D87" i="9"/>
  <c r="C88" i="9"/>
  <c r="D88" i="9" s="1"/>
  <c r="C89" i="9"/>
  <c r="D89" i="9"/>
  <c r="C90" i="9"/>
  <c r="C91" i="9"/>
  <c r="D91" i="9"/>
  <c r="C92" i="9"/>
  <c r="D92" i="9"/>
  <c r="C93" i="9"/>
  <c r="D93" i="9" s="1"/>
  <c r="C94" i="9"/>
  <c r="C95" i="9"/>
  <c r="D95" i="9" s="1"/>
  <c r="C96" i="9"/>
  <c r="D96" i="9"/>
  <c r="C97" i="9"/>
  <c r="D97" i="9"/>
  <c r="C98" i="9"/>
  <c r="C99" i="9"/>
  <c r="D99" i="9"/>
  <c r="C100" i="9"/>
  <c r="D100" i="9" s="1"/>
  <c r="C101" i="9"/>
  <c r="D101" i="9" s="1"/>
  <c r="C102" i="9"/>
  <c r="C103" i="9"/>
  <c r="D103" i="9"/>
  <c r="C104" i="9"/>
  <c r="D104" i="9"/>
  <c r="C105" i="9"/>
  <c r="D105" i="9" s="1"/>
  <c r="C106" i="9"/>
  <c r="C107" i="9"/>
  <c r="D107" i="9" s="1"/>
  <c r="C108" i="9"/>
  <c r="D108" i="9" s="1"/>
  <c r="C109" i="9"/>
  <c r="D109" i="9"/>
  <c r="C110" i="9"/>
  <c r="C111" i="9"/>
  <c r="D111" i="9"/>
  <c r="C112" i="9"/>
  <c r="C113" i="9"/>
  <c r="D113" i="9"/>
  <c r="C114" i="9"/>
  <c r="C115" i="9"/>
  <c r="D115" i="9"/>
  <c r="C116" i="9"/>
  <c r="D116" i="9" s="1"/>
  <c r="C117" i="9"/>
  <c r="D117" i="9"/>
  <c r="C118" i="9"/>
  <c r="C119" i="9"/>
  <c r="D119" i="9"/>
  <c r="C120" i="9"/>
  <c r="D120" i="9"/>
  <c r="C121" i="9"/>
  <c r="D121" i="9" s="1"/>
  <c r="C122" i="9"/>
  <c r="C123" i="9"/>
  <c r="D123" i="9" s="1"/>
  <c r="C124" i="9"/>
  <c r="D124" i="9"/>
  <c r="C125" i="9"/>
  <c r="C126" i="9"/>
  <c r="C127" i="9"/>
  <c r="D127" i="9" s="1"/>
  <c r="C128" i="9"/>
  <c r="D128" i="9" s="1"/>
  <c r="C129" i="9"/>
  <c r="D129" i="9"/>
  <c r="C130" i="9"/>
  <c r="C131" i="9"/>
  <c r="D131" i="9"/>
  <c r="C132" i="9"/>
  <c r="D132" i="9" s="1"/>
  <c r="C133" i="9"/>
  <c r="D133" i="9"/>
  <c r="C134" i="9"/>
  <c r="C135" i="9"/>
  <c r="D135" i="9" s="1"/>
  <c r="C136" i="9"/>
  <c r="D136" i="9"/>
  <c r="C137" i="9"/>
  <c r="D137" i="9" s="1"/>
  <c r="C138" i="9"/>
  <c r="C139" i="9"/>
  <c r="C140" i="9"/>
  <c r="C141" i="9"/>
  <c r="D141" i="9"/>
  <c r="C142" i="9"/>
  <c r="C143" i="9"/>
  <c r="D143" i="9" s="1"/>
  <c r="C144" i="9"/>
  <c r="D144" i="9"/>
  <c r="C145" i="9"/>
  <c r="D145" i="9" s="1"/>
  <c r="C146" i="9"/>
  <c r="C147" i="9"/>
  <c r="D147" i="9" s="1"/>
  <c r="C148" i="9"/>
  <c r="D148" i="9"/>
  <c r="C149" i="9"/>
  <c r="D149" i="9"/>
  <c r="C150" i="9"/>
  <c r="C151" i="9"/>
  <c r="D151" i="9"/>
  <c r="C152" i="9"/>
  <c r="D152" i="9" s="1"/>
  <c r="C153" i="9"/>
  <c r="D153" i="9"/>
  <c r="C154" i="9"/>
  <c r="C155" i="9"/>
  <c r="D155" i="9"/>
  <c r="C156" i="9"/>
  <c r="D156" i="9"/>
  <c r="C157" i="9"/>
  <c r="D157" i="9" s="1"/>
  <c r="C158" i="9"/>
  <c r="C159" i="9"/>
  <c r="D159" i="9" s="1"/>
  <c r="C160" i="9"/>
  <c r="D160" i="9"/>
  <c r="C161" i="9"/>
  <c r="D161" i="9"/>
  <c r="C162" i="9"/>
  <c r="C163" i="9"/>
  <c r="D163" i="9"/>
  <c r="C164" i="9"/>
  <c r="D164" i="9" s="1"/>
  <c r="C165" i="9"/>
  <c r="D165" i="9" s="1"/>
  <c r="C166" i="9"/>
  <c r="C167" i="9"/>
  <c r="D167" i="9"/>
  <c r="C168" i="9"/>
  <c r="D168" i="9"/>
  <c r="C169" i="9"/>
  <c r="D169" i="9" s="1"/>
  <c r="C170" i="9"/>
  <c r="C171" i="9"/>
  <c r="D171" i="9" s="1"/>
  <c r="C172" i="9"/>
  <c r="D172" i="9" s="1"/>
  <c r="C173" i="9"/>
  <c r="D173" i="9"/>
  <c r="C174" i="9"/>
  <c r="C175" i="9"/>
  <c r="D175" i="9"/>
  <c r="C176" i="9"/>
  <c r="D176" i="9" s="1"/>
  <c r="C177" i="9"/>
  <c r="D177" i="9" s="1"/>
  <c r="C178" i="9"/>
  <c r="C179" i="9"/>
  <c r="D179" i="9" s="1"/>
  <c r="C180" i="9"/>
  <c r="C181" i="9"/>
  <c r="D181" i="9"/>
  <c r="C182" i="9"/>
  <c r="C183" i="9"/>
  <c r="D183" i="9"/>
  <c r="C184" i="9"/>
  <c r="D184" i="9"/>
  <c r="C185" i="9"/>
  <c r="D185" i="9" s="1"/>
  <c r="C186" i="9"/>
  <c r="C187" i="9"/>
  <c r="D187" i="9" s="1"/>
  <c r="C188" i="9"/>
  <c r="D188" i="9"/>
  <c r="C189" i="9"/>
  <c r="C190" i="9"/>
  <c r="C191" i="9"/>
  <c r="D191" i="9" s="1"/>
  <c r="C192" i="9"/>
  <c r="D192" i="9" s="1"/>
  <c r="C193" i="9"/>
  <c r="D193" i="9"/>
  <c r="C194" i="9"/>
  <c r="G193" i="9"/>
  <c r="C21" i="5"/>
  <c r="C22" i="5"/>
  <c r="D22" i="5" s="1"/>
  <c r="C23" i="5"/>
  <c r="C24" i="5"/>
  <c r="D24" i="5" s="1"/>
  <c r="C25" i="5"/>
  <c r="D25" i="5" s="1"/>
  <c r="C26" i="5"/>
  <c r="D26" i="5"/>
  <c r="C27" i="5"/>
  <c r="C28" i="5"/>
  <c r="D28" i="5"/>
  <c r="C29" i="5"/>
  <c r="D29" i="5" s="1"/>
  <c r="C30" i="5"/>
  <c r="D30" i="5"/>
  <c r="C31" i="5"/>
  <c r="C32" i="5"/>
  <c r="D32" i="5" s="1"/>
  <c r="C33" i="5"/>
  <c r="D33" i="5"/>
  <c r="C34" i="5"/>
  <c r="D34" i="5" s="1"/>
  <c r="C35" i="5"/>
  <c r="C36" i="5"/>
  <c r="D36" i="5" s="1"/>
  <c r="C37" i="5"/>
  <c r="D37" i="5"/>
  <c r="C38" i="5"/>
  <c r="D38" i="5"/>
  <c r="C39" i="5"/>
  <c r="C40" i="5"/>
  <c r="D40" i="5"/>
  <c r="C41" i="5"/>
  <c r="D41" i="5" s="1"/>
  <c r="C42" i="5"/>
  <c r="D42" i="5"/>
  <c r="C43" i="5"/>
  <c r="C44" i="5"/>
  <c r="D44" i="5"/>
  <c r="C45" i="5"/>
  <c r="D45" i="5"/>
  <c r="C46" i="5"/>
  <c r="D46" i="5" s="1"/>
  <c r="C47" i="5"/>
  <c r="C48" i="5"/>
  <c r="D48" i="5" s="1"/>
  <c r="C49" i="5"/>
  <c r="D49" i="5"/>
  <c r="C50" i="5"/>
  <c r="D50" i="5"/>
  <c r="C51" i="5"/>
  <c r="C52" i="5"/>
  <c r="D52" i="5"/>
  <c r="C53" i="5"/>
  <c r="D53" i="5" s="1"/>
  <c r="C54" i="5"/>
  <c r="D54" i="5" s="1"/>
  <c r="C55" i="5"/>
  <c r="C56" i="5"/>
  <c r="D56" i="5"/>
  <c r="C57" i="5"/>
  <c r="D57" i="5"/>
  <c r="C58" i="5"/>
  <c r="D58" i="5" s="1"/>
  <c r="C59" i="5"/>
  <c r="C60" i="5"/>
  <c r="D60" i="5" s="1"/>
  <c r="C61" i="5"/>
  <c r="D61" i="5" s="1"/>
  <c r="C62" i="5"/>
  <c r="D62" i="5"/>
  <c r="C63" i="5"/>
  <c r="C64" i="5"/>
  <c r="D64" i="5"/>
  <c r="C65" i="5"/>
  <c r="D65" i="5" s="1"/>
  <c r="C66" i="5"/>
  <c r="D66" i="5" s="1"/>
  <c r="C67" i="5"/>
  <c r="C68" i="5"/>
  <c r="D68" i="5" s="1"/>
  <c r="C69" i="5"/>
  <c r="D69" i="5"/>
  <c r="C70" i="5"/>
  <c r="D70" i="5" s="1"/>
  <c r="C71" i="5"/>
  <c r="C72" i="5"/>
  <c r="D72" i="5" s="1"/>
  <c r="C73" i="5"/>
  <c r="D73" i="5" s="1"/>
  <c r="C74" i="5"/>
  <c r="D74" i="5"/>
  <c r="C75" i="5"/>
  <c r="C76" i="5"/>
  <c r="D76" i="5"/>
  <c r="C77" i="5"/>
  <c r="D77" i="5" s="1"/>
  <c r="C78" i="5"/>
  <c r="D78" i="5"/>
  <c r="C79" i="5"/>
  <c r="C80" i="5"/>
  <c r="D80" i="5" s="1"/>
  <c r="C81" i="5"/>
  <c r="D81" i="5"/>
  <c r="C82" i="5"/>
  <c r="D82" i="5" s="1"/>
  <c r="C83" i="5"/>
  <c r="C84" i="5"/>
  <c r="D84" i="5" s="1"/>
  <c r="C85" i="5"/>
  <c r="D85" i="5"/>
  <c r="C86" i="5"/>
  <c r="D86" i="5"/>
  <c r="C87" i="5"/>
  <c r="C88" i="5"/>
  <c r="D88" i="5"/>
  <c r="C89" i="5"/>
  <c r="D89" i="5" s="1"/>
  <c r="C90" i="5"/>
  <c r="D90" i="5" s="1"/>
  <c r="C91" i="5"/>
  <c r="C92" i="5"/>
  <c r="D92" i="5"/>
  <c r="C93" i="5"/>
  <c r="D93" i="5"/>
  <c r="C94" i="5"/>
  <c r="D94" i="5" s="1"/>
  <c r="C95" i="5"/>
  <c r="C96" i="5"/>
  <c r="D96" i="5" s="1"/>
  <c r="C97" i="5"/>
  <c r="D97" i="5" s="1"/>
  <c r="C98" i="5"/>
  <c r="D98" i="5"/>
  <c r="C99" i="5"/>
  <c r="C100" i="5"/>
  <c r="D100" i="5"/>
  <c r="C101" i="5"/>
  <c r="D101" i="5" s="1"/>
  <c r="C102" i="5"/>
  <c r="D102" i="5" s="1"/>
  <c r="C103" i="5"/>
  <c r="C104" i="5"/>
  <c r="D104" i="5" s="1"/>
  <c r="C105" i="5"/>
  <c r="D105" i="5"/>
  <c r="C106" i="5"/>
  <c r="D106" i="5" s="1"/>
  <c r="C107" i="5"/>
  <c r="C108" i="5"/>
  <c r="D108" i="5" s="1"/>
  <c r="C109" i="5"/>
  <c r="D109" i="5" s="1"/>
  <c r="C110" i="5"/>
  <c r="D110" i="5"/>
  <c r="C111" i="5"/>
  <c r="C112" i="5"/>
  <c r="D112" i="5"/>
  <c r="C113" i="5"/>
  <c r="D113" i="5" s="1"/>
  <c r="C114" i="5"/>
  <c r="D114" i="5" s="1"/>
  <c r="C115" i="5"/>
  <c r="C116" i="5"/>
  <c r="D116" i="5" s="1"/>
  <c r="C117" i="5"/>
  <c r="D117" i="5"/>
  <c r="C118" i="5"/>
  <c r="D118" i="5" s="1"/>
  <c r="C119" i="5"/>
  <c r="C120" i="5"/>
  <c r="D120" i="5" s="1"/>
  <c r="C121" i="5"/>
  <c r="D121" i="5" s="1"/>
  <c r="C122" i="5"/>
  <c r="D122" i="5"/>
  <c r="C123" i="5"/>
  <c r="C124" i="5"/>
  <c r="D124" i="5"/>
  <c r="C125" i="5"/>
  <c r="D125" i="5" s="1"/>
  <c r="C126" i="5"/>
  <c r="D126" i="5"/>
  <c r="C127" i="5"/>
  <c r="C128" i="5"/>
  <c r="D128" i="5" s="1"/>
  <c r="C129" i="5"/>
  <c r="D129" i="5"/>
  <c r="C130" i="5"/>
  <c r="D130" i="5" s="1"/>
  <c r="C131" i="5"/>
  <c r="C132" i="5"/>
  <c r="D132" i="5" s="1"/>
  <c r="C133" i="5"/>
  <c r="D133" i="5"/>
  <c r="C134" i="5"/>
  <c r="D134" i="5"/>
  <c r="C135" i="5"/>
  <c r="C136" i="5"/>
  <c r="D136" i="5"/>
  <c r="C137" i="5"/>
  <c r="D137" i="5" s="1"/>
  <c r="C138" i="5"/>
  <c r="D138" i="5" s="1"/>
  <c r="C139" i="5"/>
  <c r="C140" i="5"/>
  <c r="D140" i="5"/>
  <c r="C141" i="5"/>
  <c r="D141" i="5"/>
  <c r="C142" i="5"/>
  <c r="D142" i="5" s="1"/>
  <c r="C143" i="5"/>
  <c r="C144" i="5"/>
  <c r="D144" i="5" s="1"/>
  <c r="C145" i="5"/>
  <c r="D145" i="5"/>
  <c r="C146" i="5"/>
  <c r="D146" i="5"/>
  <c r="C147" i="5"/>
  <c r="C148" i="5"/>
  <c r="D148" i="5"/>
  <c r="C149" i="5"/>
  <c r="D149" i="5" s="1"/>
  <c r="C150" i="5"/>
  <c r="D150" i="5" s="1"/>
  <c r="C151" i="5"/>
  <c r="C152" i="5"/>
  <c r="D152" i="5"/>
  <c r="C153" i="5"/>
  <c r="D153" i="5"/>
  <c r="C154" i="5"/>
  <c r="D154" i="5" s="1"/>
  <c r="C155" i="5"/>
  <c r="C156" i="5"/>
  <c r="D156" i="5" s="1"/>
  <c r="C157" i="5"/>
  <c r="D157" i="5" s="1"/>
  <c r="C158" i="5"/>
  <c r="D158" i="5"/>
  <c r="C159" i="5"/>
  <c r="C160" i="5"/>
  <c r="D160" i="5"/>
  <c r="C161" i="5"/>
  <c r="D161" i="5" s="1"/>
  <c r="C162" i="5"/>
  <c r="D162" i="5" s="1"/>
  <c r="C163" i="5"/>
  <c r="C164" i="5"/>
  <c r="D164" i="5" s="1"/>
  <c r="C165" i="5"/>
  <c r="D165" i="5"/>
  <c r="C166" i="5"/>
  <c r="D166" i="5" s="1"/>
  <c r="C167" i="5"/>
  <c r="C168" i="5"/>
  <c r="D168" i="5" s="1"/>
  <c r="C169" i="5"/>
  <c r="D169" i="5" s="1"/>
  <c r="C170" i="5"/>
  <c r="D170" i="5"/>
  <c r="C171" i="5"/>
  <c r="C172" i="5"/>
  <c r="D172" i="5"/>
  <c r="C173" i="5"/>
  <c r="D173" i="5" s="1"/>
  <c r="C174" i="5"/>
  <c r="D174" i="5"/>
  <c r="C175" i="5"/>
  <c r="C176" i="5"/>
  <c r="D176" i="5" s="1"/>
  <c r="C177" i="5"/>
  <c r="D177" i="5"/>
  <c r="C178" i="5"/>
  <c r="D178" i="5" s="1"/>
  <c r="C179" i="5"/>
  <c r="C180" i="5"/>
  <c r="D180" i="5" s="1"/>
  <c r="C181" i="5"/>
  <c r="D181" i="5"/>
  <c r="C182" i="5"/>
  <c r="D182" i="5"/>
  <c r="C183" i="5"/>
  <c r="C184" i="5"/>
  <c r="D184" i="5"/>
  <c r="C185" i="5"/>
  <c r="D185" i="5" s="1"/>
  <c r="C186" i="5"/>
  <c r="D186" i="5" s="1"/>
  <c r="C187" i="5"/>
  <c r="C188" i="5"/>
  <c r="D188" i="5"/>
  <c r="C189" i="5"/>
  <c r="D189" i="5"/>
  <c r="C190" i="5"/>
  <c r="D190" i="5" s="1"/>
  <c r="C191" i="5"/>
  <c r="C192" i="5"/>
  <c r="D192" i="5" s="1"/>
  <c r="C193" i="5"/>
  <c r="D193" i="5" s="1"/>
  <c r="C194" i="5"/>
  <c r="D194" i="5"/>
  <c r="C195" i="5"/>
  <c r="C196" i="5"/>
  <c r="D196" i="5"/>
  <c r="C197" i="5"/>
  <c r="D197" i="5" s="1"/>
  <c r="C198" i="5"/>
  <c r="D198" i="5" s="1"/>
  <c r="C199" i="5"/>
  <c r="C200" i="5"/>
  <c r="D200" i="5" s="1"/>
  <c r="C201" i="5"/>
  <c r="D201" i="5"/>
  <c r="C202" i="5"/>
  <c r="D202" i="5" s="1"/>
  <c r="C203" i="5"/>
  <c r="C204" i="5"/>
  <c r="D204" i="5" s="1"/>
  <c r="C205" i="5"/>
  <c r="D205" i="5" s="1"/>
  <c r="C206" i="5"/>
  <c r="D206" i="5"/>
  <c r="C207" i="5"/>
  <c r="C208" i="5"/>
  <c r="D208" i="5"/>
  <c r="C209" i="5"/>
  <c r="D209" i="5" s="1"/>
  <c r="C210" i="5"/>
  <c r="D210" i="5" s="1"/>
  <c r="C211" i="5"/>
  <c r="C212" i="5"/>
  <c r="D212" i="5" s="1"/>
  <c r="C213" i="5"/>
  <c r="D213" i="5"/>
  <c r="C214" i="5"/>
  <c r="D214" i="5" s="1"/>
  <c r="C215" i="5"/>
  <c r="C216" i="5"/>
  <c r="D216" i="5" s="1"/>
  <c r="C217" i="5"/>
  <c r="D217" i="5" s="1"/>
  <c r="C218" i="5"/>
  <c r="D218" i="5"/>
  <c r="C219" i="5"/>
  <c r="C220" i="5"/>
  <c r="D220" i="5"/>
  <c r="C221" i="5"/>
  <c r="D221" i="5" s="1"/>
  <c r="C222" i="5"/>
  <c r="D222" i="5"/>
  <c r="C223" i="5"/>
  <c r="C224" i="5"/>
  <c r="D224" i="5" s="1"/>
  <c r="C225" i="5"/>
  <c r="D225" i="5"/>
  <c r="C226" i="5"/>
  <c r="D226" i="5" s="1"/>
  <c r="C227" i="5"/>
  <c r="C228" i="5"/>
  <c r="D228" i="5" s="1"/>
  <c r="C229" i="5"/>
  <c r="D229" i="5"/>
  <c r="C230" i="5"/>
  <c r="D230" i="5"/>
  <c r="C231" i="5"/>
  <c r="C232" i="5"/>
  <c r="D232" i="5"/>
  <c r="C233" i="5"/>
  <c r="D233" i="5" s="1"/>
  <c r="C234" i="5"/>
  <c r="D234" i="5" s="1"/>
  <c r="C235" i="5"/>
  <c r="C236" i="5"/>
  <c r="D236" i="5"/>
  <c r="C237" i="5"/>
  <c r="D237" i="5"/>
  <c r="C238" i="5"/>
  <c r="D238" i="5" s="1"/>
  <c r="C239" i="5"/>
  <c r="C240" i="5"/>
  <c r="D240" i="5" s="1"/>
  <c r="C241" i="5"/>
  <c r="D241" i="5"/>
  <c r="C242" i="5"/>
  <c r="D242" i="5"/>
  <c r="C243" i="5"/>
  <c r="C244" i="5"/>
  <c r="D244" i="5"/>
  <c r="C245" i="5"/>
  <c r="D245" i="5" s="1"/>
  <c r="C246" i="5"/>
  <c r="D246" i="5" s="1"/>
  <c r="C247" i="5"/>
  <c r="C248" i="5"/>
  <c r="D248" i="5"/>
  <c r="C249" i="5"/>
  <c r="D249" i="5"/>
  <c r="C250" i="5"/>
  <c r="D250" i="5" s="1"/>
  <c r="C251" i="5"/>
  <c r="C252" i="5"/>
  <c r="D252" i="5" s="1"/>
  <c r="C253" i="5"/>
  <c r="D253" i="5" s="1"/>
  <c r="C254" i="5"/>
  <c r="D254" i="5"/>
  <c r="C255" i="5"/>
  <c r="C256" i="5"/>
  <c r="D256" i="5"/>
  <c r="C257" i="5"/>
  <c r="D257" i="5" s="1"/>
  <c r="C258" i="5"/>
  <c r="D258" i="5" s="1"/>
  <c r="C259" i="5"/>
  <c r="C260" i="5"/>
  <c r="D260" i="5" s="1"/>
  <c r="C261" i="5"/>
  <c r="D261" i="5"/>
  <c r="C262" i="5"/>
  <c r="D262" i="5" s="1"/>
  <c r="C263" i="5"/>
  <c r="C264" i="5"/>
  <c r="D264" i="5" s="1"/>
  <c r="C265" i="5"/>
  <c r="D265" i="5" s="1"/>
  <c r="C266" i="5"/>
  <c r="D266" i="5"/>
  <c r="C267" i="5"/>
  <c r="C268" i="5"/>
  <c r="D268" i="5"/>
  <c r="C269" i="5"/>
  <c r="D269" i="5" s="1"/>
  <c r="C270" i="5"/>
  <c r="D270" i="5"/>
  <c r="C271" i="5"/>
  <c r="C272" i="5"/>
  <c r="D272" i="5" s="1"/>
  <c r="C273" i="5"/>
  <c r="D273" i="5"/>
  <c r="C274" i="5"/>
  <c r="D274" i="5" s="1"/>
  <c r="C275" i="5"/>
  <c r="C276" i="5"/>
  <c r="D276" i="5" s="1"/>
  <c r="C277" i="5"/>
  <c r="D277" i="5"/>
  <c r="C278" i="5"/>
  <c r="D278" i="5"/>
  <c r="C279" i="5"/>
  <c r="C280" i="5"/>
  <c r="D280" i="5"/>
  <c r="C281" i="5"/>
  <c r="D281" i="5" s="1"/>
  <c r="C282" i="5"/>
  <c r="D282" i="5" s="1"/>
  <c r="C283" i="5"/>
  <c r="C284" i="5"/>
  <c r="D284" i="5"/>
  <c r="C285" i="5"/>
  <c r="D285" i="5"/>
  <c r="C286" i="5"/>
  <c r="D286" i="5" s="1"/>
  <c r="C287" i="5"/>
  <c r="C288" i="5"/>
  <c r="D288" i="5" s="1"/>
  <c r="C289" i="5"/>
  <c r="D289" i="5" s="1"/>
  <c r="C290" i="5"/>
  <c r="D290" i="5"/>
  <c r="C291" i="5"/>
  <c r="C292" i="5"/>
  <c r="D292" i="5"/>
  <c r="C293" i="5"/>
  <c r="D293" i="5" s="1"/>
  <c r="C294" i="5"/>
  <c r="D294" i="5" s="1"/>
  <c r="C295" i="5"/>
  <c r="C296" i="5"/>
  <c r="D296" i="5" s="1"/>
  <c r="C297" i="5"/>
  <c r="D297" i="5"/>
  <c r="C298" i="5"/>
  <c r="D298" i="5" s="1"/>
  <c r="C299" i="5"/>
  <c r="C300" i="5"/>
  <c r="D300" i="5" s="1"/>
  <c r="C301" i="5"/>
  <c r="D301" i="5" s="1"/>
  <c r="C302" i="5"/>
  <c r="D302" i="5"/>
  <c r="C303" i="5"/>
  <c r="C304" i="5"/>
  <c r="D304" i="5"/>
  <c r="C305" i="5"/>
  <c r="D305" i="5" s="1"/>
  <c r="C306" i="5"/>
  <c r="D306" i="5" s="1"/>
  <c r="C307" i="5"/>
  <c r="C308" i="5"/>
  <c r="D308" i="5" s="1"/>
  <c r="C309" i="5"/>
  <c r="D309" i="5"/>
  <c r="C310" i="5"/>
  <c r="D310" i="5" s="1"/>
  <c r="C311" i="5"/>
  <c r="C312" i="5"/>
  <c r="D312" i="5" s="1"/>
  <c r="C313" i="5"/>
  <c r="D313" i="5" s="1"/>
  <c r="C314" i="5"/>
  <c r="D314" i="5"/>
  <c r="C315" i="5"/>
  <c r="C316" i="5"/>
  <c r="D316" i="5"/>
  <c r="C317" i="5"/>
  <c r="D317" i="5" s="1"/>
  <c r="C318" i="5"/>
  <c r="D318" i="5"/>
  <c r="C319" i="5"/>
  <c r="C320" i="5"/>
  <c r="D320" i="5" s="1"/>
  <c r="C321" i="5"/>
  <c r="D321" i="5"/>
  <c r="C322" i="5"/>
  <c r="D322" i="5" s="1"/>
  <c r="C323" i="5"/>
  <c r="C324" i="5"/>
  <c r="D324" i="5" s="1"/>
  <c r="C325" i="5"/>
  <c r="D325" i="5"/>
  <c r="C326" i="5"/>
  <c r="D326" i="5"/>
  <c r="C327" i="5"/>
  <c r="C328" i="5"/>
  <c r="D328" i="5"/>
  <c r="C329" i="5"/>
  <c r="D329" i="5" s="1"/>
  <c r="C330" i="5"/>
  <c r="D330" i="5" s="1"/>
  <c r="C331" i="5"/>
  <c r="C332" i="5"/>
  <c r="D332" i="5"/>
  <c r="C333" i="5"/>
  <c r="D333" i="5"/>
  <c r="C334" i="5"/>
  <c r="D334" i="5" s="1"/>
  <c r="C335" i="5"/>
  <c r="C336" i="5"/>
  <c r="D336" i="5" s="1"/>
  <c r="C337" i="5"/>
  <c r="D337" i="5"/>
  <c r="C338" i="5"/>
  <c r="D338" i="5"/>
  <c r="C339" i="5"/>
  <c r="C340" i="5"/>
  <c r="D340" i="5"/>
  <c r="C341" i="5"/>
  <c r="D341" i="5" s="1"/>
  <c r="C342" i="5"/>
  <c r="D342" i="5" s="1"/>
  <c r="C343" i="5"/>
  <c r="C344" i="5"/>
  <c r="D344" i="5"/>
  <c r="C345" i="5"/>
  <c r="D345" i="5"/>
  <c r="C346" i="5"/>
  <c r="D346" i="5" s="1"/>
  <c r="C347" i="5"/>
  <c r="C348" i="5"/>
  <c r="D348" i="5" s="1"/>
  <c r="C349" i="5"/>
  <c r="D349" i="5" s="1"/>
  <c r="C350" i="5"/>
  <c r="D350" i="5"/>
  <c r="C351" i="5"/>
  <c r="C352" i="5"/>
  <c r="D352" i="5"/>
  <c r="C353" i="5"/>
  <c r="D353" i="5" s="1"/>
  <c r="C354" i="5"/>
  <c r="D354" i="5" s="1"/>
  <c r="C355" i="5"/>
  <c r="C356" i="5"/>
  <c r="D356" i="5" s="1"/>
  <c r="C357" i="5"/>
  <c r="D357" i="5"/>
  <c r="C358" i="5"/>
  <c r="D358" i="5" s="1"/>
  <c r="C359" i="5"/>
  <c r="C360" i="5"/>
  <c r="D360" i="5"/>
  <c r="C361" i="5"/>
  <c r="D361" i="5" s="1"/>
  <c r="C362" i="5"/>
  <c r="D362" i="5"/>
  <c r="C363" i="5"/>
  <c r="C364" i="5"/>
  <c r="D364" i="5"/>
  <c r="C365" i="5"/>
  <c r="D365" i="5" s="1"/>
  <c r="C366" i="5"/>
  <c r="D366" i="5" s="1"/>
  <c r="C367" i="5"/>
  <c r="C368" i="5"/>
  <c r="D368" i="5" s="1"/>
  <c r="C369" i="5"/>
  <c r="D369" i="5"/>
  <c r="C370" i="5"/>
  <c r="D370" i="5" s="1"/>
  <c r="C371" i="5"/>
  <c r="C372" i="5"/>
  <c r="D372" i="5" s="1"/>
  <c r="C373" i="5"/>
  <c r="D373" i="5"/>
  <c r="C374" i="5"/>
  <c r="D374" i="5"/>
  <c r="C375" i="5"/>
  <c r="C376" i="5"/>
  <c r="D376" i="5"/>
  <c r="C377" i="5"/>
  <c r="D377" i="5" s="1"/>
  <c r="C378" i="5"/>
  <c r="D378" i="5" s="1"/>
  <c r="C379" i="5"/>
  <c r="C380" i="5"/>
  <c r="D380" i="5"/>
  <c r="C381" i="5"/>
  <c r="D381" i="5" s="1"/>
  <c r="C382" i="5"/>
  <c r="D382" i="5" s="1"/>
  <c r="C383" i="5"/>
  <c r="C384" i="5"/>
  <c r="D384" i="5" s="1"/>
  <c r="C385" i="5"/>
  <c r="D385" i="5"/>
  <c r="C386" i="5"/>
  <c r="D386" i="5"/>
  <c r="C387" i="5"/>
  <c r="C388" i="5"/>
  <c r="D388" i="5"/>
  <c r="C389" i="5"/>
  <c r="D389" i="5" s="1"/>
  <c r="C390" i="5"/>
  <c r="D390" i="5" s="1"/>
  <c r="C391" i="5"/>
  <c r="C392" i="5"/>
  <c r="D392" i="5" s="1"/>
  <c r="C393" i="5"/>
  <c r="D393" i="5"/>
  <c r="C394" i="5"/>
  <c r="D394" i="5" s="1"/>
  <c r="C395" i="5"/>
  <c r="D395" i="5" s="1"/>
  <c r="C396" i="5"/>
  <c r="D396" i="5"/>
  <c r="C397" i="5"/>
  <c r="D397" i="5" s="1"/>
  <c r="G150" i="5"/>
  <c r="C21" i="6"/>
  <c r="D21" i="6" s="1"/>
  <c r="C22" i="6"/>
  <c r="C23" i="6"/>
  <c r="D23" i="6" s="1"/>
  <c r="C24" i="6"/>
  <c r="D24" i="6" s="1"/>
  <c r="C25" i="6"/>
  <c r="D25" i="6"/>
  <c r="C26" i="6"/>
  <c r="D26" i="6" s="1"/>
  <c r="C27" i="6"/>
  <c r="D27" i="6"/>
  <c r="C28" i="6"/>
  <c r="D28" i="6"/>
  <c r="C29" i="6"/>
  <c r="D29" i="6" s="1"/>
  <c r="C30" i="6"/>
  <c r="D30" i="6" s="1"/>
  <c r="C31" i="6"/>
  <c r="C32" i="6"/>
  <c r="D32" i="6" s="1"/>
  <c r="C33" i="6"/>
  <c r="C34" i="6"/>
  <c r="D34" i="6"/>
  <c r="C35" i="6"/>
  <c r="D35" i="6"/>
  <c r="C36" i="6"/>
  <c r="D36" i="6"/>
  <c r="C37" i="6"/>
  <c r="C38" i="6"/>
  <c r="D38" i="6" s="1"/>
  <c r="C39" i="6"/>
  <c r="D39" i="6" s="1"/>
  <c r="C40" i="6"/>
  <c r="D40" i="6"/>
  <c r="C41" i="6"/>
  <c r="D41" i="6" s="1"/>
  <c r="C42" i="6"/>
  <c r="D42" i="6"/>
  <c r="C43" i="6"/>
  <c r="D43" i="6"/>
  <c r="C44" i="6"/>
  <c r="D44" i="6" s="1"/>
  <c r="C45" i="6"/>
  <c r="D45" i="6" s="1"/>
  <c r="C46" i="6"/>
  <c r="D46" i="6"/>
  <c r="C47" i="6"/>
  <c r="C48" i="6"/>
  <c r="D48" i="6"/>
  <c r="C49" i="6"/>
  <c r="D49" i="6"/>
  <c r="C50" i="6"/>
  <c r="D50" i="6"/>
  <c r="C51" i="6"/>
  <c r="C52" i="6"/>
  <c r="D52" i="6" s="1"/>
  <c r="C53" i="6"/>
  <c r="D53" i="6"/>
  <c r="C54" i="6"/>
  <c r="D54" i="6" s="1"/>
  <c r="C55" i="6"/>
  <c r="D55" i="6"/>
  <c r="C56" i="6"/>
  <c r="D56" i="6" s="1"/>
  <c r="C57" i="6"/>
  <c r="D57" i="6" s="1"/>
  <c r="C58" i="6"/>
  <c r="D58" i="6" s="1"/>
  <c r="C59" i="6"/>
  <c r="D59" i="6"/>
  <c r="C60" i="6"/>
  <c r="D60" i="6" s="1"/>
  <c r="C61" i="6"/>
  <c r="D61" i="6" s="1"/>
  <c r="C62" i="6"/>
  <c r="D62" i="6" s="1"/>
  <c r="C63" i="6"/>
  <c r="D63" i="6" s="1"/>
  <c r="C64" i="6"/>
  <c r="D64" i="6" s="1"/>
  <c r="C65" i="6"/>
  <c r="D65" i="6"/>
  <c r="C66" i="6"/>
  <c r="D66" i="6" s="1"/>
  <c r="C67" i="6"/>
  <c r="D67" i="6"/>
  <c r="C68" i="6"/>
  <c r="D68" i="6"/>
  <c r="C69" i="6"/>
  <c r="C70" i="6"/>
  <c r="D70" i="6"/>
  <c r="C71" i="6"/>
  <c r="D71" i="6" s="1"/>
  <c r="C72" i="6"/>
  <c r="D72" i="6" s="1"/>
  <c r="C73" i="6"/>
  <c r="C74" i="6"/>
  <c r="D74" i="6"/>
  <c r="C75" i="6"/>
  <c r="C76" i="6"/>
  <c r="D76" i="6"/>
  <c r="C77" i="6"/>
  <c r="C78" i="6"/>
  <c r="D78" i="6" s="1"/>
  <c r="C79" i="6"/>
  <c r="C80" i="6"/>
  <c r="D80" i="6" s="1"/>
  <c r="C81" i="6"/>
  <c r="C82" i="6"/>
  <c r="D82" i="6"/>
  <c r="C83" i="6"/>
  <c r="D83" i="6"/>
  <c r="C84" i="6"/>
  <c r="D84" i="6" s="1"/>
  <c r="C85" i="6"/>
  <c r="C86" i="6"/>
  <c r="D86" i="6" s="1"/>
  <c r="C87" i="6"/>
  <c r="D87" i="6" s="1"/>
  <c r="C88" i="6"/>
  <c r="D88" i="6"/>
  <c r="C89" i="6"/>
  <c r="D89" i="6"/>
  <c r="C90" i="6"/>
  <c r="D90" i="6"/>
  <c r="C91" i="6"/>
  <c r="D91" i="6"/>
  <c r="C92" i="6"/>
  <c r="D92" i="6" s="1"/>
  <c r="C93" i="6"/>
  <c r="D93" i="6"/>
  <c r="C94" i="6"/>
  <c r="D94" i="6"/>
  <c r="C95" i="6"/>
  <c r="D95" i="6" s="1"/>
  <c r="C96" i="6"/>
  <c r="D96" i="6"/>
  <c r="C97" i="6"/>
  <c r="D97" i="6"/>
  <c r="C98" i="6"/>
  <c r="D98" i="6" s="1"/>
  <c r="C99" i="6"/>
  <c r="D99" i="6" s="1"/>
  <c r="C100" i="6"/>
  <c r="D100" i="6"/>
  <c r="C101" i="6"/>
  <c r="D101" i="6" s="1"/>
  <c r="C102" i="6"/>
  <c r="D102" i="6"/>
  <c r="C103" i="6"/>
  <c r="D103" i="6"/>
  <c r="C104" i="6"/>
  <c r="D104" i="6" s="1"/>
  <c r="C105" i="6"/>
  <c r="C106" i="6"/>
  <c r="D106" i="6" s="1"/>
  <c r="C107" i="6"/>
  <c r="D107" i="6"/>
  <c r="C108" i="6"/>
  <c r="D108" i="6"/>
  <c r="C109" i="6"/>
  <c r="C110" i="6"/>
  <c r="D110" i="6"/>
  <c r="C111" i="6"/>
  <c r="D111" i="6" s="1"/>
  <c r="C112" i="6"/>
  <c r="D112" i="6"/>
  <c r="C113" i="6"/>
  <c r="C114" i="6"/>
  <c r="D114" i="6" s="1"/>
  <c r="C115" i="6"/>
  <c r="D115" i="6" s="1"/>
  <c r="C116" i="6"/>
  <c r="D116" i="6" s="1"/>
  <c r="C117" i="6"/>
  <c r="D117" i="6" s="1"/>
  <c r="C118" i="6"/>
  <c r="D118" i="6"/>
  <c r="C119" i="6"/>
  <c r="D119" i="6" s="1"/>
  <c r="C120" i="6"/>
  <c r="D120" i="6"/>
  <c r="C121" i="6"/>
  <c r="C122" i="6"/>
  <c r="D122" i="6" s="1"/>
  <c r="C123" i="6"/>
  <c r="D123" i="6"/>
  <c r="C124" i="6"/>
  <c r="D124" i="6" s="1"/>
  <c r="C125" i="6"/>
  <c r="C126" i="6"/>
  <c r="D126" i="6" s="1"/>
  <c r="C127" i="6"/>
  <c r="C128" i="6"/>
  <c r="D128" i="6"/>
  <c r="C129" i="6"/>
  <c r="D129" i="6" s="1"/>
  <c r="C130" i="6"/>
  <c r="D130" i="6"/>
  <c r="C131" i="6"/>
  <c r="D131" i="6" s="1"/>
  <c r="C132" i="6"/>
  <c r="D132" i="6"/>
  <c r="C133" i="6"/>
  <c r="C134" i="6"/>
  <c r="D134" i="6"/>
  <c r="C135" i="6"/>
  <c r="C136" i="6"/>
  <c r="D136" i="6"/>
  <c r="C137" i="6"/>
  <c r="D137" i="6"/>
  <c r="C138" i="6"/>
  <c r="D138" i="6" s="1"/>
  <c r="C139" i="6"/>
  <c r="D139" i="6" s="1"/>
  <c r="C140" i="6"/>
  <c r="D140" i="6"/>
  <c r="C141" i="6"/>
  <c r="D141" i="6"/>
  <c r="C142" i="6"/>
  <c r="D142" i="6"/>
  <c r="C143" i="6"/>
  <c r="C144" i="6"/>
  <c r="D144" i="6" s="1"/>
  <c r="C145" i="6"/>
  <c r="D145" i="6"/>
  <c r="C146" i="6"/>
  <c r="D146" i="6" s="1"/>
  <c r="C147" i="6"/>
  <c r="D147" i="6"/>
  <c r="C148" i="6"/>
  <c r="D148" i="6" s="1"/>
  <c r="C149" i="6"/>
  <c r="C150" i="6"/>
  <c r="D150" i="6"/>
  <c r="C151" i="6"/>
  <c r="D151" i="6" s="1"/>
  <c r="C152" i="6"/>
  <c r="D152" i="6"/>
  <c r="C153" i="6"/>
  <c r="D153" i="6"/>
  <c r="C154" i="6"/>
  <c r="D154" i="6"/>
  <c r="C155" i="6"/>
  <c r="D155" i="6" s="1"/>
  <c r="C156" i="6"/>
  <c r="D156" i="6"/>
  <c r="C157" i="6"/>
  <c r="D157" i="6" s="1"/>
  <c r="C158" i="6"/>
  <c r="D158" i="6" s="1"/>
  <c r="C159" i="6"/>
  <c r="D159" i="6"/>
  <c r="C160" i="6"/>
  <c r="D160" i="6" s="1"/>
  <c r="C161" i="6"/>
  <c r="D161" i="6" s="1"/>
  <c r="C162" i="6"/>
  <c r="D162" i="6"/>
  <c r="C163" i="6"/>
  <c r="D163" i="6" s="1"/>
  <c r="C164" i="6"/>
  <c r="D164" i="6"/>
  <c r="C165" i="6"/>
  <c r="C166" i="6"/>
  <c r="D166" i="6" s="1"/>
  <c r="C167" i="6"/>
  <c r="D167" i="6" s="1"/>
  <c r="C168" i="6"/>
  <c r="D168" i="6" s="1"/>
  <c r="C169" i="6"/>
  <c r="D169" i="6" s="1"/>
  <c r="C170" i="6"/>
  <c r="D170" i="6"/>
  <c r="C171" i="6"/>
  <c r="D171" i="6" s="1"/>
  <c r="C172" i="6"/>
  <c r="D172" i="6"/>
  <c r="C173" i="6"/>
  <c r="C174" i="6"/>
  <c r="D174" i="6" s="1"/>
  <c r="C175" i="6"/>
  <c r="D175" i="6"/>
  <c r="C176" i="6"/>
  <c r="D176" i="6" s="1"/>
  <c r="C177" i="6"/>
  <c r="D177" i="6" s="1"/>
  <c r="C178" i="6"/>
  <c r="D178" i="6"/>
  <c r="C179" i="6"/>
  <c r="D179" i="6"/>
  <c r="C180" i="6"/>
  <c r="D180" i="6"/>
  <c r="C181" i="6"/>
  <c r="D181" i="6"/>
  <c r="C182" i="6"/>
  <c r="D182" i="6" s="1"/>
  <c r="C183" i="6"/>
  <c r="D183" i="6" s="1"/>
  <c r="C184" i="6"/>
  <c r="D184" i="6"/>
  <c r="C185" i="6"/>
  <c r="C186" i="6"/>
  <c r="D186" i="6"/>
  <c r="C187" i="6"/>
  <c r="D187" i="6" s="1"/>
  <c r="C188" i="6"/>
  <c r="D188" i="6" s="1"/>
  <c r="C189" i="6"/>
  <c r="C190" i="6"/>
  <c r="D190" i="6" s="1"/>
  <c r="C191" i="6"/>
  <c r="D191" i="6"/>
  <c r="C192" i="6"/>
  <c r="D192" i="6"/>
  <c r="C193" i="6"/>
  <c r="C194" i="6"/>
  <c r="D194" i="6" s="1"/>
  <c r="C195" i="6"/>
  <c r="D195" i="6" s="1"/>
  <c r="C196" i="6"/>
  <c r="D196" i="6"/>
  <c r="C197" i="6"/>
  <c r="D197" i="6" s="1"/>
  <c r="C198" i="6"/>
  <c r="D198" i="6" s="1"/>
  <c r="C199" i="6"/>
  <c r="D199" i="6" s="1"/>
  <c r="C200" i="6"/>
  <c r="C201" i="6"/>
  <c r="C202" i="6"/>
  <c r="D202" i="6" s="1"/>
  <c r="C203" i="6"/>
  <c r="D203" i="6"/>
  <c r="C204" i="6"/>
  <c r="C205" i="6"/>
  <c r="C206" i="6"/>
  <c r="D206" i="6"/>
  <c r="C207" i="6"/>
  <c r="D207" i="6"/>
  <c r="C208" i="6"/>
  <c r="D208" i="6" s="1"/>
  <c r="C209" i="6"/>
  <c r="C210" i="6"/>
  <c r="D210" i="6" s="1"/>
  <c r="C211" i="6"/>
  <c r="D211" i="6"/>
  <c r="C212" i="6"/>
  <c r="D212" i="6"/>
  <c r="C213" i="6"/>
  <c r="D213" i="6" s="1"/>
  <c r="C214" i="6"/>
  <c r="D214" i="6" s="1"/>
  <c r="C215" i="6"/>
  <c r="D215" i="6"/>
  <c r="C216" i="6"/>
  <c r="D216" i="6" s="1"/>
  <c r="C217" i="6"/>
  <c r="D217" i="6"/>
  <c r="C218" i="6"/>
  <c r="D218" i="6"/>
  <c r="C219" i="6"/>
  <c r="D219" i="6"/>
  <c r="C220" i="6"/>
  <c r="D220" i="6"/>
  <c r="C221" i="6"/>
  <c r="C222" i="6"/>
  <c r="D222" i="6" s="1"/>
  <c r="C223" i="6"/>
  <c r="D223" i="6"/>
  <c r="C224" i="6"/>
  <c r="D224" i="6" s="1"/>
  <c r="C225" i="6"/>
  <c r="D225" i="6"/>
  <c r="C226" i="6"/>
  <c r="D226" i="6" s="1"/>
  <c r="C227" i="6"/>
  <c r="D227" i="6" s="1"/>
  <c r="C228" i="6"/>
  <c r="D228" i="6" s="1"/>
  <c r="C229" i="6"/>
  <c r="D229" i="6"/>
  <c r="C230" i="6"/>
  <c r="D230" i="6" s="1"/>
  <c r="C231" i="6"/>
  <c r="D231" i="6" s="1"/>
  <c r="C232" i="6"/>
  <c r="D232" i="6"/>
  <c r="C233" i="6"/>
  <c r="D233" i="6" s="1"/>
  <c r="C234" i="6"/>
  <c r="D234" i="6" s="1"/>
  <c r="C235" i="6"/>
  <c r="D235" i="6"/>
  <c r="C236" i="6"/>
  <c r="D236" i="6" s="1"/>
  <c r="C237" i="6"/>
  <c r="D237" i="6" s="1"/>
  <c r="C238" i="6"/>
  <c r="D238" i="6" s="1"/>
  <c r="C239" i="6"/>
  <c r="D239" i="6" s="1"/>
  <c r="C240" i="6"/>
  <c r="D240" i="6" s="1"/>
  <c r="C241" i="6"/>
  <c r="C242" i="6"/>
  <c r="D242" i="6"/>
  <c r="C243" i="6"/>
  <c r="D243" i="6"/>
  <c r="C244" i="6"/>
  <c r="D244" i="6"/>
  <c r="C245" i="6"/>
  <c r="D245" i="6"/>
  <c r="C246" i="6"/>
  <c r="D246" i="6"/>
  <c r="C247" i="6"/>
  <c r="D247" i="6" s="1"/>
  <c r="C248" i="6"/>
  <c r="C249" i="6"/>
  <c r="C250" i="6"/>
  <c r="D250" i="6"/>
  <c r="C251" i="6"/>
  <c r="D251" i="6" s="1"/>
  <c r="C252" i="6"/>
  <c r="D252" i="6" s="1"/>
  <c r="C253" i="6"/>
  <c r="C254" i="6"/>
  <c r="D254" i="6" s="1"/>
  <c r="C255" i="6"/>
  <c r="D255" i="6"/>
  <c r="C256" i="6"/>
  <c r="D256" i="6" s="1"/>
  <c r="C257" i="6"/>
  <c r="C258" i="6"/>
  <c r="D258" i="6" s="1"/>
  <c r="C259" i="6"/>
  <c r="D259" i="6" s="1"/>
  <c r="C260" i="6"/>
  <c r="D260" i="6"/>
  <c r="C261" i="6"/>
  <c r="C262" i="6"/>
  <c r="D262" i="6"/>
  <c r="C263" i="6"/>
  <c r="D263" i="6" s="1"/>
  <c r="C264" i="6"/>
  <c r="D264" i="6"/>
  <c r="C265" i="6"/>
  <c r="D265" i="6" s="1"/>
  <c r="C266" i="6"/>
  <c r="D266" i="6" s="1"/>
  <c r="C267" i="6"/>
  <c r="D267" i="6" s="1"/>
  <c r="C268" i="6"/>
  <c r="D268" i="6"/>
  <c r="C269" i="6"/>
  <c r="C270" i="6"/>
  <c r="D270" i="6"/>
  <c r="C271" i="6"/>
  <c r="D271" i="6"/>
  <c r="C272" i="6"/>
  <c r="D272" i="6"/>
  <c r="C273" i="6"/>
  <c r="C274" i="6"/>
  <c r="D274" i="6" s="1"/>
  <c r="C275" i="6"/>
  <c r="D275" i="6"/>
  <c r="C276" i="6"/>
  <c r="D276" i="6" s="1"/>
  <c r="C277" i="6"/>
  <c r="C278" i="6"/>
  <c r="D278" i="6" s="1"/>
  <c r="C279" i="6"/>
  <c r="D279" i="6"/>
  <c r="C280" i="6"/>
  <c r="D280" i="6"/>
  <c r="C281" i="6"/>
  <c r="D281" i="6" s="1"/>
  <c r="C282" i="6"/>
  <c r="D282" i="6" s="1"/>
  <c r="C283" i="6"/>
  <c r="D283" i="6"/>
  <c r="C284" i="6"/>
  <c r="D284" i="6" s="1"/>
  <c r="C285" i="6"/>
  <c r="C286" i="6"/>
  <c r="D286" i="6" s="1"/>
  <c r="C287" i="6"/>
  <c r="D287" i="6" s="1"/>
  <c r="C288" i="6"/>
  <c r="D288" i="6"/>
  <c r="C289" i="6"/>
  <c r="C290" i="6"/>
  <c r="D290" i="6"/>
  <c r="C291" i="6"/>
  <c r="D291" i="6" s="1"/>
  <c r="C292" i="6"/>
  <c r="D292" i="6" s="1"/>
  <c r="C293" i="6"/>
  <c r="C294" i="6"/>
  <c r="D294" i="6" s="1"/>
  <c r="C295" i="6"/>
  <c r="D295" i="6"/>
  <c r="C296" i="6"/>
  <c r="D296" i="6" s="1"/>
  <c r="C297" i="6"/>
  <c r="D297" i="6"/>
  <c r="C298" i="6"/>
  <c r="D298" i="6"/>
  <c r="G293" i="6"/>
  <c r="G350" i="7"/>
  <c r="G286" i="12"/>
  <c r="G189" i="18"/>
  <c r="G186" i="19"/>
  <c r="H304" i="24"/>
  <c r="G178" i="20"/>
  <c r="G55" i="41"/>
  <c r="G41" i="43"/>
  <c r="G392" i="4"/>
  <c r="G389" i="7"/>
  <c r="G325" i="12"/>
  <c r="G228" i="18"/>
  <c r="G225" i="19"/>
  <c r="H343" i="24"/>
  <c r="F206" i="22"/>
  <c r="G206" i="22" s="1"/>
  <c r="G217" i="20"/>
  <c r="G94" i="41"/>
  <c r="G80" i="43"/>
  <c r="F153" i="45"/>
  <c r="G153" i="45" s="1"/>
  <c r="G385" i="4"/>
  <c r="G382" i="7"/>
  <c r="G318" i="12"/>
  <c r="G221" i="18"/>
  <c r="G218" i="19"/>
  <c r="H336" i="24"/>
  <c r="F199" i="22"/>
  <c r="G199" i="22"/>
  <c r="G210" i="20"/>
  <c r="G87" i="41"/>
  <c r="G73" i="43"/>
  <c r="F146" i="45"/>
  <c r="F114" i="45"/>
  <c r="G386" i="4"/>
  <c r="G383" i="7"/>
  <c r="G319" i="12"/>
  <c r="G222" i="18"/>
  <c r="G219" i="19"/>
  <c r="H337" i="24"/>
  <c r="F200" i="22"/>
  <c r="G200" i="22"/>
  <c r="G211" i="20"/>
  <c r="G88" i="41"/>
  <c r="G74" i="43"/>
  <c r="F147" i="45"/>
  <c r="G147" i="45" s="1"/>
  <c r="G387" i="4"/>
  <c r="G384" i="7"/>
  <c r="G320" i="12"/>
  <c r="G223" i="18"/>
  <c r="G220" i="19"/>
  <c r="H338" i="24"/>
  <c r="F201" i="22"/>
  <c r="G201" i="22"/>
  <c r="G212" i="20"/>
  <c r="G89" i="41"/>
  <c r="G75" i="43"/>
  <c r="F148" i="45"/>
  <c r="G388" i="4"/>
  <c r="G385" i="7"/>
  <c r="G321" i="12"/>
  <c r="G224" i="18"/>
  <c r="G221" i="19"/>
  <c r="H339" i="24"/>
  <c r="F202" i="22"/>
  <c r="G202" i="22"/>
  <c r="G213" i="20"/>
  <c r="G90" i="41"/>
  <c r="G76" i="43"/>
  <c r="F149" i="45"/>
  <c r="G149" i="45"/>
  <c r="G389" i="4"/>
  <c r="G386" i="7"/>
  <c r="G322" i="12"/>
  <c r="G225" i="18"/>
  <c r="G222" i="19"/>
  <c r="H340" i="24"/>
  <c r="F203" i="22"/>
  <c r="G203" i="22"/>
  <c r="G214" i="20"/>
  <c r="G91" i="41"/>
  <c r="G77" i="43"/>
  <c r="F150" i="45"/>
  <c r="G150" i="45" s="1"/>
  <c r="G390" i="4"/>
  <c r="G387" i="7"/>
  <c r="G323" i="12"/>
  <c r="G226" i="18"/>
  <c r="G223" i="19"/>
  <c r="H341" i="24"/>
  <c r="F204" i="22"/>
  <c r="G204" i="22"/>
  <c r="G215" i="20"/>
  <c r="G92" i="41"/>
  <c r="G78" i="43"/>
  <c r="F151" i="45"/>
  <c r="G151" i="45"/>
  <c r="F144" i="45"/>
  <c r="G144" i="45" s="1"/>
  <c r="F145" i="45"/>
  <c r="G145" i="45" s="1"/>
  <c r="F132" i="45"/>
  <c r="G132" i="45"/>
  <c r="F122" i="45"/>
  <c r="G122" i="45"/>
  <c r="F139" i="45"/>
  <c r="G139" i="45"/>
  <c r="F128" i="45"/>
  <c r="G128" i="45"/>
  <c r="F130" i="45"/>
  <c r="G130" i="45" s="1"/>
  <c r="F129" i="45"/>
  <c r="G129" i="45" s="1"/>
  <c r="F140" i="45"/>
  <c r="G140" i="45"/>
  <c r="F135" i="45"/>
  <c r="G135" i="45"/>
  <c r="F141" i="45"/>
  <c r="G141" i="45" s="1"/>
  <c r="F124" i="45"/>
  <c r="G124" i="45"/>
  <c r="F136" i="45"/>
  <c r="G136" i="45" s="1"/>
  <c r="F134" i="45"/>
  <c r="G134" i="45"/>
  <c r="F117" i="45"/>
  <c r="G117" i="45" s="1"/>
  <c r="F125" i="45"/>
  <c r="G125" i="45"/>
  <c r="F126" i="45"/>
  <c r="G126" i="45"/>
  <c r="F115" i="45"/>
  <c r="G115" i="45"/>
  <c r="F120" i="45"/>
  <c r="G120" i="45" s="1"/>
  <c r="F123" i="45"/>
  <c r="G123" i="45" s="1"/>
  <c r="F133" i="45"/>
  <c r="G133" i="45" s="1"/>
  <c r="F119" i="45"/>
  <c r="G119" i="45"/>
  <c r="F116" i="45"/>
  <c r="G116" i="45"/>
  <c r="F143" i="45"/>
  <c r="G143" i="45"/>
  <c r="F121" i="45"/>
  <c r="G121" i="45" s="1"/>
  <c r="F127" i="45"/>
  <c r="G127" i="45"/>
  <c r="F137" i="45"/>
  <c r="G137" i="45"/>
  <c r="F118" i="45"/>
  <c r="G118" i="45" s="1"/>
  <c r="F138" i="45"/>
  <c r="G138" i="45"/>
  <c r="F131" i="45"/>
  <c r="G131" i="45"/>
  <c r="F142" i="45"/>
  <c r="G142" i="45" s="1"/>
  <c r="G71" i="43"/>
  <c r="G72" i="43"/>
  <c r="G43" i="43"/>
  <c r="G29" i="43"/>
  <c r="G40" i="43"/>
  <c r="G33" i="43"/>
  <c r="G22" i="43"/>
  <c r="G49" i="43"/>
  <c r="G26" i="43"/>
  <c r="G39" i="43"/>
  <c r="G56" i="43"/>
  <c r="G68" i="43"/>
  <c r="G66" i="43"/>
  <c r="G69" i="43"/>
  <c r="G63" i="43"/>
  <c r="G38" i="43"/>
  <c r="G65" i="43"/>
  <c r="G54" i="43"/>
  <c r="G27" i="43"/>
  <c r="G55" i="43"/>
  <c r="G45" i="43"/>
  <c r="G61" i="43"/>
  <c r="G52" i="43"/>
  <c r="G31" i="43"/>
  <c r="G23" i="43"/>
  <c r="G44" i="43"/>
  <c r="G53" i="43"/>
  <c r="G50" i="43"/>
  <c r="G46" i="43"/>
  <c r="G70" i="43"/>
  <c r="G60" i="43"/>
  <c r="G47" i="43"/>
  <c r="G48" i="43"/>
  <c r="G37" i="43"/>
  <c r="G32" i="43"/>
  <c r="G42" i="43"/>
  <c r="G30" i="43"/>
  <c r="G25" i="43"/>
  <c r="F80" i="43"/>
  <c r="G24" i="43"/>
  <c r="G28" i="43"/>
  <c r="G35" i="43"/>
  <c r="G36" i="43"/>
  <c r="G67" i="43"/>
  <c r="G64" i="43"/>
  <c r="G57" i="43"/>
  <c r="G51" i="43"/>
  <c r="G62" i="43"/>
  <c r="G58" i="43"/>
  <c r="G59" i="43"/>
  <c r="G34" i="43"/>
  <c r="G85" i="41"/>
  <c r="G86" i="41"/>
  <c r="G84" i="41"/>
  <c r="G51" i="41"/>
  <c r="G80" i="41"/>
  <c r="G38" i="41"/>
  <c r="G83" i="41"/>
  <c r="G26" i="41"/>
  <c r="G77" i="41"/>
  <c r="G25" i="41"/>
  <c r="G82" i="41"/>
  <c r="G67" i="41"/>
  <c r="G78" i="41"/>
  <c r="G61" i="41"/>
  <c r="G79" i="41"/>
  <c r="G68" i="41"/>
  <c r="G33" i="41"/>
  <c r="G32" i="41"/>
  <c r="G54" i="41"/>
  <c r="G63" i="41"/>
  <c r="F94" i="41"/>
  <c r="G28" i="41"/>
  <c r="G73" i="41"/>
  <c r="G34" i="41"/>
  <c r="G52" i="41"/>
  <c r="G43" i="41"/>
  <c r="G37" i="41"/>
  <c r="G64" i="41"/>
  <c r="G69" i="41"/>
  <c r="G62" i="41"/>
  <c r="G66" i="41"/>
  <c r="G47" i="41"/>
  <c r="G35" i="41"/>
  <c r="G81" i="41"/>
  <c r="G72" i="41"/>
  <c r="G49" i="41"/>
  <c r="G31" i="41"/>
  <c r="G27" i="41"/>
  <c r="G53" i="41"/>
  <c r="G75" i="41"/>
  <c r="G36" i="41"/>
  <c r="G29" i="41"/>
  <c r="G50" i="41"/>
  <c r="G60" i="41"/>
  <c r="G65" i="41"/>
  <c r="G30" i="41"/>
  <c r="G76" i="41"/>
  <c r="G24" i="41"/>
  <c r="G39" i="41"/>
  <c r="G59" i="41"/>
  <c r="G41" i="41"/>
  <c r="G74" i="41"/>
  <c r="G57" i="41"/>
  <c r="G71" i="41"/>
  <c r="G48" i="41"/>
  <c r="G23" i="41"/>
  <c r="G58" i="41"/>
  <c r="G46" i="41"/>
  <c r="G70" i="41"/>
  <c r="G44" i="41"/>
  <c r="G45" i="41"/>
  <c r="G42" i="41"/>
  <c r="G56" i="41"/>
  <c r="G40" i="41"/>
  <c r="H334" i="24"/>
  <c r="H335" i="24"/>
  <c r="H330" i="24"/>
  <c r="H277" i="24"/>
  <c r="H310" i="24"/>
  <c r="H284" i="24"/>
  <c r="H303" i="24"/>
  <c r="H313" i="24"/>
  <c r="H190" i="24"/>
  <c r="H224" i="24"/>
  <c r="H302" i="24"/>
  <c r="H238" i="24"/>
  <c r="H221" i="24"/>
  <c r="H297" i="24"/>
  <c r="H261" i="24"/>
  <c r="H200" i="24"/>
  <c r="H188" i="24"/>
  <c r="H215" i="24"/>
  <c r="H168" i="24"/>
  <c r="H270" i="24"/>
  <c r="H226" i="24"/>
  <c r="H170" i="24"/>
  <c r="H199" i="24"/>
  <c r="H255" i="24"/>
  <c r="H300" i="24"/>
  <c r="H325" i="24"/>
  <c r="H180" i="24"/>
  <c r="H264" i="24"/>
  <c r="H182" i="24"/>
  <c r="H280" i="24"/>
  <c r="H178" i="24"/>
  <c r="H198" i="24"/>
  <c r="H279" i="24"/>
  <c r="H214" i="24"/>
  <c r="H333" i="24"/>
  <c r="H294" i="24"/>
  <c r="H253" i="24"/>
  <c r="H189" i="24"/>
  <c r="H322" i="24"/>
  <c r="H248" i="24"/>
  <c r="H301" i="24"/>
  <c r="H323" i="24"/>
  <c r="H239" i="24"/>
  <c r="H171" i="24"/>
  <c r="H232" i="24"/>
  <c r="H217" i="24"/>
  <c r="H209" i="24"/>
  <c r="H286" i="24"/>
  <c r="H192" i="24"/>
  <c r="H292" i="24"/>
  <c r="H205" i="24"/>
  <c r="H318" i="24"/>
  <c r="H202" i="24"/>
  <c r="H208" i="24"/>
  <c r="H265" i="24"/>
  <c r="H240" i="24"/>
  <c r="H276" i="24"/>
  <c r="H222" i="24"/>
  <c r="H235" i="24"/>
  <c r="H184" i="24"/>
  <c r="H312" i="24"/>
  <c r="H316" i="24"/>
  <c r="H263" i="24"/>
  <c r="H282" i="24"/>
  <c r="H332" i="24"/>
  <c r="H258" i="24"/>
  <c r="H250" i="24"/>
  <c r="H309" i="24"/>
  <c r="H179" i="24"/>
  <c r="H244" i="24"/>
  <c r="H299" i="24"/>
  <c r="H307" i="24"/>
  <c r="H183" i="24"/>
  <c r="H230" i="24"/>
  <c r="H225" i="24"/>
  <c r="H327" i="24"/>
  <c r="H172" i="24"/>
  <c r="H203" i="24"/>
  <c r="H231" i="24"/>
  <c r="H275" i="24"/>
  <c r="H216" i="24"/>
  <c r="H249" i="24"/>
  <c r="H251" i="24"/>
  <c r="H241" i="24"/>
  <c r="H212" i="24"/>
  <c r="H331" i="24"/>
  <c r="H236" i="24"/>
  <c r="H210" i="24"/>
  <c r="H287" i="24"/>
  <c r="H187" i="24"/>
  <c r="H219" i="24"/>
  <c r="H246" i="24"/>
  <c r="H213" i="24"/>
  <c r="H285" i="24"/>
  <c r="H306" i="24"/>
  <c r="H193" i="24"/>
  <c r="H245" i="24"/>
  <c r="H314" i="24"/>
  <c r="H223" i="24"/>
  <c r="H293" i="24"/>
  <c r="H234" i="24"/>
  <c r="H281" i="24"/>
  <c r="H201" i="24"/>
  <c r="H291" i="24"/>
  <c r="H175" i="24"/>
  <c r="H194" i="24"/>
  <c r="H196" i="24"/>
  <c r="H305" i="24"/>
  <c r="H243" i="24"/>
  <c r="H207" i="24"/>
  <c r="H290" i="24"/>
  <c r="H311" i="24"/>
  <c r="H220" i="24"/>
  <c r="H268" i="24"/>
  <c r="H267" i="24"/>
  <c r="H308" i="24"/>
  <c r="H326" i="24"/>
  <c r="H296" i="24"/>
  <c r="H211" i="24"/>
  <c r="H328" i="24"/>
  <c r="H260" i="24"/>
  <c r="H273" i="24"/>
  <c r="H266" i="24"/>
  <c r="H197" i="24"/>
  <c r="H256" i="24"/>
  <c r="H283" i="24"/>
  <c r="H228" i="24"/>
  <c r="H272" i="24"/>
  <c r="H252" i="24"/>
  <c r="H257" i="24"/>
  <c r="H229" i="24"/>
  <c r="H320" i="24"/>
  <c r="H242" i="24"/>
  <c r="H317" i="24"/>
  <c r="H195" i="24"/>
  <c r="H186" i="24"/>
  <c r="H321" i="24"/>
  <c r="H319" i="24"/>
  <c r="H298" i="24"/>
  <c r="H295" i="24"/>
  <c r="H262" i="24"/>
  <c r="H237" i="24"/>
  <c r="H185" i="24"/>
  <c r="H169" i="24"/>
  <c r="H227" i="24"/>
  <c r="H173" i="24"/>
  <c r="H181" i="24"/>
  <c r="H204" i="24"/>
  <c r="H269" i="24"/>
  <c r="H233" i="24"/>
  <c r="H289" i="24"/>
  <c r="H274" i="24"/>
  <c r="H218" i="24"/>
  <c r="H176" i="24"/>
  <c r="H254" i="24"/>
  <c r="H288" i="24"/>
  <c r="H271" i="24"/>
  <c r="H206" i="24"/>
  <c r="H259" i="24"/>
  <c r="H315" i="24"/>
  <c r="H177" i="24"/>
  <c r="H191" i="24"/>
  <c r="H278" i="24"/>
  <c r="H247" i="24"/>
  <c r="H324" i="24"/>
  <c r="H174" i="24"/>
  <c r="H329" i="24"/>
  <c r="H335" i="25"/>
  <c r="F271" i="25"/>
  <c r="F206" i="25"/>
  <c r="F215" i="25"/>
  <c r="F228" i="25"/>
  <c r="H228" i="25" s="1"/>
  <c r="F270" i="25"/>
  <c r="F249" i="25"/>
  <c r="F246" i="25"/>
  <c r="H334" i="25"/>
  <c r="F285" i="25"/>
  <c r="F217" i="25"/>
  <c r="F233" i="25"/>
  <c r="F242" i="25"/>
  <c r="F275" i="25"/>
  <c r="F284" i="25"/>
  <c r="F344" i="25"/>
  <c r="F211" i="25"/>
  <c r="F266" i="25"/>
  <c r="F264" i="25"/>
  <c r="F253" i="25"/>
  <c r="F213" i="25"/>
  <c r="F263" i="25"/>
  <c r="F291" i="25"/>
  <c r="F227" i="25"/>
  <c r="F212" i="25"/>
  <c r="F258" i="25"/>
  <c r="F256" i="25"/>
  <c r="F239" i="25"/>
  <c r="F219" i="25"/>
  <c r="F250" i="25"/>
  <c r="F248" i="25"/>
  <c r="F286" i="25"/>
  <c r="F283" i="25"/>
  <c r="F265" i="25"/>
  <c r="F220" i="25"/>
  <c r="F255" i="25"/>
  <c r="F254" i="25"/>
  <c r="F203" i="25"/>
  <c r="F230" i="25"/>
  <c r="F197" i="25"/>
  <c r="H307" i="25"/>
  <c r="F210" i="25"/>
  <c r="F223" i="25"/>
  <c r="F238" i="25"/>
  <c r="F288" i="25"/>
  <c r="H288" i="25"/>
  <c r="F237" i="25"/>
  <c r="F292" i="25"/>
  <c r="F243" i="25"/>
  <c r="F205" i="25"/>
  <c r="F216" i="25"/>
  <c r="F200" i="25"/>
  <c r="F232" i="25"/>
  <c r="F280" i="25"/>
  <c r="F209" i="25"/>
  <c r="F276" i="25"/>
  <c r="F231" i="25"/>
  <c r="F295" i="25"/>
  <c r="F226" i="25"/>
  <c r="F294" i="25"/>
  <c r="F279" i="25"/>
  <c r="F269" i="25"/>
  <c r="F234" i="25"/>
  <c r="F198" i="25"/>
  <c r="F202" i="25"/>
  <c r="F221" i="25"/>
  <c r="F247" i="25"/>
  <c r="F273" i="25"/>
  <c r="F235" i="25"/>
  <c r="F225" i="25"/>
  <c r="F245" i="25"/>
  <c r="F268" i="25"/>
  <c r="F290" i="25"/>
  <c r="F224" i="25"/>
  <c r="F252" i="25"/>
  <c r="F287" i="25"/>
  <c r="F261" i="25"/>
  <c r="F293" i="25"/>
  <c r="F260" i="25"/>
  <c r="F241" i="25"/>
  <c r="F259" i="25"/>
  <c r="F218" i="25"/>
  <c r="F251" i="25"/>
  <c r="F262" i="25"/>
  <c r="F229" i="25"/>
  <c r="F214" i="25"/>
  <c r="F281" i="25"/>
  <c r="F244" i="25"/>
  <c r="F236" i="25"/>
  <c r="F272" i="25"/>
  <c r="F204" i="25"/>
  <c r="F222" i="25"/>
  <c r="F208" i="25"/>
  <c r="F201" i="25"/>
  <c r="F199" i="25"/>
  <c r="F267" i="25"/>
  <c r="F257" i="25"/>
  <c r="F278" i="25"/>
  <c r="F282" i="25"/>
  <c r="F277" i="25"/>
  <c r="F274" i="25"/>
  <c r="F207" i="25"/>
  <c r="F289" i="25"/>
  <c r="F240" i="25"/>
  <c r="F197" i="22"/>
  <c r="G197" i="22"/>
  <c r="F198" i="22"/>
  <c r="G198" i="22" s="1"/>
  <c r="F193" i="22"/>
  <c r="G193" i="22"/>
  <c r="F28" i="22"/>
  <c r="G28" i="22"/>
  <c r="F122" i="22"/>
  <c r="G122" i="22"/>
  <c r="F31" i="22"/>
  <c r="G31" i="22"/>
  <c r="F107" i="22"/>
  <c r="G107" i="22"/>
  <c r="F134" i="22"/>
  <c r="G134" i="22" s="1"/>
  <c r="F106" i="22"/>
  <c r="G106" i="22"/>
  <c r="F71" i="22"/>
  <c r="G71" i="22"/>
  <c r="F94" i="22"/>
  <c r="G94" i="22"/>
  <c r="F68" i="22"/>
  <c r="G68" i="22"/>
  <c r="F125" i="22"/>
  <c r="G125" i="22"/>
  <c r="F63" i="22"/>
  <c r="G63" i="22" s="1"/>
  <c r="F180" i="22"/>
  <c r="G180" i="22"/>
  <c r="F36" i="22"/>
  <c r="G36" i="22"/>
  <c r="F182" i="22"/>
  <c r="G182" i="22"/>
  <c r="F131" i="22"/>
  <c r="G131" i="22"/>
  <c r="F75" i="22"/>
  <c r="G75" i="22"/>
  <c r="F24" i="22"/>
  <c r="G24" i="22" s="1"/>
  <c r="F149" i="22"/>
  <c r="G149" i="22"/>
  <c r="F73" i="22"/>
  <c r="G73" i="22"/>
  <c r="F65" i="22"/>
  <c r="G65" i="22"/>
  <c r="F150" i="22"/>
  <c r="G150" i="22"/>
  <c r="F162" i="22"/>
  <c r="G162" i="22"/>
  <c r="F90" i="22"/>
  <c r="G90" i="22" s="1"/>
  <c r="F161" i="22"/>
  <c r="G161" i="22"/>
  <c r="F146" i="22"/>
  <c r="G146" i="22"/>
  <c r="F62" i="22"/>
  <c r="G62" i="22"/>
  <c r="F130" i="22"/>
  <c r="G130" i="22"/>
  <c r="F126" i="22"/>
  <c r="G126" i="22"/>
  <c r="F83" i="22"/>
  <c r="G83" i="22" s="1"/>
  <c r="F144" i="22"/>
  <c r="G144" i="22"/>
  <c r="F100" i="22"/>
  <c r="G100" i="22"/>
  <c r="F112" i="22"/>
  <c r="G112" i="22"/>
  <c r="F79" i="22"/>
  <c r="G79" i="22"/>
  <c r="F169" i="22"/>
  <c r="G169" i="22"/>
  <c r="F141" i="22"/>
  <c r="G141" i="22" s="1"/>
  <c r="F188" i="22"/>
  <c r="G188" i="22"/>
  <c r="F87" i="22"/>
  <c r="G87" i="22"/>
  <c r="F157" i="22"/>
  <c r="G157" i="22"/>
  <c r="F25" i="22"/>
  <c r="G25" i="22"/>
  <c r="F81" i="22"/>
  <c r="G81" i="22"/>
  <c r="F164" i="22"/>
  <c r="G164" i="22" s="1"/>
  <c r="F40" i="22"/>
  <c r="G40" i="22"/>
  <c r="F195" i="22"/>
  <c r="G195" i="22"/>
  <c r="F196" i="22"/>
  <c r="G196" i="22"/>
  <c r="F103" i="22"/>
  <c r="G103" i="22"/>
  <c r="F186" i="22"/>
  <c r="G186" i="22"/>
  <c r="F123" i="22"/>
  <c r="G123" i="22" s="1"/>
  <c r="F114" i="22"/>
  <c r="G114" i="22"/>
  <c r="F120" i="22"/>
  <c r="G120" i="22"/>
  <c r="F128" i="22"/>
  <c r="G128" i="22"/>
  <c r="F132" i="22"/>
  <c r="G132" i="22"/>
  <c r="F45" i="22"/>
  <c r="G45" i="22"/>
  <c r="F137" i="22"/>
  <c r="G137" i="22" s="1"/>
  <c r="F143" i="22"/>
  <c r="G143" i="22"/>
  <c r="F163" i="22"/>
  <c r="G163" i="22"/>
  <c r="F194" i="22"/>
  <c r="G194" i="22"/>
  <c r="F55" i="22"/>
  <c r="G55" i="22"/>
  <c r="F52" i="22"/>
  <c r="G52" i="22"/>
  <c r="F42" i="22"/>
  <c r="G42" i="22" s="1"/>
  <c r="F23" i="22"/>
  <c r="G23" i="22"/>
  <c r="F142" i="22"/>
  <c r="G142" i="22"/>
  <c r="F69" i="22"/>
  <c r="G69" i="22"/>
  <c r="F115" i="22"/>
  <c r="G115" i="22"/>
  <c r="F121" i="22"/>
  <c r="G121" i="22"/>
  <c r="F183" i="22"/>
  <c r="G183" i="22" s="1"/>
  <c r="F39" i="22"/>
  <c r="G39" i="22"/>
  <c r="F192" i="22"/>
  <c r="G192" i="22"/>
  <c r="F108" i="22"/>
  <c r="G108" i="22"/>
  <c r="F148" i="22"/>
  <c r="G148" i="22"/>
  <c r="F181" i="22"/>
  <c r="G181" i="22"/>
  <c r="F136" i="22"/>
  <c r="G136" i="22" s="1"/>
  <c r="F111" i="22"/>
  <c r="G111" i="22"/>
  <c r="F155" i="22"/>
  <c r="G155" i="22"/>
  <c r="F116" i="22"/>
  <c r="G116" i="22"/>
  <c r="F165" i="22"/>
  <c r="G165" i="22"/>
  <c r="F98" i="22"/>
  <c r="G98" i="22"/>
  <c r="F30" i="22"/>
  <c r="G30" i="22" s="1"/>
  <c r="F191" i="22"/>
  <c r="G191" i="22"/>
  <c r="F35" i="22"/>
  <c r="G35" i="22"/>
  <c r="F129" i="22"/>
  <c r="G129" i="22"/>
  <c r="F88" i="22"/>
  <c r="G88" i="22"/>
  <c r="F29" i="22"/>
  <c r="G29" i="22"/>
  <c r="F99" i="22"/>
  <c r="G99" i="22" s="1"/>
  <c r="F91" i="22"/>
  <c r="G91" i="22"/>
  <c r="F80" i="22"/>
  <c r="G80" i="22"/>
  <c r="F38" i="22"/>
  <c r="G38" i="22"/>
  <c r="F109" i="22"/>
  <c r="G109" i="22"/>
  <c r="F93" i="22"/>
  <c r="G93" i="22"/>
  <c r="F177" i="22"/>
  <c r="G177" i="22" s="1"/>
  <c r="F139" i="22"/>
  <c r="G139" i="22"/>
  <c r="F82" i="22"/>
  <c r="G82" i="22"/>
  <c r="F119" i="22"/>
  <c r="G119" i="22"/>
  <c r="F64" i="22"/>
  <c r="G64" i="22"/>
  <c r="F60" i="22"/>
  <c r="G60" i="22"/>
  <c r="F174" i="22"/>
  <c r="G174" i="22" s="1"/>
  <c r="F105" i="22"/>
  <c r="G105" i="22"/>
  <c r="F89" i="22"/>
  <c r="G89" i="22"/>
  <c r="F85" i="22"/>
  <c r="G85" i="22"/>
  <c r="F59" i="22"/>
  <c r="G59" i="22"/>
  <c r="F57" i="22"/>
  <c r="G57" i="22"/>
  <c r="F172" i="22"/>
  <c r="G172" i="22" s="1"/>
  <c r="F133" i="22"/>
  <c r="G133" i="22"/>
  <c r="F187" i="22"/>
  <c r="G187" i="22"/>
  <c r="F41" i="22"/>
  <c r="G41" i="22"/>
  <c r="F151" i="22"/>
  <c r="G151" i="22"/>
  <c r="F44" i="22"/>
  <c r="G44" i="22"/>
  <c r="F48" i="22"/>
  <c r="G48" i="22" s="1"/>
  <c r="F77" i="22"/>
  <c r="G77" i="22"/>
  <c r="F101" i="22"/>
  <c r="G101" i="22"/>
  <c r="F102" i="22"/>
  <c r="G102" i="22"/>
  <c r="F76" i="22"/>
  <c r="G76" i="22"/>
  <c r="F51" i="22"/>
  <c r="G51" i="22"/>
  <c r="F58" i="22"/>
  <c r="G58" i="22" s="1"/>
  <c r="F49" i="22"/>
  <c r="G49" i="22"/>
  <c r="F159" i="22"/>
  <c r="G159" i="22"/>
  <c r="F135" i="22"/>
  <c r="G135" i="22"/>
  <c r="F175" i="22"/>
  <c r="G175" i="22"/>
  <c r="F189" i="22"/>
  <c r="G189" i="22"/>
  <c r="F66" i="22"/>
  <c r="G66" i="22" s="1"/>
  <c r="F47" i="22"/>
  <c r="G47" i="22"/>
  <c r="F160" i="22"/>
  <c r="G160" i="22"/>
  <c r="F168" i="22"/>
  <c r="G168" i="22"/>
  <c r="F70" i="22"/>
  <c r="G70" i="22"/>
  <c r="F97" i="22"/>
  <c r="G97" i="22"/>
  <c r="F33" i="22"/>
  <c r="G33" i="22" s="1"/>
  <c r="F27" i="22"/>
  <c r="G27" i="22"/>
  <c r="F145" i="22"/>
  <c r="G145" i="22"/>
  <c r="F152" i="22"/>
  <c r="G152" i="22"/>
  <c r="F78" i="22"/>
  <c r="G78" i="22"/>
  <c r="F176" i="22"/>
  <c r="G176" i="22"/>
  <c r="F173" i="22"/>
  <c r="G173" i="22" s="1"/>
  <c r="F154" i="22"/>
  <c r="G154" i="22"/>
  <c r="F53" i="22"/>
  <c r="G53" i="22"/>
  <c r="F171" i="22"/>
  <c r="G171" i="22"/>
  <c r="F156" i="22"/>
  <c r="G156" i="22"/>
  <c r="F72" i="22"/>
  <c r="G72" i="22"/>
  <c r="F178" i="22"/>
  <c r="G178" i="22" s="1"/>
  <c r="F74" i="22"/>
  <c r="G74" i="22"/>
  <c r="F50" i="22"/>
  <c r="G50" i="22"/>
  <c r="F166" i="22"/>
  <c r="G166" i="22"/>
  <c r="F34" i="22"/>
  <c r="G34" i="22"/>
  <c r="F86" i="22"/>
  <c r="G86" i="22"/>
  <c r="F124" i="22"/>
  <c r="G124" i="22" s="1"/>
  <c r="F43" i="22"/>
  <c r="G43" i="22"/>
  <c r="F158" i="22"/>
  <c r="G158" i="22"/>
  <c r="F56" i="22"/>
  <c r="G56" i="22"/>
  <c r="F110" i="22"/>
  <c r="G110" i="22"/>
  <c r="F61" i="22"/>
  <c r="G61" i="22"/>
  <c r="F138" i="22"/>
  <c r="G138" i="22" s="1"/>
  <c r="F54" i="22"/>
  <c r="G54" i="22"/>
  <c r="F67" i="22"/>
  <c r="G67" i="22"/>
  <c r="F117" i="22"/>
  <c r="G117" i="22"/>
  <c r="F96" i="22"/>
  <c r="G96" i="22"/>
  <c r="F190" i="22"/>
  <c r="G190" i="22"/>
  <c r="F95" i="22"/>
  <c r="G95" i="22" s="1"/>
  <c r="F147" i="22"/>
  <c r="G147" i="22"/>
  <c r="F170" i="22"/>
  <c r="G170" i="22"/>
  <c r="F127" i="22"/>
  <c r="G127" i="22"/>
  <c r="F92" i="22"/>
  <c r="G92" i="22"/>
  <c r="F118" i="22"/>
  <c r="G118" i="22"/>
  <c r="F113" i="22"/>
  <c r="G113" i="22" s="1"/>
  <c r="F84" i="22"/>
  <c r="G84" i="22"/>
  <c r="F184" i="22"/>
  <c r="G184" i="22"/>
  <c r="F104" i="22"/>
  <c r="G104" i="22"/>
  <c r="F37" i="22"/>
  <c r="G37" i="22"/>
  <c r="F153" i="22"/>
  <c r="G153" i="22"/>
  <c r="F46" i="22"/>
  <c r="G46" i="22" s="1"/>
  <c r="F140" i="22"/>
  <c r="G140" i="22"/>
  <c r="F185" i="22"/>
  <c r="G185" i="22"/>
  <c r="F32" i="22"/>
  <c r="G32" i="22"/>
  <c r="F26" i="22"/>
  <c r="G26" i="22"/>
  <c r="F179" i="22"/>
  <c r="G179" i="22"/>
  <c r="F22" i="22"/>
  <c r="G22" i="22" s="1"/>
  <c r="G208" i="20"/>
  <c r="G209" i="20"/>
  <c r="G75" i="20"/>
  <c r="G138" i="20"/>
  <c r="G190" i="20"/>
  <c r="G67" i="20"/>
  <c r="G86" i="20"/>
  <c r="G129" i="20"/>
  <c r="G48" i="20"/>
  <c r="G105" i="20"/>
  <c r="G46" i="20"/>
  <c r="G132" i="20"/>
  <c r="G155" i="20"/>
  <c r="G35" i="20"/>
  <c r="G52" i="20"/>
  <c r="G188" i="20"/>
  <c r="G93" i="20"/>
  <c r="G100" i="20"/>
  <c r="G201" i="20"/>
  <c r="G79" i="20"/>
  <c r="G179" i="20"/>
  <c r="G119" i="20"/>
  <c r="G72" i="20"/>
  <c r="G170" i="20"/>
  <c r="G37" i="20"/>
  <c r="G98" i="20"/>
  <c r="G83" i="20"/>
  <c r="G51" i="20"/>
  <c r="G205" i="20"/>
  <c r="G116" i="20"/>
  <c r="G70" i="20"/>
  <c r="G50" i="20"/>
  <c r="G181" i="20"/>
  <c r="G78" i="20"/>
  <c r="G135" i="20"/>
  <c r="G199" i="20"/>
  <c r="G193" i="20"/>
  <c r="G66" i="20"/>
  <c r="G56" i="20"/>
  <c r="G122" i="20"/>
  <c r="G131" i="20"/>
  <c r="G189" i="20"/>
  <c r="G141" i="20"/>
  <c r="G126" i="20"/>
  <c r="G145" i="20"/>
  <c r="G187" i="20"/>
  <c r="G153" i="20"/>
  <c r="G185" i="20"/>
  <c r="G207" i="20"/>
  <c r="G38" i="20"/>
  <c r="G40" i="20"/>
  <c r="G42" i="20"/>
  <c r="G62" i="20"/>
  <c r="G106" i="20"/>
  <c r="G169" i="20"/>
  <c r="G45" i="20"/>
  <c r="G97" i="20"/>
  <c r="G180" i="20"/>
  <c r="G89" i="20"/>
  <c r="G58" i="20"/>
  <c r="G165" i="20"/>
  <c r="G113" i="20"/>
  <c r="G59" i="20"/>
  <c r="G57" i="20"/>
  <c r="G34" i="20"/>
  <c r="G196" i="20"/>
  <c r="G197" i="20"/>
  <c r="G112" i="20"/>
  <c r="G200" i="20"/>
  <c r="G54" i="20"/>
  <c r="G150" i="20"/>
  <c r="G160" i="20"/>
  <c r="G88" i="20"/>
  <c r="G36" i="20"/>
  <c r="G85" i="20"/>
  <c r="G136" i="20"/>
  <c r="G120" i="20"/>
  <c r="G95" i="20"/>
  <c r="G80" i="20"/>
  <c r="G115" i="20"/>
  <c r="G123" i="20"/>
  <c r="G151" i="20"/>
  <c r="G77" i="20"/>
  <c r="G96" i="20"/>
  <c r="G144" i="20"/>
  <c r="G111" i="20"/>
  <c r="G71" i="20"/>
  <c r="G154" i="20"/>
  <c r="G64" i="20"/>
  <c r="G162" i="20"/>
  <c r="G125" i="20"/>
  <c r="G173" i="20"/>
  <c r="G107" i="20"/>
  <c r="G157" i="20"/>
  <c r="G148" i="20"/>
  <c r="G39" i="20"/>
  <c r="G140" i="20"/>
  <c r="G41" i="20"/>
  <c r="G194" i="20"/>
  <c r="G184" i="20"/>
  <c r="G101" i="20"/>
  <c r="G118" i="20"/>
  <c r="G90" i="20"/>
  <c r="G143" i="20"/>
  <c r="G61" i="20"/>
  <c r="G163" i="20"/>
  <c r="G195" i="20"/>
  <c r="G92" i="20"/>
  <c r="G204" i="20"/>
  <c r="G146" i="20"/>
  <c r="G142" i="20"/>
  <c r="G68" i="20"/>
  <c r="G84" i="20"/>
  <c r="G60" i="20"/>
  <c r="G164" i="20"/>
  <c r="G55" i="20"/>
  <c r="G130" i="20"/>
  <c r="G91" i="20"/>
  <c r="G182" i="20"/>
  <c r="G192" i="20"/>
  <c r="G176" i="20"/>
  <c r="G63" i="20"/>
  <c r="G149" i="20"/>
  <c r="G134" i="20"/>
  <c r="G114" i="20"/>
  <c r="G161" i="20"/>
  <c r="G53" i="20"/>
  <c r="G43" i="20"/>
  <c r="G47" i="20"/>
  <c r="G191" i="20"/>
  <c r="G69" i="20"/>
  <c r="G133" i="20"/>
  <c r="G147" i="20"/>
  <c r="G183" i="20"/>
  <c r="G87" i="20"/>
  <c r="G81" i="20"/>
  <c r="G177" i="20"/>
  <c r="G156" i="20"/>
  <c r="G166" i="20"/>
  <c r="G103" i="20"/>
  <c r="G198" i="20"/>
  <c r="G203" i="20"/>
  <c r="G128" i="20"/>
  <c r="G108" i="20"/>
  <c r="G174" i="20"/>
  <c r="G167" i="20"/>
  <c r="G110" i="20"/>
  <c r="G206" i="20"/>
  <c r="G202" i="20"/>
  <c r="G104" i="20"/>
  <c r="G76" i="20"/>
  <c r="G127" i="20"/>
  <c r="G139" i="20"/>
  <c r="G117" i="20"/>
  <c r="F217" i="20"/>
  <c r="G152" i="20"/>
  <c r="G124" i="20"/>
  <c r="G74" i="20"/>
  <c r="G65" i="20"/>
  <c r="G49" i="20"/>
  <c r="G186" i="20"/>
  <c r="G137" i="20"/>
  <c r="G102" i="20"/>
  <c r="G94" i="20"/>
  <c r="G82" i="20"/>
  <c r="G44" i="20"/>
  <c r="G168" i="20"/>
  <c r="G109" i="20"/>
  <c r="G121" i="20"/>
  <c r="G158" i="20"/>
  <c r="G171" i="20"/>
  <c r="G175" i="20"/>
  <c r="G159" i="20"/>
  <c r="G172" i="20"/>
  <c r="G99" i="20"/>
  <c r="G73" i="20"/>
  <c r="G216" i="19"/>
  <c r="G217" i="19"/>
  <c r="G213" i="19"/>
  <c r="G93" i="19"/>
  <c r="G192" i="19"/>
  <c r="G137" i="19"/>
  <c r="G140" i="19"/>
  <c r="G174" i="19"/>
  <c r="G127" i="19"/>
  <c r="G100" i="19"/>
  <c r="G114" i="19"/>
  <c r="G195" i="19"/>
  <c r="G120" i="19"/>
  <c r="G84" i="19"/>
  <c r="G187" i="19"/>
  <c r="G181" i="19"/>
  <c r="G157" i="19"/>
  <c r="G61" i="19"/>
  <c r="G62" i="19"/>
  <c r="F225" i="19"/>
  <c r="G88" i="19"/>
  <c r="G99" i="19"/>
  <c r="G134" i="19"/>
  <c r="G200" i="19"/>
  <c r="G147" i="19"/>
  <c r="G197" i="19"/>
  <c r="G172" i="19"/>
  <c r="G65" i="19"/>
  <c r="G74" i="19"/>
  <c r="G184" i="19"/>
  <c r="G126" i="19"/>
  <c r="G105" i="19"/>
  <c r="G124" i="19"/>
  <c r="G104" i="19"/>
  <c r="G150" i="19"/>
  <c r="G44" i="19"/>
  <c r="G37" i="19"/>
  <c r="G125" i="19"/>
  <c r="G71" i="19"/>
  <c r="G32" i="19"/>
  <c r="G49" i="19"/>
  <c r="G148" i="19"/>
  <c r="G47" i="19"/>
  <c r="G144" i="19"/>
  <c r="G73" i="19"/>
  <c r="G48" i="19"/>
  <c r="G25" i="19"/>
  <c r="G80" i="19"/>
  <c r="G170" i="19"/>
  <c r="G97" i="19"/>
  <c r="G77" i="19"/>
  <c r="G214" i="19"/>
  <c r="G28" i="19"/>
  <c r="G83" i="19"/>
  <c r="G128" i="19"/>
  <c r="G199" i="19"/>
  <c r="G202" i="19"/>
  <c r="G36" i="19"/>
  <c r="G209" i="19"/>
  <c r="G179" i="19"/>
  <c r="G164" i="19"/>
  <c r="G112" i="19"/>
  <c r="G175" i="19"/>
  <c r="G27" i="19"/>
  <c r="G212" i="19"/>
  <c r="G162" i="19"/>
  <c r="G132" i="19"/>
  <c r="G102" i="19"/>
  <c r="G145" i="19"/>
  <c r="G54" i="19"/>
  <c r="G116" i="19"/>
  <c r="G119" i="19"/>
  <c r="G57" i="19"/>
  <c r="G115" i="19"/>
  <c r="G166" i="19"/>
  <c r="G26" i="19"/>
  <c r="G34" i="19"/>
  <c r="G52" i="19"/>
  <c r="G45" i="19"/>
  <c r="G171" i="19"/>
  <c r="G107" i="19"/>
  <c r="G129" i="19"/>
  <c r="G156" i="19"/>
  <c r="G139" i="19"/>
  <c r="G81" i="19"/>
  <c r="G59" i="19"/>
  <c r="G154" i="19"/>
  <c r="G111" i="19"/>
  <c r="G167" i="19"/>
  <c r="G122" i="19"/>
  <c r="G39" i="19"/>
  <c r="G206" i="19"/>
  <c r="G153" i="19"/>
  <c r="G194" i="19"/>
  <c r="G135" i="19"/>
  <c r="G68" i="19"/>
  <c r="G53" i="19"/>
  <c r="G189" i="19"/>
  <c r="G109" i="19"/>
  <c r="G41" i="19"/>
  <c r="G215" i="19"/>
  <c r="G198" i="19"/>
  <c r="G169" i="19"/>
  <c r="G155" i="19"/>
  <c r="G196" i="19"/>
  <c r="G103" i="19"/>
  <c r="G207" i="19"/>
  <c r="G33" i="19"/>
  <c r="G159" i="19"/>
  <c r="G176" i="19"/>
  <c r="G168" i="19"/>
  <c r="G78" i="19"/>
  <c r="G31" i="19"/>
  <c r="G51" i="19"/>
  <c r="G110" i="19"/>
  <c r="G185" i="19"/>
  <c r="G108" i="19"/>
  <c r="G131" i="19"/>
  <c r="G40" i="19"/>
  <c r="G118" i="19"/>
  <c r="G66" i="19"/>
  <c r="G180" i="19"/>
  <c r="G96" i="19"/>
  <c r="G136" i="19"/>
  <c r="G211" i="19"/>
  <c r="G50" i="19"/>
  <c r="G177" i="19"/>
  <c r="G146" i="19"/>
  <c r="G35" i="19"/>
  <c r="G63" i="19"/>
  <c r="G151" i="19"/>
  <c r="G182" i="19"/>
  <c r="G64" i="19"/>
  <c r="G205" i="19"/>
  <c r="G24" i="19"/>
  <c r="G149" i="19"/>
  <c r="G30" i="19"/>
  <c r="G158" i="19"/>
  <c r="G178" i="19"/>
  <c r="G143" i="19"/>
  <c r="G98" i="19"/>
  <c r="G69" i="19"/>
  <c r="G121" i="19"/>
  <c r="G133" i="19"/>
  <c r="G201" i="19"/>
  <c r="G165" i="19"/>
  <c r="G188" i="19"/>
  <c r="G42" i="19"/>
  <c r="G55" i="19"/>
  <c r="G91" i="19"/>
  <c r="G92" i="19"/>
  <c r="G60" i="19"/>
  <c r="G208" i="19"/>
  <c r="G89" i="19"/>
  <c r="G113" i="19"/>
  <c r="G75" i="19"/>
  <c r="G87" i="19"/>
  <c r="G138" i="19"/>
  <c r="G72" i="19"/>
  <c r="G95" i="19"/>
  <c r="G70" i="19"/>
  <c r="G191" i="19"/>
  <c r="G29" i="19"/>
  <c r="G22" i="19"/>
  <c r="G161" i="19"/>
  <c r="G160" i="19"/>
  <c r="G76" i="19"/>
  <c r="G204" i="19"/>
  <c r="G106" i="19"/>
  <c r="G46" i="19"/>
  <c r="G90" i="19"/>
  <c r="G56" i="19"/>
  <c r="G58" i="19"/>
  <c r="G86" i="19"/>
  <c r="G152" i="19"/>
  <c r="G183" i="19"/>
  <c r="G38" i="19"/>
  <c r="G117" i="19"/>
  <c r="G79" i="19"/>
  <c r="G94" i="19"/>
  <c r="G82" i="19"/>
  <c r="G85" i="19"/>
  <c r="G203" i="19"/>
  <c r="G210" i="19"/>
  <c r="G142" i="19"/>
  <c r="G141" i="19"/>
  <c r="G173" i="19"/>
  <c r="G43" i="19"/>
  <c r="G190" i="19"/>
  <c r="G67" i="19"/>
  <c r="G193" i="19"/>
  <c r="G123" i="19"/>
  <c r="G23" i="19"/>
  <c r="G130" i="19"/>
  <c r="G101" i="19"/>
  <c r="G163" i="19"/>
  <c r="G219" i="18"/>
  <c r="G220" i="18"/>
  <c r="G215" i="18"/>
  <c r="G31" i="18"/>
  <c r="G42" i="18"/>
  <c r="G37" i="18"/>
  <c r="G22" i="18"/>
  <c r="G90" i="18"/>
  <c r="G82" i="18"/>
  <c r="G30" i="18"/>
  <c r="G93" i="18"/>
  <c r="G55" i="18"/>
  <c r="G193" i="18"/>
  <c r="G208" i="18"/>
  <c r="G129" i="18"/>
  <c r="G143" i="18"/>
  <c r="G96" i="18"/>
  <c r="G52" i="18"/>
  <c r="G74" i="18"/>
  <c r="G99" i="18"/>
  <c r="G108" i="18"/>
  <c r="G153" i="18"/>
  <c r="G212" i="18"/>
  <c r="G71" i="18"/>
  <c r="G97" i="18"/>
  <c r="G196" i="18"/>
  <c r="G182" i="18"/>
  <c r="G62" i="18"/>
  <c r="G187" i="18"/>
  <c r="G202" i="18"/>
  <c r="G216" i="18"/>
  <c r="G144" i="18"/>
  <c r="G91" i="18"/>
  <c r="G171" i="18"/>
  <c r="G152" i="18"/>
  <c r="G25" i="18"/>
  <c r="G121" i="18"/>
  <c r="G122" i="18"/>
  <c r="G111" i="18"/>
  <c r="G120" i="18"/>
  <c r="G176" i="18"/>
  <c r="G63" i="18"/>
  <c r="G209" i="18"/>
  <c r="G125" i="18"/>
  <c r="G40" i="18"/>
  <c r="G192" i="18"/>
  <c r="G167" i="18"/>
  <c r="G123" i="18"/>
  <c r="G23" i="18"/>
  <c r="G102" i="18"/>
  <c r="G83" i="18"/>
  <c r="G106" i="18"/>
  <c r="G113" i="18"/>
  <c r="G174" i="18"/>
  <c r="G181" i="18"/>
  <c r="G95" i="18"/>
  <c r="G214" i="18"/>
  <c r="G68" i="18"/>
  <c r="G136" i="18"/>
  <c r="G112" i="18"/>
  <c r="G81" i="18"/>
  <c r="G145" i="18"/>
  <c r="G27" i="18"/>
  <c r="G204" i="18"/>
  <c r="G178" i="18"/>
  <c r="G88" i="18"/>
  <c r="G185" i="18"/>
  <c r="G154" i="18"/>
  <c r="G165" i="18"/>
  <c r="G39" i="18"/>
  <c r="G210" i="18"/>
  <c r="G51" i="18"/>
  <c r="G188" i="18"/>
  <c r="G114" i="18"/>
  <c r="G98" i="18"/>
  <c r="G64" i="18"/>
  <c r="G163" i="18"/>
  <c r="G205" i="18"/>
  <c r="G101" i="18"/>
  <c r="G79" i="18"/>
  <c r="G84" i="18"/>
  <c r="G206" i="18"/>
  <c r="G107" i="18"/>
  <c r="G100" i="18"/>
  <c r="G141" i="18"/>
  <c r="G156" i="18"/>
  <c r="G170" i="18"/>
  <c r="G146" i="18"/>
  <c r="G60" i="18"/>
  <c r="G169" i="18"/>
  <c r="G161" i="18"/>
  <c r="G43" i="18"/>
  <c r="G191" i="18"/>
  <c r="G162" i="18"/>
  <c r="G46" i="18"/>
  <c r="G116" i="18"/>
  <c r="G126" i="18"/>
  <c r="G38" i="18"/>
  <c r="G207" i="18"/>
  <c r="G70" i="18"/>
  <c r="G109" i="18"/>
  <c r="G66" i="18"/>
  <c r="G172" i="18"/>
  <c r="G190" i="18"/>
  <c r="G89" i="18"/>
  <c r="G180" i="18"/>
  <c r="G72" i="18"/>
  <c r="G77" i="18"/>
  <c r="G159" i="18"/>
  <c r="G158" i="18"/>
  <c r="G149" i="18"/>
  <c r="G135" i="18"/>
  <c r="G179" i="18"/>
  <c r="G33" i="18"/>
  <c r="G53" i="18"/>
  <c r="G73" i="18"/>
  <c r="G92" i="18"/>
  <c r="G44" i="18"/>
  <c r="G133" i="18"/>
  <c r="G194" i="18"/>
  <c r="G127" i="18"/>
  <c r="G105" i="18"/>
  <c r="G130" i="18"/>
  <c r="G124" i="18"/>
  <c r="G183" i="18"/>
  <c r="G137" i="18"/>
  <c r="G76" i="18"/>
  <c r="G75" i="18"/>
  <c r="G29" i="18"/>
  <c r="G199" i="18"/>
  <c r="G195" i="18"/>
  <c r="G54" i="18"/>
  <c r="G164" i="18"/>
  <c r="G131" i="18"/>
  <c r="G35" i="18"/>
  <c r="G184" i="18"/>
  <c r="G139" i="18"/>
  <c r="G168" i="18"/>
  <c r="G142" i="18"/>
  <c r="G197" i="18"/>
  <c r="G94" i="18"/>
  <c r="G65" i="18"/>
  <c r="G86" i="18"/>
  <c r="G119" i="18"/>
  <c r="G69" i="18"/>
  <c r="G87" i="18"/>
  <c r="G147" i="18"/>
  <c r="G217" i="18"/>
  <c r="G61" i="18"/>
  <c r="G173" i="18"/>
  <c r="G45" i="18"/>
  <c r="G157" i="18"/>
  <c r="G166" i="18"/>
  <c r="G78" i="18"/>
  <c r="G150" i="18"/>
  <c r="G67" i="18"/>
  <c r="G48" i="18"/>
  <c r="G110" i="18"/>
  <c r="G47" i="18"/>
  <c r="G117" i="18"/>
  <c r="G132" i="18"/>
  <c r="G148" i="18"/>
  <c r="G155" i="18"/>
  <c r="G85" i="18"/>
  <c r="G104" i="18"/>
  <c r="G41" i="18"/>
  <c r="G186" i="18"/>
  <c r="G24" i="18"/>
  <c r="G160" i="18"/>
  <c r="G213" i="18"/>
  <c r="G28" i="18"/>
  <c r="G118" i="18"/>
  <c r="G151" i="18"/>
  <c r="G128" i="18"/>
  <c r="G49" i="18"/>
  <c r="G80" i="18"/>
  <c r="G140" i="18"/>
  <c r="G198" i="18"/>
  <c r="G32" i="18"/>
  <c r="G58" i="18"/>
  <c r="G201" i="18"/>
  <c r="G138" i="18"/>
  <c r="G115" i="18"/>
  <c r="G211" i="18"/>
  <c r="G34" i="18"/>
  <c r="G103" i="18"/>
  <c r="G200" i="18"/>
  <c r="G175" i="18"/>
  <c r="G56" i="18"/>
  <c r="G36" i="18"/>
  <c r="G26" i="18"/>
  <c r="G50" i="18"/>
  <c r="G57" i="18"/>
  <c r="G59" i="18"/>
  <c r="G177" i="18"/>
  <c r="G203" i="18"/>
  <c r="G134" i="18"/>
  <c r="G218" i="18"/>
  <c r="G86" i="16"/>
  <c r="G78" i="16"/>
  <c r="G70" i="16"/>
  <c r="G77" i="16"/>
  <c r="G75" i="16"/>
  <c r="G84" i="16"/>
  <c r="G76" i="16"/>
  <c r="G68" i="16"/>
  <c r="G79" i="16"/>
  <c r="G69" i="16"/>
  <c r="G82" i="16"/>
  <c r="G74" i="16"/>
  <c r="G81" i="16"/>
  <c r="G71" i="16"/>
  <c r="G83" i="16"/>
  <c r="G85" i="16"/>
  <c r="G80" i="16"/>
  <c r="G72" i="16"/>
  <c r="G73" i="16"/>
  <c r="G130" i="14"/>
  <c r="G145" i="14"/>
  <c r="G125" i="14"/>
  <c r="G155" i="14"/>
  <c r="G102" i="14"/>
  <c r="G113" i="14"/>
  <c r="G24" i="14"/>
  <c r="G72" i="14"/>
  <c r="G174" i="14"/>
  <c r="G22" i="14"/>
  <c r="G73" i="14"/>
  <c r="G127" i="14"/>
  <c r="G116" i="14"/>
  <c r="G128" i="14"/>
  <c r="G123" i="14"/>
  <c r="G90" i="14"/>
  <c r="G45" i="14"/>
  <c r="G118" i="14"/>
  <c r="G126" i="14"/>
  <c r="G96" i="14"/>
  <c r="G103" i="14"/>
  <c r="G74" i="14"/>
  <c r="G30" i="14"/>
  <c r="G148" i="14"/>
  <c r="G177" i="14"/>
  <c r="G146" i="14"/>
  <c r="G168" i="14"/>
  <c r="G89" i="14"/>
  <c r="G109" i="14"/>
  <c r="G33" i="14"/>
  <c r="G158" i="14"/>
  <c r="G129" i="14"/>
  <c r="G81" i="14"/>
  <c r="G32" i="14"/>
  <c r="G85" i="14"/>
  <c r="G170" i="14"/>
  <c r="G136" i="14"/>
  <c r="G150" i="14"/>
  <c r="G122" i="14"/>
  <c r="G108" i="14"/>
  <c r="G86" i="14"/>
  <c r="G151" i="14"/>
  <c r="G175" i="14"/>
  <c r="G162" i="14"/>
  <c r="G184" i="14"/>
  <c r="G66" i="14"/>
  <c r="G91" i="14"/>
  <c r="G106" i="14"/>
  <c r="G124" i="14"/>
  <c r="G51" i="14"/>
  <c r="G46" i="14"/>
  <c r="G79" i="14"/>
  <c r="G141" i="14"/>
  <c r="G135" i="14"/>
  <c r="G27" i="14"/>
  <c r="G181" i="14"/>
  <c r="G176" i="14"/>
  <c r="G94" i="14"/>
  <c r="G71" i="14"/>
  <c r="G166" i="14"/>
  <c r="G67" i="14"/>
  <c r="G138" i="14"/>
  <c r="G58" i="14"/>
  <c r="G49" i="14"/>
  <c r="G137" i="14"/>
  <c r="G99" i="14"/>
  <c r="G169" i="14"/>
  <c r="G133" i="14"/>
  <c r="G152" i="14"/>
  <c r="G59" i="14"/>
  <c r="G77" i="14"/>
  <c r="G35" i="14"/>
  <c r="G159" i="14"/>
  <c r="G132" i="14"/>
  <c r="G54" i="14"/>
  <c r="G147" i="14"/>
  <c r="G114" i="14"/>
  <c r="G82" i="14"/>
  <c r="G92" i="14"/>
  <c r="G65" i="14"/>
  <c r="G112" i="14"/>
  <c r="G100" i="14"/>
  <c r="G160" i="14"/>
  <c r="G70" i="14"/>
  <c r="G41" i="14"/>
  <c r="G29" i="14"/>
  <c r="G134" i="14"/>
  <c r="G62" i="14"/>
  <c r="G140" i="14"/>
  <c r="G172" i="14"/>
  <c r="G180" i="14"/>
  <c r="G40" i="14"/>
  <c r="G55" i="14"/>
  <c r="G119" i="14"/>
  <c r="G38" i="14"/>
  <c r="G144" i="14"/>
  <c r="G163" i="14"/>
  <c r="G165" i="14"/>
  <c r="G164" i="14"/>
  <c r="G68" i="14"/>
  <c r="G39" i="14"/>
  <c r="G183" i="14"/>
  <c r="G28" i="14"/>
  <c r="G44" i="14"/>
  <c r="G69" i="14"/>
  <c r="G117" i="14"/>
  <c r="G76" i="14"/>
  <c r="G50" i="14"/>
  <c r="G61" i="14"/>
  <c r="G93" i="14"/>
  <c r="G36" i="14"/>
  <c r="G80" i="14"/>
  <c r="G111" i="14"/>
  <c r="G167" i="14"/>
  <c r="G178" i="14"/>
  <c r="G56" i="14"/>
  <c r="G185" i="14"/>
  <c r="G115" i="14"/>
  <c r="G171" i="14"/>
  <c r="G31" i="14"/>
  <c r="G47" i="14"/>
  <c r="G23" i="14"/>
  <c r="G34" i="14"/>
  <c r="G143" i="14"/>
  <c r="G107" i="14"/>
  <c r="G182" i="14"/>
  <c r="G88" i="14"/>
  <c r="G52" i="14"/>
  <c r="G105" i="14"/>
  <c r="G173" i="14"/>
  <c r="G120" i="14"/>
  <c r="G104" i="14"/>
  <c r="G139" i="14"/>
  <c r="G84" i="14"/>
  <c r="G110" i="14"/>
  <c r="G78" i="14"/>
  <c r="G179" i="14"/>
  <c r="G83" i="14"/>
  <c r="G121" i="14"/>
  <c r="G64" i="14"/>
  <c r="G161" i="14"/>
  <c r="G26" i="14"/>
  <c r="G101" i="14"/>
  <c r="G57" i="14"/>
  <c r="G53" i="14"/>
  <c r="G97" i="14"/>
  <c r="G131" i="14"/>
  <c r="G48" i="14"/>
  <c r="G42" i="14"/>
  <c r="G157" i="14"/>
  <c r="G60" i="14"/>
  <c r="G87" i="14"/>
  <c r="G142" i="14"/>
  <c r="G95" i="14"/>
  <c r="G75" i="14"/>
  <c r="G25" i="14"/>
  <c r="G154" i="14"/>
  <c r="G156" i="14"/>
  <c r="G153" i="14"/>
  <c r="G37" i="14"/>
  <c r="G43" i="14"/>
  <c r="G63" i="14"/>
  <c r="G98" i="14"/>
  <c r="G149" i="14"/>
  <c r="G41" i="13"/>
  <c r="G23" i="13"/>
  <c r="G29" i="13"/>
  <c r="G30" i="13"/>
  <c r="G53" i="13"/>
  <c r="G47" i="13"/>
  <c r="G63" i="13"/>
  <c r="G24" i="13"/>
  <c r="G35" i="13"/>
  <c r="G61" i="13"/>
  <c r="G52" i="13"/>
  <c r="G56" i="13"/>
  <c r="G39" i="13"/>
  <c r="G57" i="13"/>
  <c r="G36" i="13"/>
  <c r="G58" i="13"/>
  <c r="G40" i="13"/>
  <c r="G43" i="13"/>
  <c r="G45" i="13"/>
  <c r="G33" i="13"/>
  <c r="G37" i="13"/>
  <c r="G27" i="13"/>
  <c r="G50" i="13"/>
  <c r="G34" i="13"/>
  <c r="G59" i="13"/>
  <c r="G42" i="13"/>
  <c r="G48" i="13"/>
  <c r="G62" i="13"/>
  <c r="G46" i="13"/>
  <c r="G51" i="13"/>
  <c r="G64" i="13"/>
  <c r="G44" i="13"/>
  <c r="G25" i="13"/>
  <c r="G28" i="13"/>
  <c r="G55" i="13"/>
  <c r="G49" i="13"/>
  <c r="G38" i="13"/>
  <c r="G32" i="13"/>
  <c r="G65" i="13"/>
  <c r="G26" i="13"/>
  <c r="G22" i="13"/>
  <c r="G54" i="13"/>
  <c r="G60" i="13"/>
  <c r="G31" i="13"/>
  <c r="G316" i="12"/>
  <c r="G317" i="12"/>
  <c r="G142" i="12"/>
  <c r="G31" i="12"/>
  <c r="G277" i="12"/>
  <c r="G282" i="12"/>
  <c r="G237" i="12"/>
  <c r="G278" i="12"/>
  <c r="G124" i="12"/>
  <c r="G111" i="12"/>
  <c r="G168" i="12"/>
  <c r="G303" i="12"/>
  <c r="G180" i="12"/>
  <c r="G305" i="12"/>
  <c r="G156" i="12"/>
  <c r="G57" i="12"/>
  <c r="G45" i="12"/>
  <c r="G144" i="12"/>
  <c r="G106" i="12"/>
  <c r="G123" i="12"/>
  <c r="G112" i="12"/>
  <c r="G173" i="12"/>
  <c r="G256" i="12"/>
  <c r="G250" i="12"/>
  <c r="G301" i="12"/>
  <c r="G103" i="12"/>
  <c r="G298" i="12"/>
  <c r="G225" i="12"/>
  <c r="G199" i="12"/>
  <c r="G263" i="12"/>
  <c r="G23" i="12"/>
  <c r="G69" i="12"/>
  <c r="G290" i="12"/>
  <c r="G283" i="12"/>
  <c r="G128" i="12"/>
  <c r="G223" i="12"/>
  <c r="G117" i="12"/>
  <c r="G155" i="12"/>
  <c r="G158" i="12"/>
  <c r="G30" i="12"/>
  <c r="G96" i="12"/>
  <c r="G210" i="12"/>
  <c r="G113" i="12"/>
  <c r="G273" i="12"/>
  <c r="G93" i="12"/>
  <c r="G284" i="12"/>
  <c r="G191" i="12"/>
  <c r="G266" i="12"/>
  <c r="G287" i="12"/>
  <c r="G214" i="12"/>
  <c r="G230" i="12"/>
  <c r="G133" i="12"/>
  <c r="G178" i="12"/>
  <c r="G184" i="12"/>
  <c r="G47" i="12"/>
  <c r="G176" i="12"/>
  <c r="G196" i="12"/>
  <c r="G261" i="12"/>
  <c r="G122" i="12"/>
  <c r="G118" i="12"/>
  <c r="G300" i="12"/>
  <c r="G165" i="12"/>
  <c r="G153" i="12"/>
  <c r="G239" i="12"/>
  <c r="G62" i="12"/>
  <c r="G90" i="12"/>
  <c r="G226" i="12"/>
  <c r="G302" i="12"/>
  <c r="G217" i="12"/>
  <c r="G258" i="12"/>
  <c r="G138" i="12"/>
  <c r="G139" i="12"/>
  <c r="G70" i="12"/>
  <c r="G95" i="12"/>
  <c r="G44" i="12"/>
  <c r="G201" i="12"/>
  <c r="G35" i="12"/>
  <c r="G248" i="12"/>
  <c r="G163" i="12"/>
  <c r="G267" i="12"/>
  <c r="G48" i="12"/>
  <c r="G204" i="12"/>
  <c r="G174" i="12"/>
  <c r="G80" i="12"/>
  <c r="G255" i="12"/>
  <c r="G25" i="12"/>
  <c r="G288" i="12"/>
  <c r="G102" i="12"/>
  <c r="G149" i="12"/>
  <c r="G63" i="12"/>
  <c r="G264" i="12"/>
  <c r="G32" i="12"/>
  <c r="G172" i="12"/>
  <c r="G71" i="12"/>
  <c r="G164" i="12"/>
  <c r="G147" i="12"/>
  <c r="G64" i="12"/>
  <c r="G119" i="12"/>
  <c r="G177" i="12"/>
  <c r="G91" i="12"/>
  <c r="G304" i="12"/>
  <c r="G88" i="12"/>
  <c r="G270" i="12"/>
  <c r="G205" i="12"/>
  <c r="G257" i="12"/>
  <c r="G98" i="12"/>
  <c r="G253" i="12"/>
  <c r="G53" i="12"/>
  <c r="G246" i="12"/>
  <c r="G251" i="12"/>
  <c r="G218" i="12"/>
  <c r="G268" i="12"/>
  <c r="G115" i="12"/>
  <c r="G137" i="12"/>
  <c r="G227" i="12"/>
  <c r="G134" i="12"/>
  <c r="G135" i="12"/>
  <c r="G242" i="12"/>
  <c r="G107" i="12"/>
  <c r="G78" i="12"/>
  <c r="G100" i="12"/>
  <c r="G221" i="12"/>
  <c r="G310" i="12"/>
  <c r="G150" i="12"/>
  <c r="G22" i="12"/>
  <c r="G154" i="12"/>
  <c r="G126" i="12"/>
  <c r="G132" i="12"/>
  <c r="G121" i="12"/>
  <c r="G207" i="12"/>
  <c r="G59" i="12"/>
  <c r="G54" i="12"/>
  <c r="G209" i="12"/>
  <c r="G58" i="12"/>
  <c r="G189" i="12"/>
  <c r="G299" i="12"/>
  <c r="G231" i="12"/>
  <c r="G97" i="12"/>
  <c r="G157" i="12"/>
  <c r="G83" i="12"/>
  <c r="G212" i="12"/>
  <c r="G169" i="12"/>
  <c r="G262" i="12"/>
  <c r="G86" i="12"/>
  <c r="G240" i="12"/>
  <c r="G238" i="12"/>
  <c r="G220" i="12"/>
  <c r="G33" i="12"/>
  <c r="G312" i="12"/>
  <c r="G259" i="12"/>
  <c r="G41" i="12"/>
  <c r="F325" i="12"/>
  <c r="G162" i="12"/>
  <c r="G143" i="12"/>
  <c r="G67" i="12"/>
  <c r="G285" i="12"/>
  <c r="G306" i="12"/>
  <c r="G215" i="12"/>
  <c r="G166" i="12"/>
  <c r="G186" i="12"/>
  <c r="G236" i="12"/>
  <c r="G198" i="12"/>
  <c r="G110" i="12"/>
  <c r="G105" i="12"/>
  <c r="G295" i="12"/>
  <c r="G89" i="12"/>
  <c r="G192" i="12"/>
  <c r="G243" i="12"/>
  <c r="G161" i="12"/>
  <c r="G145" i="12"/>
  <c r="G27" i="12"/>
  <c r="G275" i="12"/>
  <c r="G216" i="12"/>
  <c r="G79" i="12"/>
  <c r="G36" i="12"/>
  <c r="G249" i="12"/>
  <c r="G197" i="12"/>
  <c r="G141" i="12"/>
  <c r="G234" i="12"/>
  <c r="G307" i="12"/>
  <c r="G159" i="12"/>
  <c r="G75" i="12"/>
  <c r="G170" i="12"/>
  <c r="G296" i="12"/>
  <c r="G235" i="12"/>
  <c r="G29" i="12"/>
  <c r="G26" i="12"/>
  <c r="G224" i="12"/>
  <c r="G24" i="12"/>
  <c r="G272" i="12"/>
  <c r="G130" i="12"/>
  <c r="G244" i="12"/>
  <c r="G254" i="12"/>
  <c r="G291" i="12"/>
  <c r="G308" i="12"/>
  <c r="G50" i="12"/>
  <c r="G167" i="12"/>
  <c r="G206" i="12"/>
  <c r="G193" i="12"/>
  <c r="G81" i="12"/>
  <c r="G82" i="12"/>
  <c r="G187" i="12"/>
  <c r="G85" i="12"/>
  <c r="G241" i="12"/>
  <c r="G68" i="12"/>
  <c r="G274" i="12"/>
  <c r="G46" i="12"/>
  <c r="G219" i="12"/>
  <c r="G200" i="12"/>
  <c r="G213" i="12"/>
  <c r="G74" i="12"/>
  <c r="G293" i="12"/>
  <c r="G183" i="12"/>
  <c r="G294" i="12"/>
  <c r="G77" i="12"/>
  <c r="G292" i="12"/>
  <c r="G37" i="12"/>
  <c r="G228" i="12"/>
  <c r="G94" i="12"/>
  <c r="G92" i="12"/>
  <c r="G43" i="12"/>
  <c r="G315" i="12"/>
  <c r="G87" i="12"/>
  <c r="G61" i="12"/>
  <c r="G55" i="12"/>
  <c r="G38" i="12"/>
  <c r="G194" i="12"/>
  <c r="G84" i="12"/>
  <c r="G65" i="12"/>
  <c r="G311" i="12"/>
  <c r="G271" i="12"/>
  <c r="G52" i="12"/>
  <c r="G108" i="12"/>
  <c r="G289" i="12"/>
  <c r="G245" i="12"/>
  <c r="G279" i="12"/>
  <c r="G42" i="12"/>
  <c r="G211" i="12"/>
  <c r="G127" i="12"/>
  <c r="G40" i="12"/>
  <c r="G185" i="12"/>
  <c r="G73" i="12"/>
  <c r="G175" i="12"/>
  <c r="G49" i="12"/>
  <c r="G195" i="12"/>
  <c r="G39" i="12"/>
  <c r="G297" i="12"/>
  <c r="G125" i="12"/>
  <c r="G34" i="12"/>
  <c r="G309" i="12"/>
  <c r="G222" i="12"/>
  <c r="G190" i="12"/>
  <c r="G76" i="12"/>
  <c r="G280" i="12"/>
  <c r="G120" i="12"/>
  <c r="G151" i="12"/>
  <c r="G247" i="12"/>
  <c r="G56" i="12"/>
  <c r="G140" i="12"/>
  <c r="G233" i="12"/>
  <c r="G232" i="12"/>
  <c r="G116" i="12"/>
  <c r="G51" i="12"/>
  <c r="G136" i="12"/>
  <c r="G203" i="12"/>
  <c r="G101" i="12"/>
  <c r="G99" i="12"/>
  <c r="G109" i="12"/>
  <c r="G171" i="12"/>
  <c r="G129" i="12"/>
  <c r="G269" i="12"/>
  <c r="G181" i="12"/>
  <c r="G188" i="12"/>
  <c r="G182" i="12"/>
  <c r="G160" i="12"/>
  <c r="G114" i="12"/>
  <c r="G60" i="12"/>
  <c r="G202" i="12"/>
  <c r="G313" i="12"/>
  <c r="G252" i="12"/>
  <c r="G229" i="12"/>
  <c r="G281" i="12"/>
  <c r="G28" i="12"/>
  <c r="G148" i="12"/>
  <c r="G72" i="12"/>
  <c r="G265" i="12"/>
  <c r="G104" i="12"/>
  <c r="G152" i="12"/>
  <c r="G179" i="12"/>
  <c r="G66" i="12"/>
  <c r="G260" i="12"/>
  <c r="G276" i="12"/>
  <c r="G131" i="12"/>
  <c r="G208" i="12"/>
  <c r="G146" i="12"/>
  <c r="G314" i="12"/>
  <c r="F236" i="11"/>
  <c r="G236" i="11"/>
  <c r="G26" i="11"/>
  <c r="F240" i="11"/>
  <c r="G240" i="11"/>
  <c r="F92" i="11"/>
  <c r="G92" i="11"/>
  <c r="F58" i="11"/>
  <c r="G58" i="11"/>
  <c r="F257" i="11"/>
  <c r="G257" i="11" s="1"/>
  <c r="F116" i="11"/>
  <c r="G116" i="11"/>
  <c r="F70" i="11"/>
  <c r="G70" i="11"/>
  <c r="F93" i="11"/>
  <c r="G93" i="11"/>
  <c r="F118" i="11"/>
  <c r="G118" i="11"/>
  <c r="F202" i="11"/>
  <c r="G202" i="11"/>
  <c r="G38" i="11"/>
  <c r="F74" i="11"/>
  <c r="G74" i="11"/>
  <c r="F238" i="11"/>
  <c r="G238" i="11"/>
  <c r="F67" i="11"/>
  <c r="G67" i="11" s="1"/>
  <c r="F156" i="11"/>
  <c r="G156" i="11" s="1"/>
  <c r="F167" i="11"/>
  <c r="G167" i="11" s="1"/>
  <c r="F131" i="11"/>
  <c r="G131" i="11" s="1"/>
  <c r="F201" i="11"/>
  <c r="G201" i="11"/>
  <c r="F217" i="11"/>
  <c r="G217" i="11"/>
  <c r="F245" i="11"/>
  <c r="G245" i="11" s="1"/>
  <c r="F214" i="11"/>
  <c r="G214" i="11" s="1"/>
  <c r="G36" i="11"/>
  <c r="F117" i="11"/>
  <c r="G117" i="11"/>
  <c r="F173" i="11"/>
  <c r="G173" i="11" s="1"/>
  <c r="F193" i="11"/>
  <c r="G193" i="11"/>
  <c r="F197" i="11"/>
  <c r="G197" i="11"/>
  <c r="F103" i="11"/>
  <c r="G103" i="11"/>
  <c r="F229" i="11"/>
  <c r="G229" i="11"/>
  <c r="F235" i="11"/>
  <c r="G235" i="11"/>
  <c r="F199" i="11"/>
  <c r="G199" i="11" s="1"/>
  <c r="G31" i="11"/>
  <c r="F176" i="11"/>
  <c r="G176" i="11"/>
  <c r="G28" i="11"/>
  <c r="F53" i="11"/>
  <c r="G53" i="11"/>
  <c r="F213" i="11"/>
  <c r="G213" i="11"/>
  <c r="F114" i="11"/>
  <c r="G114" i="11"/>
  <c r="F83" i="11"/>
  <c r="G83" i="11" s="1"/>
  <c r="F221" i="11"/>
  <c r="G221" i="11"/>
  <c r="F125" i="11"/>
  <c r="G125" i="11"/>
  <c r="F59" i="11"/>
  <c r="G59" i="11"/>
  <c r="F171" i="11"/>
  <c r="G171" i="11"/>
  <c r="F227" i="11"/>
  <c r="G227" i="11"/>
  <c r="F195" i="11"/>
  <c r="G195" i="11" s="1"/>
  <c r="F48" i="11"/>
  <c r="G48" i="11"/>
  <c r="F174" i="11"/>
  <c r="G174" i="11"/>
  <c r="F96" i="11"/>
  <c r="G96" i="11"/>
  <c r="F225" i="11"/>
  <c r="G225" i="11"/>
  <c r="G39" i="11"/>
  <c r="F177" i="11"/>
  <c r="G177" i="11" s="1"/>
  <c r="F123" i="11"/>
  <c r="G123" i="11"/>
  <c r="F75" i="11"/>
  <c r="G75" i="11"/>
  <c r="F77" i="11"/>
  <c r="F205" i="11"/>
  <c r="G205" i="11"/>
  <c r="F133" i="11"/>
  <c r="G133" i="11"/>
  <c r="F239" i="11"/>
  <c r="G239" i="11"/>
  <c r="F78" i="11"/>
  <c r="G78" i="11" s="1"/>
  <c r="F251" i="11"/>
  <c r="G251" i="11"/>
  <c r="F122" i="11"/>
  <c r="G122" i="11"/>
  <c r="F109" i="11"/>
  <c r="G109" i="11"/>
  <c r="F98" i="11"/>
  <c r="G98" i="11"/>
  <c r="F55" i="11"/>
  <c r="G55" i="11"/>
  <c r="F196" i="11"/>
  <c r="G196" i="11" s="1"/>
  <c r="F61" i="11"/>
  <c r="G61" i="11"/>
  <c r="F66" i="11"/>
  <c r="G66" i="11"/>
  <c r="F144" i="11"/>
  <c r="G144" i="11"/>
  <c r="F145" i="11"/>
  <c r="G145" i="11"/>
  <c r="F162" i="11"/>
  <c r="G162" i="11"/>
  <c r="F242" i="11"/>
  <c r="G242" i="11" s="1"/>
  <c r="F181" i="11"/>
  <c r="G181" i="11"/>
  <c r="F132" i="11"/>
  <c r="G132" i="11"/>
  <c r="F188" i="11"/>
  <c r="G188" i="11"/>
  <c r="F136" i="11"/>
  <c r="G136" i="11"/>
  <c r="F113" i="11"/>
  <c r="G113" i="11"/>
  <c r="F63" i="11"/>
  <c r="G63" i="11" s="1"/>
  <c r="F50" i="11"/>
  <c r="G50" i="11"/>
  <c r="F86" i="11"/>
  <c r="G86" i="11"/>
  <c r="F129" i="11"/>
  <c r="G129" i="11"/>
  <c r="F255" i="11"/>
  <c r="G255" i="11"/>
  <c r="F212" i="11"/>
  <c r="G212" i="11"/>
  <c r="F79" i="11"/>
  <c r="G79" i="11" s="1"/>
  <c r="F69" i="11"/>
  <c r="G69" i="11"/>
  <c r="F157" i="11"/>
  <c r="G157" i="11"/>
  <c r="F155" i="11"/>
  <c r="G155" i="11"/>
  <c r="F71" i="11"/>
  <c r="G71" i="11"/>
  <c r="G33" i="11"/>
  <c r="F256" i="11"/>
  <c r="G256" i="11" s="1"/>
  <c r="F85" i="11"/>
  <c r="G85" i="11"/>
  <c r="F87" i="11"/>
  <c r="G87" i="11"/>
  <c r="F261" i="11"/>
  <c r="G261" i="11" s="1"/>
  <c r="F198" i="11"/>
  <c r="G198" i="11" s="1"/>
  <c r="F218" i="11"/>
  <c r="G218" i="11" s="1"/>
  <c r="F100" i="11"/>
  <c r="G100" i="11" s="1"/>
  <c r="G42" i="11"/>
  <c r="F115" i="11"/>
  <c r="G115" i="11"/>
  <c r="F210" i="11"/>
  <c r="G210" i="11"/>
  <c r="F135" i="11"/>
  <c r="G135" i="11"/>
  <c r="F119" i="11"/>
  <c r="G119" i="11"/>
  <c r="F170" i="11"/>
  <c r="G170" i="11"/>
  <c r="G27" i="11"/>
  <c r="F208" i="11"/>
  <c r="G208" i="11"/>
  <c r="F104" i="11"/>
  <c r="G104" i="11"/>
  <c r="F252" i="11"/>
  <c r="G252" i="11" s="1"/>
  <c r="F244" i="11"/>
  <c r="G244" i="11" s="1"/>
  <c r="F207" i="11"/>
  <c r="G207" i="11" s="1"/>
  <c r="F178" i="11"/>
  <c r="G178" i="11" s="1"/>
  <c r="F94" i="11"/>
  <c r="G94" i="11"/>
  <c r="F91" i="11"/>
  <c r="G91" i="11"/>
  <c r="G23" i="11"/>
  <c r="F161" i="11"/>
  <c r="G161" i="11"/>
  <c r="F137" i="11"/>
  <c r="G137" i="11"/>
  <c r="F204" i="11"/>
  <c r="G204" i="11"/>
  <c r="G41" i="11"/>
  <c r="F220" i="11"/>
  <c r="G220" i="11"/>
  <c r="F160" i="11"/>
  <c r="G160" i="11"/>
  <c r="F151" i="11"/>
  <c r="G151" i="11" s="1"/>
  <c r="F56" i="11"/>
  <c r="G56" i="11" s="1"/>
  <c r="F153" i="11"/>
  <c r="G153" i="11" s="1"/>
  <c r="F258" i="11"/>
  <c r="G258" i="11" s="1"/>
  <c r="F64" i="11"/>
  <c r="G64" i="11"/>
  <c r="F65" i="11"/>
  <c r="G65" i="11"/>
  <c r="F191" i="11"/>
  <c r="G191" i="11" s="1"/>
  <c r="G32" i="11"/>
  <c r="F142" i="11"/>
  <c r="G142" i="11"/>
  <c r="F223" i="11"/>
  <c r="G223" i="11"/>
  <c r="F183" i="11"/>
  <c r="G183" i="11" s="1"/>
  <c r="F73" i="11"/>
  <c r="G73" i="11"/>
  <c r="F180" i="11"/>
  <c r="G180" i="11"/>
  <c r="F140" i="11"/>
  <c r="G140" i="11"/>
  <c r="G30" i="11"/>
  <c r="G35" i="11"/>
  <c r="F146" i="11"/>
  <c r="G146" i="11"/>
  <c r="F101" i="11"/>
  <c r="G101" i="11" s="1"/>
  <c r="F57" i="11"/>
  <c r="G57" i="11"/>
  <c r="F192" i="11"/>
  <c r="G192" i="11"/>
  <c r="F110" i="11"/>
  <c r="G110" i="11"/>
  <c r="F127" i="11"/>
  <c r="G127" i="11"/>
  <c r="F148" i="11"/>
  <c r="G148" i="11"/>
  <c r="F182" i="11"/>
  <c r="G182" i="11" s="1"/>
  <c r="F159" i="11"/>
  <c r="G159" i="11"/>
  <c r="F187" i="11"/>
  <c r="G187" i="11"/>
  <c r="F189" i="11"/>
  <c r="G189" i="11"/>
  <c r="F231" i="11"/>
  <c r="G231" i="11"/>
  <c r="F194" i="11"/>
  <c r="G194" i="11"/>
  <c r="F130" i="11"/>
  <c r="G130" i="11" s="1"/>
  <c r="G34" i="11"/>
  <c r="F219" i="11"/>
  <c r="G219" i="11"/>
  <c r="G25" i="11"/>
  <c r="F248" i="11"/>
  <c r="G248" i="11"/>
  <c r="F233" i="11"/>
  <c r="G233" i="11"/>
  <c r="F254" i="11"/>
  <c r="G254" i="11"/>
  <c r="F246" i="11"/>
  <c r="G246" i="11" s="1"/>
  <c r="F234" i="11"/>
  <c r="G234" i="11"/>
  <c r="F120" i="11"/>
  <c r="G120" i="11"/>
  <c r="F232" i="11"/>
  <c r="G232" i="11"/>
  <c r="F139" i="11"/>
  <c r="G139" i="11"/>
  <c r="G29" i="11"/>
  <c r="F44" i="11"/>
  <c r="G44" i="11" s="1"/>
  <c r="F97" i="11"/>
  <c r="G97" i="11"/>
  <c r="F209" i="11"/>
  <c r="G209" i="11"/>
  <c r="F243" i="11"/>
  <c r="G243" i="11" s="1"/>
  <c r="F249" i="11"/>
  <c r="G249" i="11" s="1"/>
  <c r="F51" i="11"/>
  <c r="G51" i="11" s="1"/>
  <c r="F165" i="11"/>
  <c r="G165" i="11" s="1"/>
  <c r="F106" i="11"/>
  <c r="G106" i="11"/>
  <c r="F186" i="11"/>
  <c r="G186" i="11"/>
  <c r="F259" i="11"/>
  <c r="G259" i="11" s="1"/>
  <c r="F49" i="11"/>
  <c r="G49" i="11" s="1"/>
  <c r="F224" i="11"/>
  <c r="G224" i="11" s="1"/>
  <c r="F179" i="11"/>
  <c r="G179" i="11" s="1"/>
  <c r="F215" i="11"/>
  <c r="G215" i="11"/>
  <c r="F211" i="11"/>
  <c r="G211" i="11"/>
  <c r="F169" i="11"/>
  <c r="G169" i="11" s="1"/>
  <c r="F112" i="11"/>
  <c r="G112" i="11" s="1"/>
  <c r="G40" i="11"/>
  <c r="F185" i="11"/>
  <c r="G185" i="11"/>
  <c r="F143" i="11"/>
  <c r="G143" i="11" s="1"/>
  <c r="F111" i="11"/>
  <c r="G111" i="11"/>
  <c r="F152" i="11"/>
  <c r="G152" i="11"/>
  <c r="F230" i="11"/>
  <c r="G230" i="11"/>
  <c r="F72" i="11"/>
  <c r="G72" i="11"/>
  <c r="F247" i="11"/>
  <c r="G247" i="11"/>
  <c r="F95" i="11"/>
  <c r="G95" i="11" s="1"/>
  <c r="F190" i="11"/>
  <c r="G190" i="11"/>
  <c r="F52" i="11"/>
  <c r="G52" i="11"/>
  <c r="F128" i="11"/>
  <c r="G128" i="11"/>
  <c r="F226" i="11"/>
  <c r="G226" i="11"/>
  <c r="F222" i="11"/>
  <c r="G222" i="11"/>
  <c r="F206" i="11"/>
  <c r="G206" i="11" s="1"/>
  <c r="G22" i="11"/>
  <c r="G37" i="11"/>
  <c r="F228" i="11"/>
  <c r="G228" i="11"/>
  <c r="F262" i="11"/>
  <c r="G262" i="11"/>
  <c r="F250" i="11"/>
  <c r="G250" i="11"/>
  <c r="F82" i="11"/>
  <c r="G82" i="11"/>
  <c r="F62" i="11"/>
  <c r="G62" i="11" s="1"/>
  <c r="F84" i="11"/>
  <c r="G84" i="11"/>
  <c r="F45" i="11"/>
  <c r="G45" i="11"/>
  <c r="F253" i="11"/>
  <c r="G253" i="11"/>
  <c r="F81" i="11"/>
  <c r="G81" i="11"/>
  <c r="F124" i="11"/>
  <c r="G124" i="11"/>
  <c r="F60" i="11"/>
  <c r="G60" i="11" s="1"/>
  <c r="F46" i="11"/>
  <c r="G46" i="11"/>
  <c r="F102" i="11"/>
  <c r="G102" i="11"/>
  <c r="F158" i="11"/>
  <c r="G158" i="11"/>
  <c r="F184" i="11"/>
  <c r="G184" i="11"/>
  <c r="F138" i="11"/>
  <c r="G138" i="11"/>
  <c r="F163" i="11"/>
  <c r="G163" i="11" s="1"/>
  <c r="F99" i="11"/>
  <c r="G99" i="11"/>
  <c r="F203" i="11"/>
  <c r="G203" i="11"/>
  <c r="F241" i="11"/>
  <c r="G241" i="11"/>
  <c r="F105" i="11"/>
  <c r="G105" i="11"/>
  <c r="F154" i="11"/>
  <c r="G154" i="11"/>
  <c r="F168" i="11"/>
  <c r="G168" i="11" s="1"/>
  <c r="G24" i="11"/>
  <c r="F147" i="11"/>
  <c r="G147" i="11"/>
  <c r="F134" i="11"/>
  <c r="G134" i="11" s="1"/>
  <c r="F90" i="11"/>
  <c r="G90" i="11" s="1"/>
  <c r="F54" i="11"/>
  <c r="G54" i="11" s="1"/>
  <c r="F260" i="11"/>
  <c r="G260" i="11" s="1"/>
  <c r="F149" i="11"/>
  <c r="G149" i="11"/>
  <c r="F172" i="11"/>
  <c r="G172" i="11"/>
  <c r="F216" i="11"/>
  <c r="G216" i="11" s="1"/>
  <c r="F68" i="11"/>
  <c r="G68" i="11" s="1"/>
  <c r="F164" i="11"/>
  <c r="G164" i="11" s="1"/>
  <c r="F166" i="11"/>
  <c r="G166" i="11" s="1"/>
  <c r="F107" i="11"/>
  <c r="G107" i="11"/>
  <c r="G43" i="11"/>
  <c r="F108" i="11"/>
  <c r="G108" i="11"/>
  <c r="F121" i="11"/>
  <c r="G121" i="11"/>
  <c r="F141" i="11"/>
  <c r="G141" i="11"/>
  <c r="F89" i="11"/>
  <c r="G89" i="11"/>
  <c r="F237" i="11"/>
  <c r="G237" i="11" s="1"/>
  <c r="F126" i="11"/>
  <c r="G126" i="11"/>
  <c r="F175" i="11"/>
  <c r="G175" i="11"/>
  <c r="F80" i="11"/>
  <c r="G80" i="11"/>
  <c r="F150" i="11"/>
  <c r="G150" i="11"/>
  <c r="F200" i="11"/>
  <c r="G200" i="11"/>
  <c r="F47" i="11"/>
  <c r="G47" i="11" s="1"/>
  <c r="F88" i="11"/>
  <c r="G88" i="11"/>
  <c r="G139" i="10"/>
  <c r="G135" i="10"/>
  <c r="G131" i="10"/>
  <c r="G127" i="10"/>
  <c r="G123" i="10"/>
  <c r="G119" i="10"/>
  <c r="G115" i="10"/>
  <c r="G111" i="10"/>
  <c r="G107" i="10"/>
  <c r="G103" i="10"/>
  <c r="G99" i="10"/>
  <c r="G96" i="10"/>
  <c r="G92" i="10"/>
  <c r="G88" i="10"/>
  <c r="G84" i="10"/>
  <c r="G80" i="10"/>
  <c r="G76" i="10"/>
  <c r="G72" i="10"/>
  <c r="G68" i="10"/>
  <c r="G64" i="10"/>
  <c r="G60" i="10"/>
  <c r="G56" i="10"/>
  <c r="G52" i="10"/>
  <c r="G48" i="10"/>
  <c r="G43" i="10"/>
  <c r="G39" i="10"/>
  <c r="G35" i="10"/>
  <c r="G31" i="10"/>
  <c r="G27" i="10"/>
  <c r="G23" i="10"/>
  <c r="G138" i="10"/>
  <c r="G134" i="10"/>
  <c r="G130" i="10"/>
  <c r="G126" i="10"/>
  <c r="G122" i="10"/>
  <c r="G118" i="10"/>
  <c r="G114" i="10"/>
  <c r="G110" i="10"/>
  <c r="G106" i="10"/>
  <c r="G102" i="10"/>
  <c r="G95" i="10"/>
  <c r="G91" i="10"/>
  <c r="G87" i="10"/>
  <c r="G83" i="10"/>
  <c r="G79" i="10"/>
  <c r="G75" i="10"/>
  <c r="G71" i="10"/>
  <c r="G67" i="10"/>
  <c r="G63" i="10"/>
  <c r="G59" i="10"/>
  <c r="G55" i="10"/>
  <c r="G51" i="10"/>
  <c r="G46" i="10"/>
  <c r="G42" i="10"/>
  <c r="G38" i="10"/>
  <c r="G34" i="10"/>
  <c r="G30" i="10"/>
  <c r="G26" i="10"/>
  <c r="G22" i="10"/>
  <c r="G141" i="10"/>
  <c r="G137" i="10"/>
  <c r="G133" i="10"/>
  <c r="G129" i="10"/>
  <c r="G125" i="10"/>
  <c r="G121" i="10"/>
  <c r="G117" i="10"/>
  <c r="G113" i="10"/>
  <c r="G109" i="10"/>
  <c r="G105" i="10"/>
  <c r="G101" i="10"/>
  <c r="G98" i="10"/>
  <c r="G94" i="10"/>
  <c r="G90" i="10"/>
  <c r="G86" i="10"/>
  <c r="G82" i="10"/>
  <c r="G78" i="10"/>
  <c r="G74" i="10"/>
  <c r="G70" i="10"/>
  <c r="G66" i="10"/>
  <c r="G62" i="10"/>
  <c r="G58" i="10"/>
  <c r="G54" i="10"/>
  <c r="G50" i="10"/>
  <c r="G47" i="10"/>
  <c r="G41" i="10"/>
  <c r="G37" i="10"/>
  <c r="G33" i="10"/>
  <c r="G29" i="10"/>
  <c r="G25" i="10"/>
  <c r="G140" i="10"/>
  <c r="G136" i="10"/>
  <c r="G132" i="10"/>
  <c r="G128" i="10"/>
  <c r="G124" i="10"/>
  <c r="G120" i="10"/>
  <c r="G116" i="10"/>
  <c r="G112" i="10"/>
  <c r="G108" i="10"/>
  <c r="G104" i="10"/>
  <c r="G100" i="10"/>
  <c r="G97" i="10"/>
  <c r="G93" i="10"/>
  <c r="G89" i="10"/>
  <c r="G85" i="10"/>
  <c r="G81" i="10"/>
  <c r="G77" i="10"/>
  <c r="G73" i="10"/>
  <c r="G69" i="10"/>
  <c r="G65" i="10"/>
  <c r="G61" i="10"/>
  <c r="G57" i="10"/>
  <c r="G53" i="10"/>
  <c r="G49" i="10"/>
  <c r="G45" i="10"/>
  <c r="G40" i="10"/>
  <c r="G36" i="10"/>
  <c r="G32" i="10"/>
  <c r="G28" i="10"/>
  <c r="G24" i="10"/>
  <c r="G44" i="10"/>
  <c r="G188" i="9"/>
  <c r="G180" i="9"/>
  <c r="G172" i="9"/>
  <c r="G164" i="9"/>
  <c r="G156" i="9"/>
  <c r="G148" i="9"/>
  <c r="G144" i="9"/>
  <c r="G140" i="9"/>
  <c r="G136" i="9"/>
  <c r="G132" i="9"/>
  <c r="G128" i="9"/>
  <c r="G124" i="9"/>
  <c r="G120" i="9"/>
  <c r="G116" i="9"/>
  <c r="G112" i="9"/>
  <c r="G108" i="9"/>
  <c r="G161" i="9"/>
  <c r="G175" i="9"/>
  <c r="G189" i="9"/>
  <c r="G157" i="9"/>
  <c r="G98" i="9"/>
  <c r="G82" i="9"/>
  <c r="G66" i="9"/>
  <c r="G52" i="9"/>
  <c r="G95" i="9"/>
  <c r="G47" i="9"/>
  <c r="G34" i="9"/>
  <c r="G101" i="9"/>
  <c r="G85" i="9"/>
  <c r="G69" i="9"/>
  <c r="G25" i="9"/>
  <c r="G83" i="9"/>
  <c r="G45" i="9"/>
  <c r="G33" i="9"/>
  <c r="G163" i="9"/>
  <c r="G92" i="9"/>
  <c r="G76" i="9"/>
  <c r="G60" i="9"/>
  <c r="G26" i="9"/>
  <c r="G87" i="9"/>
  <c r="G46" i="9"/>
  <c r="G35" i="9"/>
  <c r="G186" i="9"/>
  <c r="G178" i="9"/>
  <c r="G170" i="9"/>
  <c r="G162" i="9"/>
  <c r="G154" i="9"/>
  <c r="G147" i="9"/>
  <c r="G143" i="9"/>
  <c r="G139" i="9"/>
  <c r="G135" i="9"/>
  <c r="G131" i="9"/>
  <c r="G127" i="9"/>
  <c r="G123" i="9"/>
  <c r="G119" i="9"/>
  <c r="G115" i="9"/>
  <c r="G111" i="9"/>
  <c r="G107" i="9"/>
  <c r="G185" i="9"/>
  <c r="G153" i="9"/>
  <c r="G167" i="9"/>
  <c r="G181" i="9"/>
  <c r="G149" i="9"/>
  <c r="G94" i="9"/>
  <c r="G78" i="9"/>
  <c r="G62" i="9"/>
  <c r="G50" i="9"/>
  <c r="G79" i="9"/>
  <c r="G44" i="9"/>
  <c r="G31" i="9"/>
  <c r="G97" i="9"/>
  <c r="G81" i="9"/>
  <c r="G65" i="9"/>
  <c r="G71" i="9"/>
  <c r="G42" i="9"/>
  <c r="G30" i="9"/>
  <c r="G104" i="9"/>
  <c r="G88" i="9"/>
  <c r="G72" i="9"/>
  <c r="G56" i="9"/>
  <c r="G22" i="9"/>
  <c r="G75" i="9"/>
  <c r="G43" i="9"/>
  <c r="G32" i="9"/>
  <c r="G192" i="9"/>
  <c r="G184" i="9"/>
  <c r="G176" i="9"/>
  <c r="G168" i="9"/>
  <c r="G160" i="9"/>
  <c r="G152" i="9"/>
  <c r="G146" i="9"/>
  <c r="G142" i="9"/>
  <c r="G138" i="9"/>
  <c r="G134" i="9"/>
  <c r="G130" i="9"/>
  <c r="G126" i="9"/>
  <c r="G122" i="9"/>
  <c r="G118" i="9"/>
  <c r="G114" i="9"/>
  <c r="G110" i="9"/>
  <c r="G106" i="9"/>
  <c r="G177" i="9"/>
  <c r="G191" i="9"/>
  <c r="G159" i="9"/>
  <c r="G173" i="9"/>
  <c r="G179" i="9"/>
  <c r="G90" i="9"/>
  <c r="G74" i="9"/>
  <c r="G58" i="9"/>
  <c r="G24" i="9"/>
  <c r="G67" i="9"/>
  <c r="G41" i="9"/>
  <c r="G28" i="9"/>
  <c r="G93" i="9"/>
  <c r="G77" i="9"/>
  <c r="G61" i="9"/>
  <c r="G103" i="9"/>
  <c r="G59" i="9"/>
  <c r="G39" i="9"/>
  <c r="G27" i="9"/>
  <c r="G100" i="9"/>
  <c r="G84" i="9"/>
  <c r="G68" i="9"/>
  <c r="G53" i="9"/>
  <c r="G187" i="9"/>
  <c r="G55" i="9"/>
  <c r="G40" i="9"/>
  <c r="G29" i="9"/>
  <c r="G190" i="9"/>
  <c r="G182" i="9"/>
  <c r="G174" i="9"/>
  <c r="G166" i="9"/>
  <c r="G158" i="9"/>
  <c r="G150" i="9"/>
  <c r="G145" i="9"/>
  <c r="G141" i="9"/>
  <c r="G137" i="9"/>
  <c r="G133" i="9"/>
  <c r="G129" i="9"/>
  <c r="G125" i="9"/>
  <c r="G121" i="9"/>
  <c r="G117" i="9"/>
  <c r="G113" i="9"/>
  <c r="G109" i="9"/>
  <c r="G105" i="9"/>
  <c r="G169" i="9"/>
  <c r="G183" i="9"/>
  <c r="G151" i="9"/>
  <c r="G165" i="9"/>
  <c r="G102" i="9"/>
  <c r="G86" i="9"/>
  <c r="G70" i="9"/>
  <c r="G54" i="9"/>
  <c r="G155" i="9"/>
  <c r="G63" i="9"/>
  <c r="G38" i="9"/>
  <c r="G171" i="9"/>
  <c r="G89" i="9"/>
  <c r="G73" i="9"/>
  <c r="G57" i="9"/>
  <c r="G91" i="9"/>
  <c r="G48" i="9"/>
  <c r="G36" i="9"/>
  <c r="G23" i="9"/>
  <c r="G96" i="9"/>
  <c r="G80" i="9"/>
  <c r="G64" i="9"/>
  <c r="G51" i="9"/>
  <c r="G99" i="9"/>
  <c r="G49" i="9"/>
  <c r="G37" i="9"/>
  <c r="G143" i="8"/>
  <c r="G135" i="8"/>
  <c r="G127" i="8"/>
  <c r="G119" i="8"/>
  <c r="G111" i="8"/>
  <c r="G105" i="8"/>
  <c r="G101" i="8"/>
  <c r="G97" i="8"/>
  <c r="G93" i="8"/>
  <c r="G89" i="8"/>
  <c r="G85" i="8"/>
  <c r="G81" i="8"/>
  <c r="G77" i="8"/>
  <c r="G73" i="8"/>
  <c r="G69" i="8"/>
  <c r="G65" i="8"/>
  <c r="G61" i="8"/>
  <c r="G57" i="8"/>
  <c r="G53" i="8"/>
  <c r="G118" i="8"/>
  <c r="G136" i="8"/>
  <c r="G148" i="8"/>
  <c r="G116" i="8"/>
  <c r="G22" i="8"/>
  <c r="G138" i="8"/>
  <c r="G52" i="8"/>
  <c r="G48" i="8"/>
  <c r="G44" i="8"/>
  <c r="G40" i="8"/>
  <c r="G36" i="8"/>
  <c r="G32" i="8"/>
  <c r="G120" i="8"/>
  <c r="G38" i="8"/>
  <c r="G30" i="8"/>
  <c r="G149" i="8"/>
  <c r="G141" i="8"/>
  <c r="G133" i="8"/>
  <c r="G125" i="8"/>
  <c r="G117" i="8"/>
  <c r="G109" i="8"/>
  <c r="G104" i="8"/>
  <c r="G100" i="8"/>
  <c r="G96" i="8"/>
  <c r="G92" i="8"/>
  <c r="G88" i="8"/>
  <c r="G84" i="8"/>
  <c r="G80" i="8"/>
  <c r="G76" i="8"/>
  <c r="G72" i="8"/>
  <c r="G68" i="8"/>
  <c r="G64" i="8"/>
  <c r="G60" i="8"/>
  <c r="G56" i="8"/>
  <c r="G142" i="8"/>
  <c r="G110" i="8"/>
  <c r="G112" i="8"/>
  <c r="G140" i="8"/>
  <c r="G108" i="8"/>
  <c r="G144" i="8"/>
  <c r="G130" i="8"/>
  <c r="G51" i="8"/>
  <c r="G47" i="8"/>
  <c r="G43" i="8"/>
  <c r="G39" i="8"/>
  <c r="G35" i="8"/>
  <c r="G31" i="8"/>
  <c r="G34" i="8"/>
  <c r="G147" i="8"/>
  <c r="G139" i="8"/>
  <c r="G131" i="8"/>
  <c r="G123" i="8"/>
  <c r="G115" i="8"/>
  <c r="G107" i="8"/>
  <c r="G103" i="8"/>
  <c r="G99" i="8"/>
  <c r="G95" i="8"/>
  <c r="G91" i="8"/>
  <c r="G87" i="8"/>
  <c r="G83" i="8"/>
  <c r="G79" i="8"/>
  <c r="G75" i="8"/>
  <c r="G71" i="8"/>
  <c r="G67" i="8"/>
  <c r="G63" i="8"/>
  <c r="G59" i="8"/>
  <c r="G55" i="8"/>
  <c r="G134" i="8"/>
  <c r="G28" i="8"/>
  <c r="G27" i="8"/>
  <c r="G132" i="8"/>
  <c r="G29" i="8"/>
  <c r="G128" i="8"/>
  <c r="G122" i="8"/>
  <c r="G50" i="8"/>
  <c r="G46" i="8"/>
  <c r="G42" i="8"/>
  <c r="G26" i="8"/>
  <c r="G145" i="8"/>
  <c r="G137" i="8"/>
  <c r="G129" i="8"/>
  <c r="G121" i="8"/>
  <c r="G113" i="8"/>
  <c r="G106" i="8"/>
  <c r="G102" i="8"/>
  <c r="G98" i="8"/>
  <c r="G94" i="8"/>
  <c r="G90" i="8"/>
  <c r="G86" i="8"/>
  <c r="G82" i="8"/>
  <c r="G78" i="8"/>
  <c r="G74" i="8"/>
  <c r="G70" i="8"/>
  <c r="G66" i="8"/>
  <c r="G62" i="8"/>
  <c r="G58" i="8"/>
  <c r="G54" i="8"/>
  <c r="G126" i="8"/>
  <c r="G24" i="8"/>
  <c r="G23" i="8"/>
  <c r="G124" i="8"/>
  <c r="G25" i="8"/>
  <c r="G146" i="8"/>
  <c r="G114" i="8"/>
  <c r="G49" i="8"/>
  <c r="G45" i="8"/>
  <c r="G41" i="8"/>
  <c r="G37" i="8"/>
  <c r="G33" i="8"/>
  <c r="G380" i="7"/>
  <c r="G381" i="7"/>
  <c r="G244" i="7"/>
  <c r="G302" i="7"/>
  <c r="G209" i="7"/>
  <c r="G177" i="7"/>
  <c r="G318" i="7"/>
  <c r="G207" i="7"/>
  <c r="G176" i="7"/>
  <c r="G96" i="7"/>
  <c r="G103" i="7"/>
  <c r="G222" i="7"/>
  <c r="G321" i="7"/>
  <c r="G275" i="7"/>
  <c r="G351" i="7"/>
  <c r="G84" i="7"/>
  <c r="G245" i="7"/>
  <c r="G29" i="7"/>
  <c r="G254" i="7"/>
  <c r="G366" i="7"/>
  <c r="G269" i="7"/>
  <c r="G294" i="7"/>
  <c r="G202" i="7"/>
  <c r="G70" i="7"/>
  <c r="G250" i="7"/>
  <c r="G333" i="7"/>
  <c r="G46" i="7"/>
  <c r="G273" i="7"/>
  <c r="G274" i="7"/>
  <c r="G65" i="7"/>
  <c r="G28" i="7"/>
  <c r="G262" i="7"/>
  <c r="G97" i="7"/>
  <c r="G367" i="7"/>
  <c r="G282" i="7"/>
  <c r="G45" i="7"/>
  <c r="G78" i="7"/>
  <c r="G325" i="7"/>
  <c r="G68" i="7"/>
  <c r="G88" i="7"/>
  <c r="G276" i="7"/>
  <c r="G268" i="7"/>
  <c r="G50" i="7"/>
  <c r="G354" i="7"/>
  <c r="G377" i="7"/>
  <c r="G69" i="7"/>
  <c r="G346" i="7"/>
  <c r="G129" i="7"/>
  <c r="G121" i="7"/>
  <c r="G183" i="7"/>
  <c r="G59" i="7"/>
  <c r="G164" i="7"/>
  <c r="G287" i="7"/>
  <c r="G36" i="7"/>
  <c r="G186" i="7"/>
  <c r="G57" i="7"/>
  <c r="G49" i="7"/>
  <c r="G290" i="7"/>
  <c r="G313" i="7"/>
  <c r="G77" i="7"/>
  <c r="G182" i="7"/>
  <c r="G31" i="7"/>
  <c r="G169" i="7"/>
  <c r="G251" i="7"/>
  <c r="G90" i="7"/>
  <c r="G112" i="7"/>
  <c r="G180" i="7"/>
  <c r="G368" i="7"/>
  <c r="G361" i="7"/>
  <c r="G215" i="7"/>
  <c r="G133" i="7"/>
  <c r="G256" i="7"/>
  <c r="G39" i="7"/>
  <c r="G327" i="7"/>
  <c r="G37" i="7"/>
  <c r="G75" i="7"/>
  <c r="G258" i="7"/>
  <c r="G71" i="7"/>
  <c r="G324" i="7"/>
  <c r="G63" i="7"/>
  <c r="G359" i="7"/>
  <c r="G328" i="7"/>
  <c r="G352" i="7"/>
  <c r="G338" i="7"/>
  <c r="G280" i="7"/>
  <c r="G335" i="7"/>
  <c r="G102" i="7"/>
  <c r="G289" i="7"/>
  <c r="G86" i="7"/>
  <c r="G264" i="7"/>
  <c r="G48" i="7"/>
  <c r="G122" i="7"/>
  <c r="G296" i="7"/>
  <c r="G85" i="7"/>
  <c r="G24" i="7"/>
  <c r="G160" i="7"/>
  <c r="G114" i="7"/>
  <c r="G25" i="7"/>
  <c r="G148" i="7"/>
  <c r="G118" i="7"/>
  <c r="G67" i="7"/>
  <c r="G82" i="7"/>
  <c r="G123" i="7"/>
  <c r="G198" i="7"/>
  <c r="G347" i="7"/>
  <c r="G372" i="7"/>
  <c r="G326" i="7"/>
  <c r="G227" i="7"/>
  <c r="G298" i="7"/>
  <c r="G249" i="7"/>
  <c r="G304" i="7"/>
  <c r="G371" i="7"/>
  <c r="G200" i="7"/>
  <c r="G341" i="7"/>
  <c r="G115" i="7"/>
  <c r="G106" i="7"/>
  <c r="G178" i="7"/>
  <c r="G150" i="7"/>
  <c r="G136" i="7"/>
  <c r="G73" i="7"/>
  <c r="G255" i="7"/>
  <c r="G101" i="7"/>
  <c r="G32" i="7"/>
  <c r="G234" i="7"/>
  <c r="G66" i="7"/>
  <c r="G170" i="7"/>
  <c r="G128" i="7"/>
  <c r="G94" i="7"/>
  <c r="G62" i="7"/>
  <c r="G132" i="7"/>
  <c r="G117" i="7"/>
  <c r="G281" i="7"/>
  <c r="G76" i="7"/>
  <c r="G189" i="7"/>
  <c r="G124" i="7"/>
  <c r="G196" i="7"/>
  <c r="G348" i="7"/>
  <c r="G316" i="7"/>
  <c r="G47" i="7"/>
  <c r="G237" i="7"/>
  <c r="G55" i="7"/>
  <c r="G139" i="7"/>
  <c r="G311" i="7"/>
  <c r="G278" i="7"/>
  <c r="G331" i="7"/>
  <c r="G135" i="7"/>
  <c r="G284" i="7"/>
  <c r="G252" i="7"/>
  <c r="G288" i="7"/>
  <c r="G356" i="7"/>
  <c r="G193" i="7"/>
  <c r="G223" i="7"/>
  <c r="G231" i="7"/>
  <c r="G56" i="7"/>
  <c r="G172" i="7"/>
  <c r="G334" i="7"/>
  <c r="G305" i="7"/>
  <c r="G373" i="7"/>
  <c r="G315" i="7"/>
  <c r="G184" i="7"/>
  <c r="G26" i="7"/>
  <c r="G353" i="7"/>
  <c r="G312" i="7"/>
  <c r="G95" i="7"/>
  <c r="G60" i="7"/>
  <c r="G173" i="7"/>
  <c r="G213" i="7"/>
  <c r="G378" i="7"/>
  <c r="G163" i="7"/>
  <c r="G99" i="7"/>
  <c r="G267" i="7"/>
  <c r="G309" i="7"/>
  <c r="G130" i="7"/>
  <c r="G42" i="7"/>
  <c r="G340" i="7"/>
  <c r="G303" i="7"/>
  <c r="G314" i="7"/>
  <c r="G300" i="7"/>
  <c r="G233" i="7"/>
  <c r="G208" i="7"/>
  <c r="G232" i="7"/>
  <c r="G158" i="7"/>
  <c r="G168" i="7"/>
  <c r="G98" i="7"/>
  <c r="G104" i="7"/>
  <c r="G329" i="7"/>
  <c r="G271" i="7"/>
  <c r="G147" i="7"/>
  <c r="G211" i="7"/>
  <c r="G74" i="7"/>
  <c r="G291" i="7"/>
  <c r="G191" i="7"/>
  <c r="G131" i="7"/>
  <c r="G54" i="7"/>
  <c r="G34" i="7"/>
  <c r="G205" i="7"/>
  <c r="G108" i="7"/>
  <c r="G179" i="7"/>
  <c r="G363" i="7"/>
  <c r="G181" i="7"/>
  <c r="G111" i="7"/>
  <c r="G152" i="7"/>
  <c r="G228" i="7"/>
  <c r="G355" i="7"/>
  <c r="G212" i="7"/>
  <c r="G317" i="7"/>
  <c r="G277" i="7"/>
  <c r="G33" i="7"/>
  <c r="G210" i="7"/>
  <c r="G93" i="7"/>
  <c r="G308" i="7"/>
  <c r="G100" i="7"/>
  <c r="G357" i="7"/>
  <c r="G286" i="7"/>
  <c r="G330" i="7"/>
  <c r="G195" i="7"/>
  <c r="G220" i="7"/>
  <c r="G292" i="7"/>
  <c r="G89" i="7"/>
  <c r="G40" i="7"/>
  <c r="G270" i="7"/>
  <c r="G310" i="7"/>
  <c r="G259" i="7"/>
  <c r="G257" i="7"/>
  <c r="G53" i="7"/>
  <c r="G107" i="7"/>
  <c r="G81" i="7"/>
  <c r="G58" i="7"/>
  <c r="G344" i="7"/>
  <c r="G116" i="7"/>
  <c r="G166" i="7"/>
  <c r="G64" i="7"/>
  <c r="G83" i="7"/>
  <c r="G297" i="7"/>
  <c r="G293" i="7"/>
  <c r="G279" i="7"/>
  <c r="G376" i="7"/>
  <c r="G248" i="7"/>
  <c r="G127" i="7"/>
  <c r="G126" i="7"/>
  <c r="G138" i="7"/>
  <c r="G343" i="7"/>
  <c r="G369" i="7"/>
  <c r="G52" i="7"/>
  <c r="G161" i="7"/>
  <c r="G194" i="7"/>
  <c r="G192" i="7"/>
  <c r="G272" i="7"/>
  <c r="G224" i="7"/>
  <c r="G349" i="7"/>
  <c r="G247" i="7"/>
  <c r="G23" i="7"/>
  <c r="G199" i="7"/>
  <c r="G120" i="7"/>
  <c r="G243" i="7"/>
  <c r="G162" i="7"/>
  <c r="G217" i="7"/>
  <c r="G105" i="7"/>
  <c r="G174" i="7"/>
  <c r="G337" i="7"/>
  <c r="G175" i="7"/>
  <c r="G253" i="7"/>
  <c r="G375" i="7"/>
  <c r="G80" i="7"/>
  <c r="G113" i="7"/>
  <c r="G265" i="7"/>
  <c r="G218" i="7"/>
  <c r="G370" i="7"/>
  <c r="G156" i="7"/>
  <c r="G229" i="7"/>
  <c r="G342" i="7"/>
  <c r="G190" i="7"/>
  <c r="G38" i="7"/>
  <c r="G379" i="7"/>
  <c r="G137" i="7"/>
  <c r="G154" i="7"/>
  <c r="G226" i="7"/>
  <c r="G301" i="7"/>
  <c r="G153" i="7"/>
  <c r="G206" i="7"/>
  <c r="G203" i="7"/>
  <c r="G109" i="7"/>
  <c r="G295" i="7"/>
  <c r="G79" i="7"/>
  <c r="G261" i="7"/>
  <c r="G30" i="7"/>
  <c r="G61" i="7"/>
  <c r="G144" i="7"/>
  <c r="G134" i="7"/>
  <c r="G171" i="7"/>
  <c r="G51" i="7"/>
  <c r="G149" i="7"/>
  <c r="G110" i="7"/>
  <c r="G157" i="7"/>
  <c r="G43" i="7"/>
  <c r="G285" i="7"/>
  <c r="G214" i="7"/>
  <c r="G362" i="7"/>
  <c r="G141" i="7"/>
  <c r="G230" i="7"/>
  <c r="G323" i="7"/>
  <c r="F389" i="7"/>
  <c r="G143" i="7"/>
  <c r="G306" i="7"/>
  <c r="G238" i="7"/>
  <c r="G197" i="7"/>
  <c r="G27" i="7"/>
  <c r="G87" i="7"/>
  <c r="G41" i="7"/>
  <c r="G332" i="7"/>
  <c r="G225" i="7"/>
  <c r="G146" i="7"/>
  <c r="G358" i="7"/>
  <c r="G125" i="7"/>
  <c r="G140" i="7"/>
  <c r="G240" i="7"/>
  <c r="G35" i="7"/>
  <c r="G145" i="7"/>
  <c r="G119" i="7"/>
  <c r="G204" i="7"/>
  <c r="G360" i="7"/>
  <c r="G320" i="7"/>
  <c r="G155" i="7"/>
  <c r="G142" i="7"/>
  <c r="G307" i="7"/>
  <c r="G92" i="7"/>
  <c r="G322" i="7"/>
  <c r="G187" i="7"/>
  <c r="G201" i="7"/>
  <c r="G365" i="7"/>
  <c r="G246" i="7"/>
  <c r="G216" i="7"/>
  <c r="G151" i="7"/>
  <c r="G336" i="7"/>
  <c r="G235" i="7"/>
  <c r="G266" i="7"/>
  <c r="G185" i="7"/>
  <c r="G241" i="7"/>
  <c r="G345" i="7"/>
  <c r="G221" i="7"/>
  <c r="G242" i="7"/>
  <c r="G165" i="7"/>
  <c r="G167" i="7"/>
  <c r="G188" i="7"/>
  <c r="G159" i="7"/>
  <c r="G219" i="7"/>
  <c r="G44" i="7"/>
  <c r="G263" i="7"/>
  <c r="G260" i="7"/>
  <c r="G72" i="7"/>
  <c r="G299" i="7"/>
  <c r="G236" i="7"/>
  <c r="G364" i="7"/>
  <c r="G283" i="7"/>
  <c r="G319" i="7"/>
  <c r="G374" i="7"/>
  <c r="G239" i="7"/>
  <c r="G91" i="7"/>
  <c r="G339" i="7"/>
  <c r="G72" i="5"/>
  <c r="G43" i="5"/>
  <c r="G48" i="5"/>
  <c r="G106" i="5"/>
  <c r="G130" i="5"/>
  <c r="G54" i="5"/>
  <c r="G133" i="5"/>
  <c r="G122" i="5"/>
  <c r="G62" i="5"/>
  <c r="G142" i="5"/>
  <c r="G149" i="5"/>
  <c r="G148" i="5"/>
  <c r="G126" i="5"/>
  <c r="G145" i="5"/>
  <c r="G56" i="5"/>
  <c r="G113" i="5"/>
  <c r="G78" i="5"/>
  <c r="G37" i="5"/>
  <c r="G36" i="5"/>
  <c r="G123" i="5"/>
  <c r="G85" i="5"/>
  <c r="G28" i="5"/>
  <c r="G46" i="5"/>
  <c r="G67" i="5"/>
  <c r="G60" i="5"/>
  <c r="G147" i="5"/>
  <c r="G25" i="5"/>
  <c r="G103" i="5"/>
  <c r="G26" i="5"/>
  <c r="G61" i="5"/>
  <c r="G139" i="5"/>
  <c r="G24" i="5"/>
  <c r="G53" i="5"/>
  <c r="G121" i="5"/>
  <c r="G96" i="5"/>
  <c r="G71" i="5"/>
  <c r="G97" i="5"/>
  <c r="G146" i="5"/>
  <c r="G44" i="5"/>
  <c r="G83" i="5"/>
  <c r="G100" i="5"/>
  <c r="G115" i="5"/>
  <c r="G66" i="5"/>
  <c r="G32" i="5"/>
  <c r="G70" i="5"/>
  <c r="G124" i="5"/>
  <c r="G128" i="5"/>
  <c r="G91" i="5"/>
  <c r="G51" i="5"/>
  <c r="G136" i="5"/>
  <c r="G111" i="5"/>
  <c r="G69" i="5"/>
  <c r="G108" i="5"/>
  <c r="G140" i="5"/>
  <c r="G116" i="5"/>
  <c r="G27" i="5"/>
  <c r="G31" i="5"/>
  <c r="G81" i="5"/>
  <c r="G57" i="5"/>
  <c r="G40" i="5"/>
  <c r="G99" i="5"/>
  <c r="G77" i="5"/>
  <c r="G114" i="5"/>
  <c r="G101" i="5"/>
  <c r="G74" i="5"/>
  <c r="G29" i="5"/>
  <c r="G39" i="5"/>
  <c r="G93" i="5"/>
  <c r="G112" i="5"/>
  <c r="G68" i="5"/>
  <c r="G41" i="5"/>
  <c r="G94" i="5"/>
  <c r="G73" i="5"/>
  <c r="G120" i="5"/>
  <c r="G98" i="5"/>
  <c r="G135" i="5"/>
  <c r="G84" i="5"/>
  <c r="G49" i="5"/>
  <c r="G127" i="5"/>
  <c r="G34" i="5"/>
  <c r="G95" i="5"/>
  <c r="G87" i="5"/>
  <c r="G141" i="5"/>
  <c r="G107" i="5"/>
  <c r="G33" i="5"/>
  <c r="G50" i="5"/>
  <c r="G134" i="5"/>
  <c r="G82" i="5"/>
  <c r="G132" i="5"/>
  <c r="G105" i="5"/>
  <c r="G30" i="5"/>
  <c r="G58" i="5"/>
  <c r="G125" i="5"/>
  <c r="G137" i="5"/>
  <c r="G63" i="5"/>
  <c r="G76" i="5"/>
  <c r="G45" i="5"/>
  <c r="G65" i="5"/>
  <c r="G92" i="5"/>
  <c r="G131" i="5"/>
  <c r="G55" i="5"/>
  <c r="G47" i="5"/>
  <c r="G42" i="5"/>
  <c r="G138" i="5"/>
  <c r="G79" i="5"/>
  <c r="G118" i="5"/>
  <c r="G117" i="5"/>
  <c r="G102" i="5"/>
  <c r="G110" i="5"/>
  <c r="G23" i="5"/>
  <c r="G59" i="5"/>
  <c r="G35" i="5"/>
  <c r="G143" i="5"/>
  <c r="G109" i="5"/>
  <c r="G119" i="5"/>
  <c r="G38" i="5"/>
  <c r="G129" i="5"/>
  <c r="G88" i="5"/>
  <c r="G80" i="5"/>
  <c r="G64" i="5"/>
  <c r="G52" i="5"/>
  <c r="G104" i="5"/>
  <c r="G75" i="5"/>
  <c r="G144" i="5"/>
  <c r="G90" i="5"/>
  <c r="G89" i="5"/>
  <c r="G86" i="5"/>
  <c r="G383" i="4"/>
  <c r="G384" i="4"/>
  <c r="G381" i="4"/>
  <c r="G253" i="4"/>
  <c r="G375" i="4"/>
  <c r="G158" i="4"/>
  <c r="G342" i="4"/>
  <c r="G213" i="4"/>
  <c r="G333" i="4"/>
  <c r="G76" i="4"/>
  <c r="G234" i="4"/>
  <c r="G93" i="4"/>
  <c r="G223" i="4"/>
  <c r="G269" i="4"/>
  <c r="G231" i="4"/>
  <c r="G23" i="4"/>
  <c r="G191" i="4"/>
  <c r="G248" i="4"/>
  <c r="G126" i="4"/>
  <c r="G305" i="4"/>
  <c r="G371" i="4"/>
  <c r="G345" i="4"/>
  <c r="G334" i="4"/>
  <c r="G124" i="4"/>
  <c r="G338" i="4"/>
  <c r="G350" i="4"/>
  <c r="G172" i="4"/>
  <c r="G63" i="4"/>
  <c r="G341" i="4"/>
  <c r="G154" i="4"/>
  <c r="G127" i="4"/>
  <c r="G363" i="4"/>
  <c r="F392" i="4"/>
  <c r="G295" i="4"/>
  <c r="G290" i="4"/>
  <c r="G101" i="4"/>
  <c r="G162" i="4"/>
  <c r="G88" i="4"/>
  <c r="G165" i="4"/>
  <c r="G300" i="4"/>
  <c r="G153" i="4"/>
  <c r="G111" i="4"/>
  <c r="G110" i="4"/>
  <c r="G33" i="4"/>
  <c r="G173" i="4"/>
  <c r="G379" i="4"/>
  <c r="G268" i="4"/>
  <c r="G224" i="4"/>
  <c r="G197" i="4"/>
  <c r="G152" i="4"/>
  <c r="G232" i="4"/>
  <c r="G317" i="4"/>
  <c r="G296" i="4"/>
  <c r="G230" i="4"/>
  <c r="G264" i="4"/>
  <c r="G139" i="4"/>
  <c r="G151" i="4"/>
  <c r="G366" i="4"/>
  <c r="G135" i="4"/>
  <c r="G119" i="4"/>
  <c r="G277" i="4"/>
  <c r="G364" i="4"/>
  <c r="G325" i="4"/>
  <c r="G240" i="4"/>
  <c r="G318" i="4"/>
  <c r="G372" i="4"/>
  <c r="G280" i="4"/>
  <c r="G313" i="4"/>
  <c r="G146" i="4"/>
  <c r="G129" i="4"/>
  <c r="G198" i="4"/>
  <c r="G237" i="4"/>
  <c r="G265" i="4"/>
  <c r="G136" i="4"/>
  <c r="G227" i="4"/>
  <c r="G148" i="4"/>
  <c r="G159" i="4"/>
  <c r="G59" i="4"/>
  <c r="G261" i="4"/>
  <c r="G156" i="4"/>
  <c r="G311" i="4"/>
  <c r="G185" i="4"/>
  <c r="G285" i="4"/>
  <c r="G103" i="4"/>
  <c r="G332" i="4"/>
  <c r="G239" i="4"/>
  <c r="G89" i="4"/>
  <c r="G256" i="4"/>
  <c r="G226" i="4"/>
  <c r="G266" i="4"/>
  <c r="G279" i="4"/>
  <c r="G186" i="4"/>
  <c r="G339" i="4"/>
  <c r="G170" i="4"/>
  <c r="G64" i="4"/>
  <c r="G53" i="4"/>
  <c r="G54" i="4"/>
  <c r="G316" i="4"/>
  <c r="G187" i="4"/>
  <c r="G95" i="4"/>
  <c r="G209" i="4"/>
  <c r="G31" i="4"/>
  <c r="G149" i="4"/>
  <c r="G42" i="4"/>
  <c r="G86" i="4"/>
  <c r="G123" i="4"/>
  <c r="G212" i="4"/>
  <c r="G130" i="4"/>
  <c r="G189" i="4"/>
  <c r="G29" i="4"/>
  <c r="G169" i="4"/>
  <c r="G301" i="4"/>
  <c r="G283" i="4"/>
  <c r="G354" i="4"/>
  <c r="G200" i="4"/>
  <c r="G235" i="4"/>
  <c r="G303" i="4"/>
  <c r="G270" i="4"/>
  <c r="G202" i="4"/>
  <c r="G378" i="4"/>
  <c r="G377" i="4"/>
  <c r="G55" i="4"/>
  <c r="G43" i="4"/>
  <c r="G26" i="4"/>
  <c r="G160" i="4"/>
  <c r="G211" i="4"/>
  <c r="G251" i="4"/>
  <c r="G208" i="4"/>
  <c r="G274" i="4"/>
  <c r="G70" i="4"/>
  <c r="G164" i="4"/>
  <c r="G161" i="4"/>
  <c r="G281" i="4"/>
  <c r="G122" i="4"/>
  <c r="G245" i="4"/>
  <c r="G68" i="4"/>
  <c r="G137" i="4"/>
  <c r="G25" i="4"/>
  <c r="G150" i="4"/>
  <c r="G140" i="4"/>
  <c r="G312" i="4"/>
  <c r="G289" i="4"/>
  <c r="G310" i="4"/>
  <c r="G35" i="4"/>
  <c r="G276" i="4"/>
  <c r="G85" i="4"/>
  <c r="G91" i="4"/>
  <c r="G221" i="4"/>
  <c r="G114" i="4"/>
  <c r="G206" i="4"/>
  <c r="G34" i="4"/>
  <c r="G141" i="4"/>
  <c r="G196" i="4"/>
  <c r="G207" i="4"/>
  <c r="G46" i="4"/>
  <c r="G132" i="4"/>
  <c r="G249" i="4"/>
  <c r="G336" i="4"/>
  <c r="G181" i="4"/>
  <c r="G155" i="4"/>
  <c r="G321" i="4"/>
  <c r="G115" i="4"/>
  <c r="G81" i="4"/>
  <c r="G308" i="4"/>
  <c r="G112" i="4"/>
  <c r="G72" i="4"/>
  <c r="G275" i="4"/>
  <c r="G182" i="4"/>
  <c r="G210" i="4"/>
  <c r="G183" i="4"/>
  <c r="G184" i="4"/>
  <c r="G370" i="4"/>
  <c r="G195" i="4"/>
  <c r="G243" i="4"/>
  <c r="G214" i="4"/>
  <c r="G287" i="4"/>
  <c r="G166" i="4"/>
  <c r="G340" i="4"/>
  <c r="G44" i="4"/>
  <c r="G246" i="4"/>
  <c r="G121" i="4"/>
  <c r="G109" i="4"/>
  <c r="G369" i="4"/>
  <c r="G67" i="4"/>
  <c r="G306" i="4"/>
  <c r="G56" i="4"/>
  <c r="G77" i="4"/>
  <c r="G117" i="4"/>
  <c r="G147" i="4"/>
  <c r="G299" i="4"/>
  <c r="G105" i="4"/>
  <c r="G219" i="4"/>
  <c r="G352" i="4"/>
  <c r="G190" i="4"/>
  <c r="G382" i="4"/>
  <c r="G326" i="4"/>
  <c r="G87" i="4"/>
  <c r="G286" i="4"/>
  <c r="G90" i="4"/>
  <c r="G50" i="4"/>
  <c r="G242" i="4"/>
  <c r="G357" i="4"/>
  <c r="G362" i="4"/>
  <c r="G368" i="4"/>
  <c r="G319" i="4"/>
  <c r="G331" i="4"/>
  <c r="G142" i="4"/>
  <c r="G247" i="4"/>
  <c r="G138" i="4"/>
  <c r="G217" i="4"/>
  <c r="G215" i="4"/>
  <c r="G307" i="4"/>
  <c r="G75" i="4"/>
  <c r="G328" i="4"/>
  <c r="G179" i="4"/>
  <c r="G163" i="4"/>
  <c r="G171" i="4"/>
  <c r="G24" i="4"/>
  <c r="G204" i="4"/>
  <c r="G294" i="4"/>
  <c r="G233" i="4"/>
  <c r="G106" i="4"/>
  <c r="G365" i="4"/>
  <c r="G358" i="4"/>
  <c r="G229" i="4"/>
  <c r="G94" i="4"/>
  <c r="G376" i="4"/>
  <c r="G177" i="4"/>
  <c r="G203" i="4"/>
  <c r="G348" i="4"/>
  <c r="G113" i="4"/>
  <c r="G324" i="4"/>
  <c r="G120" i="4"/>
  <c r="G134" i="4"/>
  <c r="G66" i="4"/>
  <c r="G144" i="4"/>
  <c r="G361" i="4"/>
  <c r="G116" i="4"/>
  <c r="G257" i="4"/>
  <c r="G60" i="4"/>
  <c r="G96" i="4"/>
  <c r="G225" i="4"/>
  <c r="G380" i="4"/>
  <c r="G62" i="4"/>
  <c r="G71" i="4"/>
  <c r="G49" i="4"/>
  <c r="G74" i="4"/>
  <c r="G216" i="4"/>
  <c r="G349" i="4"/>
  <c r="G107" i="4"/>
  <c r="G302" i="4"/>
  <c r="G222" i="4"/>
  <c r="G298" i="4"/>
  <c r="G40" i="4"/>
  <c r="G359" i="4"/>
  <c r="G118" i="4"/>
  <c r="G218" i="4"/>
  <c r="G288" i="4"/>
  <c r="G39" i="4"/>
  <c r="G36" i="4"/>
  <c r="G38" i="4"/>
  <c r="G176" i="4"/>
  <c r="G98" i="4"/>
  <c r="G315" i="4"/>
  <c r="G201" i="4"/>
  <c r="G73" i="4"/>
  <c r="G194" i="4"/>
  <c r="G45" i="4"/>
  <c r="G27" i="4"/>
  <c r="G128" i="4"/>
  <c r="G244" i="4"/>
  <c r="G367" i="4"/>
  <c r="G259" i="4"/>
  <c r="G355" i="4"/>
  <c r="G293" i="4"/>
  <c r="G92" i="4"/>
  <c r="G32" i="4"/>
  <c r="G291" i="4"/>
  <c r="G51" i="4"/>
  <c r="G262" i="4"/>
  <c r="G343" i="4"/>
  <c r="G199" i="4"/>
  <c r="G84" i="4"/>
  <c r="G258" i="4"/>
  <c r="G238" i="4"/>
  <c r="G97" i="4"/>
  <c r="G100" i="4"/>
  <c r="G99" i="4"/>
  <c r="G335" i="4"/>
  <c r="G157" i="4"/>
  <c r="G102" i="4"/>
  <c r="G104" i="4"/>
  <c r="G125" i="4"/>
  <c r="G271" i="4"/>
  <c r="G241" i="4"/>
  <c r="G174" i="4"/>
  <c r="G192" i="4"/>
  <c r="G80" i="4"/>
  <c r="G322" i="4"/>
  <c r="G167" i="4"/>
  <c r="G263" i="4"/>
  <c r="G188" i="4"/>
  <c r="G297" i="4"/>
  <c r="G168" i="4"/>
  <c r="G58" i="4"/>
  <c r="G309" i="4"/>
  <c r="G329" i="4"/>
  <c r="G205" i="4"/>
  <c r="G57" i="4"/>
  <c r="G272" i="4"/>
  <c r="G327" i="4"/>
  <c r="G79" i="4"/>
  <c r="G178" i="4"/>
  <c r="G41" i="4"/>
  <c r="G82" i="4"/>
  <c r="G255" i="4"/>
  <c r="G131" i="4"/>
  <c r="G228" i="4"/>
  <c r="G267" i="4"/>
  <c r="G236" i="4"/>
  <c r="G346" i="4"/>
  <c r="G28" i="4"/>
  <c r="G250" i="4"/>
  <c r="G252" i="4"/>
  <c r="G180" i="4"/>
  <c r="G22" i="4"/>
  <c r="G323" i="4"/>
  <c r="G52" i="4"/>
  <c r="G374" i="4"/>
  <c r="G193" i="4"/>
  <c r="G69" i="4"/>
  <c r="G344" i="4"/>
  <c r="G292" i="4"/>
  <c r="G83" i="4"/>
  <c r="G356" i="4"/>
  <c r="G220" i="4"/>
  <c r="G48" i="4"/>
  <c r="G30" i="4"/>
  <c r="G278" i="4"/>
  <c r="G133" i="4"/>
  <c r="G108" i="4"/>
  <c r="G273" i="4"/>
  <c r="G260" i="4"/>
  <c r="G330" i="4"/>
  <c r="G337" i="4"/>
  <c r="G175" i="4"/>
  <c r="G320" i="4"/>
  <c r="G254" i="4"/>
  <c r="G347" i="4"/>
  <c r="G373" i="4"/>
  <c r="G351" i="4"/>
  <c r="G143" i="4"/>
  <c r="G314" i="4"/>
  <c r="G282" i="4"/>
  <c r="G284" i="4"/>
  <c r="G78" i="4"/>
  <c r="G65" i="4"/>
  <c r="G37" i="4"/>
  <c r="G61" i="4"/>
  <c r="G47" i="4"/>
  <c r="G304" i="4"/>
  <c r="G145" i="4"/>
  <c r="G360" i="4"/>
  <c r="B21" i="2"/>
  <c r="C21" i="2" s="1"/>
  <c r="B22" i="2"/>
  <c r="B23" i="2"/>
  <c r="B24" i="2"/>
  <c r="B25" i="2"/>
  <c r="B26" i="2"/>
  <c r="B27" i="2"/>
  <c r="B28" i="2"/>
  <c r="B29" i="2"/>
  <c r="C31" i="2"/>
  <c r="D31" i="2"/>
  <c r="C32" i="2"/>
  <c r="C33" i="2"/>
  <c r="D33" i="2"/>
  <c r="C34" i="2"/>
  <c r="D34" i="2"/>
  <c r="C35" i="2"/>
  <c r="D35" i="2"/>
  <c r="C36" i="2"/>
  <c r="C37" i="2"/>
  <c r="D37" i="2"/>
  <c r="C38" i="2"/>
  <c r="D38" i="2"/>
  <c r="C39" i="2"/>
  <c r="D39" i="2" s="1"/>
  <c r="C40" i="2"/>
  <c r="C41" i="2"/>
  <c r="D41" i="2"/>
  <c r="C42" i="2"/>
  <c r="D42" i="2"/>
  <c r="C43" i="2"/>
  <c r="D43" i="2" s="1"/>
  <c r="C44" i="2"/>
  <c r="C45" i="2"/>
  <c r="D45" i="2"/>
  <c r="C46" i="2"/>
  <c r="D46" i="2" s="1"/>
  <c r="C47" i="2"/>
  <c r="D47" i="2"/>
  <c r="C48" i="2"/>
  <c r="C49" i="2"/>
  <c r="D49" i="2"/>
  <c r="C50" i="2"/>
  <c r="D50" i="2" s="1"/>
  <c r="C51" i="2"/>
  <c r="D51" i="2" s="1"/>
  <c r="C52" i="2"/>
  <c r="C53" i="2"/>
  <c r="D53" i="2" s="1"/>
  <c r="C54" i="2"/>
  <c r="D54" i="2"/>
  <c r="C55" i="2"/>
  <c r="D55" i="2" s="1"/>
  <c r="C56" i="2"/>
  <c r="C57" i="2"/>
  <c r="D57" i="2" s="1"/>
  <c r="C58" i="2"/>
  <c r="D58" i="2" s="1"/>
  <c r="C59" i="2"/>
  <c r="D59" i="2" s="1"/>
  <c r="C60" i="2"/>
  <c r="C61" i="2"/>
  <c r="D61" i="2"/>
  <c r="C62" i="2"/>
  <c r="D62" i="2" s="1"/>
  <c r="C63" i="2"/>
  <c r="D63" i="2"/>
  <c r="C64" i="2"/>
  <c r="C65" i="2"/>
  <c r="D65" i="2" s="1"/>
  <c r="C66" i="2"/>
  <c r="D66" i="2" s="1"/>
  <c r="C67" i="2"/>
  <c r="D67" i="2"/>
  <c r="C68" i="2"/>
  <c r="C69" i="2"/>
  <c r="D69" i="2" s="1"/>
  <c r="C70" i="2"/>
  <c r="D70" i="2"/>
  <c r="C71" i="2"/>
  <c r="D71" i="2"/>
  <c r="C72" i="2"/>
  <c r="C73" i="2"/>
  <c r="D73" i="2" s="1"/>
  <c r="C74" i="2"/>
  <c r="D74" i="2"/>
  <c r="C75" i="2"/>
  <c r="D75" i="2"/>
  <c r="C76" i="2"/>
  <c r="C77" i="2"/>
  <c r="D77" i="2"/>
  <c r="C78" i="2"/>
  <c r="D78" i="2"/>
  <c r="C79" i="2"/>
  <c r="D79" i="2"/>
  <c r="C80" i="2"/>
  <c r="C81" i="2"/>
  <c r="D81" i="2"/>
  <c r="C82" i="2"/>
  <c r="D82" i="2"/>
  <c r="C83" i="2"/>
  <c r="D83" i="2"/>
  <c r="C84" i="2"/>
  <c r="C85" i="2"/>
  <c r="D85" i="2"/>
  <c r="C86" i="2"/>
  <c r="D86" i="2"/>
  <c r="C87" i="2"/>
  <c r="D87" i="2" s="1"/>
  <c r="C88" i="2"/>
  <c r="C89" i="2"/>
  <c r="D89" i="2"/>
  <c r="C90" i="2"/>
  <c r="D90" i="2"/>
  <c r="C91" i="2"/>
  <c r="D91" i="2" s="1"/>
  <c r="C92" i="2"/>
  <c r="C93" i="2"/>
  <c r="D93" i="2"/>
  <c r="C94" i="2"/>
  <c r="D94" i="2" s="1"/>
  <c r="C95" i="2"/>
  <c r="D95" i="2"/>
  <c r="C96" i="2"/>
  <c r="C97" i="2"/>
  <c r="D97" i="2"/>
  <c r="C98" i="2"/>
  <c r="D98" i="2" s="1"/>
  <c r="C99" i="2"/>
  <c r="D99" i="2" s="1"/>
  <c r="C100" i="2"/>
  <c r="C101" i="2"/>
  <c r="D101" i="2" s="1"/>
  <c r="C102" i="2"/>
  <c r="D102" i="2"/>
  <c r="C103" i="2"/>
  <c r="D103" i="2" s="1"/>
  <c r="C104" i="2"/>
  <c r="C105" i="2"/>
  <c r="D105" i="2" s="1"/>
  <c r="C106" i="2"/>
  <c r="D106" i="2" s="1"/>
  <c r="C107" i="2"/>
  <c r="D107" i="2" s="1"/>
  <c r="C108" i="2"/>
  <c r="C109" i="2"/>
  <c r="D109" i="2"/>
  <c r="C110" i="2"/>
  <c r="D110" i="2" s="1"/>
  <c r="C111" i="2"/>
  <c r="D111" i="2"/>
  <c r="C112" i="2"/>
  <c r="C113" i="2"/>
  <c r="D113" i="2" s="1"/>
  <c r="C114" i="2"/>
  <c r="D114" i="2" s="1"/>
  <c r="C115" i="2"/>
  <c r="D115" i="2"/>
  <c r="C116" i="2"/>
  <c r="C117" i="2"/>
  <c r="D117" i="2" s="1"/>
  <c r="C118" i="2"/>
  <c r="D118" i="2"/>
  <c r="C119" i="2"/>
  <c r="D119" i="2"/>
  <c r="C120" i="2"/>
  <c r="C121" i="2"/>
  <c r="D121" i="2" s="1"/>
  <c r="C122" i="2"/>
  <c r="D122" i="2"/>
  <c r="C123" i="2"/>
  <c r="D123" i="2"/>
  <c r="C124" i="2"/>
  <c r="C125" i="2"/>
  <c r="D125" i="2"/>
  <c r="C126" i="2"/>
  <c r="D126" i="2"/>
  <c r="C127" i="2"/>
  <c r="D127" i="2"/>
  <c r="C128" i="2"/>
  <c r="C129" i="2"/>
  <c r="D129" i="2"/>
  <c r="C130" i="2"/>
  <c r="D130" i="2"/>
  <c r="C131" i="2"/>
  <c r="D131" i="2"/>
  <c r="C132" i="2"/>
  <c r="C133" i="2"/>
  <c r="D133" i="2"/>
  <c r="C134" i="2"/>
  <c r="D134" i="2"/>
  <c r="C135" i="2"/>
  <c r="D135" i="2" s="1"/>
  <c r="C136" i="2"/>
  <c r="C137" i="2"/>
  <c r="D137" i="2"/>
  <c r="C138" i="2"/>
  <c r="D138" i="2"/>
  <c r="C139" i="2"/>
  <c r="D139" i="2" s="1"/>
  <c r="C140" i="2"/>
  <c r="C141" i="2"/>
  <c r="D141" i="2"/>
  <c r="C142" i="2"/>
  <c r="D142" i="2" s="1"/>
  <c r="C143" i="2"/>
  <c r="D143" i="2"/>
  <c r="C144" i="2"/>
  <c r="C145" i="2"/>
  <c r="D145" i="2"/>
  <c r="C146" i="2"/>
  <c r="D146" i="2" s="1"/>
  <c r="C147" i="2"/>
  <c r="D147" i="2" s="1"/>
  <c r="C148" i="2"/>
  <c r="C149" i="2"/>
  <c r="D149" i="2" s="1"/>
  <c r="C150" i="2"/>
  <c r="D150" i="2"/>
  <c r="C151" i="2"/>
  <c r="D151" i="2" s="1"/>
  <c r="C152" i="2"/>
  <c r="C153" i="2"/>
  <c r="D153" i="2" s="1"/>
  <c r="C154" i="2"/>
  <c r="D154" i="2" s="1"/>
  <c r="C155" i="2"/>
  <c r="D155" i="2" s="1"/>
  <c r="C156" i="2"/>
  <c r="C157" i="2"/>
  <c r="D157" i="2"/>
  <c r="C158" i="2"/>
  <c r="D158" i="2" s="1"/>
  <c r="C159" i="2"/>
  <c r="D159" i="2"/>
  <c r="C160" i="2"/>
  <c r="C161" i="2"/>
  <c r="D161" i="2" s="1"/>
  <c r="C162" i="2"/>
  <c r="D162" i="2" s="1"/>
  <c r="C163" i="2"/>
  <c r="D163" i="2"/>
  <c r="C164" i="2"/>
  <c r="C165" i="2"/>
  <c r="D165" i="2" s="1"/>
  <c r="C166" i="2"/>
  <c r="D166" i="2"/>
  <c r="C167" i="2"/>
  <c r="D167" i="2"/>
  <c r="C168" i="2"/>
  <c r="C169" i="2"/>
  <c r="D169" i="2" s="1"/>
  <c r="C170" i="2"/>
  <c r="D170" i="2"/>
  <c r="C171" i="2"/>
  <c r="C172" i="2"/>
  <c r="C173" i="2"/>
  <c r="D173" i="2"/>
  <c r="C174" i="2"/>
  <c r="D174" i="2" s="1"/>
  <c r="C175" i="2"/>
  <c r="D175" i="2" s="1"/>
  <c r="C176" i="2"/>
  <c r="C177" i="2"/>
  <c r="D177" i="2" s="1"/>
  <c r="C178" i="2"/>
  <c r="D178" i="2"/>
  <c r="C179" i="2"/>
  <c r="D179" i="2" s="1"/>
  <c r="C180" i="2"/>
  <c r="C181" i="2"/>
  <c r="D181" i="2" s="1"/>
  <c r="C182" i="2"/>
  <c r="D182" i="2" s="1"/>
  <c r="C183" i="2"/>
  <c r="D183" i="2" s="1"/>
  <c r="C184" i="2"/>
  <c r="C185" i="2"/>
  <c r="D185" i="2"/>
  <c r="C186" i="2"/>
  <c r="D186" i="2" s="1"/>
  <c r="C187" i="2"/>
  <c r="D187" i="2"/>
  <c r="C188" i="2"/>
  <c r="C189" i="2"/>
  <c r="D189" i="2" s="1"/>
  <c r="C190" i="2"/>
  <c r="D190" i="2" s="1"/>
  <c r="C191" i="2"/>
  <c r="D191" i="2"/>
  <c r="C192" i="2"/>
  <c r="C193" i="2"/>
  <c r="D193" i="2" s="1"/>
  <c r="C194" i="2"/>
  <c r="D194" i="2"/>
  <c r="C195" i="2"/>
  <c r="D195" i="2"/>
  <c r="C196" i="2"/>
  <c r="C197" i="2"/>
  <c r="D197" i="2" s="1"/>
  <c r="C198" i="2"/>
  <c r="D198" i="2"/>
  <c r="C199" i="2"/>
  <c r="D199" i="2"/>
  <c r="C200" i="2"/>
  <c r="C201" i="2"/>
  <c r="D201" i="2"/>
  <c r="C202" i="2"/>
  <c r="D202" i="2"/>
  <c r="C203" i="2"/>
  <c r="D203" i="2"/>
  <c r="C204" i="2"/>
  <c r="C205" i="2"/>
  <c r="D205" i="2"/>
  <c r="C206" i="2"/>
  <c r="D206" i="2"/>
  <c r="C207" i="2"/>
  <c r="D207" i="2"/>
  <c r="C208" i="2"/>
  <c r="C209" i="2"/>
  <c r="D209" i="2"/>
  <c r="C210" i="2"/>
  <c r="D210" i="2"/>
  <c r="C211" i="2"/>
  <c r="D211" i="2" s="1"/>
  <c r="C212" i="2"/>
  <c r="C213" i="2"/>
  <c r="D213" i="2"/>
  <c r="C214" i="2"/>
  <c r="D214" i="2"/>
  <c r="C215" i="2"/>
  <c r="D215" i="2" s="1"/>
  <c r="C216" i="2"/>
  <c r="C217" i="2"/>
  <c r="D217" i="2"/>
  <c r="C218" i="2"/>
  <c r="D218" i="2" s="1"/>
  <c r="C219" i="2"/>
  <c r="D219" i="2"/>
  <c r="C220" i="2"/>
  <c r="C221" i="2"/>
  <c r="D221" i="2"/>
  <c r="C222" i="2"/>
  <c r="D222" i="2" s="1"/>
  <c r="C223" i="2"/>
  <c r="D223" i="2" s="1"/>
  <c r="C224" i="2"/>
  <c r="C225" i="2"/>
  <c r="D225" i="2" s="1"/>
  <c r="C226" i="2"/>
  <c r="D226" i="2"/>
  <c r="C227" i="2"/>
  <c r="D227" i="2" s="1"/>
  <c r="C228" i="2"/>
  <c r="C229" i="2"/>
  <c r="D229" i="2" s="1"/>
  <c r="C230" i="2"/>
  <c r="D230" i="2" s="1"/>
  <c r="C231" i="2"/>
  <c r="D231" i="2" s="1"/>
  <c r="C232" i="2"/>
  <c r="C233" i="2"/>
  <c r="D233" i="2"/>
  <c r="C234" i="2"/>
  <c r="D234" i="2" s="1"/>
  <c r="C235" i="2"/>
  <c r="D235" i="2"/>
  <c r="C236" i="2"/>
  <c r="C237" i="2"/>
  <c r="D237" i="2" s="1"/>
  <c r="C238" i="2"/>
  <c r="D238" i="2" s="1"/>
  <c r="C239" i="2"/>
  <c r="D239" i="2"/>
  <c r="C240" i="2"/>
  <c r="C241" i="2"/>
  <c r="D241" i="2" s="1"/>
  <c r="C242" i="2"/>
  <c r="D242" i="2"/>
  <c r="C243" i="2"/>
  <c r="D243" i="2"/>
  <c r="C244" i="2"/>
  <c r="C245" i="2"/>
  <c r="D245" i="2" s="1"/>
  <c r="C246" i="2"/>
  <c r="D246" i="2"/>
  <c r="C247" i="2"/>
  <c r="D247" i="2"/>
  <c r="C248" i="2"/>
  <c r="C249" i="2"/>
  <c r="D249" i="2"/>
  <c r="C250" i="2"/>
  <c r="D250" i="2"/>
  <c r="C251" i="2"/>
  <c r="D251" i="2"/>
  <c r="C252" i="2"/>
  <c r="F242" i="2"/>
  <c r="G242" i="2"/>
  <c r="F231" i="2"/>
  <c r="G231" i="2"/>
  <c r="F223" i="2"/>
  <c r="G223" i="2"/>
  <c r="F215" i="2"/>
  <c r="G215" i="2" s="1"/>
  <c r="F207" i="2"/>
  <c r="G207" i="2" s="1"/>
  <c r="F197" i="2"/>
  <c r="G197" i="2" s="1"/>
  <c r="F189" i="2"/>
  <c r="G189" i="2"/>
  <c r="F181" i="2"/>
  <c r="G181" i="2"/>
  <c r="F173" i="2"/>
  <c r="G173" i="2"/>
  <c r="F165" i="2"/>
  <c r="G165" i="2" s="1"/>
  <c r="F157" i="2"/>
  <c r="G157" i="2" s="1"/>
  <c r="F201" i="2"/>
  <c r="G201" i="2" s="1"/>
  <c r="F232" i="2"/>
  <c r="G232" i="2"/>
  <c r="F224" i="2"/>
  <c r="G224" i="2"/>
  <c r="F216" i="2"/>
  <c r="G216" i="2"/>
  <c r="F208" i="2"/>
  <c r="G208" i="2" s="1"/>
  <c r="F198" i="2"/>
  <c r="G198" i="2" s="1"/>
  <c r="F190" i="2"/>
  <c r="G190" i="2" s="1"/>
  <c r="F182" i="2"/>
  <c r="G182" i="2"/>
  <c r="F174" i="2"/>
  <c r="G174" i="2"/>
  <c r="F166" i="2"/>
  <c r="G166" i="2"/>
  <c r="F158" i="2"/>
  <c r="G158" i="2" s="1"/>
  <c r="F151" i="2"/>
  <c r="G151" i="2" s="1"/>
  <c r="F143" i="2"/>
  <c r="G143" i="2" s="1"/>
  <c r="F135" i="2"/>
  <c r="G135" i="2"/>
  <c r="F127" i="2"/>
  <c r="G127" i="2"/>
  <c r="F119" i="2"/>
  <c r="G119" i="2"/>
  <c r="F111" i="2"/>
  <c r="G111" i="2" s="1"/>
  <c r="F107" i="2"/>
  <c r="G107" i="2" s="1"/>
  <c r="F103" i="2"/>
  <c r="G103" i="2" s="1"/>
  <c r="F99" i="2"/>
  <c r="G99" i="2"/>
  <c r="F95" i="2"/>
  <c r="G95" i="2"/>
  <c r="F91" i="2"/>
  <c r="G91" i="2"/>
  <c r="F87" i="2"/>
  <c r="G87" i="2" s="1"/>
  <c r="F83" i="2"/>
  <c r="G83" i="2" s="1"/>
  <c r="F79" i="2"/>
  <c r="G79" i="2" s="1"/>
  <c r="F75" i="2"/>
  <c r="G75" i="2"/>
  <c r="G71" i="2"/>
  <c r="G67" i="2"/>
  <c r="G63" i="2"/>
  <c r="G59" i="2"/>
  <c r="F152" i="2"/>
  <c r="G152" i="2" s="1"/>
  <c r="F144" i="2"/>
  <c r="G144" i="2" s="1"/>
  <c r="F136" i="2"/>
  <c r="G136" i="2" s="1"/>
  <c r="F128" i="2"/>
  <c r="G128" i="2"/>
  <c r="F120" i="2"/>
  <c r="G120" i="2"/>
  <c r="F112" i="2"/>
  <c r="G112" i="2"/>
  <c r="G53" i="2"/>
  <c r="G49" i="2"/>
  <c r="G45" i="2"/>
  <c r="G41" i="2"/>
  <c r="G37" i="2"/>
  <c r="G33" i="2"/>
  <c r="F203" i="2"/>
  <c r="G203" i="2"/>
  <c r="G22" i="2"/>
  <c r="G34" i="2"/>
  <c r="F238" i="2"/>
  <c r="G238" i="2"/>
  <c r="F229" i="2"/>
  <c r="G229" i="2" s="1"/>
  <c r="F221" i="2"/>
  <c r="G221" i="2" s="1"/>
  <c r="F213" i="2"/>
  <c r="G213" i="2" s="1"/>
  <c r="F205" i="2"/>
  <c r="G205" i="2"/>
  <c r="F195" i="2"/>
  <c r="G195" i="2"/>
  <c r="F187" i="2"/>
  <c r="G187" i="2"/>
  <c r="F179" i="2"/>
  <c r="G179" i="2" s="1"/>
  <c r="F171" i="2"/>
  <c r="G171" i="2" s="1"/>
  <c r="F163" i="2"/>
  <c r="G163" i="2" s="1"/>
  <c r="F155" i="2"/>
  <c r="G155" i="2"/>
  <c r="F240" i="2"/>
  <c r="G240" i="2"/>
  <c r="F230" i="2"/>
  <c r="G230" i="2"/>
  <c r="F222" i="2"/>
  <c r="G222" i="2" s="1"/>
  <c r="F214" i="2"/>
  <c r="G214" i="2" s="1"/>
  <c r="F206" i="2"/>
  <c r="G206" i="2" s="1"/>
  <c r="F196" i="2"/>
  <c r="G196" i="2"/>
  <c r="F188" i="2"/>
  <c r="G188" i="2"/>
  <c r="F180" i="2"/>
  <c r="G180" i="2"/>
  <c r="F172" i="2"/>
  <c r="G172" i="2" s="1"/>
  <c r="F164" i="2"/>
  <c r="G164" i="2" s="1"/>
  <c r="F156" i="2"/>
  <c r="G156" i="2" s="1"/>
  <c r="F149" i="2"/>
  <c r="G149" i="2"/>
  <c r="F141" i="2"/>
  <c r="G141" i="2"/>
  <c r="F133" i="2"/>
  <c r="G133" i="2"/>
  <c r="F125" i="2"/>
  <c r="G125" i="2" s="1"/>
  <c r="F117" i="2"/>
  <c r="G117" i="2" s="1"/>
  <c r="F110" i="2"/>
  <c r="G110" i="2" s="1"/>
  <c r="F106" i="2"/>
  <c r="G106" i="2"/>
  <c r="F102" i="2"/>
  <c r="G102" i="2"/>
  <c r="F98" i="2"/>
  <c r="G98" i="2"/>
  <c r="F94" i="2"/>
  <c r="G94" i="2" s="1"/>
  <c r="F90" i="2"/>
  <c r="G90" i="2" s="1"/>
  <c r="F86" i="2"/>
  <c r="G86" i="2" s="1"/>
  <c r="F82" i="2"/>
  <c r="G82" i="2"/>
  <c r="F78" i="2"/>
  <c r="G78" i="2"/>
  <c r="F74" i="2"/>
  <c r="G74" i="2"/>
  <c r="G70" i="2"/>
  <c r="G66" i="2"/>
  <c r="G62" i="2"/>
  <c r="G58" i="2"/>
  <c r="F150" i="2"/>
  <c r="G150" i="2" s="1"/>
  <c r="F142" i="2"/>
  <c r="G142" i="2"/>
  <c r="F134" i="2"/>
  <c r="G134" i="2"/>
  <c r="F126" i="2"/>
  <c r="G126" i="2"/>
  <c r="F118" i="2"/>
  <c r="G118" i="2" s="1"/>
  <c r="F154" i="2"/>
  <c r="G154" i="2" s="1"/>
  <c r="G52" i="2"/>
  <c r="G48" i="2"/>
  <c r="G44" i="2"/>
  <c r="G40" i="2"/>
  <c r="G36" i="2"/>
  <c r="G29" i="2"/>
  <c r="G30" i="2"/>
  <c r="G31" i="2"/>
  <c r="G32" i="2"/>
  <c r="G38" i="2"/>
  <c r="G25" i="2"/>
  <c r="F235" i="2"/>
  <c r="G235" i="2"/>
  <c r="F227" i="2"/>
  <c r="G227" i="2" s="1"/>
  <c r="F219" i="2"/>
  <c r="G219" i="2"/>
  <c r="F211" i="2"/>
  <c r="G211" i="2" s="1"/>
  <c r="F202" i="2"/>
  <c r="G202" i="2"/>
  <c r="F193" i="2"/>
  <c r="G193" i="2"/>
  <c r="F185" i="2"/>
  <c r="G185" i="2"/>
  <c r="F177" i="2"/>
  <c r="G177" i="2" s="1"/>
  <c r="F169" i="2"/>
  <c r="G169" i="2"/>
  <c r="F161" i="2"/>
  <c r="G161" i="2" s="1"/>
  <c r="F241" i="2"/>
  <c r="G241" i="2"/>
  <c r="F236" i="2"/>
  <c r="G236" i="2"/>
  <c r="F228" i="2"/>
  <c r="G228" i="2"/>
  <c r="F220" i="2"/>
  <c r="G220" i="2" s="1"/>
  <c r="F212" i="2"/>
  <c r="G212" i="2"/>
  <c r="F204" i="2"/>
  <c r="G204" i="2" s="1"/>
  <c r="F194" i="2"/>
  <c r="G194" i="2"/>
  <c r="F186" i="2"/>
  <c r="G186" i="2"/>
  <c r="F178" i="2"/>
  <c r="G178" i="2"/>
  <c r="F170" i="2"/>
  <c r="G170" i="2" s="1"/>
  <c r="F162" i="2"/>
  <c r="G162" i="2"/>
  <c r="F239" i="2"/>
  <c r="G239" i="2" s="1"/>
  <c r="F147" i="2"/>
  <c r="G147" i="2"/>
  <c r="F139" i="2"/>
  <c r="G139" i="2"/>
  <c r="F131" i="2"/>
  <c r="G131" i="2"/>
  <c r="F123" i="2"/>
  <c r="G123" i="2" s="1"/>
  <c r="F115" i="2"/>
  <c r="G115" i="2"/>
  <c r="F109" i="2"/>
  <c r="G109" i="2" s="1"/>
  <c r="F105" i="2"/>
  <c r="G105" i="2"/>
  <c r="F101" i="2"/>
  <c r="G101" i="2"/>
  <c r="F97" i="2"/>
  <c r="G97" i="2"/>
  <c r="F93" i="2"/>
  <c r="G93" i="2" s="1"/>
  <c r="F89" i="2"/>
  <c r="G89" i="2"/>
  <c r="F85" i="2"/>
  <c r="G85" i="2" s="1"/>
  <c r="F81" i="2"/>
  <c r="G81" i="2"/>
  <c r="F77" i="2"/>
  <c r="G77" i="2"/>
  <c r="F73" i="2"/>
  <c r="G73" i="2"/>
  <c r="G69" i="2"/>
  <c r="G65" i="2"/>
  <c r="G61" i="2"/>
  <c r="G57" i="2"/>
  <c r="F148" i="2"/>
  <c r="G148" i="2" s="1"/>
  <c r="F140" i="2"/>
  <c r="G140" i="2"/>
  <c r="F132" i="2"/>
  <c r="G132" i="2"/>
  <c r="F124" i="2"/>
  <c r="G124" i="2"/>
  <c r="F116" i="2"/>
  <c r="G116" i="2" s="1"/>
  <c r="G55" i="2"/>
  <c r="G51" i="2"/>
  <c r="G47" i="2"/>
  <c r="G43" i="2"/>
  <c r="G39" i="2"/>
  <c r="G35" i="2"/>
  <c r="G26" i="2"/>
  <c r="G23" i="2"/>
  <c r="G27" i="2"/>
  <c r="G24" i="2"/>
  <c r="F233" i="2"/>
  <c r="G233" i="2" s="1"/>
  <c r="F225" i="2"/>
  <c r="G225" i="2"/>
  <c r="F217" i="2"/>
  <c r="G217" i="2" s="1"/>
  <c r="F209" i="2"/>
  <c r="G209" i="2"/>
  <c r="F199" i="2"/>
  <c r="G199" i="2"/>
  <c r="F191" i="2"/>
  <c r="G191" i="2"/>
  <c r="F183" i="2"/>
  <c r="G183" i="2" s="1"/>
  <c r="F175" i="2"/>
  <c r="G175" i="2"/>
  <c r="F167" i="2"/>
  <c r="G167" i="2" s="1"/>
  <c r="F159" i="2"/>
  <c r="G159" i="2"/>
  <c r="F237" i="2"/>
  <c r="G237" i="2"/>
  <c r="F234" i="2"/>
  <c r="G234" i="2"/>
  <c r="F226" i="2"/>
  <c r="G226" i="2" s="1"/>
  <c r="F218" i="2"/>
  <c r="G218" i="2"/>
  <c r="F210" i="2"/>
  <c r="G210" i="2" s="1"/>
  <c r="F200" i="2"/>
  <c r="G200" i="2"/>
  <c r="F192" i="2"/>
  <c r="G192" i="2"/>
  <c r="F184" i="2"/>
  <c r="G184" i="2"/>
  <c r="F176" i="2"/>
  <c r="G176" i="2" s="1"/>
  <c r="F168" i="2"/>
  <c r="G168" i="2"/>
  <c r="F160" i="2"/>
  <c r="G160" i="2" s="1"/>
  <c r="F153" i="2"/>
  <c r="G153" i="2"/>
  <c r="F145" i="2"/>
  <c r="G145" i="2"/>
  <c r="F137" i="2"/>
  <c r="G137" i="2"/>
  <c r="F129" i="2"/>
  <c r="G129" i="2" s="1"/>
  <c r="F121" i="2"/>
  <c r="G121" i="2"/>
  <c r="F113" i="2"/>
  <c r="G113" i="2" s="1"/>
  <c r="F108" i="2"/>
  <c r="G108" i="2"/>
  <c r="F104" i="2"/>
  <c r="G104" i="2"/>
  <c r="F100" i="2"/>
  <c r="G100" i="2"/>
  <c r="F96" i="2"/>
  <c r="G96" i="2" s="1"/>
  <c r="F92" i="2"/>
  <c r="G92" i="2"/>
  <c r="F88" i="2"/>
  <c r="G88" i="2" s="1"/>
  <c r="F84" i="2"/>
  <c r="G84" i="2"/>
  <c r="F80" i="2"/>
  <c r="G80" i="2"/>
  <c r="F76" i="2"/>
  <c r="G76" i="2"/>
  <c r="G72" i="2"/>
  <c r="G68" i="2"/>
  <c r="G64" i="2"/>
  <c r="F60" i="2"/>
  <c r="G60" i="2"/>
  <c r="G56" i="2"/>
  <c r="F146" i="2"/>
  <c r="G146" i="2"/>
  <c r="F138" i="2"/>
  <c r="G138" i="2"/>
  <c r="F130" i="2"/>
  <c r="G130" i="2"/>
  <c r="F122" i="2"/>
  <c r="G122" i="2" s="1"/>
  <c r="F114" i="2"/>
  <c r="G114" i="2"/>
  <c r="G54" i="2"/>
  <c r="G50" i="2"/>
  <c r="G46" i="2"/>
  <c r="G42" i="2"/>
  <c r="G28" i="2"/>
  <c r="G176" i="6"/>
  <c r="G132" i="6"/>
  <c r="G32" i="6"/>
  <c r="G241" i="6"/>
  <c r="G242" i="6"/>
  <c r="G275" i="6"/>
  <c r="G171" i="6"/>
  <c r="G147" i="6"/>
  <c r="G202" i="6"/>
  <c r="G105" i="6"/>
  <c r="G104" i="6"/>
  <c r="G273" i="6"/>
  <c r="G67" i="6"/>
  <c r="G198" i="6"/>
  <c r="G186" i="6"/>
  <c r="G203" i="6"/>
  <c r="G281" i="6"/>
  <c r="G266" i="6"/>
  <c r="G27" i="6"/>
  <c r="G91" i="6"/>
  <c r="G229" i="6"/>
  <c r="G71" i="6"/>
  <c r="G213" i="6"/>
  <c r="G113" i="6"/>
  <c r="G216" i="6"/>
  <c r="G69" i="6"/>
  <c r="G292" i="6"/>
  <c r="G123" i="6"/>
  <c r="G75" i="6"/>
  <c r="G223" i="6"/>
  <c r="G145" i="6"/>
  <c r="G134" i="6"/>
  <c r="G227" i="6"/>
  <c r="G140" i="6"/>
  <c r="G184" i="6"/>
  <c r="G60" i="6"/>
  <c r="G247" i="6"/>
  <c r="G284" i="6"/>
  <c r="G220" i="6"/>
  <c r="G206" i="6"/>
  <c r="G41" i="6"/>
  <c r="G280" i="6"/>
  <c r="G110" i="6"/>
  <c r="G122" i="6"/>
  <c r="G117" i="6"/>
  <c r="G30" i="6"/>
  <c r="G272" i="6"/>
  <c r="G85" i="6"/>
  <c r="G114" i="6"/>
  <c r="G153" i="6"/>
  <c r="G173" i="6"/>
  <c r="G36" i="6"/>
  <c r="G78" i="6"/>
  <c r="G109" i="6"/>
  <c r="G142" i="6"/>
  <c r="G278" i="6"/>
  <c r="G221" i="6"/>
  <c r="G270" i="6"/>
  <c r="G215" i="6"/>
  <c r="G86" i="6"/>
  <c r="G191" i="6"/>
  <c r="G178" i="6"/>
  <c r="G208" i="6"/>
  <c r="G253" i="6"/>
  <c r="G204" i="6"/>
  <c r="G209" i="6"/>
  <c r="G211" i="6"/>
  <c r="G240" i="6"/>
  <c r="G68" i="6"/>
  <c r="G106" i="6"/>
  <c r="G156" i="6"/>
  <c r="G233" i="6"/>
  <c r="G279" i="6"/>
  <c r="G39" i="6"/>
  <c r="G218" i="6"/>
  <c r="G50" i="6"/>
  <c r="G170" i="6"/>
  <c r="G65" i="6"/>
  <c r="G265" i="6"/>
  <c r="G49" i="6"/>
  <c r="G226" i="6"/>
  <c r="G251" i="6"/>
  <c r="G28" i="6"/>
  <c r="G276" i="6"/>
  <c r="G180" i="6"/>
  <c r="G259" i="6"/>
  <c r="G196" i="6"/>
  <c r="G94" i="6"/>
  <c r="G52" i="6"/>
  <c r="G103" i="6"/>
  <c r="G197" i="6"/>
  <c r="G158" i="6"/>
  <c r="G239" i="6"/>
  <c r="G25" i="6"/>
  <c r="G146" i="6"/>
  <c r="G267" i="6"/>
  <c r="G172" i="6"/>
  <c r="G192" i="6"/>
  <c r="G252" i="6"/>
  <c r="G128" i="6"/>
  <c r="G64" i="6"/>
  <c r="G287" i="6"/>
  <c r="G141" i="6"/>
  <c r="G157" i="6"/>
  <c r="G256" i="6"/>
  <c r="G235" i="6"/>
  <c r="G56" i="6"/>
  <c r="G231" i="6"/>
  <c r="G62" i="6"/>
  <c r="G219" i="6"/>
  <c r="G286" i="6"/>
  <c r="G93" i="6"/>
  <c r="G37" i="6"/>
  <c r="G261" i="6"/>
  <c r="G97" i="6"/>
  <c r="G246" i="6"/>
  <c r="G46" i="6"/>
  <c r="G107" i="6"/>
  <c r="G168" i="6"/>
  <c r="G188" i="6"/>
  <c r="G77" i="6"/>
  <c r="G154" i="6"/>
  <c r="G181" i="6"/>
  <c r="G282" i="6"/>
  <c r="G81" i="6"/>
  <c r="G133" i="6"/>
  <c r="G193" i="6"/>
  <c r="G116" i="6"/>
  <c r="G205" i="6"/>
  <c r="G124" i="6"/>
  <c r="G24" i="6"/>
  <c r="G151" i="6"/>
  <c r="G31" i="6"/>
  <c r="G79" i="6"/>
  <c r="G164" i="6"/>
  <c r="G99" i="6"/>
  <c r="G108" i="6"/>
  <c r="G101" i="6"/>
  <c r="G288" i="6"/>
  <c r="G111" i="6"/>
  <c r="G222" i="6"/>
  <c r="G160" i="6"/>
  <c r="G43" i="6"/>
  <c r="G40" i="6"/>
  <c r="G187" i="6"/>
  <c r="G155" i="6"/>
  <c r="G290" i="6"/>
  <c r="G102" i="6"/>
  <c r="G98" i="6"/>
  <c r="G29" i="6"/>
  <c r="G212" i="6"/>
  <c r="G126" i="6"/>
  <c r="G234" i="6"/>
  <c r="G159" i="6"/>
  <c r="G152" i="6"/>
  <c r="G150" i="6"/>
  <c r="G74" i="6"/>
  <c r="G38" i="6"/>
  <c r="G162" i="6"/>
  <c r="G130" i="6"/>
  <c r="G169" i="6"/>
  <c r="G96" i="6"/>
  <c r="G217" i="6"/>
  <c r="G26" i="6"/>
  <c r="G225" i="6"/>
  <c r="G257" i="6"/>
  <c r="G274" i="6"/>
  <c r="G83" i="6"/>
  <c r="G127" i="6"/>
  <c r="G163" i="6"/>
  <c r="G177" i="6"/>
  <c r="G112" i="6"/>
  <c r="G237" i="6"/>
  <c r="G115" i="6"/>
  <c r="G165" i="6"/>
  <c r="G207" i="6"/>
  <c r="G254" i="6"/>
  <c r="G138" i="6"/>
  <c r="G230" i="6"/>
  <c r="G57" i="6"/>
  <c r="G175" i="6"/>
  <c r="G250" i="6"/>
  <c r="G262" i="6"/>
  <c r="G248" i="6"/>
  <c r="G148" i="6"/>
  <c r="G201" i="6"/>
  <c r="G182" i="6"/>
  <c r="G131" i="6"/>
  <c r="G119" i="6"/>
  <c r="G44" i="6"/>
  <c r="G76" i="6"/>
  <c r="G121" i="6"/>
  <c r="G58" i="6"/>
  <c r="G42" i="6"/>
  <c r="G80" i="6"/>
  <c r="G224" i="6"/>
  <c r="G210" i="6"/>
  <c r="G55" i="6"/>
  <c r="G139" i="6"/>
  <c r="G214" i="6"/>
  <c r="G129" i="6"/>
  <c r="G289" i="6"/>
  <c r="G82" i="6"/>
  <c r="G236" i="6"/>
  <c r="G90" i="6"/>
  <c r="G268" i="6"/>
  <c r="G249" i="6"/>
  <c r="G144" i="6"/>
  <c r="G277" i="6"/>
  <c r="G285" i="6"/>
  <c r="G255" i="6"/>
  <c r="G258" i="6"/>
  <c r="G189" i="6"/>
  <c r="G269" i="6"/>
  <c r="G51" i="6"/>
  <c r="G59" i="6"/>
  <c r="G174" i="6"/>
  <c r="G271" i="6"/>
  <c r="G48" i="6"/>
  <c r="G244" i="6"/>
  <c r="G161" i="6"/>
  <c r="G183" i="6"/>
  <c r="G135" i="6"/>
  <c r="G89" i="6"/>
  <c r="G167" i="6"/>
  <c r="G95" i="6"/>
  <c r="G61" i="6"/>
  <c r="G136" i="6"/>
  <c r="G149" i="6"/>
  <c r="G66" i="6"/>
  <c r="G70" i="6"/>
  <c r="G73" i="6"/>
  <c r="G92" i="6"/>
  <c r="G54" i="6"/>
  <c r="G143" i="6"/>
  <c r="G232" i="6"/>
  <c r="G190" i="6"/>
  <c r="G22" i="6"/>
  <c r="G47" i="6"/>
  <c r="G291" i="6"/>
  <c r="G185" i="6"/>
  <c r="G194" i="6"/>
  <c r="G34" i="6"/>
  <c r="G72" i="6"/>
  <c r="G238" i="6"/>
  <c r="G166" i="6"/>
  <c r="G200" i="6"/>
  <c r="G283" i="6"/>
  <c r="G84" i="6"/>
  <c r="G263" i="6"/>
  <c r="G179" i="6"/>
  <c r="G228" i="6"/>
  <c r="G245" i="6"/>
  <c r="G125" i="6"/>
  <c r="G53" i="6"/>
  <c r="G35" i="6"/>
  <c r="G118" i="6"/>
  <c r="G23" i="6"/>
  <c r="G63" i="6"/>
  <c r="G264" i="6"/>
  <c r="G120" i="6"/>
  <c r="G45" i="6"/>
  <c r="G195" i="6"/>
  <c r="G87" i="6"/>
  <c r="G199" i="6"/>
  <c r="G243" i="6"/>
  <c r="G88" i="6"/>
  <c r="G260" i="6"/>
  <c r="G100" i="6"/>
  <c r="G137" i="6"/>
  <c r="G33" i="6"/>
  <c r="H147" i="37"/>
  <c r="D147" i="37"/>
  <c r="E147" i="37"/>
  <c r="G164" i="33"/>
  <c r="C164" i="33"/>
  <c r="D164" i="33"/>
  <c r="F164" i="33"/>
  <c r="F229" i="19"/>
  <c r="D158" i="45"/>
  <c r="G311" i="13"/>
  <c r="D311" i="13"/>
  <c r="F311" i="13"/>
  <c r="H146" i="37"/>
  <c r="D146" i="37"/>
  <c r="E146" i="37"/>
  <c r="C282" i="23"/>
  <c r="D282" i="23" s="1"/>
  <c r="F282" i="23"/>
  <c r="G282" i="23"/>
  <c r="H282" i="23"/>
  <c r="C283" i="23"/>
  <c r="D283" i="23" s="1"/>
  <c r="F283" i="23"/>
  <c r="G283" i="23"/>
  <c r="H283" i="23"/>
  <c r="C284" i="23"/>
  <c r="D284" i="23"/>
  <c r="F284" i="23"/>
  <c r="G284" i="23"/>
  <c r="H284" i="23"/>
  <c r="C285" i="23"/>
  <c r="D285" i="23"/>
  <c r="F285" i="23"/>
  <c r="G285" i="23"/>
  <c r="H285" i="23"/>
  <c r="C286" i="23"/>
  <c r="D286" i="23"/>
  <c r="F286" i="23"/>
  <c r="G286" i="23"/>
  <c r="H286" i="23"/>
  <c r="E82" i="46"/>
  <c r="G82" i="46"/>
  <c r="H221" i="20"/>
  <c r="F97" i="41"/>
  <c r="H181" i="29"/>
  <c r="H176" i="32"/>
  <c r="H83" i="47"/>
  <c r="D83" i="47"/>
  <c r="E83" i="47" s="1"/>
  <c r="G83" i="47"/>
  <c r="G297" i="14"/>
  <c r="H297" i="14"/>
  <c r="F297" i="14"/>
  <c r="H178" i="30"/>
  <c r="D178" i="30"/>
  <c r="E178" i="30" s="1"/>
  <c r="G178" i="30"/>
  <c r="G39" i="48"/>
  <c r="C39" i="48"/>
  <c r="D39" i="48"/>
  <c r="F39" i="48"/>
  <c r="G163" i="33"/>
  <c r="C163" i="33"/>
  <c r="D163" i="33"/>
  <c r="F163" i="33"/>
  <c r="C32" i="49"/>
  <c r="D32" i="49" s="1"/>
  <c r="C33" i="49"/>
  <c r="D33" i="49" s="1"/>
  <c r="C34" i="49"/>
  <c r="D34" i="49"/>
  <c r="F32" i="49"/>
  <c r="F33" i="49"/>
  <c r="F34" i="49"/>
  <c r="C31" i="49"/>
  <c r="D31" i="49"/>
  <c r="F31" i="49"/>
  <c r="H220" i="20"/>
  <c r="F366" i="11"/>
  <c r="G366" i="11"/>
  <c r="G310" i="13"/>
  <c r="F310" i="13"/>
  <c r="G148" i="38"/>
  <c r="E81" i="46"/>
  <c r="G81" i="46"/>
  <c r="G38" i="48"/>
  <c r="C38" i="48"/>
  <c r="D38" i="48"/>
  <c r="F38" i="48"/>
  <c r="G296" i="14"/>
  <c r="H296" i="14"/>
  <c r="F296" i="14"/>
  <c r="G147" i="38"/>
  <c r="H177" i="30"/>
  <c r="D177" i="30"/>
  <c r="E177" i="30" s="1"/>
  <c r="G177" i="30"/>
  <c r="H180" i="29"/>
  <c r="H82" i="47"/>
  <c r="D82" i="47"/>
  <c r="E82" i="47" s="1"/>
  <c r="G82" i="47"/>
  <c r="D176" i="32"/>
  <c r="E176" i="32" s="1"/>
  <c r="D177" i="32"/>
  <c r="E177" i="32" s="1"/>
  <c r="D180" i="32"/>
  <c r="E180" i="32" s="1"/>
  <c r="G176" i="32"/>
  <c r="G177" i="32"/>
  <c r="G180" i="32"/>
  <c r="H175" i="32"/>
  <c r="D175" i="32"/>
  <c r="E175" i="32" s="1"/>
  <c r="G175" i="32"/>
  <c r="G146" i="38"/>
  <c r="H145" i="37"/>
  <c r="D145" i="37"/>
  <c r="E145" i="37" s="1"/>
  <c r="G309" i="13"/>
  <c r="F309" i="13"/>
  <c r="F365" i="11"/>
  <c r="G365" i="11"/>
  <c r="G37" i="48"/>
  <c r="C37" i="48"/>
  <c r="D37" i="48"/>
  <c r="F37" i="48"/>
  <c r="G162" i="33"/>
  <c r="C162" i="33"/>
  <c r="D162" i="33" s="1"/>
  <c r="F162" i="33"/>
  <c r="F346" i="25"/>
  <c r="G346" i="25"/>
  <c r="F347" i="25"/>
  <c r="G347" i="25"/>
  <c r="F348" i="25"/>
  <c r="G348" i="25"/>
  <c r="F349" i="25"/>
  <c r="G349" i="25"/>
  <c r="F350" i="25"/>
  <c r="G350" i="25"/>
  <c r="H219" i="20"/>
  <c r="H179" i="29"/>
  <c r="F95" i="41"/>
  <c r="F96" i="41"/>
  <c r="H176" i="30"/>
  <c r="D176" i="30"/>
  <c r="E176" i="30" s="1"/>
  <c r="G176" i="30"/>
  <c r="H174" i="32"/>
  <c r="D174" i="32"/>
  <c r="E174" i="32" s="1"/>
  <c r="G174" i="32"/>
  <c r="H81" i="47"/>
  <c r="D81" i="47"/>
  <c r="E81" i="47"/>
  <c r="G81" i="47"/>
  <c r="G145" i="38"/>
  <c r="G36" i="48"/>
  <c r="C36" i="48"/>
  <c r="D36" i="48" s="1"/>
  <c r="F36" i="48"/>
  <c r="F364" i="11"/>
  <c r="G364" i="11"/>
  <c r="G161" i="33"/>
  <c r="C161" i="33"/>
  <c r="D161" i="33"/>
  <c r="F161" i="33"/>
  <c r="H218" i="20"/>
  <c r="G308" i="13"/>
  <c r="F308" i="13"/>
  <c r="H144" i="37"/>
  <c r="D144" i="37"/>
  <c r="E144" i="37"/>
  <c r="F23" i="50"/>
  <c r="F22" i="50"/>
  <c r="F21" i="50"/>
  <c r="B8" i="50"/>
  <c r="G4" i="50"/>
  <c r="D207" i="22"/>
  <c r="F393" i="4"/>
  <c r="F394" i="4"/>
  <c r="F395" i="4"/>
  <c r="F396" i="4"/>
  <c r="G345" i="25"/>
  <c r="F294" i="14"/>
  <c r="G294" i="14"/>
  <c r="H294" i="14"/>
  <c r="F295" i="14"/>
  <c r="G295" i="14"/>
  <c r="H295" i="14"/>
  <c r="H175" i="30"/>
  <c r="D175" i="30"/>
  <c r="E175" i="30" s="1"/>
  <c r="G175" i="30"/>
  <c r="H178" i="29"/>
  <c r="D178" i="29"/>
  <c r="E178" i="29" s="1"/>
  <c r="D179" i="29"/>
  <c r="E179" i="29" s="1"/>
  <c r="D180" i="29"/>
  <c r="E180" i="29" s="1"/>
  <c r="D181" i="29"/>
  <c r="E181" i="29" s="1"/>
  <c r="D182" i="29"/>
  <c r="E182" i="29" s="1"/>
  <c r="H80" i="47"/>
  <c r="D80" i="47"/>
  <c r="E80" i="47" s="1"/>
  <c r="G80" i="47"/>
  <c r="C29" i="49"/>
  <c r="D29" i="49"/>
  <c r="F29" i="49"/>
  <c r="C30" i="49"/>
  <c r="D30" i="49"/>
  <c r="F30" i="49"/>
  <c r="F224" i="19"/>
  <c r="F226" i="19"/>
  <c r="F227" i="19"/>
  <c r="D228" i="19"/>
  <c r="F228" i="19"/>
  <c r="F324" i="12"/>
  <c r="D325" i="12"/>
  <c r="F326" i="12"/>
  <c r="F327" i="12"/>
  <c r="F228" i="18"/>
  <c r="F229" i="18"/>
  <c r="F230" i="18"/>
  <c r="F231" i="18"/>
  <c r="F216" i="20"/>
  <c r="H216" i="20"/>
  <c r="H217" i="20"/>
  <c r="C152" i="35"/>
  <c r="D152" i="35"/>
  <c r="F152" i="35"/>
  <c r="G152" i="35"/>
  <c r="C153" i="35"/>
  <c r="D153" i="35"/>
  <c r="F153" i="35"/>
  <c r="G153" i="35"/>
  <c r="C154" i="35"/>
  <c r="D154" i="35" s="1"/>
  <c r="F154" i="35"/>
  <c r="G154" i="35"/>
  <c r="C155" i="35"/>
  <c r="D155" i="35"/>
  <c r="F155" i="35"/>
  <c r="G155" i="35"/>
  <c r="C156" i="35"/>
  <c r="D156" i="35"/>
  <c r="F156" i="35"/>
  <c r="G156" i="35"/>
  <c r="C157" i="35"/>
  <c r="D157" i="35" s="1"/>
  <c r="F157" i="35"/>
  <c r="G157" i="35"/>
  <c r="C158" i="35"/>
  <c r="D158" i="35"/>
  <c r="F158" i="35"/>
  <c r="G158" i="35"/>
  <c r="F360" i="11"/>
  <c r="G360" i="11"/>
  <c r="F361" i="11"/>
  <c r="G361" i="11" s="1"/>
  <c r="F362" i="11"/>
  <c r="G362" i="11" s="1"/>
  <c r="F363" i="11"/>
  <c r="G363" i="11" s="1"/>
  <c r="C95" i="40"/>
  <c r="D95" i="40"/>
  <c r="F95" i="40"/>
  <c r="C96" i="40"/>
  <c r="D96" i="40" s="1"/>
  <c r="F96" i="40"/>
  <c r="C97" i="40"/>
  <c r="D97" i="40" s="1"/>
  <c r="F97" i="40"/>
  <c r="C98" i="40"/>
  <c r="D98" i="40"/>
  <c r="F98" i="40"/>
  <c r="C99" i="40"/>
  <c r="D99" i="40"/>
  <c r="F99" i="40"/>
  <c r="C178" i="28"/>
  <c r="D178" i="28" s="1"/>
  <c r="F178" i="28"/>
  <c r="G178" i="28"/>
  <c r="C179" i="28"/>
  <c r="D179" i="28"/>
  <c r="F179" i="28"/>
  <c r="G179" i="28"/>
  <c r="C180" i="28"/>
  <c r="D180" i="28" s="1"/>
  <c r="F180" i="28"/>
  <c r="G180" i="28"/>
  <c r="C181" i="28"/>
  <c r="D181" i="28" s="1"/>
  <c r="F181" i="28"/>
  <c r="G181" i="28"/>
  <c r="C182" i="28"/>
  <c r="D182" i="28"/>
  <c r="F182" i="28"/>
  <c r="G182" i="28"/>
  <c r="G177" i="28"/>
  <c r="G34" i="48"/>
  <c r="G35" i="48"/>
  <c r="C34" i="48"/>
  <c r="D34" i="48"/>
  <c r="C35" i="48"/>
  <c r="D35" i="48"/>
  <c r="F34" i="48"/>
  <c r="F35" i="48"/>
  <c r="G304" i="13"/>
  <c r="G305" i="13"/>
  <c r="G306" i="13"/>
  <c r="G307" i="13"/>
  <c r="F304" i="13"/>
  <c r="F305" i="13"/>
  <c r="F306" i="13"/>
  <c r="F307" i="13"/>
  <c r="H143" i="37"/>
  <c r="D143" i="37"/>
  <c r="E143" i="37"/>
  <c r="F392" i="5"/>
  <c r="G392" i="5"/>
  <c r="F393" i="5"/>
  <c r="G393" i="5"/>
  <c r="F394" i="5"/>
  <c r="G394" i="5"/>
  <c r="F395" i="5"/>
  <c r="G395" i="5"/>
  <c r="F396" i="5"/>
  <c r="G396" i="5"/>
  <c r="F397" i="5"/>
  <c r="G397"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D391" i="5"/>
  <c r="G388" i="5"/>
  <c r="G389" i="5"/>
  <c r="G390" i="5"/>
  <c r="F391" i="5"/>
  <c r="G391" i="5"/>
  <c r="G160" i="33"/>
  <c r="C160" i="33"/>
  <c r="D160" i="33"/>
  <c r="F160" i="33"/>
  <c r="C26" i="49"/>
  <c r="D26" i="49" s="1"/>
  <c r="F26" i="49"/>
  <c r="C27" i="49"/>
  <c r="D27" i="49" s="1"/>
  <c r="F27" i="49"/>
  <c r="C28" i="49"/>
  <c r="D28" i="49"/>
  <c r="F28" i="49"/>
  <c r="F25" i="49"/>
  <c r="C25" i="49"/>
  <c r="D25" i="49"/>
  <c r="F24" i="49"/>
  <c r="C24" i="49"/>
  <c r="D24" i="49"/>
  <c r="F23" i="49"/>
  <c r="C23" i="49"/>
  <c r="D23" i="49"/>
  <c r="F22" i="49"/>
  <c r="C22" i="49"/>
  <c r="D22" i="49" s="1"/>
  <c r="F21" i="49"/>
  <c r="C21" i="49"/>
  <c r="B8" i="49"/>
  <c r="G4" i="49"/>
  <c r="C277" i="23"/>
  <c r="D277" i="23"/>
  <c r="F277" i="23"/>
  <c r="G277" i="23"/>
  <c r="H277" i="23"/>
  <c r="C278" i="23"/>
  <c r="D278" i="23"/>
  <c r="F278" i="23"/>
  <c r="G278" i="23"/>
  <c r="H278" i="23"/>
  <c r="C279" i="23"/>
  <c r="D279" i="23"/>
  <c r="F279" i="23"/>
  <c r="G279" i="23"/>
  <c r="H279" i="23"/>
  <c r="C280" i="23"/>
  <c r="D280" i="23"/>
  <c r="F280" i="23"/>
  <c r="G280" i="23"/>
  <c r="H280" i="23"/>
  <c r="C281" i="23"/>
  <c r="D281" i="23"/>
  <c r="F281" i="23"/>
  <c r="G281" i="23"/>
  <c r="H281" i="23"/>
  <c r="H174" i="30"/>
  <c r="D174" i="30"/>
  <c r="E174" i="30" s="1"/>
  <c r="G174" i="30"/>
  <c r="E78" i="46"/>
  <c r="G78" i="46"/>
  <c r="G79" i="46"/>
  <c r="E80" i="46"/>
  <c r="G80" i="46"/>
  <c r="H177" i="29"/>
  <c r="D177" i="29"/>
  <c r="E177" i="29" s="1"/>
  <c r="D81" i="43"/>
  <c r="F79" i="43"/>
  <c r="F81" i="43"/>
  <c r="F82" i="43"/>
  <c r="F83" i="43"/>
  <c r="G344" i="25"/>
  <c r="H79" i="47"/>
  <c r="D79" i="47"/>
  <c r="E79" i="47"/>
  <c r="G79" i="47"/>
  <c r="F343" i="24"/>
  <c r="G343" i="24"/>
  <c r="F344" i="24"/>
  <c r="G344" i="24"/>
  <c r="F345" i="24"/>
  <c r="G345" i="24"/>
  <c r="F346" i="24"/>
  <c r="G346" i="24"/>
  <c r="F347" i="24"/>
  <c r="G347" i="24"/>
  <c r="F348" i="24"/>
  <c r="G348" i="24"/>
  <c r="F345" i="25"/>
  <c r="F218" i="20"/>
  <c r="F219" i="20"/>
  <c r="F220" i="20"/>
  <c r="F221" i="20"/>
  <c r="F391" i="4"/>
  <c r="D154" i="45"/>
  <c r="C144" i="38"/>
  <c r="D144" i="38"/>
  <c r="C145" i="38"/>
  <c r="D145" i="38"/>
  <c r="C146" i="38"/>
  <c r="D146" i="38"/>
  <c r="C147" i="38"/>
  <c r="D147" i="38" s="1"/>
  <c r="C148" i="38"/>
  <c r="D148" i="38" s="1"/>
  <c r="G142" i="38"/>
  <c r="G143" i="38"/>
  <c r="G144" i="38"/>
  <c r="F146" i="38"/>
  <c r="F147" i="38"/>
  <c r="F148" i="38"/>
  <c r="C142" i="38"/>
  <c r="D142" i="38"/>
  <c r="C143" i="38"/>
  <c r="D143" i="38" s="1"/>
  <c r="F142" i="38"/>
  <c r="F143" i="38"/>
  <c r="F144" i="38"/>
  <c r="F145" i="38"/>
  <c r="C93" i="40"/>
  <c r="D93" i="40"/>
  <c r="C94" i="40"/>
  <c r="D94" i="40"/>
  <c r="F93" i="40"/>
  <c r="F94" i="40"/>
  <c r="C63" i="40"/>
  <c r="D63" i="40" s="1"/>
  <c r="C64" i="40"/>
  <c r="D64" i="40" s="1"/>
  <c r="C65" i="40"/>
  <c r="D65" i="40" s="1"/>
  <c r="C66" i="40"/>
  <c r="D66" i="40"/>
  <c r="C67" i="40"/>
  <c r="D67" i="40"/>
  <c r="C68" i="40"/>
  <c r="D68" i="40"/>
  <c r="C69" i="40"/>
  <c r="D69" i="40" s="1"/>
  <c r="C70" i="40"/>
  <c r="D70" i="40"/>
  <c r="C71" i="40"/>
  <c r="D71" i="40"/>
  <c r="C72" i="40"/>
  <c r="D72" i="40" s="1"/>
  <c r="C73" i="40"/>
  <c r="D73" i="40" s="1"/>
  <c r="C74" i="40"/>
  <c r="D74" i="40" s="1"/>
  <c r="C75" i="40"/>
  <c r="D75" i="40"/>
  <c r="C76" i="40"/>
  <c r="D76" i="40"/>
  <c r="C77" i="40"/>
  <c r="D77" i="40"/>
  <c r="C78" i="40"/>
  <c r="D78" i="40" s="1"/>
  <c r="C79" i="40"/>
  <c r="D79" i="40" s="1"/>
  <c r="C80" i="40"/>
  <c r="D80" i="40" s="1"/>
  <c r="C81" i="40"/>
  <c r="D81" i="40"/>
  <c r="C82" i="40"/>
  <c r="C83" i="40"/>
  <c r="D83" i="40" s="1"/>
  <c r="C84" i="40"/>
  <c r="D84" i="40" s="1"/>
  <c r="C85" i="40"/>
  <c r="D85" i="40"/>
  <c r="C86" i="40"/>
  <c r="D86" i="40"/>
  <c r="C87" i="40"/>
  <c r="D87" i="40"/>
  <c r="C88" i="40"/>
  <c r="D88" i="40" s="1"/>
  <c r="C89" i="40"/>
  <c r="D89" i="40" s="1"/>
  <c r="C90" i="40"/>
  <c r="D90" i="40" s="1"/>
  <c r="C91" i="40"/>
  <c r="D91" i="40"/>
  <c r="C92" i="40"/>
  <c r="D92" i="40"/>
  <c r="D82" i="40"/>
  <c r="F63" i="40"/>
  <c r="F64" i="40"/>
  <c r="F65" i="40"/>
  <c r="F66" i="40"/>
  <c r="F67" i="40"/>
  <c r="F68" i="40"/>
  <c r="F69" i="40"/>
  <c r="F70" i="40"/>
  <c r="F71" i="40"/>
  <c r="F72" i="40"/>
  <c r="F73" i="40"/>
  <c r="F74" i="40"/>
  <c r="F75" i="40"/>
  <c r="F76" i="40"/>
  <c r="F77" i="40"/>
  <c r="F78" i="40"/>
  <c r="F79" i="40"/>
  <c r="F80" i="40"/>
  <c r="F81" i="40"/>
  <c r="F82" i="40"/>
  <c r="F83" i="40"/>
  <c r="F84" i="40"/>
  <c r="F85" i="40"/>
  <c r="F86" i="40"/>
  <c r="F87" i="40"/>
  <c r="F88" i="40"/>
  <c r="F89" i="40"/>
  <c r="F90" i="40"/>
  <c r="F91" i="40"/>
  <c r="F92" i="40"/>
  <c r="F323" i="12"/>
  <c r="G151" i="35"/>
  <c r="C151" i="35"/>
  <c r="D151" i="35"/>
  <c r="F151" i="35"/>
  <c r="G276" i="23"/>
  <c r="H276" i="23"/>
  <c r="C276" i="23"/>
  <c r="D276" i="23"/>
  <c r="F276" i="23"/>
  <c r="E77" i="46"/>
  <c r="G77" i="46"/>
  <c r="G176" i="28"/>
  <c r="C176" i="28"/>
  <c r="D176" i="28" s="1"/>
  <c r="C177" i="28"/>
  <c r="D177" i="28" s="1"/>
  <c r="F176" i="28"/>
  <c r="F177" i="28"/>
  <c r="F227" i="18"/>
  <c r="G291" i="14"/>
  <c r="H291" i="14"/>
  <c r="G292" i="14"/>
  <c r="H292" i="14"/>
  <c r="G293" i="14"/>
  <c r="H293" i="14"/>
  <c r="F293" i="14"/>
  <c r="F93" i="41"/>
  <c r="H172" i="32"/>
  <c r="H173" i="32"/>
  <c r="D172" i="32"/>
  <c r="E172" i="32" s="1"/>
  <c r="D173" i="32"/>
  <c r="E173" i="32" s="1"/>
  <c r="G172" i="32"/>
  <c r="G173" i="32"/>
  <c r="G23" i="48"/>
  <c r="G24" i="48"/>
  <c r="G25" i="48"/>
  <c r="G26" i="48"/>
  <c r="G27" i="48"/>
  <c r="G28" i="48"/>
  <c r="G29" i="48"/>
  <c r="G30" i="48"/>
  <c r="G31" i="48"/>
  <c r="G32" i="48"/>
  <c r="G33" i="48"/>
  <c r="G22" i="48"/>
  <c r="F21" i="48"/>
  <c r="F22" i="48"/>
  <c r="F23" i="48"/>
  <c r="F24" i="48"/>
  <c r="F25" i="48"/>
  <c r="F26" i="48"/>
  <c r="F27" i="48"/>
  <c r="F28" i="48"/>
  <c r="F29" i="48"/>
  <c r="F30" i="48"/>
  <c r="F31" i="48"/>
  <c r="F32" i="48"/>
  <c r="F33" i="48"/>
  <c r="C23" i="48"/>
  <c r="D23" i="48" s="1"/>
  <c r="C24" i="48"/>
  <c r="D24" i="48" s="1"/>
  <c r="C25" i="48"/>
  <c r="D25" i="48"/>
  <c r="C26" i="48"/>
  <c r="D26" i="48"/>
  <c r="C27" i="48"/>
  <c r="D27" i="48"/>
  <c r="C28" i="48"/>
  <c r="D28" i="48" s="1"/>
  <c r="C29" i="48"/>
  <c r="D29" i="48" s="1"/>
  <c r="C30" i="48"/>
  <c r="D30" i="48" s="1"/>
  <c r="C31" i="48"/>
  <c r="D31" i="48"/>
  <c r="C32" i="48"/>
  <c r="D32" i="48"/>
  <c r="C33" i="48"/>
  <c r="D33" i="48"/>
  <c r="C22" i="48"/>
  <c r="D22" i="48" s="1"/>
  <c r="C175" i="28"/>
  <c r="D175" i="28" s="1"/>
  <c r="F175" i="28"/>
  <c r="G175" i="28"/>
  <c r="F78" i="43"/>
  <c r="C150" i="35"/>
  <c r="D150" i="35" s="1"/>
  <c r="F150" i="35"/>
  <c r="G150" i="35"/>
  <c r="F92" i="41"/>
  <c r="C141" i="38"/>
  <c r="D141" i="38" s="1"/>
  <c r="F141" i="38"/>
  <c r="G141" i="38"/>
  <c r="C158" i="33"/>
  <c r="D158" i="33" s="1"/>
  <c r="F158" i="33"/>
  <c r="G158" i="33"/>
  <c r="C159" i="33"/>
  <c r="D159" i="33"/>
  <c r="F159" i="33"/>
  <c r="G159" i="33"/>
  <c r="F341" i="24"/>
  <c r="G341" i="24"/>
  <c r="F342" i="24"/>
  <c r="G342" i="24"/>
  <c r="E76" i="46"/>
  <c r="G76" i="46"/>
  <c r="D77" i="47"/>
  <c r="E77" i="47" s="1"/>
  <c r="G77" i="47"/>
  <c r="H77" i="47"/>
  <c r="D78" i="47"/>
  <c r="E78" i="47" s="1"/>
  <c r="G78" i="47"/>
  <c r="H78" i="47"/>
  <c r="D141" i="37"/>
  <c r="E141" i="37" s="1"/>
  <c r="H141" i="37"/>
  <c r="D142" i="37"/>
  <c r="E142" i="37"/>
  <c r="H142" i="37"/>
  <c r="D170" i="32"/>
  <c r="E170" i="32" s="1"/>
  <c r="G170" i="32"/>
  <c r="H170" i="32"/>
  <c r="D171" i="32"/>
  <c r="E171" i="32" s="1"/>
  <c r="G171" i="32"/>
  <c r="H171" i="32"/>
  <c r="F224" i="18"/>
  <c r="F225" i="18"/>
  <c r="F226" i="18"/>
  <c r="D175" i="29"/>
  <c r="E175" i="29" s="1"/>
  <c r="H175" i="29"/>
  <c r="D176" i="29"/>
  <c r="E176" i="29" s="1"/>
  <c r="H176" i="29"/>
  <c r="G22" i="35"/>
  <c r="C275" i="23"/>
  <c r="D275" i="23" s="1"/>
  <c r="F275" i="23"/>
  <c r="G275" i="23"/>
  <c r="H275" i="23"/>
  <c r="D172" i="30"/>
  <c r="E172" i="30" s="1"/>
  <c r="G172" i="30"/>
  <c r="H172" i="30"/>
  <c r="D173" i="30"/>
  <c r="E173" i="30" s="1"/>
  <c r="G173" i="30"/>
  <c r="H173" i="30"/>
  <c r="C21" i="48"/>
  <c r="B8" i="48"/>
  <c r="G4" i="48"/>
  <c r="F342" i="25"/>
  <c r="G342" i="25"/>
  <c r="F343" i="25"/>
  <c r="G343" i="25"/>
  <c r="F222" i="19"/>
  <c r="F223" i="19"/>
  <c r="F390" i="4"/>
  <c r="F291" i="14"/>
  <c r="F292" i="14"/>
  <c r="F91" i="41"/>
  <c r="D77" i="43"/>
  <c r="F77" i="43"/>
  <c r="F322" i="12"/>
  <c r="F389" i="4"/>
  <c r="F214" i="20"/>
  <c r="H214" i="20"/>
  <c r="F215" i="20"/>
  <c r="H215" i="20"/>
  <c r="C149" i="35"/>
  <c r="D149" i="35" s="1"/>
  <c r="F149" i="35"/>
  <c r="G149" i="35"/>
  <c r="F89" i="41"/>
  <c r="F90" i="41"/>
  <c r="C138" i="38"/>
  <c r="D138" i="38"/>
  <c r="F138" i="38"/>
  <c r="G138" i="38"/>
  <c r="C139" i="38"/>
  <c r="D139" i="38" s="1"/>
  <c r="F139" i="38"/>
  <c r="G139" i="38"/>
  <c r="C140" i="38"/>
  <c r="D140" i="38"/>
  <c r="F140" i="38"/>
  <c r="G140" i="38"/>
  <c r="C156" i="33"/>
  <c r="D156" i="33"/>
  <c r="F156" i="33"/>
  <c r="G156" i="33"/>
  <c r="C157" i="33"/>
  <c r="D157" i="33" s="1"/>
  <c r="F157" i="33"/>
  <c r="G157" i="33"/>
  <c r="F72" i="43"/>
  <c r="D73" i="43"/>
  <c r="F73" i="43"/>
  <c r="F74" i="43"/>
  <c r="F75" i="43"/>
  <c r="F76" i="43"/>
  <c r="D73" i="47"/>
  <c r="E73" i="47" s="1"/>
  <c r="G73" i="47"/>
  <c r="H73" i="47"/>
  <c r="D74" i="47"/>
  <c r="E74" i="47" s="1"/>
  <c r="G74" i="47"/>
  <c r="H74" i="47"/>
  <c r="D75" i="47"/>
  <c r="E75" i="47" s="1"/>
  <c r="G75" i="47"/>
  <c r="H75" i="47"/>
  <c r="D76" i="47"/>
  <c r="E76" i="47" s="1"/>
  <c r="G76" i="47"/>
  <c r="H76" i="47"/>
  <c r="E72" i="46"/>
  <c r="G72" i="46"/>
  <c r="E73" i="46"/>
  <c r="G73" i="46"/>
  <c r="E74" i="46"/>
  <c r="G74" i="46"/>
  <c r="E75" i="46"/>
  <c r="G75" i="46"/>
  <c r="D139" i="37"/>
  <c r="E139" i="37"/>
  <c r="H139" i="37"/>
  <c r="D140" i="37"/>
  <c r="E140" i="37" s="1"/>
  <c r="H140" i="37"/>
  <c r="D169" i="32"/>
  <c r="E169" i="32" s="1"/>
  <c r="G169" i="32"/>
  <c r="H169" i="32"/>
  <c r="D170" i="30"/>
  <c r="E170" i="30" s="1"/>
  <c r="G170" i="30"/>
  <c r="H170" i="30"/>
  <c r="D171" i="30"/>
  <c r="E171" i="30" s="1"/>
  <c r="G171" i="30"/>
  <c r="H171" i="30"/>
  <c r="D173" i="29"/>
  <c r="E173" i="29" s="1"/>
  <c r="H173" i="29"/>
  <c r="D174" i="29"/>
  <c r="E174" i="29" s="1"/>
  <c r="H174" i="29"/>
  <c r="C174" i="28"/>
  <c r="D174" i="28" s="1"/>
  <c r="F174" i="28"/>
  <c r="G174" i="28"/>
  <c r="F290" i="14"/>
  <c r="G290" i="14"/>
  <c r="H290" i="14"/>
  <c r="C273" i="23"/>
  <c r="D273" i="23" s="1"/>
  <c r="F273" i="23"/>
  <c r="G273" i="23"/>
  <c r="H273" i="23"/>
  <c r="C274" i="23"/>
  <c r="D274" i="23" s="1"/>
  <c r="F274" i="23"/>
  <c r="G274" i="23"/>
  <c r="H274" i="23"/>
  <c r="F213" i="20"/>
  <c r="H213" i="20"/>
  <c r="F339" i="25"/>
  <c r="G339" i="25"/>
  <c r="F340" i="25"/>
  <c r="G340" i="25"/>
  <c r="F341" i="25"/>
  <c r="G341" i="25"/>
  <c r="F218" i="19"/>
  <c r="F219" i="19"/>
  <c r="D220" i="19"/>
  <c r="F220" i="19"/>
  <c r="F221" i="19"/>
  <c r="D203" i="22"/>
  <c r="F320" i="12"/>
  <c r="F321" i="12"/>
  <c r="F340" i="24"/>
  <c r="G340" i="24"/>
  <c r="F388" i="4"/>
  <c r="F359" i="11"/>
  <c r="G359" i="11" s="1"/>
  <c r="G303" i="13"/>
  <c r="F303" i="13"/>
  <c r="H167" i="32"/>
  <c r="H168" i="32"/>
  <c r="F339" i="24"/>
  <c r="G339" i="24"/>
  <c r="G289" i="14"/>
  <c r="H289" i="14"/>
  <c r="F289" i="14"/>
  <c r="G387" i="5"/>
  <c r="G148" i="35"/>
  <c r="C148" i="35"/>
  <c r="D148" i="35"/>
  <c r="F148" i="35"/>
  <c r="G173" i="28"/>
  <c r="C173" i="28"/>
  <c r="D173" i="28" s="1"/>
  <c r="F173" i="28"/>
  <c r="F387" i="4"/>
  <c r="F336" i="24"/>
  <c r="G336" i="24"/>
  <c r="F337" i="24"/>
  <c r="G337" i="24"/>
  <c r="F338" i="24"/>
  <c r="G338" i="24"/>
  <c r="G172" i="28"/>
  <c r="H138" i="37"/>
  <c r="F358" i="11"/>
  <c r="G358" i="11" s="1"/>
  <c r="G302" i="13"/>
  <c r="G155" i="33"/>
  <c r="G272" i="23"/>
  <c r="H272" i="23"/>
  <c r="H172" i="29"/>
  <c r="H212" i="20"/>
  <c r="G147" i="35"/>
  <c r="G386" i="5"/>
  <c r="F384" i="4"/>
  <c r="F385" i="4"/>
  <c r="F386" i="4"/>
  <c r="G287" i="14"/>
  <c r="H287" i="14"/>
  <c r="G288" i="14"/>
  <c r="H288" i="14"/>
  <c r="F288" i="14"/>
  <c r="F287" i="14"/>
  <c r="H169" i="30"/>
  <c r="G137" i="38"/>
  <c r="F316" i="12"/>
  <c r="F317" i="12"/>
  <c r="F318" i="12"/>
  <c r="F319" i="12"/>
  <c r="G145" i="35"/>
  <c r="G146" i="35"/>
  <c r="C146" i="35"/>
  <c r="D146" i="35"/>
  <c r="C147" i="35"/>
  <c r="D147" i="35"/>
  <c r="F146" i="35"/>
  <c r="F147" i="35"/>
  <c r="E71" i="46"/>
  <c r="G71" i="46"/>
  <c r="H168" i="30"/>
  <c r="C155" i="33"/>
  <c r="D155" i="33" s="1"/>
  <c r="F155" i="33"/>
  <c r="F338" i="25"/>
  <c r="G338" i="25"/>
  <c r="G135" i="38"/>
  <c r="G136" i="38"/>
  <c r="C135" i="38"/>
  <c r="D135" i="38" s="1"/>
  <c r="C136" i="38"/>
  <c r="D136" i="38" s="1"/>
  <c r="C137" i="38"/>
  <c r="D137" i="38"/>
  <c r="F135" i="38"/>
  <c r="F136" i="38"/>
  <c r="F137" i="38"/>
  <c r="F88" i="41"/>
  <c r="F86" i="41"/>
  <c r="F87" i="41"/>
  <c r="G152" i="33"/>
  <c r="G153" i="33"/>
  <c r="G154" i="33"/>
  <c r="C153" i="33"/>
  <c r="D153" i="33"/>
  <c r="C154" i="33"/>
  <c r="D154" i="33" s="1"/>
  <c r="F153" i="33"/>
  <c r="F154" i="33"/>
  <c r="H135" i="37"/>
  <c r="H136" i="37"/>
  <c r="H137" i="37"/>
  <c r="D135" i="37"/>
  <c r="E135" i="37" s="1"/>
  <c r="D136" i="37"/>
  <c r="E136" i="37" s="1"/>
  <c r="D137" i="37"/>
  <c r="E137" i="37"/>
  <c r="D138" i="37"/>
  <c r="E138" i="37" s="1"/>
  <c r="G170" i="28"/>
  <c r="G171" i="28"/>
  <c r="C172" i="28"/>
  <c r="D172" i="28"/>
  <c r="F172" i="28"/>
  <c r="C170" i="28"/>
  <c r="D170" i="28"/>
  <c r="C171" i="28"/>
  <c r="D171" i="28"/>
  <c r="F170" i="28"/>
  <c r="F171" i="28"/>
  <c r="G270" i="23"/>
  <c r="H270" i="23"/>
  <c r="G271" i="23"/>
  <c r="H271" i="23"/>
  <c r="C270" i="23"/>
  <c r="D270" i="23" s="1"/>
  <c r="C271" i="23"/>
  <c r="D271" i="23"/>
  <c r="C272" i="23"/>
  <c r="D272" i="23"/>
  <c r="F270" i="23"/>
  <c r="F271" i="23"/>
  <c r="F272" i="23"/>
  <c r="G301" i="13"/>
  <c r="F301" i="13"/>
  <c r="F302" i="13"/>
  <c r="G385" i="5"/>
  <c r="D387" i="5"/>
  <c r="F356" i="11"/>
  <c r="G356" i="11"/>
  <c r="F357" i="11"/>
  <c r="G357" i="11"/>
  <c r="D223" i="18"/>
  <c r="F222" i="18"/>
  <c r="F223" i="18"/>
  <c r="F210" i="20"/>
  <c r="H210" i="20"/>
  <c r="F211" i="20"/>
  <c r="H211" i="20"/>
  <c r="F212" i="20"/>
  <c r="H169" i="29"/>
  <c r="H170" i="29"/>
  <c r="H171" i="29"/>
  <c r="D169" i="29"/>
  <c r="E169" i="29" s="1"/>
  <c r="D170" i="29"/>
  <c r="E170" i="29" s="1"/>
  <c r="D171" i="29"/>
  <c r="E171" i="29" s="1"/>
  <c r="D172" i="29"/>
  <c r="E172" i="29" s="1"/>
  <c r="D168" i="30"/>
  <c r="E168" i="30" s="1"/>
  <c r="D169" i="30"/>
  <c r="E169" i="30" s="1"/>
  <c r="G168" i="30"/>
  <c r="G169" i="30"/>
  <c r="H166" i="32"/>
  <c r="D166" i="32"/>
  <c r="E166" i="32" s="1"/>
  <c r="D167" i="32"/>
  <c r="E167" i="32" s="1"/>
  <c r="D168" i="32"/>
  <c r="E168" i="32" s="1"/>
  <c r="G166" i="32"/>
  <c r="G167" i="32"/>
  <c r="G168" i="32"/>
  <c r="H167" i="30"/>
  <c r="D167" i="30"/>
  <c r="E167" i="30" s="1"/>
  <c r="G167" i="30"/>
  <c r="H165" i="32"/>
  <c r="D165" i="32"/>
  <c r="E165" i="32" s="1"/>
  <c r="G165" i="32"/>
  <c r="D199" i="22"/>
  <c r="F220" i="18"/>
  <c r="F221" i="18"/>
  <c r="C145" i="35"/>
  <c r="D145" i="35" s="1"/>
  <c r="F145" i="35"/>
  <c r="G300" i="13"/>
  <c r="F300" i="13"/>
  <c r="G384" i="5"/>
  <c r="F337" i="25"/>
  <c r="G337" i="25"/>
  <c r="G286" i="14"/>
  <c r="H286" i="14"/>
  <c r="F286" i="14"/>
  <c r="E70" i="46"/>
  <c r="G70" i="46"/>
  <c r="H72" i="47"/>
  <c r="D72" i="47"/>
  <c r="E72" i="47" s="1"/>
  <c r="G72" i="47"/>
  <c r="F336" i="25"/>
  <c r="G336" i="25"/>
  <c r="F335" i="24"/>
  <c r="G335" i="24"/>
  <c r="F216" i="19"/>
  <c r="F217" i="19"/>
  <c r="G144" i="35"/>
  <c r="C144" i="35"/>
  <c r="D144" i="35" s="1"/>
  <c r="F144" i="35"/>
  <c r="C152" i="33"/>
  <c r="D152" i="33"/>
  <c r="F152" i="33"/>
  <c r="H71" i="47"/>
  <c r="D71" i="47"/>
  <c r="E71" i="47" s="1"/>
  <c r="G71" i="47"/>
  <c r="F355" i="11"/>
  <c r="G355" i="11" s="1"/>
  <c r="G269" i="23"/>
  <c r="H269" i="23"/>
  <c r="C269" i="23"/>
  <c r="D269" i="23" s="1"/>
  <c r="F269" i="23"/>
  <c r="G169" i="28"/>
  <c r="C169" i="28"/>
  <c r="D169" i="28"/>
  <c r="F169" i="28"/>
  <c r="G299" i="13"/>
  <c r="F299" i="13"/>
  <c r="G383" i="5"/>
  <c r="D383" i="5"/>
  <c r="H209" i="20"/>
  <c r="F209" i="20"/>
  <c r="G285" i="14"/>
  <c r="H285" i="14"/>
  <c r="F285" i="14"/>
  <c r="H166" i="30"/>
  <c r="D166" i="30"/>
  <c r="E166" i="30" s="1"/>
  <c r="G166" i="30"/>
  <c r="H164" i="32"/>
  <c r="G298" i="13"/>
  <c r="F298" i="13"/>
  <c r="F354" i="11"/>
  <c r="G354" i="11"/>
  <c r="F85" i="41"/>
  <c r="F71" i="43"/>
  <c r="G268" i="23"/>
  <c r="H268" i="23"/>
  <c r="C268" i="23"/>
  <c r="D268" i="23" s="1"/>
  <c r="F268" i="23"/>
  <c r="G143" i="35"/>
  <c r="C143" i="35"/>
  <c r="D143" i="35"/>
  <c r="F143" i="35"/>
  <c r="F219" i="18"/>
  <c r="H134" i="37"/>
  <c r="D134" i="37"/>
  <c r="E134" i="37" s="1"/>
  <c r="H208" i="20"/>
  <c r="F208" i="20"/>
  <c r="E69" i="46"/>
  <c r="G69" i="46"/>
  <c r="G151" i="33"/>
  <c r="C151" i="33"/>
  <c r="D151" i="33"/>
  <c r="F151" i="33"/>
  <c r="H168" i="29"/>
  <c r="D168" i="29"/>
  <c r="E168" i="29" s="1"/>
  <c r="F335" i="25"/>
  <c r="G335" i="25"/>
  <c r="G168" i="28"/>
  <c r="C168" i="28"/>
  <c r="D168" i="28"/>
  <c r="F168" i="28"/>
  <c r="G382" i="5"/>
  <c r="H165" i="30"/>
  <c r="D165" i="30"/>
  <c r="E165" i="30" s="1"/>
  <c r="G165" i="30"/>
  <c r="F383" i="4"/>
  <c r="F334" i="24"/>
  <c r="G334" i="24"/>
  <c r="F70" i="43"/>
  <c r="F84" i="41"/>
  <c r="G284" i="14"/>
  <c r="H284" i="14"/>
  <c r="F284" i="14"/>
  <c r="H70" i="47"/>
  <c r="D70" i="47"/>
  <c r="E70" i="47" s="1"/>
  <c r="G70" i="47"/>
  <c r="H163" i="32"/>
  <c r="D163" i="32"/>
  <c r="E163" i="32" s="1"/>
  <c r="D164" i="32"/>
  <c r="E164" i="32" s="1"/>
  <c r="G163" i="32"/>
  <c r="G164" i="32"/>
  <c r="F214" i="19"/>
  <c r="F215" i="19"/>
  <c r="D215" i="19"/>
  <c r="G134" i="38"/>
  <c r="C134" i="38"/>
  <c r="D134" i="38" s="1"/>
  <c r="F134" i="38"/>
  <c r="G142" i="35"/>
  <c r="C142" i="35"/>
  <c r="D142" i="35"/>
  <c r="F142" i="35"/>
  <c r="F314" i="12"/>
  <c r="F315" i="12"/>
  <c r="F352" i="11"/>
  <c r="G352" i="11"/>
  <c r="F353" i="11"/>
  <c r="G353" i="11"/>
  <c r="H133" i="37"/>
  <c r="D133" i="37"/>
  <c r="E133" i="37" s="1"/>
  <c r="G297" i="13"/>
  <c r="F297" i="13"/>
  <c r="G381" i="5"/>
  <c r="H167" i="29"/>
  <c r="D167" i="29"/>
  <c r="E167" i="29" s="1"/>
  <c r="E68" i="46"/>
  <c r="G68" i="46"/>
  <c r="G167" i="28"/>
  <c r="C167" i="28"/>
  <c r="D167" i="28"/>
  <c r="F167" i="28"/>
  <c r="G150" i="33"/>
  <c r="C150" i="33"/>
  <c r="D150" i="33" s="1"/>
  <c r="F150" i="33"/>
  <c r="G133" i="38"/>
  <c r="C133" i="38"/>
  <c r="D133" i="38" s="1"/>
  <c r="F133" i="38"/>
  <c r="F382" i="4"/>
  <c r="G267" i="23"/>
  <c r="H267" i="23"/>
  <c r="C267" i="23"/>
  <c r="D267" i="23"/>
  <c r="F267" i="23"/>
  <c r="H164" i="30"/>
  <c r="D164" i="30"/>
  <c r="E164" i="30" s="1"/>
  <c r="G164" i="30"/>
  <c r="H207" i="20"/>
  <c r="F207" i="20"/>
  <c r="F334" i="25"/>
  <c r="G334" i="25"/>
  <c r="F333" i="24"/>
  <c r="G333" i="24"/>
  <c r="H162" i="32"/>
  <c r="G283" i="14"/>
  <c r="H283" i="14"/>
  <c r="F283" i="14"/>
  <c r="H69" i="47"/>
  <c r="D69" i="47"/>
  <c r="E69" i="47" s="1"/>
  <c r="G69" i="47"/>
  <c r="G141" i="35"/>
  <c r="G149" i="33"/>
  <c r="H206" i="20"/>
  <c r="F333" i="25"/>
  <c r="G333" i="25"/>
  <c r="G296" i="13"/>
  <c r="H132" i="37"/>
  <c r="G266" i="23"/>
  <c r="H266" i="23"/>
  <c r="C266" i="23"/>
  <c r="D266" i="23" s="1"/>
  <c r="F266" i="23"/>
  <c r="G380" i="5"/>
  <c r="G166" i="28"/>
  <c r="G132" i="38"/>
  <c r="F381" i="4"/>
  <c r="H166" i="29"/>
  <c r="H163" i="30"/>
  <c r="D163" i="30"/>
  <c r="E163" i="30" s="1"/>
  <c r="G163" i="30"/>
  <c r="H68" i="47"/>
  <c r="F332" i="24"/>
  <c r="G332" i="24"/>
  <c r="G282" i="14"/>
  <c r="H282" i="14"/>
  <c r="H161" i="32"/>
  <c r="F213" i="19"/>
  <c r="F313" i="12"/>
  <c r="F216" i="18"/>
  <c r="F217" i="18"/>
  <c r="F218" i="18"/>
  <c r="G140" i="35"/>
  <c r="C140" i="35"/>
  <c r="D140" i="35" s="1"/>
  <c r="C141" i="35"/>
  <c r="D141" i="35" s="1"/>
  <c r="F140" i="35"/>
  <c r="F141" i="35"/>
  <c r="D166" i="29"/>
  <c r="E166" i="29"/>
  <c r="H165" i="29"/>
  <c r="D165" i="29"/>
  <c r="E165" i="29" s="1"/>
  <c r="F351" i="11"/>
  <c r="G351" i="11"/>
  <c r="F349" i="11"/>
  <c r="G349" i="11" s="1"/>
  <c r="F350" i="11"/>
  <c r="G350" i="11" s="1"/>
  <c r="G148" i="33"/>
  <c r="C148" i="33"/>
  <c r="D148" i="33" s="1"/>
  <c r="C149" i="33"/>
  <c r="D149" i="33" s="1"/>
  <c r="F148" i="33"/>
  <c r="F149" i="33"/>
  <c r="G295" i="13"/>
  <c r="F295" i="13"/>
  <c r="F296" i="13"/>
  <c r="H205" i="20"/>
  <c r="F205" i="20"/>
  <c r="F206" i="20"/>
  <c r="F380" i="4"/>
  <c r="G165" i="28"/>
  <c r="C165" i="28"/>
  <c r="D165" i="28" s="1"/>
  <c r="C166" i="28"/>
  <c r="D166" i="28" s="1"/>
  <c r="F165" i="28"/>
  <c r="F166" i="28"/>
  <c r="H131" i="37"/>
  <c r="D313" i="12"/>
  <c r="H162" i="30"/>
  <c r="D162" i="30"/>
  <c r="E162" i="30" s="1"/>
  <c r="G162" i="30"/>
  <c r="G379" i="5"/>
  <c r="D379" i="5"/>
  <c r="G281" i="14"/>
  <c r="H281" i="14"/>
  <c r="F281" i="14"/>
  <c r="F282" i="14"/>
  <c r="G265" i="23"/>
  <c r="H265" i="23"/>
  <c r="C265" i="23"/>
  <c r="D265" i="23"/>
  <c r="F265" i="23"/>
  <c r="F332" i="25"/>
  <c r="G332" i="25"/>
  <c r="D332" i="25"/>
  <c r="D69" i="43"/>
  <c r="F67" i="43"/>
  <c r="F68" i="43"/>
  <c r="F69" i="43"/>
  <c r="F83" i="41"/>
  <c r="F81" i="41"/>
  <c r="F82" i="41"/>
  <c r="H67" i="47"/>
  <c r="D67" i="47"/>
  <c r="E67" i="47" s="1"/>
  <c r="D68" i="47"/>
  <c r="E68" i="47" s="1"/>
  <c r="G67" i="47"/>
  <c r="G68" i="47"/>
  <c r="F331" i="24"/>
  <c r="G331" i="24"/>
  <c r="H160" i="32"/>
  <c r="D160" i="32"/>
  <c r="E160" i="32" s="1"/>
  <c r="D161" i="32"/>
  <c r="E161" i="32" s="1"/>
  <c r="D162" i="32"/>
  <c r="E162" i="32" s="1"/>
  <c r="G160" i="32"/>
  <c r="G161" i="32"/>
  <c r="G162" i="32"/>
  <c r="G131" i="38"/>
  <c r="C131" i="38"/>
  <c r="D131" i="38" s="1"/>
  <c r="C132" i="38"/>
  <c r="D132" i="38" s="1"/>
  <c r="F131" i="38"/>
  <c r="F132" i="38"/>
  <c r="F212" i="19"/>
  <c r="D131" i="37"/>
  <c r="E131" i="37" s="1"/>
  <c r="D132" i="37"/>
  <c r="E132" i="37" s="1"/>
  <c r="D195" i="22"/>
  <c r="E65" i="46"/>
  <c r="E66" i="46"/>
  <c r="G65" i="46"/>
  <c r="G66" i="46"/>
  <c r="G67" i="46"/>
  <c r="D142" i="45"/>
  <c r="F215" i="18"/>
  <c r="G294" i="13"/>
  <c r="F294" i="13"/>
  <c r="G164" i="28"/>
  <c r="C164" i="28"/>
  <c r="D164" i="28" s="1"/>
  <c r="F164" i="28"/>
  <c r="G378" i="5"/>
  <c r="G264" i="23"/>
  <c r="H264" i="23"/>
  <c r="C264" i="23"/>
  <c r="D264" i="23" s="1"/>
  <c r="F264" i="23"/>
  <c r="H204" i="20"/>
  <c r="F204" i="20"/>
  <c r="G147" i="33"/>
  <c r="C147" i="33"/>
  <c r="D147" i="33" s="1"/>
  <c r="F147" i="33"/>
  <c r="F331" i="25"/>
  <c r="G331" i="25"/>
  <c r="F379" i="4"/>
  <c r="H130" i="37"/>
  <c r="D130" i="37"/>
  <c r="E130" i="37" s="1"/>
  <c r="H164" i="29"/>
  <c r="D164" i="29"/>
  <c r="E164" i="29" s="1"/>
  <c r="G280" i="14"/>
  <c r="H280" i="14"/>
  <c r="F280" i="14"/>
  <c r="F312" i="12"/>
  <c r="F66" i="43"/>
  <c r="F80" i="41"/>
  <c r="H161" i="30"/>
  <c r="D161" i="30"/>
  <c r="E161" i="30" s="1"/>
  <c r="G161" i="30"/>
  <c r="G139" i="35"/>
  <c r="C139" i="35"/>
  <c r="D139" i="35" s="1"/>
  <c r="F139" i="35"/>
  <c r="H66" i="47"/>
  <c r="D66" i="47"/>
  <c r="E66" i="47"/>
  <c r="G66" i="47"/>
  <c r="H159" i="32"/>
  <c r="D159" i="32"/>
  <c r="E159" i="32" s="1"/>
  <c r="G159" i="32"/>
  <c r="F330" i="24"/>
  <c r="G330" i="24"/>
  <c r="G130" i="38"/>
  <c r="C130" i="38"/>
  <c r="D130" i="38"/>
  <c r="F130" i="38"/>
  <c r="F211" i="19"/>
  <c r="G138" i="35"/>
  <c r="C138" i="35"/>
  <c r="D138" i="35"/>
  <c r="F138" i="35"/>
  <c r="F311" i="12"/>
  <c r="G146" i="33"/>
  <c r="C146" i="33"/>
  <c r="D146" i="33" s="1"/>
  <c r="F146" i="33"/>
  <c r="G263" i="23"/>
  <c r="H263" i="23"/>
  <c r="C263" i="23"/>
  <c r="D263" i="23"/>
  <c r="F263" i="23"/>
  <c r="F214" i="18"/>
  <c r="E64" i="46"/>
  <c r="G64" i="46"/>
  <c r="G163" i="28"/>
  <c r="C163" i="28"/>
  <c r="D163" i="28" s="1"/>
  <c r="F163" i="28"/>
  <c r="G293" i="13"/>
  <c r="F293" i="13"/>
  <c r="H129" i="37"/>
  <c r="D129" i="37"/>
  <c r="E129" i="37" s="1"/>
  <c r="G376" i="5"/>
  <c r="G377" i="5"/>
  <c r="H162" i="29"/>
  <c r="H163" i="29"/>
  <c r="D163" i="29"/>
  <c r="E163" i="29" s="1"/>
  <c r="G129" i="38"/>
  <c r="C129" i="38"/>
  <c r="D129" i="38"/>
  <c r="F129" i="38"/>
  <c r="F330" i="25"/>
  <c r="G330" i="25"/>
  <c r="F378" i="4"/>
  <c r="H203" i="20"/>
  <c r="F203" i="20"/>
  <c r="G279" i="14"/>
  <c r="H279" i="14"/>
  <c r="F279" i="14"/>
  <c r="H160" i="30"/>
  <c r="D160" i="30"/>
  <c r="E160" i="30" s="1"/>
  <c r="G160" i="30"/>
  <c r="H158" i="32"/>
  <c r="D158" i="32"/>
  <c r="E158" i="32" s="1"/>
  <c r="G158" i="32"/>
  <c r="F79" i="41"/>
  <c r="D65" i="43"/>
  <c r="F65" i="43"/>
  <c r="F329" i="24"/>
  <c r="G329" i="24"/>
  <c r="H65" i="47"/>
  <c r="D65" i="47"/>
  <c r="E65" i="47" s="1"/>
  <c r="G65" i="47"/>
  <c r="D191" i="22"/>
  <c r="G137" i="35"/>
  <c r="C137" i="35"/>
  <c r="D137" i="35" s="1"/>
  <c r="F137" i="35"/>
  <c r="G278" i="14"/>
  <c r="H278" i="14"/>
  <c r="F278" i="14"/>
  <c r="F348" i="11"/>
  <c r="G348" i="11"/>
  <c r="F210" i="19"/>
  <c r="F310" i="12"/>
  <c r="E63" i="46"/>
  <c r="G63" i="46"/>
  <c r="H159" i="30"/>
  <c r="D159" i="30"/>
  <c r="E159" i="30" s="1"/>
  <c r="G159" i="30"/>
  <c r="D162" i="29"/>
  <c r="E162" i="29" s="1"/>
  <c r="G145" i="33"/>
  <c r="C145" i="33"/>
  <c r="D145" i="33" s="1"/>
  <c r="F145" i="33"/>
  <c r="F213" i="18"/>
  <c r="G162" i="28"/>
  <c r="C162" i="28"/>
  <c r="D162" i="28"/>
  <c r="F162" i="28"/>
  <c r="G292" i="13"/>
  <c r="F292" i="13"/>
  <c r="H128" i="37"/>
  <c r="D128" i="37"/>
  <c r="E128" i="37" s="1"/>
  <c r="G262" i="23"/>
  <c r="H262" i="23"/>
  <c r="C262" i="23"/>
  <c r="D262" i="23"/>
  <c r="F262" i="23"/>
  <c r="F328" i="24"/>
  <c r="G328" i="24"/>
  <c r="H202" i="20"/>
  <c r="F202" i="20"/>
  <c r="F64" i="43"/>
  <c r="F78" i="41"/>
  <c r="F329" i="25"/>
  <c r="G329" i="25"/>
  <c r="F377" i="4"/>
  <c r="H157" i="32"/>
  <c r="D157" i="32"/>
  <c r="E157" i="32" s="1"/>
  <c r="G157" i="32"/>
  <c r="H64" i="47"/>
  <c r="D64" i="47"/>
  <c r="E64" i="47" s="1"/>
  <c r="G64" i="47"/>
  <c r="F209" i="19"/>
  <c r="G128" i="38"/>
  <c r="C128" i="38"/>
  <c r="D128" i="38"/>
  <c r="F128" i="38"/>
  <c r="F309" i="12"/>
  <c r="G135" i="35"/>
  <c r="G136" i="35"/>
  <c r="C136" i="35"/>
  <c r="D136" i="35" s="1"/>
  <c r="F136" i="35"/>
  <c r="F308" i="12"/>
  <c r="C135" i="35"/>
  <c r="D135" i="35"/>
  <c r="F135" i="35"/>
  <c r="E62" i="46"/>
  <c r="G62" i="46"/>
  <c r="G161" i="28"/>
  <c r="C161" i="28"/>
  <c r="D161" i="28"/>
  <c r="F161" i="28"/>
  <c r="G144" i="33"/>
  <c r="C144" i="33"/>
  <c r="D144" i="33" s="1"/>
  <c r="F144" i="33"/>
  <c r="F346" i="11"/>
  <c r="G346" i="11" s="1"/>
  <c r="F347" i="11"/>
  <c r="G347" i="11" s="1"/>
  <c r="F212" i="18"/>
  <c r="G375" i="5"/>
  <c r="D375" i="5"/>
  <c r="G290" i="13"/>
  <c r="G291" i="13"/>
  <c r="F291" i="13"/>
  <c r="H127" i="37"/>
  <c r="D127" i="37"/>
  <c r="E127" i="37" s="1"/>
  <c r="H161" i="29"/>
  <c r="D161" i="29"/>
  <c r="E161" i="29" s="1"/>
  <c r="F328" i="25"/>
  <c r="G328" i="25"/>
  <c r="D328" i="25"/>
  <c r="G261" i="23"/>
  <c r="H261" i="23"/>
  <c r="C261" i="23"/>
  <c r="D261" i="23"/>
  <c r="F261" i="23"/>
  <c r="H201" i="20"/>
  <c r="F201" i="20"/>
  <c r="H158" i="30"/>
  <c r="D158" i="30"/>
  <c r="E158" i="30" s="1"/>
  <c r="G158" i="30"/>
  <c r="G277" i="14"/>
  <c r="H277" i="14"/>
  <c r="F277" i="14"/>
  <c r="H63" i="47"/>
  <c r="D63" i="47"/>
  <c r="E63" i="47"/>
  <c r="G63" i="47"/>
  <c r="F211" i="18"/>
  <c r="F345" i="11"/>
  <c r="G345" i="11"/>
  <c r="G127" i="38"/>
  <c r="C127" i="38"/>
  <c r="D127" i="38" s="1"/>
  <c r="F127" i="38"/>
  <c r="F208" i="19"/>
  <c r="D208" i="19"/>
  <c r="H156" i="32"/>
  <c r="D156" i="32"/>
  <c r="E156" i="32" s="1"/>
  <c r="G156" i="32"/>
  <c r="F327" i="24"/>
  <c r="G327" i="24"/>
  <c r="F63" i="43"/>
  <c r="F77" i="41"/>
  <c r="F376" i="4"/>
  <c r="H62" i="47"/>
  <c r="D62" i="47"/>
  <c r="E62" i="47" s="1"/>
  <c r="G62" i="47"/>
  <c r="G260" i="23"/>
  <c r="H260" i="23"/>
  <c r="C260" i="23"/>
  <c r="D260" i="23" s="1"/>
  <c r="F260" i="23"/>
  <c r="H126" i="37"/>
  <c r="D126" i="37"/>
  <c r="E126" i="37" s="1"/>
  <c r="E61" i="46"/>
  <c r="G61" i="46"/>
  <c r="G143" i="33"/>
  <c r="C143" i="33"/>
  <c r="D143" i="33"/>
  <c r="F143" i="33"/>
  <c r="H200" i="20"/>
  <c r="F200" i="20"/>
  <c r="F290" i="13"/>
  <c r="G160" i="28"/>
  <c r="C160" i="28"/>
  <c r="D160" i="28" s="1"/>
  <c r="F160" i="28"/>
  <c r="G374" i="5"/>
  <c r="G276" i="14"/>
  <c r="H276" i="14"/>
  <c r="D276" i="14"/>
  <c r="F276" i="14"/>
  <c r="H157" i="30"/>
  <c r="D157" i="30"/>
  <c r="E157" i="30" s="1"/>
  <c r="G157" i="30"/>
  <c r="H160" i="29"/>
  <c r="D160" i="29"/>
  <c r="E160" i="29" s="1"/>
  <c r="F375" i="4"/>
  <c r="F62" i="43"/>
  <c r="F76" i="41"/>
  <c r="F327" i="25"/>
  <c r="G327" i="25"/>
  <c r="F326" i="24"/>
  <c r="G326" i="24"/>
  <c r="H155" i="32"/>
  <c r="D155" i="32"/>
  <c r="E155" i="32" s="1"/>
  <c r="G155" i="32"/>
  <c r="G126" i="38"/>
  <c r="C126" i="38"/>
  <c r="D126" i="38"/>
  <c r="F126" i="38"/>
  <c r="F207" i="19"/>
  <c r="F326" i="25"/>
  <c r="G326" i="25"/>
  <c r="F307" i="12"/>
  <c r="F325" i="24"/>
  <c r="G325" i="24"/>
  <c r="F324" i="24"/>
  <c r="G324" i="24"/>
  <c r="G142" i="33"/>
  <c r="G259" i="23"/>
  <c r="H259" i="23"/>
  <c r="C259" i="23"/>
  <c r="D259" i="23" s="1"/>
  <c r="F259" i="23"/>
  <c r="F210" i="18"/>
  <c r="G134" i="35"/>
  <c r="C134" i="35"/>
  <c r="D134" i="35"/>
  <c r="F134" i="35"/>
  <c r="E60" i="46"/>
  <c r="G60" i="46"/>
  <c r="G125" i="38"/>
  <c r="C125" i="38"/>
  <c r="D125" i="38"/>
  <c r="F125" i="38"/>
  <c r="C142" i="33"/>
  <c r="D142" i="33" s="1"/>
  <c r="F142" i="33"/>
  <c r="H125" i="37"/>
  <c r="D125" i="37"/>
  <c r="E125" i="37" s="1"/>
  <c r="F374" i="4"/>
  <c r="G289" i="13"/>
  <c r="F289" i="13"/>
  <c r="G373" i="5"/>
  <c r="H156" i="30"/>
  <c r="D156" i="30"/>
  <c r="E156" i="30"/>
  <c r="G156" i="30"/>
  <c r="G275" i="14"/>
  <c r="H275" i="14"/>
  <c r="F275" i="14"/>
  <c r="H61" i="47"/>
  <c r="D61" i="47"/>
  <c r="E61" i="47" s="1"/>
  <c r="G61" i="47"/>
  <c r="D61" i="43"/>
  <c r="F61" i="43"/>
  <c r="F75" i="41"/>
  <c r="G258" i="23"/>
  <c r="H258" i="23"/>
  <c r="C258" i="23"/>
  <c r="D258" i="23" s="1"/>
  <c r="F258" i="23"/>
  <c r="H198" i="20"/>
  <c r="H199" i="20"/>
  <c r="F199" i="20"/>
  <c r="F198" i="20"/>
  <c r="G159" i="28"/>
  <c r="C159" i="28"/>
  <c r="D159" i="28" s="1"/>
  <c r="F159" i="28"/>
  <c r="H159" i="29"/>
  <c r="D159" i="29"/>
  <c r="E159" i="29" s="1"/>
  <c r="H154" i="32"/>
  <c r="D154" i="32"/>
  <c r="E154" i="32" s="1"/>
  <c r="G154" i="32"/>
  <c r="F206" i="19"/>
  <c r="D187" i="22"/>
  <c r="F306" i="12"/>
  <c r="G141" i="33"/>
  <c r="C141" i="33"/>
  <c r="D141" i="33"/>
  <c r="F141" i="33"/>
  <c r="F344" i="11"/>
  <c r="G344" i="11" s="1"/>
  <c r="F209" i="18"/>
  <c r="H124" i="37"/>
  <c r="D124" i="37"/>
  <c r="E124" i="37" s="1"/>
  <c r="G288" i="13"/>
  <c r="F288" i="13"/>
  <c r="E59" i="46"/>
  <c r="G59" i="46"/>
  <c r="G371" i="5"/>
  <c r="G372" i="5"/>
  <c r="D371" i="5"/>
  <c r="G274" i="14"/>
  <c r="H274" i="14"/>
  <c r="F274" i="14"/>
  <c r="F373" i="4"/>
  <c r="H155" i="30"/>
  <c r="F325" i="25"/>
  <c r="G325" i="25"/>
  <c r="H158" i="29"/>
  <c r="D158" i="29"/>
  <c r="E158" i="29" s="1"/>
  <c r="G158" i="28"/>
  <c r="C158" i="28"/>
  <c r="D158" i="28" s="1"/>
  <c r="F158" i="28"/>
  <c r="F60" i="43"/>
  <c r="F74" i="41"/>
  <c r="D155" i="30"/>
  <c r="E155" i="30" s="1"/>
  <c r="G155" i="30"/>
  <c r="H153" i="32"/>
  <c r="D153" i="32"/>
  <c r="E153" i="32" s="1"/>
  <c r="G153" i="32"/>
  <c r="H60" i="47"/>
  <c r="D60" i="47"/>
  <c r="E60" i="47" s="1"/>
  <c r="G60" i="47"/>
  <c r="G124" i="38"/>
  <c r="C124" i="38"/>
  <c r="D124" i="38" s="1"/>
  <c r="F124" i="38"/>
  <c r="G133" i="35"/>
  <c r="C133" i="35"/>
  <c r="D133" i="35" s="1"/>
  <c r="F133" i="35"/>
  <c r="F343" i="11"/>
  <c r="G343" i="11" s="1"/>
  <c r="G140" i="33"/>
  <c r="C140" i="33"/>
  <c r="D140" i="33"/>
  <c r="F140" i="33"/>
  <c r="F204" i="19"/>
  <c r="F205" i="19"/>
  <c r="F305" i="12"/>
  <c r="F208" i="18"/>
  <c r="G257" i="23"/>
  <c r="H257" i="23"/>
  <c r="C257" i="23"/>
  <c r="D257" i="23" s="1"/>
  <c r="F257" i="23"/>
  <c r="G123" i="38"/>
  <c r="C123" i="38"/>
  <c r="D123" i="38"/>
  <c r="F123" i="38"/>
  <c r="F324" i="25"/>
  <c r="G324" i="25"/>
  <c r="D324" i="25"/>
  <c r="H197" i="20"/>
  <c r="F197" i="20"/>
  <c r="F323" i="24"/>
  <c r="G323" i="24"/>
  <c r="G132" i="35"/>
  <c r="C132" i="35"/>
  <c r="D132" i="35"/>
  <c r="F132" i="35"/>
  <c r="E58" i="46"/>
  <c r="G58" i="46"/>
  <c r="G286" i="13"/>
  <c r="G287" i="13"/>
  <c r="F286" i="13"/>
  <c r="F287" i="13"/>
  <c r="H123" i="37"/>
  <c r="D123" i="37"/>
  <c r="E123" i="37" s="1"/>
  <c r="G273" i="14"/>
  <c r="H273" i="14"/>
  <c r="F273" i="14"/>
  <c r="H157" i="29"/>
  <c r="D157" i="29"/>
  <c r="E157" i="29" s="1"/>
  <c r="F59" i="43"/>
  <c r="F73" i="41"/>
  <c r="F372" i="4"/>
  <c r="H152" i="32"/>
  <c r="D152" i="32"/>
  <c r="E152" i="32" s="1"/>
  <c r="G152" i="32"/>
  <c r="G157" i="28"/>
  <c r="C157" i="28"/>
  <c r="D157" i="28"/>
  <c r="F157" i="28"/>
  <c r="H154" i="30"/>
  <c r="D154" i="30"/>
  <c r="E154" i="30" s="1"/>
  <c r="G154" i="30"/>
  <c r="H59" i="47"/>
  <c r="D59" i="47"/>
  <c r="E59" i="47" s="1"/>
  <c r="G59" i="47"/>
  <c r="F304" i="12"/>
  <c r="D204" i="19"/>
  <c r="G131" i="35"/>
  <c r="C131" i="35"/>
  <c r="D131" i="35"/>
  <c r="F131" i="35"/>
  <c r="G156" i="28"/>
  <c r="C156" i="28"/>
  <c r="D156" i="28" s="1"/>
  <c r="F156" i="28"/>
  <c r="F207" i="18"/>
  <c r="F342" i="11"/>
  <c r="G342" i="11"/>
  <c r="E57" i="46"/>
  <c r="G57" i="46"/>
  <c r="H122" i="37"/>
  <c r="D122" i="37"/>
  <c r="E122" i="37" s="1"/>
  <c r="G256" i="23"/>
  <c r="H256" i="23"/>
  <c r="C256" i="23"/>
  <c r="D256" i="23"/>
  <c r="F256" i="23"/>
  <c r="G370" i="5"/>
  <c r="G139" i="33"/>
  <c r="C139" i="33"/>
  <c r="D139" i="33"/>
  <c r="F139" i="33"/>
  <c r="F58" i="43"/>
  <c r="F72" i="41"/>
  <c r="H196" i="20"/>
  <c r="F196" i="20"/>
  <c r="G272" i="14"/>
  <c r="H272" i="14"/>
  <c r="F272" i="14"/>
  <c r="F323" i="25"/>
  <c r="G323" i="25"/>
  <c r="H156" i="29"/>
  <c r="D156" i="29"/>
  <c r="E156" i="29" s="1"/>
  <c r="H151" i="32"/>
  <c r="D151" i="32"/>
  <c r="E151" i="32" s="1"/>
  <c r="G151" i="32"/>
  <c r="H153" i="30"/>
  <c r="D153" i="30"/>
  <c r="E153" i="30" s="1"/>
  <c r="G153" i="30"/>
  <c r="H50" i="47"/>
  <c r="H51" i="47"/>
  <c r="H52" i="47"/>
  <c r="H53" i="47"/>
  <c r="H54" i="47"/>
  <c r="H55" i="47"/>
  <c r="H56" i="47"/>
  <c r="H57" i="47"/>
  <c r="H58" i="47"/>
  <c r="H49" i="47"/>
  <c r="D58" i="47"/>
  <c r="E58" i="47" s="1"/>
  <c r="G58" i="47"/>
  <c r="G122" i="38"/>
  <c r="C122" i="38"/>
  <c r="D122" i="38"/>
  <c r="F122" i="38"/>
  <c r="F206" i="18"/>
  <c r="F202" i="19"/>
  <c r="F203" i="19"/>
  <c r="D203" i="19"/>
  <c r="F322" i="24"/>
  <c r="G322" i="24"/>
  <c r="F371" i="4"/>
  <c r="G138" i="33"/>
  <c r="C138" i="33"/>
  <c r="D138" i="33" s="1"/>
  <c r="F138" i="33"/>
  <c r="G255" i="23"/>
  <c r="H255" i="23"/>
  <c r="C255" i="23"/>
  <c r="D255" i="23" s="1"/>
  <c r="F255" i="23"/>
  <c r="F341" i="11"/>
  <c r="G341" i="11"/>
  <c r="G285" i="13"/>
  <c r="F285" i="13"/>
  <c r="H121" i="37"/>
  <c r="D121" i="37"/>
  <c r="E121" i="37" s="1"/>
  <c r="F303" i="12"/>
  <c r="G155" i="28"/>
  <c r="C155" i="28"/>
  <c r="D155" i="28" s="1"/>
  <c r="F155" i="28"/>
  <c r="G369" i="5"/>
  <c r="G271" i="14"/>
  <c r="H271" i="14"/>
  <c r="F271" i="14"/>
  <c r="F322" i="25"/>
  <c r="G322" i="25"/>
  <c r="H155" i="29"/>
  <c r="D155" i="29"/>
  <c r="E155" i="29" s="1"/>
  <c r="D57" i="43"/>
  <c r="F57" i="43"/>
  <c r="F71" i="41"/>
  <c r="E56" i="46"/>
  <c r="G56" i="46"/>
  <c r="F370" i="4"/>
  <c r="G121" i="38"/>
  <c r="C121" i="38"/>
  <c r="D121" i="38"/>
  <c r="F121" i="38"/>
  <c r="H195" i="20"/>
  <c r="F195" i="20"/>
  <c r="F321" i="24"/>
  <c r="G321" i="24"/>
  <c r="H150" i="32"/>
  <c r="D150" i="32"/>
  <c r="E150" i="32"/>
  <c r="G150" i="32"/>
  <c r="D57" i="47"/>
  <c r="E57" i="47" s="1"/>
  <c r="G57" i="47"/>
  <c r="H152" i="30"/>
  <c r="D152" i="30"/>
  <c r="E152" i="30" s="1"/>
  <c r="G152" i="30"/>
  <c r="F302" i="12"/>
  <c r="G130" i="35"/>
  <c r="C130" i="35"/>
  <c r="D130" i="35"/>
  <c r="F130" i="35"/>
  <c r="D183" i="22"/>
  <c r="G137" i="33"/>
  <c r="C137" i="33"/>
  <c r="D137" i="33" s="1"/>
  <c r="F137" i="33"/>
  <c r="G254" i="23"/>
  <c r="H254" i="23"/>
  <c r="C254" i="23"/>
  <c r="D254" i="23" s="1"/>
  <c r="F254" i="23"/>
  <c r="F56" i="43"/>
  <c r="F70" i="41"/>
  <c r="G55" i="46"/>
  <c r="G284" i="13"/>
  <c r="F284" i="13"/>
  <c r="F339" i="11"/>
  <c r="G339" i="11" s="1"/>
  <c r="F340" i="11"/>
  <c r="G340" i="11"/>
  <c r="G368" i="5"/>
  <c r="H120" i="37"/>
  <c r="D120" i="37"/>
  <c r="E120" i="37" s="1"/>
  <c r="F205" i="18"/>
  <c r="H194" i="20"/>
  <c r="F194" i="20"/>
  <c r="F369" i="4"/>
  <c r="G270" i="14"/>
  <c r="H270" i="14"/>
  <c r="F270" i="14"/>
  <c r="F320" i="24"/>
  <c r="G320" i="24"/>
  <c r="D56" i="47"/>
  <c r="E56" i="47" s="1"/>
  <c r="G56" i="47"/>
  <c r="G153" i="28"/>
  <c r="G154" i="28"/>
  <c r="C154" i="28"/>
  <c r="D154" i="28" s="1"/>
  <c r="F154" i="28"/>
  <c r="C153" i="28"/>
  <c r="D153" i="28" s="1"/>
  <c r="F153" i="28"/>
  <c r="F321" i="25"/>
  <c r="G321" i="25"/>
  <c r="H149" i="32"/>
  <c r="D149" i="32"/>
  <c r="E149" i="32" s="1"/>
  <c r="G149" i="32"/>
  <c r="H151" i="30"/>
  <c r="D151" i="30"/>
  <c r="E151" i="30" s="1"/>
  <c r="G151" i="30"/>
  <c r="H154" i="29"/>
  <c r="D154" i="29"/>
  <c r="E154" i="29" s="1"/>
  <c r="G129" i="35"/>
  <c r="C129" i="35"/>
  <c r="D129" i="35"/>
  <c r="F129" i="35"/>
  <c r="G128" i="35"/>
  <c r="C128" i="35"/>
  <c r="D128" i="35"/>
  <c r="F128" i="35"/>
  <c r="G120" i="38"/>
  <c r="C120" i="38"/>
  <c r="D120" i="38" s="1"/>
  <c r="F120" i="38"/>
  <c r="F201" i="19"/>
  <c r="F204" i="18"/>
  <c r="F301" i="12"/>
  <c r="F368" i="4"/>
  <c r="F320" i="25"/>
  <c r="G320" i="25"/>
  <c r="D320" i="25"/>
  <c r="H193" i="20"/>
  <c r="F193" i="20"/>
  <c r="G253" i="23"/>
  <c r="H253" i="23"/>
  <c r="C253" i="23"/>
  <c r="D253" i="23"/>
  <c r="F253" i="23"/>
  <c r="G136" i="33"/>
  <c r="C136" i="33"/>
  <c r="D136" i="33"/>
  <c r="F136" i="33"/>
  <c r="G283" i="13"/>
  <c r="F283" i="13"/>
  <c r="E54" i="46"/>
  <c r="G54" i="46"/>
  <c r="H118" i="37"/>
  <c r="H119" i="37"/>
  <c r="D119" i="37"/>
  <c r="E119" i="37" s="1"/>
  <c r="G367" i="5"/>
  <c r="D367" i="5"/>
  <c r="H150" i="30"/>
  <c r="D150" i="30"/>
  <c r="E150" i="30" s="1"/>
  <c r="G150" i="30"/>
  <c r="G135" i="33"/>
  <c r="C135" i="33"/>
  <c r="D135" i="33" s="1"/>
  <c r="F135" i="33"/>
  <c r="D55" i="47"/>
  <c r="E55" i="47" s="1"/>
  <c r="G55" i="47"/>
  <c r="G269" i="14"/>
  <c r="H269" i="14"/>
  <c r="F269" i="14"/>
  <c r="H153" i="29"/>
  <c r="D153" i="29"/>
  <c r="E153" i="29" s="1"/>
  <c r="F55" i="43"/>
  <c r="F69" i="41"/>
  <c r="F319" i="24"/>
  <c r="G319" i="24"/>
  <c r="H148" i="32"/>
  <c r="D148" i="32"/>
  <c r="E148" i="32" s="1"/>
  <c r="G148" i="32"/>
  <c r="F300" i="12"/>
  <c r="F337" i="11"/>
  <c r="G337" i="11" s="1"/>
  <c r="F338" i="11"/>
  <c r="G338" i="11" s="1"/>
  <c r="G252" i="23"/>
  <c r="H252" i="23"/>
  <c r="C252" i="23"/>
  <c r="D252" i="23"/>
  <c r="F252" i="23"/>
  <c r="D118" i="37"/>
  <c r="E118" i="37" s="1"/>
  <c r="F203" i="18"/>
  <c r="G152" i="28"/>
  <c r="C152" i="28"/>
  <c r="D152" i="28"/>
  <c r="F152" i="28"/>
  <c r="G282" i="13"/>
  <c r="F282" i="13"/>
  <c r="G268" i="14"/>
  <c r="H268" i="14"/>
  <c r="F268" i="14"/>
  <c r="H149" i="30"/>
  <c r="D149" i="30"/>
  <c r="E149" i="30" s="1"/>
  <c r="G149" i="30"/>
  <c r="G366" i="5"/>
  <c r="G119" i="38"/>
  <c r="C119" i="38"/>
  <c r="D119" i="38"/>
  <c r="F119" i="38"/>
  <c r="F200" i="19"/>
  <c r="F367" i="4"/>
  <c r="H192" i="20"/>
  <c r="F192" i="20"/>
  <c r="H152" i="29"/>
  <c r="D152" i="29"/>
  <c r="E152" i="29" s="1"/>
  <c r="F54" i="43"/>
  <c r="F68" i="41"/>
  <c r="F318" i="25"/>
  <c r="G318" i="25"/>
  <c r="F319" i="25"/>
  <c r="G319" i="25"/>
  <c r="H147" i="32"/>
  <c r="D147" i="32"/>
  <c r="E147" i="32" s="1"/>
  <c r="G147" i="32"/>
  <c r="F318" i="24"/>
  <c r="G318" i="24"/>
  <c r="D54" i="47"/>
  <c r="E54" i="47" s="1"/>
  <c r="G54" i="47"/>
  <c r="E53" i="46"/>
  <c r="G53" i="46"/>
  <c r="G127" i="35"/>
  <c r="C127" i="35"/>
  <c r="D127" i="35"/>
  <c r="F127" i="35"/>
  <c r="F298" i="12"/>
  <c r="F299" i="12"/>
  <c r="G281" i="13"/>
  <c r="F281" i="13"/>
  <c r="F199" i="19"/>
  <c r="G118" i="38"/>
  <c r="C118" i="38"/>
  <c r="D118" i="38" s="1"/>
  <c r="F118" i="38"/>
  <c r="G365" i="5"/>
  <c r="G267" i="14"/>
  <c r="H267" i="14"/>
  <c r="F267" i="14"/>
  <c r="G134" i="33"/>
  <c r="C134" i="33"/>
  <c r="D134" i="33"/>
  <c r="F134" i="33"/>
  <c r="G126" i="35"/>
  <c r="C126" i="35"/>
  <c r="D126" i="35" s="1"/>
  <c r="F126" i="35"/>
  <c r="G251" i="23"/>
  <c r="H251" i="23"/>
  <c r="C251" i="23"/>
  <c r="D251" i="23"/>
  <c r="F251" i="23"/>
  <c r="F317" i="24"/>
  <c r="G317" i="24"/>
  <c r="F202" i="18"/>
  <c r="F336" i="11"/>
  <c r="G336" i="11"/>
  <c r="G151" i="28"/>
  <c r="C151" i="28"/>
  <c r="D151" i="28" s="1"/>
  <c r="F151" i="28"/>
  <c r="F366" i="4"/>
  <c r="E52" i="46"/>
  <c r="G52" i="46"/>
  <c r="H117" i="37"/>
  <c r="D117" i="37"/>
  <c r="E117" i="37" s="1"/>
  <c r="H191" i="20"/>
  <c r="H148" i="30"/>
  <c r="D148" i="30"/>
  <c r="E148" i="30" s="1"/>
  <c r="G148" i="30"/>
  <c r="H151" i="29"/>
  <c r="D151" i="29"/>
  <c r="E151" i="29" s="1"/>
  <c r="F191" i="20"/>
  <c r="F67" i="41"/>
  <c r="D53" i="43"/>
  <c r="F53" i="43"/>
  <c r="F317" i="25"/>
  <c r="G317" i="25"/>
  <c r="D53" i="47"/>
  <c r="E53" i="47" s="1"/>
  <c r="G53" i="47"/>
  <c r="H146" i="32"/>
  <c r="D146" i="32"/>
  <c r="E146" i="32" s="1"/>
  <c r="G146" i="32"/>
  <c r="F197" i="19"/>
  <c r="F198" i="19"/>
  <c r="G117" i="38"/>
  <c r="C117" i="38"/>
  <c r="D117" i="38" s="1"/>
  <c r="F117" i="38"/>
  <c r="G133" i="33"/>
  <c r="C133" i="33"/>
  <c r="D133" i="33" s="1"/>
  <c r="F133" i="33"/>
  <c r="G250" i="23"/>
  <c r="H250" i="23"/>
  <c r="C250" i="23"/>
  <c r="D250" i="23" s="1"/>
  <c r="F250" i="23"/>
  <c r="D179" i="2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H116" i="37"/>
  <c r="D116" i="37"/>
  <c r="E116" i="37"/>
  <c r="G125" i="35"/>
  <c r="C125" i="35"/>
  <c r="D125" i="35" s="1"/>
  <c r="F125" i="35"/>
  <c r="F201" i="18"/>
  <c r="F365" i="4"/>
  <c r="E51" i="46"/>
  <c r="G51" i="46"/>
  <c r="G150" i="28"/>
  <c r="C150" i="28"/>
  <c r="D150" i="28" s="1"/>
  <c r="F150" i="28"/>
  <c r="G364" i="5"/>
  <c r="G280" i="13"/>
  <c r="F280" i="13"/>
  <c r="H150" i="29"/>
  <c r="D150" i="29"/>
  <c r="E150" i="29" s="1"/>
  <c r="H190" i="20"/>
  <c r="F190" i="20"/>
  <c r="G266" i="14"/>
  <c r="H266" i="14"/>
  <c r="F266" i="14"/>
  <c r="H147" i="30"/>
  <c r="D147" i="30"/>
  <c r="E147" i="30" s="1"/>
  <c r="G147" i="30"/>
  <c r="F66" i="41"/>
  <c r="F52" i="43"/>
  <c r="F316" i="24"/>
  <c r="G316" i="24"/>
  <c r="D52" i="47"/>
  <c r="E52" i="47"/>
  <c r="G52" i="47"/>
  <c r="F316" i="25"/>
  <c r="G316" i="25"/>
  <c r="H145" i="32"/>
  <c r="D145" i="32"/>
  <c r="E145" i="32" s="1"/>
  <c r="G145" i="32"/>
  <c r="D297" i="12"/>
  <c r="F335" i="11"/>
  <c r="G335" i="11"/>
  <c r="G124" i="35"/>
  <c r="C124" i="35"/>
  <c r="D124" i="35" s="1"/>
  <c r="F124" i="35"/>
  <c r="G116" i="38"/>
  <c r="C116" i="38"/>
  <c r="D116" i="38" s="1"/>
  <c r="F116" i="38"/>
  <c r="F196" i="19"/>
  <c r="G132" i="33"/>
  <c r="C132" i="33"/>
  <c r="D132" i="33"/>
  <c r="F132" i="33"/>
  <c r="F200" i="18"/>
  <c r="E50" i="46"/>
  <c r="G50" i="46"/>
  <c r="H115" i="37"/>
  <c r="D115" i="37"/>
  <c r="E115" i="37" s="1"/>
  <c r="G279" i="13"/>
  <c r="F279" i="13"/>
  <c r="F333" i="11"/>
  <c r="G333" i="11"/>
  <c r="F334" i="11"/>
  <c r="G334" i="11" s="1"/>
  <c r="G363" i="5"/>
  <c r="D363" i="5"/>
  <c r="G265" i="14"/>
  <c r="H265" i="14"/>
  <c r="F265" i="14"/>
  <c r="G249" i="23"/>
  <c r="H249" i="23"/>
  <c r="C249" i="23"/>
  <c r="D249" i="23" s="1"/>
  <c r="F249" i="23"/>
  <c r="G149" i="28"/>
  <c r="C149" i="28"/>
  <c r="D149" i="28"/>
  <c r="F149" i="28"/>
  <c r="F364" i="4"/>
  <c r="H189" i="20"/>
  <c r="F189" i="20"/>
  <c r="F51" i="43"/>
  <c r="F65" i="41"/>
  <c r="F314" i="24"/>
  <c r="G314" i="24"/>
  <c r="F315" i="24"/>
  <c r="G315" i="24"/>
  <c r="D51" i="47"/>
  <c r="E51" i="47" s="1"/>
  <c r="G51" i="47"/>
  <c r="H144" i="32"/>
  <c r="D144" i="32"/>
  <c r="E144" i="32" s="1"/>
  <c r="G144" i="32"/>
  <c r="H146" i="30"/>
  <c r="D146" i="30"/>
  <c r="E146" i="30" s="1"/>
  <c r="G146" i="30"/>
  <c r="H149" i="29"/>
  <c r="D149" i="29"/>
  <c r="E149" i="29" s="1"/>
  <c r="H114" i="37"/>
  <c r="D114" i="37"/>
  <c r="E114" i="37" s="1"/>
  <c r="D199" i="18"/>
  <c r="F199" i="18"/>
  <c r="G123" i="35"/>
  <c r="C123" i="35"/>
  <c r="D123" i="35"/>
  <c r="F123" i="35"/>
  <c r="G248" i="23"/>
  <c r="H248" i="23"/>
  <c r="C248" i="23"/>
  <c r="D248" i="23"/>
  <c r="F248" i="23"/>
  <c r="G115" i="38"/>
  <c r="C115" i="38"/>
  <c r="D115" i="38" s="1"/>
  <c r="F115" i="38"/>
  <c r="E49" i="46"/>
  <c r="G49" i="46"/>
  <c r="G131" i="33"/>
  <c r="C131" i="33"/>
  <c r="D131" i="33"/>
  <c r="F131" i="33"/>
  <c r="G114" i="38"/>
  <c r="C114" i="38"/>
  <c r="D114" i="38"/>
  <c r="F114" i="38"/>
  <c r="F195" i="19"/>
  <c r="D196" i="19"/>
  <c r="F315" i="25"/>
  <c r="G315" i="25"/>
  <c r="G148" i="28"/>
  <c r="C148" i="28"/>
  <c r="D148" i="28"/>
  <c r="F148" i="28"/>
  <c r="F362" i="4"/>
  <c r="F363" i="4"/>
  <c r="G278" i="13"/>
  <c r="F278" i="13"/>
  <c r="H143" i="32"/>
  <c r="D143" i="32"/>
  <c r="E143" i="32" s="1"/>
  <c r="G143" i="32"/>
  <c r="D50" i="47"/>
  <c r="E50" i="47" s="1"/>
  <c r="G50" i="47"/>
  <c r="G264" i="14"/>
  <c r="H264" i="14"/>
  <c r="F264" i="14"/>
  <c r="H145" i="30"/>
  <c r="D145" i="30"/>
  <c r="E145" i="30" s="1"/>
  <c r="G145" i="30"/>
  <c r="H148" i="29"/>
  <c r="D148" i="29"/>
  <c r="E148" i="29" s="1"/>
  <c r="G361" i="5"/>
  <c r="G362" i="5"/>
  <c r="F64" i="41"/>
  <c r="F50" i="43"/>
  <c r="H188" i="20"/>
  <c r="F188" i="20"/>
  <c r="F194" i="19"/>
  <c r="G122" i="35"/>
  <c r="C122" i="35"/>
  <c r="D122" i="35"/>
  <c r="F122" i="35"/>
  <c r="G113" i="38"/>
  <c r="C113" i="38"/>
  <c r="D113" i="38" s="1"/>
  <c r="F113" i="38"/>
  <c r="E48" i="46"/>
  <c r="G48" i="46"/>
  <c r="G130" i="33"/>
  <c r="C130" i="33"/>
  <c r="D130" i="33"/>
  <c r="F130" i="33"/>
  <c r="H187" i="20"/>
  <c r="F187" i="20"/>
  <c r="F198" i="18"/>
  <c r="H113" i="37"/>
  <c r="D113" i="37"/>
  <c r="E113" i="37"/>
  <c r="G147" i="28"/>
  <c r="C147" i="28"/>
  <c r="D147" i="28" s="1"/>
  <c r="F147" i="28"/>
  <c r="G277" i="13"/>
  <c r="F277" i="13"/>
  <c r="F329" i="11"/>
  <c r="G329" i="11"/>
  <c r="F330" i="11"/>
  <c r="G330" i="11"/>
  <c r="F331" i="11"/>
  <c r="G331" i="11"/>
  <c r="F332" i="11"/>
  <c r="G332" i="11"/>
  <c r="G247" i="23"/>
  <c r="H247" i="23"/>
  <c r="C247" i="23"/>
  <c r="D247" i="23" s="1"/>
  <c r="F247" i="23"/>
  <c r="F361" i="4"/>
  <c r="D362" i="4"/>
  <c r="G263" i="14"/>
  <c r="H263" i="14"/>
  <c r="F263" i="14"/>
  <c r="H144" i="30"/>
  <c r="D144" i="30"/>
  <c r="E144" i="30" s="1"/>
  <c r="G144" i="30"/>
  <c r="D49" i="43"/>
  <c r="F49" i="43"/>
  <c r="F63" i="41"/>
  <c r="D48" i="47"/>
  <c r="E48" i="47" s="1"/>
  <c r="D49" i="47"/>
  <c r="E49" i="47" s="1"/>
  <c r="G48" i="47"/>
  <c r="G49" i="47"/>
  <c r="H147" i="29"/>
  <c r="D147" i="29"/>
  <c r="E147" i="29" s="1"/>
  <c r="H142" i="32"/>
  <c r="D142" i="32"/>
  <c r="E142" i="32" s="1"/>
  <c r="G142" i="32"/>
  <c r="F312" i="24"/>
  <c r="G312" i="24"/>
  <c r="F313" i="24"/>
  <c r="G313" i="24"/>
  <c r="F313" i="25"/>
  <c r="G313" i="25"/>
  <c r="F314" i="25"/>
  <c r="G314" i="25"/>
  <c r="D175" i="22"/>
  <c r="F193" i="19"/>
  <c r="G129" i="33"/>
  <c r="C129" i="33"/>
  <c r="D129" i="33"/>
  <c r="F129" i="33"/>
  <c r="G246" i="23"/>
  <c r="H246" i="23"/>
  <c r="C246" i="23"/>
  <c r="D246" i="23" s="1"/>
  <c r="F246" i="23"/>
  <c r="H186" i="20"/>
  <c r="F186" i="20"/>
  <c r="H112" i="37"/>
  <c r="D112" i="37"/>
  <c r="E112" i="37" s="1"/>
  <c r="F197" i="18"/>
  <c r="G276" i="13"/>
  <c r="F276" i="13"/>
  <c r="E47" i="46"/>
  <c r="G47" i="46"/>
  <c r="G146" i="28"/>
  <c r="C146" i="28"/>
  <c r="D146" i="28"/>
  <c r="F146" i="28"/>
  <c r="F360" i="4"/>
  <c r="F48" i="43"/>
  <c r="D62" i="41"/>
  <c r="F62" i="41"/>
  <c r="G360" i="5"/>
  <c r="G261" i="14"/>
  <c r="H261" i="14"/>
  <c r="G262" i="14"/>
  <c r="H262" i="14"/>
  <c r="F262" i="14"/>
  <c r="F261" i="14"/>
  <c r="H141" i="32"/>
  <c r="D141" i="32"/>
  <c r="E141" i="32"/>
  <c r="G141" i="32"/>
  <c r="H142" i="30"/>
  <c r="H143" i="30"/>
  <c r="D143" i="30"/>
  <c r="E143" i="30" s="1"/>
  <c r="G143" i="30"/>
  <c r="H146" i="29"/>
  <c r="D146" i="29"/>
  <c r="E146" i="29" s="1"/>
  <c r="F311" i="24"/>
  <c r="G311" i="24"/>
  <c r="F312" i="25"/>
  <c r="G312" i="25"/>
  <c r="D47" i="47"/>
  <c r="E47" i="47" s="1"/>
  <c r="G47" i="47"/>
  <c r="G121" i="35"/>
  <c r="C121" i="35"/>
  <c r="D121" i="35" s="1"/>
  <c r="F121" i="35"/>
  <c r="G128" i="33"/>
  <c r="C128" i="33"/>
  <c r="D128" i="33"/>
  <c r="F128" i="33"/>
  <c r="D142" i="30"/>
  <c r="E142" i="30" s="1"/>
  <c r="G142" i="30"/>
  <c r="G260" i="14"/>
  <c r="H260" i="14"/>
  <c r="F260" i="14"/>
  <c r="D46" i="47"/>
  <c r="E46" i="47" s="1"/>
  <c r="G46" i="47"/>
  <c r="F196" i="18"/>
  <c r="G120" i="35"/>
  <c r="C120" i="35"/>
  <c r="D120" i="35"/>
  <c r="F120" i="35"/>
  <c r="F310" i="24"/>
  <c r="G310" i="24"/>
  <c r="F192" i="19"/>
  <c r="G112" i="38"/>
  <c r="C112" i="38"/>
  <c r="D112" i="38"/>
  <c r="F112" i="38"/>
  <c r="E46" i="46"/>
  <c r="G46" i="46"/>
  <c r="G359" i="5"/>
  <c r="D359" i="5"/>
  <c r="G275" i="13"/>
  <c r="F275" i="13"/>
  <c r="G62" i="40"/>
  <c r="C62" i="40"/>
  <c r="D62" i="40" s="1"/>
  <c r="F62" i="40"/>
  <c r="G145" i="28"/>
  <c r="C145" i="28"/>
  <c r="D145" i="28"/>
  <c r="F145" i="28"/>
  <c r="G245" i="23"/>
  <c r="H245" i="23"/>
  <c r="C245" i="23"/>
  <c r="D245" i="23"/>
  <c r="F245" i="23"/>
  <c r="H184" i="20"/>
  <c r="H185" i="20"/>
  <c r="F185" i="20"/>
  <c r="G111" i="38"/>
  <c r="C111" i="38"/>
  <c r="D111" i="38"/>
  <c r="F111" i="38"/>
  <c r="H111" i="37"/>
  <c r="D111" i="37"/>
  <c r="E111" i="37" s="1"/>
  <c r="F311" i="25"/>
  <c r="G311" i="25"/>
  <c r="H145" i="29"/>
  <c r="D145" i="29"/>
  <c r="E145" i="29" s="1"/>
  <c r="F359" i="4"/>
  <c r="F47" i="43"/>
  <c r="F61" i="41"/>
  <c r="H140" i="32"/>
  <c r="D140" i="32"/>
  <c r="E140" i="32" s="1"/>
  <c r="G140" i="32"/>
  <c r="F191" i="19"/>
  <c r="G119" i="35"/>
  <c r="C119" i="35"/>
  <c r="D119" i="35" s="1"/>
  <c r="F119" i="35"/>
  <c r="G127" i="33"/>
  <c r="C127" i="33"/>
  <c r="D127" i="33"/>
  <c r="F127" i="33"/>
  <c r="H141" i="30"/>
  <c r="F310" i="25"/>
  <c r="G310" i="25"/>
  <c r="D311" i="25"/>
  <c r="G244" i="23"/>
  <c r="H244" i="23"/>
  <c r="C244" i="23"/>
  <c r="D244" i="23"/>
  <c r="F244" i="23"/>
  <c r="G61" i="40"/>
  <c r="C61" i="40"/>
  <c r="D61" i="40" s="1"/>
  <c r="F61" i="40"/>
  <c r="E45" i="46"/>
  <c r="G45" i="46"/>
  <c r="G144" i="28"/>
  <c r="C144" i="28"/>
  <c r="D144" i="28" s="1"/>
  <c r="F144" i="28"/>
  <c r="D195" i="18"/>
  <c r="F195" i="18"/>
  <c r="G274" i="13"/>
  <c r="F274" i="13"/>
  <c r="G358" i="5"/>
  <c r="H110" i="37"/>
  <c r="D110" i="37"/>
  <c r="E110" i="37" s="1"/>
  <c r="F184" i="20"/>
  <c r="D45" i="47"/>
  <c r="E45" i="47" s="1"/>
  <c r="G45" i="47"/>
  <c r="G44" i="47"/>
  <c r="D44" i="47"/>
  <c r="E44" i="47" s="1"/>
  <c r="G43" i="47"/>
  <c r="D43" i="47"/>
  <c r="E43" i="47" s="1"/>
  <c r="G42" i="47"/>
  <c r="D42" i="47"/>
  <c r="E42" i="47" s="1"/>
  <c r="G41" i="47"/>
  <c r="D41" i="47"/>
  <c r="E41" i="47" s="1"/>
  <c r="G40" i="47"/>
  <c r="D40" i="47"/>
  <c r="E40" i="47" s="1"/>
  <c r="G39" i="47"/>
  <c r="D39" i="47"/>
  <c r="E39" i="47" s="1"/>
  <c r="G38" i="47"/>
  <c r="D38" i="47"/>
  <c r="E38" i="47" s="1"/>
  <c r="G37" i="47"/>
  <c r="D37" i="47"/>
  <c r="E37" i="47" s="1"/>
  <c r="G36" i="47"/>
  <c r="D36" i="47"/>
  <c r="E36" i="47" s="1"/>
  <c r="G35" i="47"/>
  <c r="D35" i="47"/>
  <c r="E35" i="47"/>
  <c r="G34" i="47"/>
  <c r="D34" i="47"/>
  <c r="E34" i="47" s="1"/>
  <c r="G33" i="47"/>
  <c r="D33" i="47"/>
  <c r="E33" i="47" s="1"/>
  <c r="G32" i="47"/>
  <c r="D32" i="47"/>
  <c r="E32" i="47"/>
  <c r="G31" i="47"/>
  <c r="D31" i="47"/>
  <c r="E31" i="47" s="1"/>
  <c r="G30" i="47"/>
  <c r="D30" i="47"/>
  <c r="E30" i="47" s="1"/>
  <c r="G29" i="47"/>
  <c r="D29" i="47"/>
  <c r="E29" i="47" s="1"/>
  <c r="G28" i="47"/>
  <c r="D28" i="47"/>
  <c r="E28" i="47" s="1"/>
  <c r="G27" i="47"/>
  <c r="D27" i="47"/>
  <c r="E27" i="47" s="1"/>
  <c r="G26" i="47"/>
  <c r="D26" i="47"/>
  <c r="E26" i="47" s="1"/>
  <c r="G25" i="47"/>
  <c r="D25" i="47"/>
  <c r="E25" i="47" s="1"/>
  <c r="G24" i="47"/>
  <c r="D24" i="47"/>
  <c r="E24" i="47" s="1"/>
  <c r="G23" i="47"/>
  <c r="D23" i="47"/>
  <c r="E23" i="47"/>
  <c r="G22" i="47"/>
  <c r="D22" i="47"/>
  <c r="E22" i="47" s="1"/>
  <c r="G21" i="47"/>
  <c r="D21" i="47"/>
  <c r="B8" i="47"/>
  <c r="G4" i="47"/>
  <c r="F46" i="43"/>
  <c r="F60" i="41"/>
  <c r="H144" i="29"/>
  <c r="D144" i="29"/>
  <c r="E144" i="29" s="1"/>
  <c r="F309" i="24"/>
  <c r="G309" i="24"/>
  <c r="F358" i="4"/>
  <c r="H139" i="32"/>
  <c r="D139" i="32"/>
  <c r="E139" i="32" s="1"/>
  <c r="G139" i="32"/>
  <c r="E44" i="46"/>
  <c r="G44" i="46"/>
  <c r="G43" i="46"/>
  <c r="G42" i="46"/>
  <c r="E42" i="46"/>
  <c r="G41" i="46"/>
  <c r="E41" i="46"/>
  <c r="G40" i="46"/>
  <c r="E40" i="46"/>
  <c r="G39" i="46"/>
  <c r="E39" i="46"/>
  <c r="G38" i="46"/>
  <c r="E38" i="46"/>
  <c r="G37" i="46"/>
  <c r="E37" i="46"/>
  <c r="G36" i="46"/>
  <c r="E36" i="46"/>
  <c r="G35" i="46"/>
  <c r="E35" i="46"/>
  <c r="G34" i="46"/>
  <c r="E34" i="46"/>
  <c r="G33" i="46"/>
  <c r="E33" i="46"/>
  <c r="G32" i="46"/>
  <c r="E32" i="46"/>
  <c r="G31" i="46"/>
  <c r="G30" i="46"/>
  <c r="E30" i="46"/>
  <c r="G29" i="46"/>
  <c r="E29" i="46"/>
  <c r="G28" i="46"/>
  <c r="E28" i="46"/>
  <c r="G27" i="46"/>
  <c r="E27" i="46"/>
  <c r="G26" i="46"/>
  <c r="E26" i="46"/>
  <c r="G25" i="46"/>
  <c r="E25" i="46"/>
  <c r="G24" i="46"/>
  <c r="E24" i="46"/>
  <c r="G23" i="46"/>
  <c r="E23" i="46"/>
  <c r="G22" i="46"/>
  <c r="E22" i="46"/>
  <c r="H4" i="46"/>
  <c r="F190" i="19"/>
  <c r="G118" i="35"/>
  <c r="C118" i="35"/>
  <c r="D118" i="35" s="1"/>
  <c r="F118" i="35"/>
  <c r="G110" i="38"/>
  <c r="C110" i="38"/>
  <c r="D110" i="38" s="1"/>
  <c r="F110" i="38"/>
  <c r="G117" i="35"/>
  <c r="G126" i="33"/>
  <c r="C126" i="33"/>
  <c r="D126" i="33" s="1"/>
  <c r="F126" i="33"/>
  <c r="G259" i="14"/>
  <c r="H259" i="14"/>
  <c r="F259" i="14"/>
  <c r="G116" i="35"/>
  <c r="C116" i="35"/>
  <c r="D116" i="35" s="1"/>
  <c r="C117" i="35"/>
  <c r="D117" i="35"/>
  <c r="F116" i="35"/>
  <c r="F117" i="35"/>
  <c r="H140" i="30"/>
  <c r="G243" i="23"/>
  <c r="H243" i="23"/>
  <c r="C243" i="23"/>
  <c r="D243" i="23"/>
  <c r="F243" i="23"/>
  <c r="F327" i="11"/>
  <c r="G327" i="11" s="1"/>
  <c r="F328" i="11"/>
  <c r="G328" i="11"/>
  <c r="G109" i="38"/>
  <c r="C109" i="38"/>
  <c r="D109" i="38" s="1"/>
  <c r="F109" i="38"/>
  <c r="G273" i="13"/>
  <c r="F273" i="13"/>
  <c r="G60" i="40"/>
  <c r="C60" i="40"/>
  <c r="D60" i="40"/>
  <c r="F60" i="40"/>
  <c r="F309" i="25"/>
  <c r="G309" i="25"/>
  <c r="H109" i="37"/>
  <c r="D109" i="37"/>
  <c r="E109" i="37" s="1"/>
  <c r="F194" i="18"/>
  <c r="F308" i="24"/>
  <c r="G308" i="24"/>
  <c r="G357" i="5"/>
  <c r="H143" i="29"/>
  <c r="D143" i="29"/>
  <c r="E143" i="29" s="1"/>
  <c r="F53" i="42"/>
  <c r="G53" i="42"/>
  <c r="F54" i="42"/>
  <c r="G54" i="42"/>
  <c r="F55" i="42"/>
  <c r="G55" i="42"/>
  <c r="H138" i="32"/>
  <c r="G143" i="28"/>
  <c r="C143" i="28"/>
  <c r="D143" i="28"/>
  <c r="F143" i="28"/>
  <c r="G125" i="33"/>
  <c r="C125" i="33"/>
  <c r="D125" i="33" s="1"/>
  <c r="F125" i="33"/>
  <c r="F189" i="19"/>
  <c r="G59" i="40"/>
  <c r="C59" i="40"/>
  <c r="D59" i="40" s="1"/>
  <c r="F59" i="40"/>
  <c r="F325" i="11"/>
  <c r="G325" i="11"/>
  <c r="F326" i="11"/>
  <c r="G326" i="11"/>
  <c r="D171" i="22"/>
  <c r="G242" i="23"/>
  <c r="H242" i="23"/>
  <c r="C242" i="23"/>
  <c r="D242" i="23"/>
  <c r="F242" i="23"/>
  <c r="G257" i="14"/>
  <c r="H257" i="14"/>
  <c r="G258" i="14"/>
  <c r="H258" i="14"/>
  <c r="H138" i="30"/>
  <c r="H139" i="30"/>
  <c r="H108" i="37"/>
  <c r="D108" i="37"/>
  <c r="E108" i="37" s="1"/>
  <c r="G355" i="5"/>
  <c r="G356" i="5"/>
  <c r="D355" i="5"/>
  <c r="G272" i="13"/>
  <c r="F272" i="13"/>
  <c r="H181" i="20"/>
  <c r="H182" i="20"/>
  <c r="H183" i="20"/>
  <c r="F183" i="20"/>
  <c r="F182" i="20"/>
  <c r="H142" i="29"/>
  <c r="G142" i="28"/>
  <c r="C142" i="28"/>
  <c r="D142" i="28"/>
  <c r="F142" i="28"/>
  <c r="F308" i="25"/>
  <c r="G308" i="25"/>
  <c r="F356" i="4"/>
  <c r="F357" i="4"/>
  <c r="D44" i="43"/>
  <c r="D45" i="43"/>
  <c r="F44" i="43"/>
  <c r="F45" i="43"/>
  <c r="F58" i="41"/>
  <c r="F59" i="41"/>
  <c r="C54" i="42"/>
  <c r="D54" i="42"/>
  <c r="C55" i="42"/>
  <c r="D55" i="42"/>
  <c r="H141" i="29"/>
  <c r="D141" i="29"/>
  <c r="E141" i="29" s="1"/>
  <c r="D142" i="29"/>
  <c r="E142" i="29" s="1"/>
  <c r="F307" i="24"/>
  <c r="G307" i="24"/>
  <c r="H137" i="32"/>
  <c r="D137" i="32"/>
  <c r="E137" i="32" s="1"/>
  <c r="D138" i="32"/>
  <c r="E138" i="32" s="1"/>
  <c r="G137" i="32"/>
  <c r="G138" i="32"/>
  <c r="F192" i="18"/>
  <c r="F193" i="18"/>
  <c r="G107" i="38"/>
  <c r="G108" i="38"/>
  <c r="C107" i="38"/>
  <c r="D107" i="38"/>
  <c r="C108" i="38"/>
  <c r="D108" i="38"/>
  <c r="F107" i="38"/>
  <c r="F108" i="38"/>
  <c r="F257" i="14"/>
  <c r="F258" i="14"/>
  <c r="D138" i="30"/>
  <c r="E138" i="30" s="1"/>
  <c r="D139" i="30"/>
  <c r="E139" i="30" s="1"/>
  <c r="D140" i="30"/>
  <c r="E140" i="30"/>
  <c r="D141" i="30"/>
  <c r="E141" i="30"/>
  <c r="G138" i="30"/>
  <c r="G139" i="30"/>
  <c r="G140" i="30"/>
  <c r="G141" i="30"/>
  <c r="F188" i="19"/>
  <c r="H107" i="37"/>
  <c r="D107" i="37"/>
  <c r="E107" i="37" s="1"/>
  <c r="G241" i="23"/>
  <c r="H241" i="23"/>
  <c r="C241" i="23"/>
  <c r="D241" i="23"/>
  <c r="F241" i="23"/>
  <c r="G124" i="33"/>
  <c r="C124" i="33"/>
  <c r="D124" i="33"/>
  <c r="F124" i="33"/>
  <c r="G271" i="13"/>
  <c r="F271" i="13"/>
  <c r="F181" i="20"/>
  <c r="F191" i="18"/>
  <c r="F187" i="19"/>
  <c r="F43" i="43"/>
  <c r="F57" i="41"/>
  <c r="F52" i="42"/>
  <c r="G52" i="42"/>
  <c r="C53" i="42"/>
  <c r="D53" i="42"/>
  <c r="F355" i="4"/>
  <c r="G113" i="35"/>
  <c r="G114" i="35"/>
  <c r="G115" i="35"/>
  <c r="C114" i="35"/>
  <c r="D114" i="35"/>
  <c r="C115" i="35"/>
  <c r="D115" i="35"/>
  <c r="F114" i="35"/>
  <c r="F115" i="35"/>
  <c r="C113" i="35"/>
  <c r="D113" i="35"/>
  <c r="F113" i="35"/>
  <c r="D308" i="25"/>
  <c r="H136" i="32"/>
  <c r="D136" i="32"/>
  <c r="E136" i="32" s="1"/>
  <c r="G136" i="32"/>
  <c r="G58" i="40"/>
  <c r="C58" i="40"/>
  <c r="D58" i="40" s="1"/>
  <c r="F58" i="40"/>
  <c r="G141" i="28"/>
  <c r="C141" i="28"/>
  <c r="D141" i="28"/>
  <c r="F141" i="28"/>
  <c r="G123" i="33"/>
  <c r="C123" i="33"/>
  <c r="D123" i="33"/>
  <c r="F123" i="33"/>
  <c r="H137" i="30"/>
  <c r="D137" i="30"/>
  <c r="E137" i="30" s="1"/>
  <c r="G137" i="30"/>
  <c r="G256" i="14"/>
  <c r="H256" i="14"/>
  <c r="F256" i="14"/>
  <c r="G57" i="40"/>
  <c r="C57" i="40"/>
  <c r="D57" i="40" s="1"/>
  <c r="F57" i="40"/>
  <c r="F113" i="45"/>
  <c r="F112" i="45"/>
  <c r="F111" i="45"/>
  <c r="F110" i="45"/>
  <c r="F109" i="45"/>
  <c r="F108" i="45"/>
  <c r="F107" i="45"/>
  <c r="F106" i="45"/>
  <c r="F105" i="45"/>
  <c r="F104" i="45"/>
  <c r="F103" i="45"/>
  <c r="F102" i="45"/>
  <c r="F101" i="45"/>
  <c r="F100" i="45"/>
  <c r="F99" i="45"/>
  <c r="F98" i="45"/>
  <c r="F97" i="45"/>
  <c r="F96" i="45"/>
  <c r="F95" i="45"/>
  <c r="F94" i="45"/>
  <c r="F93" i="45"/>
  <c r="F92" i="45"/>
  <c r="F91" i="45"/>
  <c r="F90" i="45"/>
  <c r="F89" i="45"/>
  <c r="F88" i="45"/>
  <c r="F87" i="45"/>
  <c r="F86" i="45"/>
  <c r="F85" i="45"/>
  <c r="F84" i="45"/>
  <c r="F83" i="45"/>
  <c r="F82" i="45"/>
  <c r="F81" i="45"/>
  <c r="F80" i="45"/>
  <c r="F79" i="45"/>
  <c r="F78" i="45"/>
  <c r="F77" i="45"/>
  <c r="F76" i="45"/>
  <c r="F75" i="45"/>
  <c r="F74" i="45"/>
  <c r="F73" i="45"/>
  <c r="F72" i="45"/>
  <c r="F71" i="45"/>
  <c r="F70" i="45"/>
  <c r="F64" i="45"/>
  <c r="F63" i="45"/>
  <c r="F62" i="45"/>
  <c r="F61" i="45"/>
  <c r="D61" i="45"/>
  <c r="F60" i="45"/>
  <c r="F59" i="45"/>
  <c r="F58" i="45"/>
  <c r="D58" i="45"/>
  <c r="F57" i="45"/>
  <c r="D57" i="45"/>
  <c r="F56" i="45"/>
  <c r="F55" i="45"/>
  <c r="F54" i="45"/>
  <c r="F53" i="45"/>
  <c r="D53" i="45"/>
  <c r="F52" i="45"/>
  <c r="F51" i="45"/>
  <c r="F50" i="45"/>
  <c r="D50" i="45"/>
  <c r="F49" i="45"/>
  <c r="D49" i="45"/>
  <c r="F48" i="45"/>
  <c r="F47" i="45"/>
  <c r="F46" i="45"/>
  <c r="F45" i="45"/>
  <c r="D45" i="45"/>
  <c r="F44" i="45"/>
  <c r="F43" i="45"/>
  <c r="F42" i="45"/>
  <c r="D42" i="45"/>
  <c r="F41" i="45"/>
  <c r="D41" i="45"/>
  <c r="F40" i="45"/>
  <c r="F39" i="45"/>
  <c r="F38" i="45"/>
  <c r="F37" i="45"/>
  <c r="D37" i="45"/>
  <c r="F36" i="45"/>
  <c r="F35" i="45"/>
  <c r="F34" i="45"/>
  <c r="D34" i="45"/>
  <c r="F33" i="45"/>
  <c r="D33" i="45"/>
  <c r="F32" i="45"/>
  <c r="F31" i="45"/>
  <c r="F30" i="45"/>
  <c r="F29" i="45"/>
  <c r="D29" i="45"/>
  <c r="F28" i="45"/>
  <c r="F27" i="45"/>
  <c r="F26" i="45"/>
  <c r="D26" i="45"/>
  <c r="F25" i="45"/>
  <c r="D25" i="45"/>
  <c r="F24" i="45"/>
  <c r="F23" i="45"/>
  <c r="F22" i="45"/>
  <c r="F21" i="45"/>
  <c r="G4" i="45"/>
  <c r="B8" i="45"/>
  <c r="D21" i="45"/>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H180" i="20"/>
  <c r="G270" i="13"/>
  <c r="F270" i="13"/>
  <c r="G240" i="23"/>
  <c r="H240" i="23"/>
  <c r="C240" i="23"/>
  <c r="D240" i="23" s="1"/>
  <c r="F240" i="23"/>
  <c r="H106" i="37"/>
  <c r="D106" i="37"/>
  <c r="E106" i="37" s="1"/>
  <c r="F349" i="4"/>
  <c r="F350" i="4"/>
  <c r="F351" i="4"/>
  <c r="F352" i="4"/>
  <c r="F353" i="4"/>
  <c r="F354" i="4"/>
  <c r="F348" i="4"/>
  <c r="G106" i="38"/>
  <c r="C106" i="38"/>
  <c r="D106" i="38" s="1"/>
  <c r="F106" i="38"/>
  <c r="G354" i="5"/>
  <c r="F306" i="25"/>
  <c r="G306" i="25"/>
  <c r="F307" i="25"/>
  <c r="G307" i="25"/>
  <c r="F56" i="41"/>
  <c r="F42" i="43"/>
  <c r="F51" i="42"/>
  <c r="G51" i="42"/>
  <c r="C52" i="42"/>
  <c r="D52" i="42" s="1"/>
  <c r="H135" i="32"/>
  <c r="D135" i="32"/>
  <c r="E135" i="32" s="1"/>
  <c r="G135" i="32"/>
  <c r="F305" i="24"/>
  <c r="G305" i="24"/>
  <c r="F306" i="24"/>
  <c r="G306" i="24"/>
  <c r="G140" i="28"/>
  <c r="C140" i="28"/>
  <c r="D140" i="28"/>
  <c r="F140" i="28"/>
  <c r="H140" i="29"/>
  <c r="D140" i="29"/>
  <c r="E140" i="29" s="1"/>
  <c r="G122" i="33"/>
  <c r="C122" i="33"/>
  <c r="D122" i="33" s="1"/>
  <c r="F122" i="33"/>
  <c r="H136" i="30"/>
  <c r="D136" i="30"/>
  <c r="E136" i="30" s="1"/>
  <c r="G136" i="30"/>
  <c r="G255" i="14"/>
  <c r="H255" i="14"/>
  <c r="F255" i="14"/>
  <c r="F190" i="18"/>
  <c r="H105" i="37"/>
  <c r="D105" i="37"/>
  <c r="E105" i="37" s="1"/>
  <c r="H179" i="20"/>
  <c r="G239" i="23"/>
  <c r="H239" i="23"/>
  <c r="C239" i="23"/>
  <c r="D239" i="23" s="1"/>
  <c r="F239" i="23"/>
  <c r="G139" i="28"/>
  <c r="C139" i="28"/>
  <c r="D139" i="28"/>
  <c r="F139" i="28"/>
  <c r="G269" i="13"/>
  <c r="F269" i="13"/>
  <c r="G353" i="5"/>
  <c r="H138" i="29"/>
  <c r="H139" i="29"/>
  <c r="D139" i="29"/>
  <c r="E139" i="29" s="1"/>
  <c r="G105" i="38"/>
  <c r="C105" i="38"/>
  <c r="D105" i="38"/>
  <c r="F105" i="38"/>
  <c r="F186" i="19"/>
  <c r="D41" i="43"/>
  <c r="F41" i="43"/>
  <c r="F55" i="41"/>
  <c r="F48" i="42"/>
  <c r="F49" i="42"/>
  <c r="F50" i="42"/>
  <c r="C51" i="42"/>
  <c r="D51" i="42"/>
  <c r="F305" i="25"/>
  <c r="G305" i="25"/>
  <c r="G56" i="40"/>
  <c r="C56" i="40"/>
  <c r="D56" i="40" s="1"/>
  <c r="F56" i="40"/>
  <c r="H134" i="32"/>
  <c r="D134" i="32"/>
  <c r="E134" i="32"/>
  <c r="G134" i="32"/>
  <c r="F304" i="24"/>
  <c r="G304" i="24"/>
  <c r="G238" i="23"/>
  <c r="H238" i="23"/>
  <c r="C238" i="23"/>
  <c r="D238" i="23"/>
  <c r="F238" i="23"/>
  <c r="G254" i="14"/>
  <c r="H254" i="14"/>
  <c r="F254" i="14"/>
  <c r="H135" i="30"/>
  <c r="D135" i="30"/>
  <c r="E135" i="30" s="1"/>
  <c r="G135" i="30"/>
  <c r="G121" i="33"/>
  <c r="C121" i="33"/>
  <c r="D121" i="33" s="1"/>
  <c r="F121" i="33"/>
  <c r="D167" i="22"/>
  <c r="F189" i="18"/>
  <c r="G268" i="13"/>
  <c r="F268" i="13"/>
  <c r="G55" i="40"/>
  <c r="C55" i="40"/>
  <c r="D55" i="40"/>
  <c r="F55" i="40"/>
  <c r="F137" i="28"/>
  <c r="G137" i="28"/>
  <c r="F138" i="28"/>
  <c r="G138" i="28"/>
  <c r="F323" i="11"/>
  <c r="G323" i="11"/>
  <c r="F324" i="11"/>
  <c r="G324" i="11" s="1"/>
  <c r="H104" i="37"/>
  <c r="D104" i="37"/>
  <c r="E104" i="37" s="1"/>
  <c r="H178" i="20"/>
  <c r="G352" i="5"/>
  <c r="D138" i="29"/>
  <c r="E138" i="29" s="1"/>
  <c r="F303" i="24"/>
  <c r="G303" i="24"/>
  <c r="F40" i="43"/>
  <c r="G50" i="42"/>
  <c r="H133" i="32"/>
  <c r="G237" i="23"/>
  <c r="H237" i="23"/>
  <c r="C237" i="23"/>
  <c r="D237" i="23" s="1"/>
  <c r="F237" i="23"/>
  <c r="H177" i="20"/>
  <c r="G112" i="35"/>
  <c r="C112" i="35"/>
  <c r="D112" i="35"/>
  <c r="F112" i="35"/>
  <c r="F188" i="18"/>
  <c r="F303" i="25"/>
  <c r="G303" i="25"/>
  <c r="F304" i="25"/>
  <c r="G304" i="25"/>
  <c r="G120" i="33"/>
  <c r="C120" i="33"/>
  <c r="D120" i="33" s="1"/>
  <c r="F120" i="33"/>
  <c r="F184" i="19"/>
  <c r="F185" i="19"/>
  <c r="G104" i="38"/>
  <c r="C104" i="38"/>
  <c r="D104" i="38"/>
  <c r="F104" i="38"/>
  <c r="G54" i="40"/>
  <c r="C54" i="40"/>
  <c r="D54" i="40" s="1"/>
  <c r="F54" i="40"/>
  <c r="F322" i="11"/>
  <c r="G322" i="11"/>
  <c r="G267" i="13"/>
  <c r="F267" i="13"/>
  <c r="H103" i="37"/>
  <c r="D103" i="37"/>
  <c r="E103" i="37" s="1"/>
  <c r="H134" i="30"/>
  <c r="D134" i="30"/>
  <c r="E134" i="30" s="1"/>
  <c r="G134" i="30"/>
  <c r="G253" i="14"/>
  <c r="H253" i="14"/>
  <c r="F253" i="14"/>
  <c r="G351" i="5"/>
  <c r="D351" i="5"/>
  <c r="G48" i="42"/>
  <c r="G49" i="42"/>
  <c r="H137" i="29"/>
  <c r="D137" i="29"/>
  <c r="E137" i="29" s="1"/>
  <c r="F39" i="43"/>
  <c r="C49" i="42"/>
  <c r="D49" i="42" s="1"/>
  <c r="C50" i="42"/>
  <c r="D50" i="42" s="1"/>
  <c r="C48" i="42"/>
  <c r="D48" i="42"/>
  <c r="F53" i="41"/>
  <c r="F54" i="41"/>
  <c r="H131" i="32"/>
  <c r="H132" i="32"/>
  <c r="D132" i="32"/>
  <c r="E132" i="32" s="1"/>
  <c r="D133" i="32"/>
  <c r="E133" i="32" s="1"/>
  <c r="G132" i="32"/>
  <c r="G133" i="32"/>
  <c r="F302" i="24"/>
  <c r="G302" i="24"/>
  <c r="G252" i="14"/>
  <c r="H252" i="14"/>
  <c r="F252" i="14"/>
  <c r="G119" i="33"/>
  <c r="C119" i="33"/>
  <c r="D119" i="33" s="1"/>
  <c r="F119" i="33"/>
  <c r="H133" i="30"/>
  <c r="D133" i="30"/>
  <c r="E133" i="30" s="1"/>
  <c r="G133" i="30"/>
  <c r="G102" i="38"/>
  <c r="G103" i="38"/>
  <c r="C103" i="38"/>
  <c r="D103" i="38" s="1"/>
  <c r="F103" i="38"/>
  <c r="C102" i="38"/>
  <c r="D102" i="38" s="1"/>
  <c r="F102" i="38"/>
  <c r="F183" i="19"/>
  <c r="D184" i="19"/>
  <c r="F187" i="18"/>
  <c r="H102" i="37"/>
  <c r="D102" i="37"/>
  <c r="E102" i="37" s="1"/>
  <c r="G266" i="13"/>
  <c r="F266" i="13"/>
  <c r="G53" i="40"/>
  <c r="C53" i="40"/>
  <c r="D53" i="40" s="1"/>
  <c r="F53" i="40"/>
  <c r="F321" i="11"/>
  <c r="G321" i="11"/>
  <c r="G350" i="5"/>
  <c r="G110" i="35"/>
  <c r="G111" i="35"/>
  <c r="C111" i="35"/>
  <c r="D111" i="35"/>
  <c r="F111" i="35"/>
  <c r="C110" i="35"/>
  <c r="D110" i="35"/>
  <c r="F110" i="35"/>
  <c r="G236" i="23"/>
  <c r="H236" i="23"/>
  <c r="C236" i="23"/>
  <c r="D236" i="23" s="1"/>
  <c r="F236" i="23"/>
  <c r="G136" i="28"/>
  <c r="C138" i="28"/>
  <c r="D138" i="28"/>
  <c r="C136" i="28"/>
  <c r="D136" i="28" s="1"/>
  <c r="C137" i="28"/>
  <c r="D137" i="28" s="1"/>
  <c r="F136" i="28"/>
  <c r="H175" i="20"/>
  <c r="H176" i="20"/>
  <c r="F302" i="25"/>
  <c r="G302" i="25"/>
  <c r="F301" i="24"/>
  <c r="G301" i="24"/>
  <c r="F38" i="43"/>
  <c r="F52" i="41"/>
  <c r="H136" i="29"/>
  <c r="D136" i="29"/>
  <c r="E136" i="29" s="1"/>
  <c r="D131" i="32"/>
  <c r="E131" i="32"/>
  <c r="G131" i="32"/>
  <c r="G118" i="33"/>
  <c r="C118" i="33"/>
  <c r="D118" i="33" s="1"/>
  <c r="F118" i="33"/>
  <c r="H132" i="30"/>
  <c r="D132" i="30"/>
  <c r="E132" i="30" s="1"/>
  <c r="G132" i="30"/>
  <c r="G251" i="14"/>
  <c r="H251" i="14"/>
  <c r="F251" i="14"/>
  <c r="F182" i="19"/>
  <c r="F186" i="18"/>
  <c r="F320" i="11"/>
  <c r="G320" i="11" s="1"/>
  <c r="G52" i="40"/>
  <c r="C52" i="40"/>
  <c r="D52" i="40" s="1"/>
  <c r="F52" i="40"/>
  <c r="H101" i="37"/>
  <c r="D101" i="37"/>
  <c r="E101" i="37" s="1"/>
  <c r="G265" i="13"/>
  <c r="F265" i="13"/>
  <c r="G109" i="35"/>
  <c r="C109" i="35"/>
  <c r="D109" i="35" s="1"/>
  <c r="F109" i="35"/>
  <c r="G349" i="5"/>
  <c r="D37" i="43"/>
  <c r="F37" i="43"/>
  <c r="F51" i="41"/>
  <c r="F47" i="42"/>
  <c r="G47" i="42"/>
  <c r="C47" i="42"/>
  <c r="D47" i="42" s="1"/>
  <c r="H130" i="32"/>
  <c r="D130" i="32"/>
  <c r="E130" i="32" s="1"/>
  <c r="G130" i="32"/>
  <c r="F300" i="24"/>
  <c r="G300" i="24"/>
  <c r="G135" i="28"/>
  <c r="C135" i="28"/>
  <c r="D135" i="28"/>
  <c r="F135" i="28"/>
  <c r="G235" i="23"/>
  <c r="H235" i="23"/>
  <c r="C235" i="23"/>
  <c r="D235" i="23"/>
  <c r="F235" i="23"/>
  <c r="H135" i="29"/>
  <c r="D135" i="29"/>
  <c r="E135" i="29" s="1"/>
  <c r="G100" i="38"/>
  <c r="G101" i="38"/>
  <c r="C101" i="38"/>
  <c r="D101" i="38"/>
  <c r="F101" i="38"/>
  <c r="F181" i="19"/>
  <c r="D163" i="22"/>
  <c r="G116" i="33"/>
  <c r="G117" i="33"/>
  <c r="C117" i="33"/>
  <c r="D117" i="33" s="1"/>
  <c r="F117" i="33"/>
  <c r="G250" i="14"/>
  <c r="H250" i="14"/>
  <c r="F250" i="14"/>
  <c r="H131" i="30"/>
  <c r="D131" i="30"/>
  <c r="E131" i="30" s="1"/>
  <c r="G131" i="30"/>
  <c r="F185" i="18"/>
  <c r="H100" i="37"/>
  <c r="D100" i="37"/>
  <c r="E100" i="37" s="1"/>
  <c r="G264" i="13"/>
  <c r="F264" i="13"/>
  <c r="G51" i="40"/>
  <c r="C51" i="40"/>
  <c r="D51" i="40"/>
  <c r="F51" i="40"/>
  <c r="F319" i="11"/>
  <c r="G319" i="11"/>
  <c r="G134" i="28"/>
  <c r="C134" i="28"/>
  <c r="D134" i="28" s="1"/>
  <c r="F134" i="28"/>
  <c r="G234" i="23"/>
  <c r="H234" i="23"/>
  <c r="C234" i="23"/>
  <c r="D234" i="23" s="1"/>
  <c r="F234" i="23"/>
  <c r="H174" i="20"/>
  <c r="G348" i="5"/>
  <c r="F44" i="42"/>
  <c r="G44" i="42"/>
  <c r="F45" i="42"/>
  <c r="G45" i="42"/>
  <c r="F46" i="42"/>
  <c r="G46" i="42"/>
  <c r="F300" i="25"/>
  <c r="G300" i="25"/>
  <c r="F301" i="25"/>
  <c r="G301" i="25"/>
  <c r="H129" i="32"/>
  <c r="F299" i="24"/>
  <c r="G299" i="24"/>
  <c r="H134" i="29"/>
  <c r="D134" i="29"/>
  <c r="E134" i="29" s="1"/>
  <c r="C100" i="38"/>
  <c r="D100" i="38" s="1"/>
  <c r="F100" i="38"/>
  <c r="F180" i="19"/>
  <c r="G249" i="14"/>
  <c r="H249" i="14"/>
  <c r="F249" i="14"/>
  <c r="H13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03" i="30"/>
  <c r="G104" i="30"/>
  <c r="G105" i="30"/>
  <c r="G106" i="30"/>
  <c r="G107" i="30"/>
  <c r="G108" i="30"/>
  <c r="G109" i="30"/>
  <c r="G110" i="30"/>
  <c r="G111" i="30"/>
  <c r="G112" i="30"/>
  <c r="G113" i="30"/>
  <c r="G114" i="30"/>
  <c r="G115" i="30"/>
  <c r="G116" i="30"/>
  <c r="G117" i="30"/>
  <c r="G118" i="30"/>
  <c r="G119" i="30"/>
  <c r="G120" i="30"/>
  <c r="G121" i="30"/>
  <c r="G122" i="30"/>
  <c r="G123" i="30"/>
  <c r="G124" i="30"/>
  <c r="G125" i="30"/>
  <c r="G126" i="30"/>
  <c r="G127" i="30"/>
  <c r="G128" i="30"/>
  <c r="G129" i="30"/>
  <c r="G130" i="30"/>
  <c r="D130" i="30"/>
  <c r="E130" i="30" s="1"/>
  <c r="F184" i="18"/>
  <c r="H173" i="20"/>
  <c r="G263" i="13"/>
  <c r="F263" i="13"/>
  <c r="G50" i="40"/>
  <c r="C50" i="40"/>
  <c r="D50" i="40"/>
  <c r="F50" i="40"/>
  <c r="F318" i="11"/>
  <c r="G318" i="11"/>
  <c r="H99" i="37"/>
  <c r="D99" i="37"/>
  <c r="E99" i="37" s="1"/>
  <c r="G233" i="23"/>
  <c r="H233" i="23"/>
  <c r="C233" i="23"/>
  <c r="D233" i="23"/>
  <c r="F233" i="23"/>
  <c r="F298" i="25"/>
  <c r="G298" i="25"/>
  <c r="F299" i="25"/>
  <c r="G299" i="25"/>
  <c r="G133" i="28"/>
  <c r="C133" i="28"/>
  <c r="D133" i="28"/>
  <c r="F133" i="28"/>
  <c r="F298" i="24"/>
  <c r="G298" i="24"/>
  <c r="G347" i="5"/>
  <c r="D347" i="5"/>
  <c r="F35" i="43"/>
  <c r="F36" i="43"/>
  <c r="F49" i="41"/>
  <c r="F50" i="41"/>
  <c r="C45" i="42"/>
  <c r="D45" i="42" s="1"/>
  <c r="C46" i="42"/>
  <c r="D46" i="42" s="1"/>
  <c r="H132" i="29"/>
  <c r="H133" i="29"/>
  <c r="D132" i="29"/>
  <c r="E132" i="29" s="1"/>
  <c r="D133" i="29"/>
  <c r="E133" i="29" s="1"/>
  <c r="H127" i="32"/>
  <c r="H128" i="32"/>
  <c r="D128" i="32"/>
  <c r="E128" i="32" s="1"/>
  <c r="D129" i="32"/>
  <c r="E129" i="32" s="1"/>
  <c r="G128" i="32"/>
  <c r="G129" i="32"/>
  <c r="G108" i="35"/>
  <c r="C108" i="35"/>
  <c r="D108" i="35" s="1"/>
  <c r="F108" i="35"/>
  <c r="G99" i="38"/>
  <c r="C99" i="38"/>
  <c r="D99" i="38"/>
  <c r="F99" i="38"/>
  <c r="F179" i="19"/>
  <c r="D180" i="19"/>
  <c r="F317" i="11"/>
  <c r="G317" i="11" s="1"/>
  <c r="G115" i="33"/>
  <c r="C115" i="33"/>
  <c r="D115" i="33" s="1"/>
  <c r="C116" i="33"/>
  <c r="D116" i="33" s="1"/>
  <c r="F115" i="33"/>
  <c r="F116" i="33"/>
  <c r="H129" i="30"/>
  <c r="D129" i="30"/>
  <c r="E129" i="30" s="1"/>
  <c r="F347" i="4"/>
  <c r="G232" i="23"/>
  <c r="H232" i="23"/>
  <c r="C232" i="23"/>
  <c r="D232" i="23" s="1"/>
  <c r="F232" i="23"/>
  <c r="H172" i="20"/>
  <c r="F183" i="18"/>
  <c r="G248" i="14"/>
  <c r="H248" i="14"/>
  <c r="F248" i="14"/>
  <c r="H98" i="37"/>
  <c r="D98" i="37"/>
  <c r="E98" i="37" s="1"/>
  <c r="G132" i="28"/>
  <c r="C132" i="28"/>
  <c r="D132" i="28" s="1"/>
  <c r="F132" i="28"/>
  <c r="G107" i="35"/>
  <c r="C107" i="35"/>
  <c r="D107" i="35"/>
  <c r="F107" i="35"/>
  <c r="G262" i="13"/>
  <c r="F262" i="13"/>
  <c r="G345" i="5"/>
  <c r="G346" i="5"/>
  <c r="F346" i="4"/>
  <c r="H171" i="20"/>
  <c r="G49" i="40"/>
  <c r="C49" i="40"/>
  <c r="D49" i="40" s="1"/>
  <c r="F49" i="40"/>
  <c r="F297" i="24"/>
  <c r="G297" i="24"/>
  <c r="F34" i="43"/>
  <c r="F48" i="41"/>
  <c r="C44" i="42"/>
  <c r="D44" i="42" s="1"/>
  <c r="D127" i="32"/>
  <c r="E127" i="32" s="1"/>
  <c r="G127" i="32"/>
  <c r="G114" i="33"/>
  <c r="C114" i="33"/>
  <c r="D114" i="33" s="1"/>
  <c r="F114" i="33"/>
  <c r="F296" i="24"/>
  <c r="G296" i="24"/>
  <c r="G48" i="40"/>
  <c r="C48" i="40"/>
  <c r="D48" i="40" s="1"/>
  <c r="F48" i="40"/>
  <c r="G98" i="38"/>
  <c r="C98" i="38"/>
  <c r="D98" i="38"/>
  <c r="F98" i="38"/>
  <c r="F177" i="19"/>
  <c r="F178" i="19"/>
  <c r="F182" i="18"/>
  <c r="G247" i="14"/>
  <c r="H247" i="14"/>
  <c r="F247" i="14"/>
  <c r="H128" i="30"/>
  <c r="D128" i="30"/>
  <c r="E128" i="30" s="1"/>
  <c r="F316" i="11"/>
  <c r="G316" i="11"/>
  <c r="G106" i="35"/>
  <c r="C106" i="35"/>
  <c r="D106" i="35"/>
  <c r="F106" i="35"/>
  <c r="G261" i="13"/>
  <c r="F261" i="13"/>
  <c r="H97" i="37"/>
  <c r="D97" i="37"/>
  <c r="E97" i="37" s="1"/>
  <c r="G131" i="28"/>
  <c r="C131" i="28"/>
  <c r="D131" i="28"/>
  <c r="F131" i="28"/>
  <c r="G231" i="23"/>
  <c r="H231" i="23"/>
  <c r="C231" i="23"/>
  <c r="D231" i="23"/>
  <c r="F231" i="23"/>
  <c r="F297" i="25"/>
  <c r="G97" i="38"/>
  <c r="C97" i="38"/>
  <c r="D97" i="38"/>
  <c r="F97" i="38"/>
  <c r="F345" i="4"/>
  <c r="D33" i="43"/>
  <c r="F33" i="43"/>
  <c r="F47" i="41"/>
  <c r="H131" i="29"/>
  <c r="D131" i="29"/>
  <c r="E131" i="29" s="1"/>
  <c r="F43" i="42"/>
  <c r="G43" i="42"/>
  <c r="C43" i="42"/>
  <c r="D43" i="42" s="1"/>
  <c r="H126" i="32"/>
  <c r="D126" i="32"/>
  <c r="E126" i="32" s="1"/>
  <c r="G126" i="32"/>
  <c r="F315" i="11"/>
  <c r="G315" i="11"/>
  <c r="G113" i="33"/>
  <c r="C113" i="33"/>
  <c r="D113" i="33" s="1"/>
  <c r="F113" i="33"/>
  <c r="D159" i="22"/>
  <c r="F181" i="18"/>
  <c r="H96" i="37"/>
  <c r="D96" i="37"/>
  <c r="E96" i="37" s="1"/>
  <c r="G344" i="5"/>
  <c r="G260" i="13"/>
  <c r="F260" i="13"/>
  <c r="F32" i="43"/>
  <c r="F46" i="41"/>
  <c r="G230" i="23"/>
  <c r="H230" i="23"/>
  <c r="C230" i="23"/>
  <c r="D230" i="23" s="1"/>
  <c r="F230" i="23"/>
  <c r="G130" i="28"/>
  <c r="C130" i="28"/>
  <c r="D130" i="28"/>
  <c r="F130" i="28"/>
  <c r="G105" i="35"/>
  <c r="C105" i="35"/>
  <c r="D105" i="35"/>
  <c r="F105" i="35"/>
  <c r="H170" i="20"/>
  <c r="H127" i="30"/>
  <c r="D127" i="30"/>
  <c r="E127" i="30" s="1"/>
  <c r="G246" i="14"/>
  <c r="H246" i="14"/>
  <c r="F246" i="14"/>
  <c r="G297" i="25"/>
  <c r="F295" i="24"/>
  <c r="G295" i="24"/>
  <c r="F42" i="42"/>
  <c r="G42" i="42"/>
  <c r="C42" i="42"/>
  <c r="D42" i="42"/>
  <c r="H130" i="29"/>
  <c r="D130" i="29"/>
  <c r="E130" i="29" s="1"/>
  <c r="G47" i="40"/>
  <c r="C47" i="40"/>
  <c r="D47" i="40"/>
  <c r="F47" i="40"/>
  <c r="H125" i="32"/>
  <c r="D125" i="32"/>
  <c r="E125" i="32" s="1"/>
  <c r="G125" i="32"/>
  <c r="G46" i="40"/>
  <c r="C46" i="40"/>
  <c r="D46" i="40" s="1"/>
  <c r="F46" i="40"/>
  <c r="G104" i="35"/>
  <c r="C104" i="35"/>
  <c r="D104" i="35"/>
  <c r="F104" i="35"/>
  <c r="F180" i="18"/>
  <c r="H129" i="29"/>
  <c r="D129" i="29"/>
  <c r="E129" i="29" s="1"/>
  <c r="H94" i="37"/>
  <c r="H95" i="37"/>
  <c r="D95" i="37"/>
  <c r="E95" i="37" s="1"/>
  <c r="H123" i="32"/>
  <c r="H124" i="32"/>
  <c r="D124" i="32"/>
  <c r="E124" i="32" s="1"/>
  <c r="G124" i="32"/>
  <c r="G129" i="28"/>
  <c r="C129" i="28"/>
  <c r="D129" i="28" s="1"/>
  <c r="F129" i="28"/>
  <c r="G343" i="5"/>
  <c r="D343" i="5"/>
  <c r="F31" i="43"/>
  <c r="F45" i="41"/>
  <c r="F41" i="42"/>
  <c r="G41" i="42"/>
  <c r="C41" i="42"/>
  <c r="D41" i="42" s="1"/>
  <c r="F343" i="4"/>
  <c r="F344" i="4"/>
  <c r="F21" i="25"/>
  <c r="F22" i="25"/>
  <c r="F23" i="25"/>
  <c r="F24" i="25"/>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89" i="25"/>
  <c r="F190" i="25"/>
  <c r="F191" i="25"/>
  <c r="F192" i="25"/>
  <c r="F193" i="25"/>
  <c r="F194" i="25"/>
  <c r="F195" i="25"/>
  <c r="F296" i="25"/>
  <c r="H169" i="20"/>
  <c r="G296" i="25"/>
  <c r="G95" i="38"/>
  <c r="G96" i="38"/>
  <c r="H126" i="30"/>
  <c r="D126" i="30"/>
  <c r="E126" i="30" s="1"/>
  <c r="G229" i="23"/>
  <c r="H229" i="23"/>
  <c r="C229" i="23"/>
  <c r="D229" i="23"/>
  <c r="F229" i="23"/>
  <c r="G244" i="14"/>
  <c r="H244" i="14"/>
  <c r="G245" i="14"/>
  <c r="H245" i="14"/>
  <c r="F245" i="14"/>
  <c r="F244" i="14"/>
  <c r="G259" i="13"/>
  <c r="F259" i="13"/>
  <c r="G112" i="33"/>
  <c r="C112" i="33"/>
  <c r="D112" i="33"/>
  <c r="F112" i="33"/>
  <c r="C96" i="38"/>
  <c r="D96" i="38" s="1"/>
  <c r="F96" i="38"/>
  <c r="C95" i="38"/>
  <c r="D95" i="38" s="1"/>
  <c r="F95" i="38"/>
  <c r="F176" i="19"/>
  <c r="G258" i="13"/>
  <c r="F258" i="13"/>
  <c r="G45" i="40"/>
  <c r="C45" i="40"/>
  <c r="D45" i="40" s="1"/>
  <c r="F45" i="40"/>
  <c r="D179" i="18"/>
  <c r="F179" i="18"/>
  <c r="D94" i="37"/>
  <c r="E94" i="37" s="1"/>
  <c r="G228" i="23"/>
  <c r="H228" i="23"/>
  <c r="C228" i="23"/>
  <c r="D228" i="23"/>
  <c r="F228" i="23"/>
  <c r="F313" i="11"/>
  <c r="G313" i="11" s="1"/>
  <c r="F314" i="11"/>
  <c r="G314" i="11" s="1"/>
  <c r="H125" i="30"/>
  <c r="D125" i="30"/>
  <c r="E125" i="30" s="1"/>
  <c r="G103" i="35"/>
  <c r="C103" i="35"/>
  <c r="D103" i="35" s="1"/>
  <c r="F103" i="35"/>
  <c r="G128" i="28"/>
  <c r="C128" i="28"/>
  <c r="D128" i="28" s="1"/>
  <c r="F128" i="28"/>
  <c r="G295" i="25"/>
  <c r="D295" i="25"/>
  <c r="H168" i="20"/>
  <c r="H128" i="29"/>
  <c r="D128" i="29"/>
  <c r="E128" i="29" s="1"/>
  <c r="F30" i="43"/>
  <c r="F44" i="41"/>
  <c r="F40" i="42"/>
  <c r="G40" i="42"/>
  <c r="C40" i="42"/>
  <c r="D40" i="42" s="1"/>
  <c r="G342" i="5"/>
  <c r="G111" i="33"/>
  <c r="C111" i="33"/>
  <c r="D111" i="33"/>
  <c r="F111" i="33"/>
  <c r="D123" i="32"/>
  <c r="E123" i="32" s="1"/>
  <c r="G123" i="32"/>
  <c r="F293" i="24"/>
  <c r="G293" i="24"/>
  <c r="F294" i="24"/>
  <c r="G294" i="24"/>
  <c r="F342" i="4"/>
  <c r="G110" i="33"/>
  <c r="C110" i="33"/>
  <c r="D110" i="33"/>
  <c r="F110" i="33"/>
  <c r="F174" i="19"/>
  <c r="F175" i="19"/>
  <c r="G94" i="38"/>
  <c r="C94" i="38"/>
  <c r="D94" i="38" s="1"/>
  <c r="F94" i="38"/>
  <c r="G44" i="40"/>
  <c r="G227" i="23"/>
  <c r="H227" i="23"/>
  <c r="C227" i="23"/>
  <c r="D227" i="23"/>
  <c r="F227" i="23"/>
  <c r="F44" i="40"/>
  <c r="F21" i="40"/>
  <c r="F22" i="40"/>
  <c r="F23" i="40"/>
  <c r="F24" i="40"/>
  <c r="F25" i="40"/>
  <c r="F26" i="40"/>
  <c r="F27" i="40"/>
  <c r="F28" i="40"/>
  <c r="F29" i="40"/>
  <c r="F30" i="40"/>
  <c r="F31" i="40"/>
  <c r="F32" i="40"/>
  <c r="F33" i="40"/>
  <c r="F34" i="40"/>
  <c r="F35" i="40"/>
  <c r="F36" i="40"/>
  <c r="F37" i="40"/>
  <c r="F38" i="40"/>
  <c r="F39" i="40"/>
  <c r="F40" i="40"/>
  <c r="F41" i="40"/>
  <c r="F42" i="40"/>
  <c r="F43" i="40"/>
  <c r="C44" i="40"/>
  <c r="D44" i="40"/>
  <c r="H124" i="30"/>
  <c r="D124" i="30"/>
  <c r="E124" i="30" s="1"/>
  <c r="G243" i="14"/>
  <c r="H243" i="14"/>
  <c r="F243" i="14"/>
  <c r="H92" i="37"/>
  <c r="H93" i="37"/>
  <c r="D93" i="37"/>
  <c r="E93" i="37" s="1"/>
  <c r="G257" i="13"/>
  <c r="F257" i="13"/>
  <c r="F178" i="18"/>
  <c r="G126" i="28"/>
  <c r="G127" i="28"/>
  <c r="C126" i="28"/>
  <c r="D126" i="28" s="1"/>
  <c r="C127" i="28"/>
  <c r="D127" i="28"/>
  <c r="F126" i="28"/>
  <c r="F127" i="28"/>
  <c r="F292" i="24"/>
  <c r="G292" i="24"/>
  <c r="G341" i="5"/>
  <c r="D29" i="43"/>
  <c r="F29" i="43"/>
  <c r="F43" i="41"/>
  <c r="F39" i="42"/>
  <c r="G39" i="42"/>
  <c r="C39" i="42"/>
  <c r="D39" i="42"/>
  <c r="G102" i="35"/>
  <c r="C102" i="35"/>
  <c r="D102" i="35" s="1"/>
  <c r="F102" i="35"/>
  <c r="G93" i="38"/>
  <c r="C93" i="38"/>
  <c r="D93" i="38"/>
  <c r="F93" i="38"/>
  <c r="G294" i="25"/>
  <c r="F341" i="4"/>
  <c r="H167" i="20"/>
  <c r="H127" i="29"/>
  <c r="D127" i="29"/>
  <c r="E127" i="29" s="1"/>
  <c r="H122" i="32"/>
  <c r="D122" i="32"/>
  <c r="E122" i="32" s="1"/>
  <c r="G122" i="32"/>
  <c r="G108" i="33"/>
  <c r="G109" i="33"/>
  <c r="C109" i="33"/>
  <c r="D109" i="33"/>
  <c r="F109" i="33"/>
  <c r="C108" i="33"/>
  <c r="D108" i="33"/>
  <c r="F108" i="33"/>
  <c r="G101" i="35"/>
  <c r="C101" i="35"/>
  <c r="D101" i="35" s="1"/>
  <c r="F101" i="35"/>
  <c r="G240" i="14"/>
  <c r="H240" i="14"/>
  <c r="G241" i="14"/>
  <c r="H241" i="14"/>
  <c r="G242" i="14"/>
  <c r="H242" i="14"/>
  <c r="F242" i="14"/>
  <c r="H123" i="30"/>
  <c r="D123" i="30"/>
  <c r="E123" i="30" s="1"/>
  <c r="D155" i="22"/>
  <c r="G43" i="40"/>
  <c r="C43" i="40"/>
  <c r="D43" i="40"/>
  <c r="G226" i="23"/>
  <c r="H226" i="23"/>
  <c r="C226" i="23"/>
  <c r="D226" i="23" s="1"/>
  <c r="F226" i="23"/>
  <c r="F173" i="19"/>
  <c r="D92" i="37"/>
  <c r="E92" i="37"/>
  <c r="F177" i="18"/>
  <c r="F312" i="11"/>
  <c r="G312" i="11" s="1"/>
  <c r="G256" i="13"/>
  <c r="F256" i="13"/>
  <c r="G340" i="5"/>
  <c r="H166" i="20"/>
  <c r="F28" i="43"/>
  <c r="H126" i="29"/>
  <c r="D126" i="29"/>
  <c r="E126" i="29" s="1"/>
  <c r="G38" i="42"/>
  <c r="F38" i="42"/>
  <c r="C38" i="42"/>
  <c r="D38" i="42"/>
  <c r="F42" i="41"/>
  <c r="H120" i="32"/>
  <c r="H121" i="32"/>
  <c r="D121" i="32"/>
  <c r="E121" i="32" s="1"/>
  <c r="G121" i="32"/>
  <c r="G293" i="25"/>
  <c r="H91" i="37"/>
  <c r="D91" i="37"/>
  <c r="E91" i="37" s="1"/>
  <c r="F176" i="18"/>
  <c r="F310" i="11"/>
  <c r="G310" i="11" s="1"/>
  <c r="F311" i="11"/>
  <c r="G311" i="11"/>
  <c r="G100" i="35"/>
  <c r="C100" i="35"/>
  <c r="D100" i="35" s="1"/>
  <c r="F100" i="35"/>
  <c r="G42" i="40"/>
  <c r="C42" i="40"/>
  <c r="D42" i="40"/>
  <c r="G90" i="38"/>
  <c r="G91" i="38"/>
  <c r="G92" i="38"/>
  <c r="C92" i="38"/>
  <c r="D92" i="38"/>
  <c r="F92" i="38"/>
  <c r="F290" i="24"/>
  <c r="G290" i="24"/>
  <c r="F291" i="24"/>
  <c r="G291" i="24"/>
  <c r="G255" i="13"/>
  <c r="F255" i="13"/>
  <c r="G338" i="5"/>
  <c r="G339" i="5"/>
  <c r="D339" i="5"/>
  <c r="G125" i="28"/>
  <c r="C125" i="28"/>
  <c r="D125" i="28" s="1"/>
  <c r="F125" i="28"/>
  <c r="H125" i="29"/>
  <c r="D125" i="29"/>
  <c r="E125" i="29" s="1"/>
  <c r="D120" i="32"/>
  <c r="E120" i="32" s="1"/>
  <c r="G120" i="32"/>
  <c r="F27" i="43"/>
  <c r="F41" i="41"/>
  <c r="G36" i="42"/>
  <c r="G37" i="42"/>
  <c r="C37" i="42"/>
  <c r="D37" i="42" s="1"/>
  <c r="G225" i="23"/>
  <c r="H225" i="23"/>
  <c r="C225" i="23"/>
  <c r="D225" i="23"/>
  <c r="F225" i="23"/>
  <c r="H165" i="20"/>
  <c r="F340" i="4"/>
  <c r="G292" i="25"/>
  <c r="G41" i="40"/>
  <c r="C41" i="40"/>
  <c r="D41" i="40"/>
  <c r="F171" i="19"/>
  <c r="F172" i="19"/>
  <c r="G107" i="33"/>
  <c r="C107" i="33"/>
  <c r="D107" i="33"/>
  <c r="F107" i="33"/>
  <c r="H90" i="37"/>
  <c r="D90" i="37"/>
  <c r="E90" i="37" s="1"/>
  <c r="F175" i="18"/>
  <c r="C90" i="38"/>
  <c r="D90" i="38"/>
  <c r="C91" i="38"/>
  <c r="D91" i="38" s="1"/>
  <c r="F90" i="38"/>
  <c r="F91" i="38"/>
  <c r="G224" i="23"/>
  <c r="H224" i="23"/>
  <c r="C224" i="23"/>
  <c r="D224" i="23" s="1"/>
  <c r="F224" i="23"/>
  <c r="F241" i="14"/>
  <c r="F240" i="14"/>
  <c r="H121" i="30"/>
  <c r="H122" i="30"/>
  <c r="D122" i="30"/>
  <c r="E122" i="30" s="1"/>
  <c r="D121" i="30"/>
  <c r="E121" i="30"/>
  <c r="G254" i="13"/>
  <c r="F254" i="13"/>
  <c r="G99" i="35"/>
  <c r="C99" i="35"/>
  <c r="D99" i="35"/>
  <c r="F99" i="35"/>
  <c r="H164" i="20"/>
  <c r="G124" i="28"/>
  <c r="C124" i="28"/>
  <c r="D124" i="28"/>
  <c r="F124" i="28"/>
  <c r="H124" i="29"/>
  <c r="D124" i="29"/>
  <c r="E124" i="29" s="1"/>
  <c r="F26" i="43"/>
  <c r="F40" i="41"/>
  <c r="F338" i="4"/>
  <c r="F339" i="4"/>
  <c r="G291" i="25"/>
  <c r="C36" i="42"/>
  <c r="D36" i="42"/>
  <c r="H119" i="32"/>
  <c r="D119" i="32"/>
  <c r="E119" i="32" s="1"/>
  <c r="G119" i="32"/>
  <c r="G106" i="33"/>
  <c r="C106" i="33"/>
  <c r="D106" i="33"/>
  <c r="F106" i="33"/>
  <c r="F174" i="18"/>
  <c r="G239" i="14"/>
  <c r="H239" i="14"/>
  <c r="F239" i="14"/>
  <c r="G89" i="38"/>
  <c r="C89" i="38"/>
  <c r="D89" i="38" s="1"/>
  <c r="F89" i="38"/>
  <c r="G98" i="35"/>
  <c r="C98" i="35"/>
  <c r="D98" i="35"/>
  <c r="F98" i="35"/>
  <c r="G40" i="40"/>
  <c r="C40" i="40"/>
  <c r="D40" i="40" s="1"/>
  <c r="F308" i="11"/>
  <c r="G308" i="11" s="1"/>
  <c r="F309" i="11"/>
  <c r="G309" i="11" s="1"/>
  <c r="H120" i="30"/>
  <c r="D120" i="30"/>
  <c r="E120" i="30" s="1"/>
  <c r="G35" i="42"/>
  <c r="C35" i="42"/>
  <c r="D35" i="42"/>
  <c r="H89" i="37"/>
  <c r="D89" i="37"/>
  <c r="E89" i="37" s="1"/>
  <c r="G252" i="13"/>
  <c r="G253" i="13"/>
  <c r="F253" i="13"/>
  <c r="G222" i="23"/>
  <c r="H222" i="23"/>
  <c r="G223" i="23"/>
  <c r="H223" i="23"/>
  <c r="C223" i="23"/>
  <c r="D223" i="23"/>
  <c r="F223" i="23"/>
  <c r="C222" i="23"/>
  <c r="D222" i="23"/>
  <c r="F222" i="23"/>
  <c r="G123" i="28"/>
  <c r="C123" i="28"/>
  <c r="D123" i="28"/>
  <c r="F123" i="28"/>
  <c r="H123" i="29"/>
  <c r="D123" i="29"/>
  <c r="E123" i="29" s="1"/>
  <c r="G337" i="5"/>
  <c r="G122" i="28"/>
  <c r="C122" i="28"/>
  <c r="D122" i="28" s="1"/>
  <c r="F122" i="28"/>
  <c r="G39" i="40"/>
  <c r="C39" i="40"/>
  <c r="D39" i="40" s="1"/>
  <c r="D25" i="43"/>
  <c r="F25" i="43"/>
  <c r="F39" i="41"/>
  <c r="G290" i="25"/>
  <c r="H163" i="20"/>
  <c r="H118" i="32"/>
  <c r="D118" i="32"/>
  <c r="E118" i="32" s="1"/>
  <c r="G118" i="32"/>
  <c r="F337" i="4"/>
  <c r="D338" i="4"/>
  <c r="F288" i="24"/>
  <c r="G288" i="24"/>
  <c r="F289" i="24"/>
  <c r="G289" i="24"/>
  <c r="G251" i="13"/>
  <c r="F251" i="13"/>
  <c r="F252" i="13"/>
  <c r="G105" i="33"/>
  <c r="C105" i="33"/>
  <c r="D105" i="33"/>
  <c r="F105" i="33"/>
  <c r="G237" i="14"/>
  <c r="H237" i="14"/>
  <c r="G238" i="14"/>
  <c r="H238" i="14"/>
  <c r="F238" i="14"/>
  <c r="H119" i="30"/>
  <c r="D119" i="30"/>
  <c r="E119" i="30" s="1"/>
  <c r="F169" i="19"/>
  <c r="F170" i="19"/>
  <c r="H88" i="37"/>
  <c r="D88" i="37"/>
  <c r="E88" i="37"/>
  <c r="G96" i="35"/>
  <c r="G97" i="35"/>
  <c r="C96" i="35"/>
  <c r="D96" i="35" s="1"/>
  <c r="C97" i="35"/>
  <c r="D97" i="35" s="1"/>
  <c r="F96" i="35"/>
  <c r="F97" i="35"/>
  <c r="F24" i="43"/>
  <c r="F23" i="43"/>
  <c r="F22" i="43"/>
  <c r="F21" i="43"/>
  <c r="D21" i="43"/>
  <c r="B8" i="43"/>
  <c r="G4" i="43"/>
  <c r="D151" i="22"/>
  <c r="H161" i="20"/>
  <c r="H162" i="20"/>
  <c r="G289" i="25"/>
  <c r="F306" i="11"/>
  <c r="G306" i="11" s="1"/>
  <c r="F307" i="11"/>
  <c r="G307" i="11" s="1"/>
  <c r="F173" i="18"/>
  <c r="G336" i="5"/>
  <c r="F287" i="24"/>
  <c r="G287" i="24"/>
  <c r="F38" i="41"/>
  <c r="G34" i="42"/>
  <c r="H122" i="29"/>
  <c r="D122" i="29"/>
  <c r="E122" i="29" s="1"/>
  <c r="H117" i="32"/>
  <c r="D117" i="32"/>
  <c r="E117" i="32" s="1"/>
  <c r="G117" i="32"/>
  <c r="H118" i="30"/>
  <c r="D118" i="30"/>
  <c r="E118" i="30" s="1"/>
  <c r="C34" i="42"/>
  <c r="D34" i="42" s="1"/>
  <c r="F34" i="42"/>
  <c r="G88" i="38"/>
  <c r="C88" i="38"/>
  <c r="D88" i="38"/>
  <c r="F88" i="38"/>
  <c r="F168" i="19"/>
  <c r="F237" i="14"/>
  <c r="G104" i="33"/>
  <c r="C104" i="33"/>
  <c r="D104" i="33" s="1"/>
  <c r="F104" i="33"/>
  <c r="G38" i="40"/>
  <c r="C38" i="40"/>
  <c r="D38" i="40"/>
  <c r="G121" i="28"/>
  <c r="C121" i="28"/>
  <c r="D121" i="28" s="1"/>
  <c r="F121" i="28"/>
  <c r="H87" i="37"/>
  <c r="D87" i="37"/>
  <c r="E87" i="37" s="1"/>
  <c r="F172" i="18"/>
  <c r="G221" i="23"/>
  <c r="H221" i="23"/>
  <c r="C221" i="23"/>
  <c r="D221" i="23"/>
  <c r="F221" i="23"/>
  <c r="G335" i="5"/>
  <c r="D335" i="5"/>
  <c r="F37" i="41"/>
  <c r="G33" i="42"/>
  <c r="C33" i="42"/>
  <c r="D33" i="42" s="1"/>
  <c r="F33" i="42"/>
  <c r="G288" i="25"/>
  <c r="D288" i="25"/>
  <c r="H116" i="32"/>
  <c r="D116" i="32"/>
  <c r="E116" i="32" s="1"/>
  <c r="G116" i="32"/>
  <c r="H121" i="29"/>
  <c r="D121" i="29"/>
  <c r="E121" i="29" s="1"/>
  <c r="F286" i="24"/>
  <c r="G286" i="24"/>
  <c r="F335" i="4"/>
  <c r="F336" i="4"/>
  <c r="G102" i="33"/>
  <c r="G103" i="33"/>
  <c r="C103" i="33"/>
  <c r="D103" i="33"/>
  <c r="F103" i="33"/>
  <c r="G36" i="40"/>
  <c r="G37" i="40"/>
  <c r="C37" i="40"/>
  <c r="D37" i="40" s="1"/>
  <c r="C36" i="40"/>
  <c r="D36" i="40"/>
  <c r="F167" i="19"/>
  <c r="G87" i="38"/>
  <c r="C87" i="38"/>
  <c r="D87" i="38" s="1"/>
  <c r="F87" i="38"/>
  <c r="C102" i="33"/>
  <c r="D102" i="33"/>
  <c r="F102" i="33"/>
  <c r="H86" i="37"/>
  <c r="D86" i="37"/>
  <c r="E86" i="37" s="1"/>
  <c r="G250" i="13"/>
  <c r="F250" i="13"/>
  <c r="F171" i="18"/>
  <c r="G95" i="35"/>
  <c r="C95" i="35"/>
  <c r="D95" i="35"/>
  <c r="F95" i="35"/>
  <c r="H117" i="30"/>
  <c r="D117" i="30"/>
  <c r="E117" i="30"/>
  <c r="G236" i="14"/>
  <c r="H236" i="14"/>
  <c r="F236" i="14"/>
  <c r="G334" i="5"/>
  <c r="G220" i="23"/>
  <c r="H220" i="23"/>
  <c r="C220" i="23"/>
  <c r="D220" i="23"/>
  <c r="F220" i="23"/>
  <c r="F304" i="11"/>
  <c r="G304" i="11" s="1"/>
  <c r="F305" i="11"/>
  <c r="G305" i="11"/>
  <c r="H160" i="20"/>
  <c r="G287" i="25"/>
  <c r="G120" i="28"/>
  <c r="C120" i="28"/>
  <c r="D120" i="28"/>
  <c r="F120" i="28"/>
  <c r="H120" i="29"/>
  <c r="D120" i="29"/>
  <c r="E120" i="29" s="1"/>
  <c r="F285" i="24"/>
  <c r="G285" i="24"/>
  <c r="F334" i="4"/>
  <c r="F36" i="41"/>
  <c r="G32" i="42"/>
  <c r="H115" i="32"/>
  <c r="D115" i="32"/>
  <c r="E115" i="32" s="1"/>
  <c r="G115" i="32"/>
  <c r="G86" i="38"/>
  <c r="C86" i="38"/>
  <c r="D86" i="38" s="1"/>
  <c r="F86" i="38"/>
  <c r="C32" i="42"/>
  <c r="D32" i="42" s="1"/>
  <c r="F32" i="42"/>
  <c r="F166" i="19"/>
  <c r="F170" i="18"/>
  <c r="G217" i="23"/>
  <c r="H217" i="23"/>
  <c r="G218" i="23"/>
  <c r="H218" i="23"/>
  <c r="G219" i="23"/>
  <c r="H219" i="23"/>
  <c r="G117" i="28"/>
  <c r="G118" i="28"/>
  <c r="G119" i="28"/>
  <c r="G333" i="5"/>
  <c r="H85" i="37"/>
  <c r="D85" i="37"/>
  <c r="E85" i="37"/>
  <c r="G94" i="35"/>
  <c r="C94" i="35"/>
  <c r="D94" i="35" s="1"/>
  <c r="F94" i="35"/>
  <c r="H116" i="30"/>
  <c r="D116" i="30"/>
  <c r="E116" i="30" s="1"/>
  <c r="G235" i="14"/>
  <c r="H235" i="14"/>
  <c r="F235" i="14"/>
  <c r="G286" i="25"/>
  <c r="G85" i="38"/>
  <c r="C85" i="38"/>
  <c r="D85" i="38"/>
  <c r="F85" i="38"/>
  <c r="C219" i="23"/>
  <c r="D219" i="23" s="1"/>
  <c r="F219" i="23"/>
  <c r="C217" i="23"/>
  <c r="D217" i="23" s="1"/>
  <c r="C218" i="23"/>
  <c r="D218" i="23" s="1"/>
  <c r="F217" i="23"/>
  <c r="F218" i="23"/>
  <c r="F284" i="24"/>
  <c r="G284" i="24"/>
  <c r="C119" i="28"/>
  <c r="D119" i="28"/>
  <c r="F119" i="28"/>
  <c r="C117" i="28"/>
  <c r="D117" i="28"/>
  <c r="C118" i="28"/>
  <c r="D118" i="28"/>
  <c r="F117" i="28"/>
  <c r="F118" i="28"/>
  <c r="G101" i="33"/>
  <c r="C101" i="33"/>
  <c r="D101" i="33"/>
  <c r="F101" i="33"/>
  <c r="F333" i="4"/>
  <c r="D334" i="4"/>
  <c r="G249" i="13"/>
  <c r="F249" i="13"/>
  <c r="H119" i="29"/>
  <c r="D119" i="29"/>
  <c r="E119" i="29" s="1"/>
  <c r="H158" i="20"/>
  <c r="H159" i="20"/>
  <c r="F35" i="41"/>
  <c r="G31" i="42"/>
  <c r="C31" i="42"/>
  <c r="D31" i="42" s="1"/>
  <c r="F31" i="42"/>
  <c r="H114" i="32"/>
  <c r="D114" i="32"/>
  <c r="E114" i="32"/>
  <c r="G114" i="32"/>
  <c r="G100" i="33"/>
  <c r="C100" i="33"/>
  <c r="D100" i="33" s="1"/>
  <c r="F100" i="33"/>
  <c r="H115" i="30"/>
  <c r="D115" i="30"/>
  <c r="E115" i="30" s="1"/>
  <c r="G284" i="25"/>
  <c r="G285" i="25"/>
  <c r="G35" i="40"/>
  <c r="C35" i="40"/>
  <c r="D35" i="40"/>
  <c r="F169" i="18"/>
  <c r="D147" i="22"/>
  <c r="G93" i="35"/>
  <c r="C93" i="35"/>
  <c r="D93" i="35" s="1"/>
  <c r="F93" i="35"/>
  <c r="H84" i="37"/>
  <c r="D84" i="37"/>
  <c r="E84" i="37" s="1"/>
  <c r="G234" i="14"/>
  <c r="H234" i="14"/>
  <c r="F234" i="14"/>
  <c r="F303" i="11"/>
  <c r="G303" i="11"/>
  <c r="G332" i="5"/>
  <c r="G247" i="13"/>
  <c r="G248" i="13"/>
  <c r="F248" i="13"/>
  <c r="F283" i="24"/>
  <c r="G283" i="24"/>
  <c r="H157" i="20"/>
  <c r="G30" i="42"/>
  <c r="C30" i="42"/>
  <c r="D30" i="42"/>
  <c r="F30" i="42"/>
  <c r="F34" i="41"/>
  <c r="H118" i="29"/>
  <c r="D118" i="29"/>
  <c r="E118" i="29" s="1"/>
  <c r="H113" i="32"/>
  <c r="D113" i="32"/>
  <c r="E113" i="32" s="1"/>
  <c r="G113" i="32"/>
  <c r="F331" i="4"/>
  <c r="F332" i="4"/>
  <c r="G91" i="35"/>
  <c r="G92" i="35"/>
  <c r="C91" i="35"/>
  <c r="D91" i="35"/>
  <c r="C92" i="35"/>
  <c r="D92" i="35"/>
  <c r="F91" i="35"/>
  <c r="F92" i="35"/>
  <c r="G84" i="38"/>
  <c r="C84" i="38"/>
  <c r="D84" i="38"/>
  <c r="F84" i="38"/>
  <c r="F165" i="19"/>
  <c r="G34" i="40"/>
  <c r="C34" i="40"/>
  <c r="D34" i="40"/>
  <c r="F168" i="18"/>
  <c r="F247" i="13"/>
  <c r="G83" i="38"/>
  <c r="C83" i="38"/>
  <c r="D83" i="38" s="1"/>
  <c r="F83" i="38"/>
  <c r="F300" i="11"/>
  <c r="G300" i="11"/>
  <c r="F301" i="11"/>
  <c r="G301" i="11"/>
  <c r="F302" i="11"/>
  <c r="G302" i="11"/>
  <c r="G331" i="5"/>
  <c r="D331" i="5"/>
  <c r="H83" i="37"/>
  <c r="D83" i="37"/>
  <c r="E83" i="37" s="1"/>
  <c r="H114" i="30"/>
  <c r="D114" i="30"/>
  <c r="E114" i="30" s="1"/>
  <c r="G233" i="14"/>
  <c r="H233" i="14"/>
  <c r="F233" i="14"/>
  <c r="H117" i="29"/>
  <c r="D117" i="29"/>
  <c r="E117" i="29" s="1"/>
  <c r="F33" i="41"/>
  <c r="G29" i="42"/>
  <c r="C29" i="42"/>
  <c r="D29" i="42"/>
  <c r="F29" i="42"/>
  <c r="G116" i="28"/>
  <c r="H112" i="32"/>
  <c r="D112" i="32"/>
  <c r="E112" i="32" s="1"/>
  <c r="G112" i="32"/>
  <c r="F282" i="24"/>
  <c r="G282" i="24"/>
  <c r="G99" i="33"/>
  <c r="C99" i="33"/>
  <c r="D99" i="33" s="1"/>
  <c r="F99" i="33"/>
  <c r="G246" i="13"/>
  <c r="F246" i="13"/>
  <c r="F167" i="18"/>
  <c r="D164" i="19"/>
  <c r="F164" i="19"/>
  <c r="H81" i="37"/>
  <c r="H82" i="37"/>
  <c r="D82" i="37"/>
  <c r="E82" i="37" s="1"/>
  <c r="H112" i="30"/>
  <c r="H113" i="30"/>
  <c r="D113" i="30"/>
  <c r="E113" i="30" s="1"/>
  <c r="G232" i="14"/>
  <c r="H232" i="14"/>
  <c r="F232" i="14"/>
  <c r="H115" i="29"/>
  <c r="H116" i="29"/>
  <c r="D116" i="29"/>
  <c r="E116" i="29" s="1"/>
  <c r="G33" i="40"/>
  <c r="C33" i="40"/>
  <c r="D33" i="40"/>
  <c r="C116" i="28"/>
  <c r="D116" i="28" s="1"/>
  <c r="F116" i="28"/>
  <c r="D81" i="37"/>
  <c r="E81" i="37"/>
  <c r="G216" i="23"/>
  <c r="H216" i="23"/>
  <c r="C216" i="23"/>
  <c r="D216" i="23"/>
  <c r="F216" i="23"/>
  <c r="G330" i="5"/>
  <c r="H156" i="20"/>
  <c r="G283" i="25"/>
  <c r="F32" i="41"/>
  <c r="G28" i="42"/>
  <c r="C28" i="42"/>
  <c r="D28" i="42"/>
  <c r="F28" i="42"/>
  <c r="H111" i="32"/>
  <c r="D111" i="32"/>
  <c r="E111" i="32" s="1"/>
  <c r="G111" i="32"/>
  <c r="F281" i="24"/>
  <c r="G281" i="24"/>
  <c r="F163" i="19"/>
  <c r="G98" i="33"/>
  <c r="C98" i="33"/>
  <c r="D98" i="33" s="1"/>
  <c r="F98" i="33"/>
  <c r="G82" i="38"/>
  <c r="C82" i="38"/>
  <c r="D82" i="38" s="1"/>
  <c r="F82" i="38"/>
  <c r="G90" i="35"/>
  <c r="C90" i="35"/>
  <c r="D90" i="35"/>
  <c r="F90" i="35"/>
  <c r="G32" i="40"/>
  <c r="C32" i="40"/>
  <c r="D32" i="40"/>
  <c r="F166" i="18"/>
  <c r="H154" i="20"/>
  <c r="H155" i="20"/>
  <c r="G115" i="28"/>
  <c r="C115" i="28"/>
  <c r="D115" i="28"/>
  <c r="F115" i="28"/>
  <c r="F330" i="4"/>
  <c r="G215" i="23"/>
  <c r="H215" i="23"/>
  <c r="C215" i="23"/>
  <c r="D215" i="23"/>
  <c r="F215" i="23"/>
  <c r="G329" i="5"/>
  <c r="G244" i="13"/>
  <c r="G245" i="13"/>
  <c r="F245" i="13"/>
  <c r="D115" i="29"/>
  <c r="E115" i="29" s="1"/>
  <c r="H111" i="30"/>
  <c r="D112" i="30"/>
  <c r="E112" i="30" s="1"/>
  <c r="G231" i="14"/>
  <c r="H231" i="14"/>
  <c r="F231" i="14"/>
  <c r="G282" i="25"/>
  <c r="G81" i="38"/>
  <c r="C81" i="38"/>
  <c r="D81" i="38" s="1"/>
  <c r="F81" i="38"/>
  <c r="F280" i="24"/>
  <c r="G280" i="24"/>
  <c r="F31" i="41"/>
  <c r="G27" i="42"/>
  <c r="C27" i="42"/>
  <c r="D27" i="42"/>
  <c r="F27" i="42"/>
  <c r="H110" i="32"/>
  <c r="D110" i="32"/>
  <c r="E110" i="32" s="1"/>
  <c r="G110" i="32"/>
  <c r="F244" i="13"/>
  <c r="G242" i="13"/>
  <c r="G243" i="13"/>
  <c r="F243" i="13"/>
  <c r="G113" i="28"/>
  <c r="G114" i="28"/>
  <c r="C114" i="28"/>
  <c r="D114" i="28" s="1"/>
  <c r="F114" i="28"/>
  <c r="F162" i="19"/>
  <c r="G97" i="33"/>
  <c r="C97" i="33"/>
  <c r="D97" i="33"/>
  <c r="F97" i="33"/>
  <c r="D111" i="30"/>
  <c r="E111" i="30" s="1"/>
  <c r="F165" i="18"/>
  <c r="D143" i="22"/>
  <c r="G89" i="35"/>
  <c r="C89" i="35"/>
  <c r="D89" i="35"/>
  <c r="F89" i="35"/>
  <c r="G31" i="40"/>
  <c r="C31" i="40"/>
  <c r="D31" i="40"/>
  <c r="G230" i="14"/>
  <c r="H230" i="14"/>
  <c r="F230" i="14"/>
  <c r="G214" i="23"/>
  <c r="H214" i="23"/>
  <c r="C214" i="23"/>
  <c r="D214" i="23" s="1"/>
  <c r="F214" i="23"/>
  <c r="F328" i="4"/>
  <c r="F329" i="4"/>
  <c r="G80" i="38"/>
  <c r="C80" i="38"/>
  <c r="D80" i="38" s="1"/>
  <c r="F80" i="38"/>
  <c r="H80" i="37"/>
  <c r="D80" i="37"/>
  <c r="E80" i="37" s="1"/>
  <c r="G328" i="5"/>
  <c r="F30" i="41"/>
  <c r="H114" i="29"/>
  <c r="D114" i="29"/>
  <c r="E114" i="29"/>
  <c r="F26" i="42"/>
  <c r="G26" i="42"/>
  <c r="G281" i="25"/>
  <c r="H108" i="32"/>
  <c r="H109" i="32"/>
  <c r="D109" i="32"/>
  <c r="E109" i="32" s="1"/>
  <c r="G109" i="32"/>
  <c r="G96" i="33"/>
  <c r="C96" i="33"/>
  <c r="D96" i="33"/>
  <c r="F96" i="33"/>
  <c r="F164" i="18"/>
  <c r="G88" i="35"/>
  <c r="C88" i="35"/>
  <c r="D88" i="35" s="1"/>
  <c r="F88" i="35"/>
  <c r="F161" i="19"/>
  <c r="G228" i="14"/>
  <c r="H228" i="14"/>
  <c r="G229" i="14"/>
  <c r="H229" i="14"/>
  <c r="F229" i="14"/>
  <c r="G30" i="40"/>
  <c r="C30" i="40"/>
  <c r="D30" i="40" s="1"/>
  <c r="H113" i="29"/>
  <c r="D113" i="29"/>
  <c r="E113" i="29" s="1"/>
  <c r="G213" i="23"/>
  <c r="H213" i="23"/>
  <c r="C213" i="23"/>
  <c r="D213" i="23" s="1"/>
  <c r="F213" i="23"/>
  <c r="G280" i="25"/>
  <c r="H79" i="37"/>
  <c r="D79" i="37"/>
  <c r="E79" i="37"/>
  <c r="F298" i="11"/>
  <c r="G298" i="11"/>
  <c r="F299" i="11"/>
  <c r="G299" i="11"/>
  <c r="H153" i="20"/>
  <c r="F327" i="4"/>
  <c r="C113" i="28"/>
  <c r="D113" i="28"/>
  <c r="F113" i="28"/>
  <c r="G326" i="5"/>
  <c r="G327" i="5"/>
  <c r="D327" i="5"/>
  <c r="F278" i="24"/>
  <c r="G278" i="24"/>
  <c r="F279" i="24"/>
  <c r="G279" i="24"/>
  <c r="H110" i="30"/>
  <c r="D110" i="30"/>
  <c r="E110" i="30" s="1"/>
  <c r="F29" i="41"/>
  <c r="G79" i="38"/>
  <c r="C79" i="38"/>
  <c r="D79" i="38" s="1"/>
  <c r="F79" i="38"/>
  <c r="H107" i="32"/>
  <c r="D108" i="32"/>
  <c r="E108" i="32" s="1"/>
  <c r="G108" i="32"/>
  <c r="H78" i="37"/>
  <c r="G95" i="33"/>
  <c r="C95" i="33"/>
  <c r="D95" i="33"/>
  <c r="F95" i="33"/>
  <c r="F160" i="19"/>
  <c r="F326" i="4"/>
  <c r="G87" i="35"/>
  <c r="C87" i="35"/>
  <c r="D87" i="35"/>
  <c r="F87" i="35"/>
  <c r="G212" i="23"/>
  <c r="H212" i="23"/>
  <c r="C212" i="23"/>
  <c r="D212" i="23" s="1"/>
  <c r="F212" i="23"/>
  <c r="F163" i="18"/>
  <c r="H152" i="20"/>
  <c r="G29" i="40"/>
  <c r="C29" i="40"/>
  <c r="D29" i="40"/>
  <c r="F242" i="13"/>
  <c r="G279" i="25"/>
  <c r="G278" i="25"/>
  <c r="D78" i="37"/>
  <c r="E78" i="37"/>
  <c r="H109" i="30"/>
  <c r="D109" i="30"/>
  <c r="E109" i="30" s="1"/>
  <c r="F227" i="14"/>
  <c r="G227" i="14"/>
  <c r="H227" i="14"/>
  <c r="F228" i="14"/>
  <c r="F297" i="11"/>
  <c r="G297" i="11" s="1"/>
  <c r="G112" i="28"/>
  <c r="C112" i="28"/>
  <c r="D112" i="28"/>
  <c r="F112" i="28"/>
  <c r="F28" i="41"/>
  <c r="H112" i="29"/>
  <c r="D112" i="29"/>
  <c r="E112" i="29" s="1"/>
  <c r="F277" i="24"/>
  <c r="G277" i="24"/>
  <c r="D107" i="32"/>
  <c r="E107" i="32" s="1"/>
  <c r="G107" i="32"/>
  <c r="G86" i="35"/>
  <c r="C86" i="35"/>
  <c r="D86" i="35"/>
  <c r="F86" i="35"/>
  <c r="G28" i="40"/>
  <c r="G94" i="33"/>
  <c r="C94" i="33"/>
  <c r="D94" i="33"/>
  <c r="F94" i="33"/>
  <c r="G78" i="38"/>
  <c r="C78" i="38"/>
  <c r="D78" i="38" s="1"/>
  <c r="F78" i="38"/>
  <c r="F296" i="11"/>
  <c r="G296" i="11"/>
  <c r="H108" i="30"/>
  <c r="D108" i="30"/>
  <c r="E108" i="30" s="1"/>
  <c r="G241" i="13"/>
  <c r="D241" i="13"/>
  <c r="F241" i="13"/>
  <c r="F226" i="14"/>
  <c r="G226" i="14"/>
  <c r="H226" i="14"/>
  <c r="F325" i="4"/>
  <c r="G325" i="5"/>
  <c r="F162" i="18"/>
  <c r="G211" i="23"/>
  <c r="H211" i="23"/>
  <c r="C211" i="23"/>
  <c r="D211" i="23"/>
  <c r="F211" i="23"/>
  <c r="F159" i="19"/>
  <c r="F27" i="41"/>
  <c r="H77" i="37"/>
  <c r="D77" i="37"/>
  <c r="E77" i="37" s="1"/>
  <c r="H150" i="20"/>
  <c r="H151" i="20"/>
  <c r="G111" i="28"/>
  <c r="C111" i="28"/>
  <c r="D111" i="28" s="1"/>
  <c r="F111" i="28"/>
  <c r="H106" i="32"/>
  <c r="D106" i="32"/>
  <c r="E106" i="32" s="1"/>
  <c r="G106" i="32"/>
  <c r="F276" i="24"/>
  <c r="G276" i="24"/>
  <c r="C28" i="40"/>
  <c r="D28" i="40"/>
  <c r="H111" i="29"/>
  <c r="D111" i="29"/>
  <c r="E111" i="29" s="1"/>
  <c r="G92" i="33"/>
  <c r="G93" i="33"/>
  <c r="C93" i="33"/>
  <c r="D93" i="33"/>
  <c r="F93" i="33"/>
  <c r="G77" i="38"/>
  <c r="C77" i="38"/>
  <c r="D77" i="38"/>
  <c r="F77" i="38"/>
  <c r="G27" i="40"/>
  <c r="C27" i="40"/>
  <c r="D27" i="40"/>
  <c r="F158" i="19"/>
  <c r="F225" i="14"/>
  <c r="G225" i="14"/>
  <c r="H225" i="14"/>
  <c r="H107" i="30"/>
  <c r="D107" i="30"/>
  <c r="E107" i="30" s="1"/>
  <c r="D139" i="22"/>
  <c r="H76" i="37"/>
  <c r="D76" i="37"/>
  <c r="E76" i="37" s="1"/>
  <c r="G210" i="23"/>
  <c r="H210" i="23"/>
  <c r="C210" i="23"/>
  <c r="D210" i="23" s="1"/>
  <c r="F210" i="23"/>
  <c r="G277" i="25"/>
  <c r="F324" i="4"/>
  <c r="G240" i="13"/>
  <c r="F240" i="13"/>
  <c r="F161" i="18"/>
  <c r="F295" i="11"/>
  <c r="G295" i="11" s="1"/>
  <c r="G110" i="28"/>
  <c r="C110" i="28"/>
  <c r="D110" i="28"/>
  <c r="F110" i="28"/>
  <c r="G324" i="5"/>
  <c r="C26" i="42"/>
  <c r="D26" i="42"/>
  <c r="G25" i="42"/>
  <c r="F25" i="42"/>
  <c r="C25" i="42"/>
  <c r="D25" i="42"/>
  <c r="G24" i="42"/>
  <c r="F24" i="42"/>
  <c r="C24" i="42"/>
  <c r="D24" i="42"/>
  <c r="G23" i="42"/>
  <c r="F23" i="42"/>
  <c r="C23" i="42"/>
  <c r="D23" i="42"/>
  <c r="G22" i="42"/>
  <c r="F22" i="42"/>
  <c r="C22" i="42"/>
  <c r="D22" i="42"/>
  <c r="F21" i="42"/>
  <c r="C21" i="42"/>
  <c r="B8" i="42"/>
  <c r="G4" i="42"/>
  <c r="F26" i="41"/>
  <c r="H105" i="32"/>
  <c r="D105" i="32"/>
  <c r="E105" i="32" s="1"/>
  <c r="G105" i="32"/>
  <c r="G85" i="35"/>
  <c r="C85" i="35"/>
  <c r="D85" i="35"/>
  <c r="F85" i="35"/>
  <c r="H110" i="29"/>
  <c r="D110" i="29"/>
  <c r="E110" i="29" s="1"/>
  <c r="F275" i="24"/>
  <c r="G275" i="24"/>
  <c r="F274" i="24"/>
  <c r="G274" i="24"/>
  <c r="G76" i="38"/>
  <c r="C76" i="38"/>
  <c r="D76" i="38"/>
  <c r="F76" i="38"/>
  <c r="F157" i="19"/>
  <c r="C92" i="33"/>
  <c r="D92" i="33"/>
  <c r="F92" i="33"/>
  <c r="H106" i="30"/>
  <c r="D106" i="30"/>
  <c r="E106" i="30" s="1"/>
  <c r="F224" i="14"/>
  <c r="G224" i="14"/>
  <c r="H224" i="14"/>
  <c r="F160" i="18"/>
  <c r="G26" i="40"/>
  <c r="C26" i="40"/>
  <c r="D26" i="40" s="1"/>
  <c r="G208" i="23"/>
  <c r="H208" i="23"/>
  <c r="G209" i="23"/>
  <c r="H209" i="23"/>
  <c r="C209" i="23"/>
  <c r="D209" i="23" s="1"/>
  <c r="F209" i="23"/>
  <c r="G239" i="13"/>
  <c r="F239" i="13"/>
  <c r="F294" i="11"/>
  <c r="G294" i="11"/>
  <c r="F323" i="4"/>
  <c r="H75" i="37"/>
  <c r="D75" i="37"/>
  <c r="E75" i="37" s="1"/>
  <c r="G323" i="5"/>
  <c r="D323" i="5"/>
  <c r="G91" i="33"/>
  <c r="C91" i="33"/>
  <c r="D91" i="33" s="1"/>
  <c r="F91" i="33"/>
  <c r="G84" i="35"/>
  <c r="C84" i="35"/>
  <c r="D84" i="35" s="1"/>
  <c r="F84" i="35"/>
  <c r="H149" i="20"/>
  <c r="G276" i="25"/>
  <c r="D276" i="25"/>
  <c r="G109" i="28"/>
  <c r="C109" i="28"/>
  <c r="D109" i="28"/>
  <c r="F109" i="28"/>
  <c r="H104" i="32"/>
  <c r="D104" i="32"/>
  <c r="E104" i="32" s="1"/>
  <c r="G104" i="32"/>
  <c r="H109" i="29"/>
  <c r="D109" i="29"/>
  <c r="E109" i="29" s="1"/>
  <c r="G25" i="40"/>
  <c r="C25" i="40"/>
  <c r="D25" i="40"/>
  <c r="G75" i="38"/>
  <c r="C75" i="38"/>
  <c r="D75" i="38" s="1"/>
  <c r="F75" i="38"/>
  <c r="G237" i="13"/>
  <c r="G238" i="13"/>
  <c r="F238" i="13"/>
  <c r="G322" i="5"/>
  <c r="H74" i="37"/>
  <c r="D74" i="37"/>
  <c r="E74" i="37" s="1"/>
  <c r="F156" i="19"/>
  <c r="H148" i="20"/>
  <c r="F159" i="18"/>
  <c r="C208" i="23"/>
  <c r="D208" i="23"/>
  <c r="F208" i="23"/>
  <c r="G74" i="38"/>
  <c r="C74" i="38"/>
  <c r="D74" i="38"/>
  <c r="F74" i="38"/>
  <c r="F223" i="14"/>
  <c r="G223" i="14"/>
  <c r="H223" i="14"/>
  <c r="F293" i="11"/>
  <c r="G293" i="11"/>
  <c r="H105" i="30"/>
  <c r="D105" i="30"/>
  <c r="E105" i="30" s="1"/>
  <c r="F322" i="4"/>
  <c r="G83" i="35"/>
  <c r="C83" i="35"/>
  <c r="D83" i="35" s="1"/>
  <c r="F83" i="35"/>
  <c r="G275" i="25"/>
  <c r="H108" i="29"/>
  <c r="D108" i="29"/>
  <c r="E108" i="29" s="1"/>
  <c r="G107" i="28"/>
  <c r="G108" i="28"/>
  <c r="C108" i="28"/>
  <c r="D108" i="28" s="1"/>
  <c r="F108" i="28"/>
  <c r="F25" i="41"/>
  <c r="F24" i="41"/>
  <c r="F23" i="41"/>
  <c r="F22" i="41"/>
  <c r="F21" i="41"/>
  <c r="B8" i="41"/>
  <c r="G4" i="41"/>
  <c r="H103" i="32"/>
  <c r="D103" i="32"/>
  <c r="E103" i="32" s="1"/>
  <c r="G103" i="32"/>
  <c r="G106" i="28"/>
  <c r="C107" i="28"/>
  <c r="D107" i="28"/>
  <c r="F107" i="28"/>
  <c r="F155" i="19"/>
  <c r="G90" i="33"/>
  <c r="C90" i="33"/>
  <c r="D90" i="33" s="1"/>
  <c r="F90" i="33"/>
  <c r="G24" i="40"/>
  <c r="C24" i="40"/>
  <c r="D24" i="40" s="1"/>
  <c r="H104" i="30"/>
  <c r="D104" i="30"/>
  <c r="E104" i="30"/>
  <c r="F222" i="14"/>
  <c r="G222" i="14"/>
  <c r="H222" i="14"/>
  <c r="F272" i="24"/>
  <c r="G272" i="24"/>
  <c r="F273" i="24"/>
  <c r="G273" i="24"/>
  <c r="F292" i="11"/>
  <c r="G292" i="11" s="1"/>
  <c r="F237" i="13"/>
  <c r="H73" i="37"/>
  <c r="D73" i="37"/>
  <c r="E73" i="37" s="1"/>
  <c r="G207" i="23"/>
  <c r="H207" i="23"/>
  <c r="C207" i="23"/>
  <c r="D207" i="23" s="1"/>
  <c r="F207" i="23"/>
  <c r="G320" i="5"/>
  <c r="G321" i="5"/>
  <c r="F158" i="18"/>
  <c r="F321" i="4"/>
  <c r="H107" i="29"/>
  <c r="D107" i="29"/>
  <c r="E107" i="29" s="1"/>
  <c r="G274" i="25"/>
  <c r="H147" i="20"/>
  <c r="G82" i="35"/>
  <c r="C82" i="35"/>
  <c r="D82" i="35" s="1"/>
  <c r="F82" i="35"/>
  <c r="H102" i="32"/>
  <c r="D102" i="32"/>
  <c r="E102" i="32" s="1"/>
  <c r="G102" i="32"/>
  <c r="F320" i="4"/>
  <c r="D135" i="22"/>
  <c r="G73" i="38"/>
  <c r="C73" i="38"/>
  <c r="D73" i="38" s="1"/>
  <c r="F73" i="38"/>
  <c r="F154" i="19"/>
  <c r="F221" i="14"/>
  <c r="G221" i="14"/>
  <c r="H221" i="14"/>
  <c r="G23" i="40"/>
  <c r="C23" i="40"/>
  <c r="D23" i="40" s="1"/>
  <c r="G81" i="35"/>
  <c r="C81" i="35"/>
  <c r="D81" i="35"/>
  <c r="F81" i="35"/>
  <c r="H103" i="30"/>
  <c r="D103" i="30"/>
  <c r="E103" i="30" s="1"/>
  <c r="H72" i="37"/>
  <c r="D72" i="37"/>
  <c r="E72" i="37" s="1"/>
  <c r="F157" i="18"/>
  <c r="C106" i="28"/>
  <c r="D106" i="28"/>
  <c r="F106" i="28"/>
  <c r="G206" i="23"/>
  <c r="H206" i="23"/>
  <c r="C206" i="23"/>
  <c r="D206" i="23" s="1"/>
  <c r="F206" i="23"/>
  <c r="G89" i="33"/>
  <c r="C89" i="33"/>
  <c r="D89" i="33" s="1"/>
  <c r="F89" i="33"/>
  <c r="G236" i="13"/>
  <c r="F236" i="13"/>
  <c r="H106" i="29"/>
  <c r="D106" i="29"/>
  <c r="E106" i="29" s="1"/>
  <c r="G319" i="5"/>
  <c r="D319" i="5"/>
  <c r="H146" i="20"/>
  <c r="F271" i="24"/>
  <c r="G271" i="24"/>
  <c r="G273" i="25"/>
  <c r="H101" i="32"/>
  <c r="D101" i="32"/>
  <c r="E101" i="32" s="1"/>
  <c r="G101" i="32"/>
  <c r="G72" i="38"/>
  <c r="C72" i="38"/>
  <c r="D72" i="38" s="1"/>
  <c r="F72" i="38"/>
  <c r="F153" i="19"/>
  <c r="G88" i="33"/>
  <c r="C88" i="33"/>
  <c r="D88" i="33"/>
  <c r="F88" i="33"/>
  <c r="G71" i="38"/>
  <c r="C71" i="38"/>
  <c r="D71" i="38"/>
  <c r="F71" i="38"/>
  <c r="G22" i="40"/>
  <c r="C22" i="40"/>
  <c r="D22" i="40"/>
  <c r="C21" i="40"/>
  <c r="B8" i="40"/>
  <c r="G4" i="40"/>
  <c r="H102" i="30"/>
  <c r="D102" i="30"/>
  <c r="E102" i="30" s="1"/>
  <c r="F290" i="11"/>
  <c r="G290" i="11"/>
  <c r="F291" i="11"/>
  <c r="G291" i="11"/>
  <c r="D291" i="11"/>
  <c r="F156" i="18"/>
  <c r="H71" i="37"/>
  <c r="D71" i="37"/>
  <c r="E71" i="37" s="1"/>
  <c r="G205" i="23"/>
  <c r="H205" i="23"/>
  <c r="C205" i="23"/>
  <c r="D205" i="23" s="1"/>
  <c r="F205" i="23"/>
  <c r="G235" i="13"/>
  <c r="F235" i="13"/>
  <c r="H145" i="20"/>
  <c r="G272" i="25"/>
  <c r="F319" i="4"/>
  <c r="G105" i="28"/>
  <c r="C105" i="28"/>
  <c r="D105" i="28"/>
  <c r="F105" i="28"/>
  <c r="F270" i="24"/>
  <c r="G270" i="24"/>
  <c r="G80" i="35"/>
  <c r="C80" i="35"/>
  <c r="D80" i="35"/>
  <c r="F80" i="35"/>
  <c r="H100" i="32"/>
  <c r="D100" i="32"/>
  <c r="E100" i="32" s="1"/>
  <c r="G100" i="32"/>
  <c r="H105" i="29"/>
  <c r="D105" i="29"/>
  <c r="E105" i="29" s="1"/>
  <c r="G87" i="33"/>
  <c r="C87" i="33"/>
  <c r="D87" i="33"/>
  <c r="F87" i="33"/>
  <c r="F152" i="19"/>
  <c r="F289" i="11"/>
  <c r="G289" i="11" s="1"/>
  <c r="D155" i="18"/>
  <c r="F155" i="18"/>
  <c r="H70" i="37"/>
  <c r="D70" i="37"/>
  <c r="E70" i="37" s="1"/>
  <c r="G204" i="23"/>
  <c r="H204" i="23"/>
  <c r="C204" i="23"/>
  <c r="D204" i="23" s="1"/>
  <c r="F204" i="23"/>
  <c r="H101" i="30"/>
  <c r="D101" i="30"/>
  <c r="E101" i="30" s="1"/>
  <c r="G104" i="28"/>
  <c r="C104" i="28"/>
  <c r="D104" i="28"/>
  <c r="F104" i="28"/>
  <c r="F219" i="14"/>
  <c r="G219" i="14"/>
  <c r="H219" i="14"/>
  <c r="F220" i="14"/>
  <c r="G220" i="14"/>
  <c r="H220" i="14"/>
  <c r="G271" i="25"/>
  <c r="G317" i="5"/>
  <c r="G318" i="5"/>
  <c r="G234" i="13"/>
  <c r="F234" i="13"/>
  <c r="H104" i="29"/>
  <c r="D104" i="29"/>
  <c r="E104" i="29" s="1"/>
  <c r="G79" i="35"/>
  <c r="C79" i="35"/>
  <c r="D79" i="35" s="1"/>
  <c r="F79" i="35"/>
  <c r="H99" i="32"/>
  <c r="D99" i="32"/>
  <c r="E99" i="32" s="1"/>
  <c r="G99" i="32"/>
  <c r="F318" i="4"/>
  <c r="F269" i="24"/>
  <c r="G269" i="24"/>
  <c r="H144" i="20"/>
  <c r="G70" i="38"/>
  <c r="C70" i="38"/>
  <c r="D70" i="38" s="1"/>
  <c r="F70" i="38"/>
  <c r="F151" i="19"/>
  <c r="G86" i="33"/>
  <c r="C86" i="33"/>
  <c r="D86" i="33"/>
  <c r="F86" i="33"/>
  <c r="F154" i="18"/>
  <c r="H100" i="30"/>
  <c r="D100" i="30"/>
  <c r="E100" i="30" s="1"/>
  <c r="G203" i="23"/>
  <c r="H203" i="23"/>
  <c r="C203" i="23"/>
  <c r="D203" i="23" s="1"/>
  <c r="F203" i="23"/>
  <c r="F287" i="11"/>
  <c r="G287" i="11"/>
  <c r="F288" i="11"/>
  <c r="G288" i="11"/>
  <c r="F218" i="14"/>
  <c r="G218" i="14"/>
  <c r="H218" i="14"/>
  <c r="G78" i="35"/>
  <c r="C78" i="35"/>
  <c r="D78" i="35" s="1"/>
  <c r="F78" i="35"/>
  <c r="H67" i="37"/>
  <c r="H68" i="37"/>
  <c r="H69" i="37"/>
  <c r="D69" i="37"/>
  <c r="E69" i="37" s="1"/>
  <c r="G103" i="28"/>
  <c r="C103" i="28"/>
  <c r="D103" i="28" s="1"/>
  <c r="F103" i="28"/>
  <c r="G233" i="13"/>
  <c r="F233" i="13"/>
  <c r="H103" i="29"/>
  <c r="D103" i="29"/>
  <c r="E103" i="29" s="1"/>
  <c r="H143" i="20"/>
  <c r="H98" i="32"/>
  <c r="D98" i="32"/>
  <c r="E98" i="32" s="1"/>
  <c r="G98" i="32"/>
  <c r="G270" i="25"/>
  <c r="F317" i="4"/>
  <c r="D318" i="4"/>
  <c r="G69" i="38"/>
  <c r="C69" i="38"/>
  <c r="D69" i="38" s="1"/>
  <c r="F69" i="38"/>
  <c r="F267" i="24"/>
  <c r="G267" i="24"/>
  <c r="F268" i="24"/>
  <c r="G268" i="24"/>
  <c r="G85" i="33"/>
  <c r="C85" i="33"/>
  <c r="D85" i="33" s="1"/>
  <c r="F85" i="33"/>
  <c r="F150" i="19"/>
  <c r="D131" i="22"/>
  <c r="F153" i="18"/>
  <c r="H99" i="30"/>
  <c r="D99" i="30"/>
  <c r="E99" i="30"/>
  <c r="F217" i="14"/>
  <c r="G217" i="14"/>
  <c r="H217" i="14"/>
  <c r="G68" i="38"/>
  <c r="C68" i="38"/>
  <c r="D68" i="38" s="1"/>
  <c r="F68" i="38"/>
  <c r="D67" i="37"/>
  <c r="E67" i="37" s="1"/>
  <c r="D68" i="37"/>
  <c r="E68" i="37" s="1"/>
  <c r="G231" i="13"/>
  <c r="G232" i="13"/>
  <c r="F232" i="13"/>
  <c r="F231" i="13"/>
  <c r="G315" i="5"/>
  <c r="G316" i="5"/>
  <c r="D315" i="5"/>
  <c r="G77" i="35"/>
  <c r="C77" i="35"/>
  <c r="D77" i="35" s="1"/>
  <c r="F77" i="35"/>
  <c r="G202" i="23"/>
  <c r="H202" i="23"/>
  <c r="C202" i="23"/>
  <c r="D202" i="23"/>
  <c r="F202" i="23"/>
  <c r="H142" i="20"/>
  <c r="G269" i="25"/>
  <c r="H102" i="29"/>
  <c r="D102" i="29"/>
  <c r="E102" i="29"/>
  <c r="G102" i="28"/>
  <c r="C102" i="28"/>
  <c r="D102" i="28"/>
  <c r="F102" i="28"/>
  <c r="H97" i="32"/>
  <c r="D97" i="32"/>
  <c r="E97" i="32" s="1"/>
  <c r="G97" i="32"/>
  <c r="F152" i="18"/>
  <c r="G84" i="33"/>
  <c r="C84" i="33"/>
  <c r="D84" i="33" s="1"/>
  <c r="F84" i="33"/>
  <c r="F286" i="11"/>
  <c r="G286" i="11"/>
  <c r="F149" i="19"/>
  <c r="F216" i="14"/>
  <c r="G216" i="14"/>
  <c r="H216" i="14"/>
  <c r="H98" i="30"/>
  <c r="D98" i="30"/>
  <c r="E98" i="30" s="1"/>
  <c r="G201" i="23"/>
  <c r="H201" i="23"/>
  <c r="C201" i="23"/>
  <c r="D201" i="23" s="1"/>
  <c r="F201" i="23"/>
  <c r="G268" i="25"/>
  <c r="H141" i="20"/>
  <c r="G101" i="28"/>
  <c r="C101" i="28"/>
  <c r="D101" i="28" s="1"/>
  <c r="F101" i="28"/>
  <c r="F315" i="4"/>
  <c r="F316" i="4"/>
  <c r="H101" i="29"/>
  <c r="D101" i="29"/>
  <c r="E101" i="29" s="1"/>
  <c r="H96" i="32"/>
  <c r="D96" i="32"/>
  <c r="E96" i="32" s="1"/>
  <c r="G96" i="32"/>
  <c r="G76" i="35"/>
  <c r="C76" i="35"/>
  <c r="D76" i="35" s="1"/>
  <c r="F76" i="35"/>
  <c r="G67" i="38"/>
  <c r="C67" i="38"/>
  <c r="D67" i="38" s="1"/>
  <c r="F67" i="38"/>
  <c r="G83" i="33"/>
  <c r="C83" i="33"/>
  <c r="D83" i="33" s="1"/>
  <c r="F83" i="33"/>
  <c r="F148" i="19"/>
  <c r="F151" i="18"/>
  <c r="H97" i="30"/>
  <c r="D97" i="30"/>
  <c r="E97" i="30" s="1"/>
  <c r="F215" i="14"/>
  <c r="G215" i="14"/>
  <c r="H215" i="14"/>
  <c r="H66" i="37"/>
  <c r="D66" i="37"/>
  <c r="E66" i="37" s="1"/>
  <c r="G100" i="28"/>
  <c r="C100" i="28"/>
  <c r="D100" i="28" s="1"/>
  <c r="F100" i="28"/>
  <c r="G200" i="23"/>
  <c r="H200" i="23"/>
  <c r="C200" i="23"/>
  <c r="D200" i="23" s="1"/>
  <c r="F200" i="23"/>
  <c r="F285" i="11"/>
  <c r="G285" i="11"/>
  <c r="G230" i="13"/>
  <c r="F230" i="13"/>
  <c r="G314" i="5"/>
  <c r="H140" i="20"/>
  <c r="G75" i="35"/>
  <c r="C75" i="35"/>
  <c r="D75" i="35" s="1"/>
  <c r="F75" i="35"/>
  <c r="F265" i="24"/>
  <c r="G265" i="24"/>
  <c r="F266" i="24"/>
  <c r="G266" i="24"/>
  <c r="H100" i="29"/>
  <c r="D100" i="29"/>
  <c r="E100" i="29" s="1"/>
  <c r="G267" i="25"/>
  <c r="F314" i="4"/>
  <c r="H95" i="32"/>
  <c r="D95" i="32"/>
  <c r="E95" i="32" s="1"/>
  <c r="G95" i="32"/>
  <c r="G66" i="38"/>
  <c r="C66" i="38"/>
  <c r="D66" i="38" s="1"/>
  <c r="F66" i="38"/>
  <c r="F147" i="19"/>
  <c r="G82" i="33"/>
  <c r="C82" i="33"/>
  <c r="D82" i="33"/>
  <c r="F82" i="33"/>
  <c r="F150" i="18"/>
  <c r="H65" i="37"/>
  <c r="D65" i="37"/>
  <c r="E65" i="37" s="1"/>
  <c r="F214" i="14"/>
  <c r="G214" i="14"/>
  <c r="H214" i="14"/>
  <c r="H96" i="30"/>
  <c r="D96" i="30"/>
  <c r="E96" i="30" s="1"/>
  <c r="G65" i="38"/>
  <c r="C65" i="38"/>
  <c r="D65" i="38"/>
  <c r="F65" i="38"/>
  <c r="G98" i="28"/>
  <c r="G99" i="28"/>
  <c r="C99" i="28"/>
  <c r="D99" i="28" s="1"/>
  <c r="F99" i="28"/>
  <c r="C98" i="28"/>
  <c r="D98" i="28" s="1"/>
  <c r="F98" i="28"/>
  <c r="F283" i="11"/>
  <c r="G283" i="11" s="1"/>
  <c r="F284" i="11"/>
  <c r="G284" i="11" s="1"/>
  <c r="H139" i="20"/>
  <c r="G313" i="5"/>
  <c r="G228" i="13"/>
  <c r="G229" i="13"/>
  <c r="F229" i="13"/>
  <c r="F228" i="13"/>
  <c r="G74" i="35"/>
  <c r="C74" i="35"/>
  <c r="D74" i="35"/>
  <c r="F74" i="35"/>
  <c r="G73" i="35"/>
  <c r="C73" i="35"/>
  <c r="D73" i="35"/>
  <c r="F73" i="35"/>
  <c r="F313" i="4"/>
  <c r="H99" i="29"/>
  <c r="D99" i="29"/>
  <c r="E99" i="29" s="1"/>
  <c r="G199" i="23"/>
  <c r="H199" i="23"/>
  <c r="C199" i="23"/>
  <c r="D199" i="23"/>
  <c r="F199" i="23"/>
  <c r="G266" i="25"/>
  <c r="F264" i="24"/>
  <c r="G264" i="24"/>
  <c r="H94" i="32"/>
  <c r="D94" i="32"/>
  <c r="E94" i="32" s="1"/>
  <c r="G94" i="32"/>
  <c r="F146" i="19"/>
  <c r="G81" i="33"/>
  <c r="C81" i="33"/>
  <c r="D81" i="33"/>
  <c r="F81" i="33"/>
  <c r="F149" i="18"/>
  <c r="H95" i="30"/>
  <c r="D95" i="30"/>
  <c r="E95" i="30" s="1"/>
  <c r="F213" i="14"/>
  <c r="G213" i="14"/>
  <c r="H213" i="14"/>
  <c r="H98" i="29"/>
  <c r="D98" i="29"/>
  <c r="E98" i="29" s="1"/>
  <c r="G72" i="35"/>
  <c r="C72" i="35"/>
  <c r="D72" i="35" s="1"/>
  <c r="F72" i="35"/>
  <c r="G226" i="13"/>
  <c r="G227" i="13"/>
  <c r="F227" i="13"/>
  <c r="G312" i="5"/>
  <c r="G198" i="23"/>
  <c r="H198" i="23"/>
  <c r="C198" i="23"/>
  <c r="D198" i="23"/>
  <c r="F198" i="23"/>
  <c r="G265" i="25"/>
  <c r="H138" i="20"/>
  <c r="H64" i="37"/>
  <c r="D64" i="37"/>
  <c r="E64" i="37"/>
  <c r="D127" i="22"/>
  <c r="H93" i="32"/>
  <c r="D93" i="32"/>
  <c r="E93" i="32" s="1"/>
  <c r="G93" i="32"/>
  <c r="F263" i="24"/>
  <c r="G263" i="24"/>
  <c r="F148" i="18"/>
  <c r="F212" i="14"/>
  <c r="G212" i="14"/>
  <c r="H212" i="14"/>
  <c r="H94" i="30"/>
  <c r="D94" i="30"/>
  <c r="E94" i="30" s="1"/>
  <c r="G64" i="38"/>
  <c r="C64" i="38"/>
  <c r="D64" i="38" s="1"/>
  <c r="F64" i="38"/>
  <c r="G80" i="33"/>
  <c r="C80" i="33"/>
  <c r="D80" i="33" s="1"/>
  <c r="F80" i="33"/>
  <c r="G79" i="33"/>
  <c r="C79" i="33"/>
  <c r="D79" i="33" s="1"/>
  <c r="F79" i="33"/>
  <c r="F145" i="19"/>
  <c r="H63" i="37"/>
  <c r="D63" i="37"/>
  <c r="E63" i="37" s="1"/>
  <c r="G63" i="38"/>
  <c r="C63" i="38"/>
  <c r="D63" i="38" s="1"/>
  <c r="F63" i="38"/>
  <c r="G197" i="23"/>
  <c r="H197" i="23"/>
  <c r="C197" i="23"/>
  <c r="D197" i="23" s="1"/>
  <c r="F197" i="23"/>
  <c r="F226" i="13"/>
  <c r="G225" i="13"/>
  <c r="F282" i="11"/>
  <c r="G282" i="11" s="1"/>
  <c r="G97" i="28"/>
  <c r="C97" i="28"/>
  <c r="D97" i="28"/>
  <c r="F97" i="28"/>
  <c r="G264" i="25"/>
  <c r="D264" i="25"/>
  <c r="F312" i="4"/>
  <c r="G311" i="5"/>
  <c r="D311" i="5"/>
  <c r="H137" i="20"/>
  <c r="H97" i="29"/>
  <c r="D97" i="29"/>
  <c r="E97" i="29" s="1"/>
  <c r="H92" i="32"/>
  <c r="D92" i="32"/>
  <c r="E92" i="32"/>
  <c r="G92" i="32"/>
  <c r="F262" i="24"/>
  <c r="G262" i="24"/>
  <c r="H62" i="37"/>
  <c r="D62" i="37"/>
  <c r="E62" i="37"/>
  <c r="D144" i="19"/>
  <c r="F144" i="19"/>
  <c r="G78" i="33"/>
  <c r="H93" i="30"/>
  <c r="D93" i="30"/>
  <c r="E93" i="30" s="1"/>
  <c r="F211" i="14"/>
  <c r="G211" i="14"/>
  <c r="H211" i="14"/>
  <c r="F147" i="18"/>
  <c r="G196" i="23"/>
  <c r="H196" i="23"/>
  <c r="C196" i="23"/>
  <c r="D196" i="23"/>
  <c r="F196" i="23"/>
  <c r="G62" i="38"/>
  <c r="C62" i="38"/>
  <c r="D62" i="38"/>
  <c r="F62" i="38"/>
  <c r="H96" i="29"/>
  <c r="D96" i="29"/>
  <c r="E96" i="29" s="1"/>
  <c r="G310" i="5"/>
  <c r="G96" i="28"/>
  <c r="C96" i="28"/>
  <c r="D96" i="28" s="1"/>
  <c r="F96" i="28"/>
  <c r="H136" i="20"/>
  <c r="G263" i="25"/>
  <c r="F310" i="4"/>
  <c r="F311" i="4"/>
  <c r="F261" i="24"/>
  <c r="G261" i="24"/>
  <c r="H91" i="32"/>
  <c r="C68" i="35"/>
  <c r="D68" i="35" s="1"/>
  <c r="C69" i="35"/>
  <c r="D69" i="35" s="1"/>
  <c r="C70" i="35"/>
  <c r="D70" i="35" s="1"/>
  <c r="C71" i="35"/>
  <c r="D71" i="35" s="1"/>
  <c r="G71" i="35"/>
  <c r="F71" i="35"/>
  <c r="D89" i="32"/>
  <c r="E89" i="32" s="1"/>
  <c r="D90" i="32"/>
  <c r="E90" i="32" s="1"/>
  <c r="D91" i="32"/>
  <c r="E91" i="32" s="1"/>
  <c r="H90" i="32"/>
  <c r="F281" i="11"/>
  <c r="G281" i="11"/>
  <c r="F210" i="14"/>
  <c r="G210" i="14"/>
  <c r="H210" i="14"/>
  <c r="H92" i="30"/>
  <c r="D92" i="30"/>
  <c r="E92" i="30" s="1"/>
  <c r="F143" i="19"/>
  <c r="F146" i="18"/>
  <c r="H61" i="37"/>
  <c r="D61" i="37"/>
  <c r="E61" i="37" s="1"/>
  <c r="D241" i="12"/>
  <c r="G95" i="28"/>
  <c r="C95" i="28"/>
  <c r="D95" i="28" s="1"/>
  <c r="F95" i="28"/>
  <c r="G195" i="23"/>
  <c r="H195" i="23"/>
  <c r="C195" i="23"/>
  <c r="D195" i="23"/>
  <c r="F195" i="23"/>
  <c r="H135" i="20"/>
  <c r="H95" i="29"/>
  <c r="D95" i="29"/>
  <c r="E95" i="29" s="1"/>
  <c r="G262" i="25"/>
  <c r="G309" i="5"/>
  <c r="G70" i="35"/>
  <c r="F225" i="13"/>
  <c r="G61" i="38"/>
  <c r="C61" i="38"/>
  <c r="D61" i="38"/>
  <c r="F61" i="38"/>
  <c r="G77" i="33"/>
  <c r="H91" i="30"/>
  <c r="D91" i="30"/>
  <c r="E91" i="30" s="1"/>
  <c r="F209" i="14"/>
  <c r="G209" i="14"/>
  <c r="H209" i="14"/>
  <c r="F145" i="18"/>
  <c r="D123" i="22"/>
  <c r="G194" i="23"/>
  <c r="H194" i="23"/>
  <c r="C194" i="23"/>
  <c r="D194" i="23" s="1"/>
  <c r="F194" i="23"/>
  <c r="H60" i="37"/>
  <c r="D60" i="37"/>
  <c r="E60" i="37" s="1"/>
  <c r="F279" i="11"/>
  <c r="G279" i="11" s="1"/>
  <c r="F280" i="11"/>
  <c r="G280" i="11" s="1"/>
  <c r="G60" i="38"/>
  <c r="C60" i="38"/>
  <c r="D60" i="38"/>
  <c r="F60" i="38"/>
  <c r="H94" i="29"/>
  <c r="D94" i="29"/>
  <c r="E94" i="29" s="1"/>
  <c r="G261" i="25"/>
  <c r="H134" i="20"/>
  <c r="G224" i="13"/>
  <c r="G223" i="13"/>
  <c r="F224" i="13"/>
  <c r="G94" i="28"/>
  <c r="C94" i="28"/>
  <c r="D94" i="28" s="1"/>
  <c r="F94" i="28"/>
  <c r="G308" i="5"/>
  <c r="F309" i="4"/>
  <c r="H89" i="32"/>
  <c r="F260" i="24"/>
  <c r="G260" i="24"/>
  <c r="G68" i="35"/>
  <c r="G69" i="35"/>
  <c r="G76" i="33"/>
  <c r="G193" i="23"/>
  <c r="H193" i="23"/>
  <c r="C193" i="23"/>
  <c r="D193" i="23"/>
  <c r="F193" i="23"/>
  <c r="F223" i="13"/>
  <c r="F144" i="18"/>
  <c r="F278" i="11"/>
  <c r="G278" i="11" s="1"/>
  <c r="G93" i="28"/>
  <c r="C93" i="28"/>
  <c r="D93" i="28"/>
  <c r="F93" i="28"/>
  <c r="G59" i="38"/>
  <c r="C59" i="38"/>
  <c r="D59" i="38"/>
  <c r="F59" i="38"/>
  <c r="G260" i="25"/>
  <c r="H133" i="20"/>
  <c r="H59" i="37"/>
  <c r="D59" i="37"/>
  <c r="E59" i="37" s="1"/>
  <c r="G307" i="5"/>
  <c r="D307" i="5"/>
  <c r="H93" i="29"/>
  <c r="D93" i="29"/>
  <c r="E93" i="29" s="1"/>
  <c r="F307" i="4"/>
  <c r="F308" i="4"/>
  <c r="H90" i="30"/>
  <c r="D90" i="30"/>
  <c r="E90" i="30" s="1"/>
  <c r="H88" i="32"/>
  <c r="D88" i="32"/>
  <c r="E88" i="32" s="1"/>
  <c r="G88" i="32"/>
  <c r="G89" i="32"/>
  <c r="G90" i="32"/>
  <c r="G91" i="32"/>
  <c r="F70" i="35"/>
  <c r="F68" i="35"/>
  <c r="F69" i="35"/>
  <c r="F259" i="24"/>
  <c r="G259" i="24"/>
  <c r="G75" i="33"/>
  <c r="C75" i="33"/>
  <c r="D75" i="33"/>
  <c r="C76" i="33"/>
  <c r="D76" i="33"/>
  <c r="C77" i="33"/>
  <c r="D77" i="33"/>
  <c r="C78" i="33"/>
  <c r="D78" i="33" s="1"/>
  <c r="F75" i="33"/>
  <c r="F76" i="33"/>
  <c r="F77" i="33"/>
  <c r="F78" i="33"/>
  <c r="F142" i="19"/>
  <c r="F141" i="19"/>
  <c r="D140" i="19"/>
  <c r="F140" i="19"/>
  <c r="F275" i="11"/>
  <c r="G275" i="11"/>
  <c r="F276" i="11"/>
  <c r="G276" i="11" s="1"/>
  <c r="F277" i="11"/>
  <c r="G277" i="11"/>
  <c r="D143" i="18"/>
  <c r="F143" i="18"/>
  <c r="G222" i="13"/>
  <c r="F222" i="13"/>
  <c r="H58" i="37"/>
  <c r="D58" i="37"/>
  <c r="E58" i="37" s="1"/>
  <c r="F207" i="14"/>
  <c r="G207" i="14"/>
  <c r="H207" i="14"/>
  <c r="F208" i="14"/>
  <c r="G208" i="14"/>
  <c r="H208" i="14"/>
  <c r="H89" i="30"/>
  <c r="D89" i="30"/>
  <c r="E89" i="30" s="1"/>
  <c r="G67" i="35"/>
  <c r="C67" i="35"/>
  <c r="D67" i="35" s="1"/>
  <c r="F67" i="35"/>
  <c r="G306" i="5"/>
  <c r="H132" i="20"/>
  <c r="G92" i="28"/>
  <c r="C92" i="28"/>
  <c r="D92" i="28" s="1"/>
  <c r="F92" i="28"/>
  <c r="G192" i="23"/>
  <c r="H192" i="23"/>
  <c r="C192" i="23"/>
  <c r="D192" i="23"/>
  <c r="F192" i="23"/>
  <c r="G259" i="25"/>
  <c r="F306" i="4"/>
  <c r="H92" i="29"/>
  <c r="D92" i="29"/>
  <c r="E92" i="29" s="1"/>
  <c r="F257" i="24"/>
  <c r="G257" i="24"/>
  <c r="F258" i="24"/>
  <c r="G258" i="24"/>
  <c r="H87" i="32"/>
  <c r="D87" i="32"/>
  <c r="E87" i="32"/>
  <c r="G87" i="32"/>
  <c r="G221" i="13"/>
  <c r="F221" i="13"/>
  <c r="G74" i="33"/>
  <c r="C74" i="33"/>
  <c r="D74" i="33"/>
  <c r="F74" i="33"/>
  <c r="H87" i="30"/>
  <c r="H88" i="30"/>
  <c r="D88" i="30"/>
  <c r="E88" i="30" s="1"/>
  <c r="F206" i="14"/>
  <c r="G206" i="14"/>
  <c r="H206" i="14"/>
  <c r="F139" i="19"/>
  <c r="G58" i="38"/>
  <c r="C58" i="38"/>
  <c r="D58" i="38"/>
  <c r="F58" i="38"/>
  <c r="F142" i="18"/>
  <c r="H57" i="37"/>
  <c r="D57" i="37"/>
  <c r="E57" i="37" s="1"/>
  <c r="G258" i="25"/>
  <c r="G91" i="28"/>
  <c r="C91" i="28"/>
  <c r="D91" i="28" s="1"/>
  <c r="F91" i="28"/>
  <c r="F256" i="24"/>
  <c r="G256" i="24"/>
  <c r="F305" i="4"/>
  <c r="G66" i="35"/>
  <c r="C66" i="35"/>
  <c r="D66" i="35"/>
  <c r="F66" i="35"/>
  <c r="F255" i="24"/>
  <c r="G255" i="24"/>
  <c r="H86" i="32"/>
  <c r="D86" i="32"/>
  <c r="E86" i="32" s="1"/>
  <c r="G86" i="32"/>
  <c r="G191" i="23"/>
  <c r="H191" i="23"/>
  <c r="C191" i="23"/>
  <c r="D191" i="23" s="1"/>
  <c r="F191" i="23"/>
  <c r="H131" i="20"/>
  <c r="G305" i="5"/>
  <c r="G57" i="38"/>
  <c r="C57" i="38"/>
  <c r="D57" i="38" s="1"/>
  <c r="F57" i="38"/>
  <c r="G73" i="33"/>
  <c r="C73" i="33"/>
  <c r="D73" i="33" s="1"/>
  <c r="F73" i="33"/>
  <c r="H91" i="29"/>
  <c r="D91" i="29"/>
  <c r="E91" i="29" s="1"/>
  <c r="F138" i="19"/>
  <c r="D119" i="22"/>
  <c r="G90" i="28"/>
  <c r="C90" i="28"/>
  <c r="D90" i="28" s="1"/>
  <c r="F90" i="28"/>
  <c r="F141" i="18"/>
  <c r="F205" i="14"/>
  <c r="G205" i="14"/>
  <c r="H205" i="14"/>
  <c r="D87" i="30"/>
  <c r="E87" i="30" s="1"/>
  <c r="F274" i="11"/>
  <c r="G274" i="11" s="1"/>
  <c r="G65" i="35"/>
  <c r="C65" i="35"/>
  <c r="D65" i="35" s="1"/>
  <c r="F65" i="35"/>
  <c r="G219" i="13"/>
  <c r="G220" i="13"/>
  <c r="F220" i="13"/>
  <c r="G304" i="5"/>
  <c r="H56" i="37"/>
  <c r="D56" i="37"/>
  <c r="E56" i="37" s="1"/>
  <c r="G190" i="23"/>
  <c r="H190" i="23"/>
  <c r="C190" i="23"/>
  <c r="D190" i="23" s="1"/>
  <c r="F190" i="23"/>
  <c r="H130" i="20"/>
  <c r="H90" i="29"/>
  <c r="D90" i="29"/>
  <c r="E90" i="29" s="1"/>
  <c r="G257" i="25"/>
  <c r="H85" i="32"/>
  <c r="D85" i="32"/>
  <c r="E85" i="32" s="1"/>
  <c r="G85" i="32"/>
  <c r="G72" i="33"/>
  <c r="C72" i="33"/>
  <c r="D72" i="33" s="1"/>
  <c r="F72" i="33"/>
  <c r="G56" i="38"/>
  <c r="C56" i="38"/>
  <c r="D56" i="38" s="1"/>
  <c r="F56" i="38"/>
  <c r="F137" i="19"/>
  <c r="D237" i="12"/>
  <c r="H86" i="30"/>
  <c r="D86" i="30"/>
  <c r="E86" i="30" s="1"/>
  <c r="F204" i="14"/>
  <c r="G204" i="14"/>
  <c r="H204" i="14"/>
  <c r="H55" i="37"/>
  <c r="D55" i="37"/>
  <c r="E55" i="37" s="1"/>
  <c r="F140" i="18"/>
  <c r="F219" i="13"/>
  <c r="G64" i="35"/>
  <c r="C64" i="35"/>
  <c r="D64" i="35"/>
  <c r="F64" i="35"/>
  <c r="G303" i="5"/>
  <c r="D303" i="5"/>
  <c r="G189" i="23"/>
  <c r="H189" i="23"/>
  <c r="C189" i="23"/>
  <c r="D189" i="23" s="1"/>
  <c r="F189" i="23"/>
  <c r="H129" i="20"/>
  <c r="G255" i="25"/>
  <c r="G256" i="25"/>
  <c r="G89" i="28"/>
  <c r="C89" i="28"/>
  <c r="D89" i="28"/>
  <c r="F89" i="28"/>
  <c r="H89" i="29"/>
  <c r="D89" i="29"/>
  <c r="E89" i="29" s="1"/>
  <c r="F303" i="4"/>
  <c r="F304" i="4"/>
  <c r="F254" i="24"/>
  <c r="G254" i="24"/>
  <c r="H83" i="32"/>
  <c r="H84" i="32"/>
  <c r="D84" i="32"/>
  <c r="E84" i="32" s="1"/>
  <c r="G84" i="32"/>
  <c r="G63" i="35"/>
  <c r="C63" i="35"/>
  <c r="D63" i="35" s="1"/>
  <c r="F63" i="35"/>
  <c r="G55" i="38"/>
  <c r="C55" i="38"/>
  <c r="D55" i="38" s="1"/>
  <c r="F55" i="38"/>
  <c r="F136" i="19"/>
  <c r="H128" i="20"/>
  <c r="F202" i="14"/>
  <c r="G202" i="14"/>
  <c r="H202" i="14"/>
  <c r="F203" i="14"/>
  <c r="G203" i="14"/>
  <c r="H203" i="14"/>
  <c r="G71" i="33"/>
  <c r="C71" i="33"/>
  <c r="D71" i="33" s="1"/>
  <c r="F71" i="33"/>
  <c r="F253" i="24"/>
  <c r="G253" i="24"/>
  <c r="F272" i="11"/>
  <c r="G272" i="11"/>
  <c r="F273" i="11"/>
  <c r="G273" i="11"/>
  <c r="I219" i="13"/>
  <c r="G218" i="13"/>
  <c r="F139" i="18"/>
  <c r="H84" i="30"/>
  <c r="H85" i="30"/>
  <c r="G188" i="23"/>
  <c r="H188" i="23"/>
  <c r="C188" i="23"/>
  <c r="D188" i="23" s="1"/>
  <c r="F188" i="23"/>
  <c r="H88" i="29"/>
  <c r="D88" i="29"/>
  <c r="E88" i="29" s="1"/>
  <c r="H54" i="37"/>
  <c r="D54" i="37"/>
  <c r="E54" i="37" s="1"/>
  <c r="H83" i="30"/>
  <c r="D83" i="30"/>
  <c r="E83" i="30"/>
  <c r="D84" i="30"/>
  <c r="E84" i="30" s="1"/>
  <c r="D85" i="30"/>
  <c r="E85" i="30" s="1"/>
  <c r="G54" i="38"/>
  <c r="C54" i="38"/>
  <c r="D54" i="38" s="1"/>
  <c r="F54" i="38"/>
  <c r="F218" i="13"/>
  <c r="G216" i="13"/>
  <c r="G217" i="13"/>
  <c r="F217" i="13"/>
  <c r="G302" i="5"/>
  <c r="G254" i="25"/>
  <c r="D255" i="25"/>
  <c r="F302" i="4"/>
  <c r="D83" i="32"/>
  <c r="E83" i="32" s="1"/>
  <c r="G83" i="32"/>
  <c r="G88" i="28"/>
  <c r="C88" i="28"/>
  <c r="D88" i="28"/>
  <c r="F88" i="28"/>
  <c r="F138" i="18"/>
  <c r="G70" i="33"/>
  <c r="C70" i="33"/>
  <c r="D70" i="33" s="1"/>
  <c r="F70" i="33"/>
  <c r="F135" i="19"/>
  <c r="F201" i="14"/>
  <c r="G201" i="14"/>
  <c r="H201" i="14"/>
  <c r="H127" i="20"/>
  <c r="G62" i="35"/>
  <c r="C62" i="35"/>
  <c r="D62" i="35"/>
  <c r="F62" i="35"/>
  <c r="G187" i="23"/>
  <c r="H187" i="23"/>
  <c r="C187" i="23"/>
  <c r="D187" i="23" s="1"/>
  <c r="F187" i="23"/>
  <c r="H87" i="29"/>
  <c r="D87" i="29"/>
  <c r="E87" i="29" s="1"/>
  <c r="F216" i="13"/>
  <c r="H53" i="37"/>
  <c r="D53" i="37"/>
  <c r="E53" i="37"/>
  <c r="G301" i="5"/>
  <c r="F252" i="24"/>
  <c r="G252" i="24"/>
  <c r="G87" i="28"/>
  <c r="C87" i="28"/>
  <c r="D87" i="28" s="1"/>
  <c r="F87" i="28"/>
  <c r="F301" i="4"/>
  <c r="G53" i="38"/>
  <c r="C53" i="38"/>
  <c r="D53" i="38" s="1"/>
  <c r="F53" i="38"/>
  <c r="H82" i="32"/>
  <c r="D82" i="32"/>
  <c r="E82" i="32" s="1"/>
  <c r="G82" i="32"/>
  <c r="F137" i="18"/>
  <c r="G69" i="33"/>
  <c r="C69" i="33"/>
  <c r="D69" i="33"/>
  <c r="F69" i="33"/>
  <c r="G61" i="35"/>
  <c r="C61" i="35"/>
  <c r="D61" i="35"/>
  <c r="F61" i="35"/>
  <c r="F134" i="19"/>
  <c r="D115" i="22"/>
  <c r="H52" i="37"/>
  <c r="D52" i="37"/>
  <c r="E52" i="37" s="1"/>
  <c r="F271" i="11"/>
  <c r="G271" i="11"/>
  <c r="H126" i="20"/>
  <c r="G186" i="23"/>
  <c r="H186" i="23"/>
  <c r="C186" i="23"/>
  <c r="D186" i="23" s="1"/>
  <c r="F186" i="23"/>
  <c r="G300" i="5"/>
  <c r="F251" i="24"/>
  <c r="G251" i="24"/>
  <c r="G253" i="25"/>
  <c r="H86" i="29"/>
  <c r="D86" i="29"/>
  <c r="E86" i="29" s="1"/>
  <c r="F300" i="4"/>
  <c r="H81" i="32"/>
  <c r="D81" i="32"/>
  <c r="E81" i="32" s="1"/>
  <c r="G81" i="32"/>
  <c r="G86" i="28"/>
  <c r="C86" i="28"/>
  <c r="D86" i="28" s="1"/>
  <c r="F86" i="28"/>
  <c r="F269" i="11"/>
  <c r="G269" i="11" s="1"/>
  <c r="F270" i="11"/>
  <c r="G270" i="11" s="1"/>
  <c r="G52" i="38"/>
  <c r="C52" i="38"/>
  <c r="D52" i="38"/>
  <c r="F52" i="38"/>
  <c r="F133" i="19"/>
  <c r="F200" i="14"/>
  <c r="G200" i="14"/>
  <c r="H200" i="14"/>
  <c r="G215" i="13"/>
  <c r="F215" i="13"/>
  <c r="H51" i="37"/>
  <c r="D51" i="37"/>
  <c r="E51" i="37" s="1"/>
  <c r="F136" i="18"/>
  <c r="G59" i="35"/>
  <c r="G60" i="35"/>
  <c r="C60" i="35"/>
  <c r="D60" i="35" s="1"/>
  <c r="F60" i="35"/>
  <c r="C59" i="35"/>
  <c r="D59" i="35"/>
  <c r="F59" i="35"/>
  <c r="H82" i="30"/>
  <c r="D82" i="30"/>
  <c r="E82" i="30" s="1"/>
  <c r="H125" i="20"/>
  <c r="G298" i="5"/>
  <c r="G299" i="5"/>
  <c r="D299" i="5"/>
  <c r="G184" i="23"/>
  <c r="H184" i="23"/>
  <c r="G185" i="23"/>
  <c r="H185" i="23"/>
  <c r="C185" i="23"/>
  <c r="D185" i="23"/>
  <c r="F185" i="23"/>
  <c r="C184" i="23"/>
  <c r="D184" i="23"/>
  <c r="F184" i="23"/>
  <c r="G84" i="28"/>
  <c r="G85" i="28"/>
  <c r="C85" i="28"/>
  <c r="D85" i="28" s="1"/>
  <c r="F85" i="28"/>
  <c r="C84" i="28"/>
  <c r="D84" i="28" s="1"/>
  <c r="F84" i="28"/>
  <c r="G252" i="25"/>
  <c r="F299" i="4"/>
  <c r="G68" i="33"/>
  <c r="C68" i="33"/>
  <c r="D68" i="33" s="1"/>
  <c r="F68" i="33"/>
  <c r="H85" i="29"/>
  <c r="D85" i="29"/>
  <c r="E85" i="29" s="1"/>
  <c r="H80" i="32"/>
  <c r="D80" i="32"/>
  <c r="E80" i="32" s="1"/>
  <c r="G80" i="32"/>
  <c r="F250" i="24"/>
  <c r="G250" i="24"/>
  <c r="H81" i="30"/>
  <c r="D81" i="30"/>
  <c r="E81" i="30" s="1"/>
  <c r="F199" i="14"/>
  <c r="G199" i="14"/>
  <c r="H199" i="14"/>
  <c r="G214" i="13"/>
  <c r="F214" i="13"/>
  <c r="F135" i="18"/>
  <c r="F132" i="19"/>
  <c r="G51" i="38"/>
  <c r="C51" i="38"/>
  <c r="D51" i="38" s="1"/>
  <c r="F51" i="38"/>
  <c r="G67" i="33"/>
  <c r="C67" i="33"/>
  <c r="D67" i="33" s="1"/>
  <c r="F67" i="33"/>
  <c r="H50" i="37"/>
  <c r="D50" i="37"/>
  <c r="E50" i="37" s="1"/>
  <c r="H124" i="20"/>
  <c r="F249" i="24"/>
  <c r="G249" i="24"/>
  <c r="G183" i="23"/>
  <c r="H183" i="23"/>
  <c r="C183" i="23"/>
  <c r="D183" i="23" s="1"/>
  <c r="F183" i="23"/>
  <c r="G297" i="5"/>
  <c r="G250" i="25"/>
  <c r="G251" i="25"/>
  <c r="F296" i="6"/>
  <c r="G296" i="6"/>
  <c r="F297" i="6"/>
  <c r="G297" i="6"/>
  <c r="F298" i="6"/>
  <c r="G298" i="6"/>
  <c r="H84" i="29"/>
  <c r="D84" i="29"/>
  <c r="E84" i="29" s="1"/>
  <c r="F298" i="4"/>
  <c r="H79" i="32"/>
  <c r="D79" i="32"/>
  <c r="E79" i="32" s="1"/>
  <c r="G79" i="32"/>
  <c r="F248" i="24"/>
  <c r="G248" i="24"/>
  <c r="G50" i="38"/>
  <c r="C50" i="38"/>
  <c r="D50" i="38" s="1"/>
  <c r="F50" i="38"/>
  <c r="H49" i="37"/>
  <c r="D49" i="37"/>
  <c r="E49" i="37"/>
  <c r="F134" i="18"/>
  <c r="G213" i="13"/>
  <c r="D213" i="13"/>
  <c r="F213" i="13"/>
  <c r="H80" i="30"/>
  <c r="D80" i="30"/>
  <c r="E80" i="30" s="1"/>
  <c r="F268" i="11"/>
  <c r="G268" i="11" s="1"/>
  <c r="H83" i="29"/>
  <c r="D83" i="29"/>
  <c r="E83" i="29" s="1"/>
  <c r="G49" i="38"/>
  <c r="C49" i="38"/>
  <c r="D49" i="38" s="1"/>
  <c r="F49" i="38"/>
  <c r="G58" i="35"/>
  <c r="C58" i="35"/>
  <c r="D58" i="35" s="1"/>
  <c r="F58" i="35"/>
  <c r="F198" i="14"/>
  <c r="G198" i="14"/>
  <c r="H198" i="14"/>
  <c r="G66" i="33"/>
  <c r="C66" i="33"/>
  <c r="D66" i="33"/>
  <c r="F66" i="33"/>
  <c r="F131" i="19"/>
  <c r="F295" i="6"/>
  <c r="G295" i="6"/>
  <c r="G83" i="28"/>
  <c r="C83" i="28"/>
  <c r="D83" i="28"/>
  <c r="F83" i="28"/>
  <c r="G182" i="23"/>
  <c r="H182" i="23"/>
  <c r="C182" i="23"/>
  <c r="D182" i="23"/>
  <c r="F182" i="23"/>
  <c r="F297" i="4"/>
  <c r="G65" i="33"/>
  <c r="C65" i="33"/>
  <c r="D65" i="33" s="1"/>
  <c r="F65" i="33"/>
  <c r="H78" i="32"/>
  <c r="D78" i="32"/>
  <c r="E78" i="32" s="1"/>
  <c r="G78" i="32"/>
  <c r="F247" i="24"/>
  <c r="G247" i="24"/>
  <c r="G57" i="35"/>
  <c r="C57" i="35"/>
  <c r="D57" i="35"/>
  <c r="F57" i="35"/>
  <c r="F130" i="19"/>
  <c r="D111" i="22"/>
  <c r="H48" i="37"/>
  <c r="D48" i="37"/>
  <c r="E48" i="37" s="1"/>
  <c r="F133" i="18"/>
  <c r="H47" i="37"/>
  <c r="D47" i="37"/>
  <c r="E47" i="37" s="1"/>
  <c r="F197" i="14"/>
  <c r="G197" i="14"/>
  <c r="H197" i="14"/>
  <c r="H79" i="30"/>
  <c r="D79" i="30"/>
  <c r="E79" i="30" s="1"/>
  <c r="F267" i="11"/>
  <c r="G267" i="11"/>
  <c r="D268" i="11"/>
  <c r="G212" i="13"/>
  <c r="G296" i="5"/>
  <c r="F212" i="13"/>
  <c r="G249" i="25"/>
  <c r="H82" i="29"/>
  <c r="D82" i="29"/>
  <c r="E82" i="29" s="1"/>
  <c r="G82" i="28"/>
  <c r="C82" i="28"/>
  <c r="D82" i="28"/>
  <c r="F82" i="28"/>
  <c r="F296" i="4"/>
  <c r="H77" i="32"/>
  <c r="D77" i="32"/>
  <c r="E77" i="32" s="1"/>
  <c r="G77" i="32"/>
  <c r="F246" i="24"/>
  <c r="G246" i="24"/>
  <c r="F132" i="18"/>
  <c r="G56" i="35"/>
  <c r="C56" i="35"/>
  <c r="D56" i="35"/>
  <c r="F56" i="35"/>
  <c r="F129" i="19"/>
  <c r="G48" i="38"/>
  <c r="C48" i="38"/>
  <c r="D48" i="38" s="1"/>
  <c r="F48" i="38"/>
  <c r="G64" i="33"/>
  <c r="C64" i="33"/>
  <c r="D64" i="33" s="1"/>
  <c r="F64" i="33"/>
  <c r="H78" i="30"/>
  <c r="D78" i="30"/>
  <c r="E78" i="30" s="1"/>
  <c r="F196" i="14"/>
  <c r="G196" i="14"/>
  <c r="H196" i="14"/>
  <c r="F266" i="11"/>
  <c r="G266" i="11"/>
  <c r="G211" i="13"/>
  <c r="F211" i="13"/>
  <c r="G181" i="23"/>
  <c r="H181" i="23"/>
  <c r="C181" i="23"/>
  <c r="D181" i="23"/>
  <c r="F181" i="23"/>
  <c r="G295" i="5"/>
  <c r="G248" i="25"/>
  <c r="F294" i="6"/>
  <c r="G294" i="6"/>
  <c r="G81" i="28"/>
  <c r="C81" i="28"/>
  <c r="D81" i="28" s="1"/>
  <c r="F81" i="28"/>
  <c r="H81" i="29"/>
  <c r="D81" i="29"/>
  <c r="E81" i="29" s="1"/>
  <c r="F295" i="4"/>
  <c r="H76" i="32"/>
  <c r="D76" i="32"/>
  <c r="E76" i="32" s="1"/>
  <c r="G76" i="32"/>
  <c r="G47" i="38"/>
  <c r="C47" i="38"/>
  <c r="D47" i="38" s="1"/>
  <c r="F47" i="38"/>
  <c r="F131" i="18"/>
  <c r="G180" i="23"/>
  <c r="H180" i="23"/>
  <c r="C180" i="23"/>
  <c r="D180" i="23"/>
  <c r="F180" i="23"/>
  <c r="G55" i="35"/>
  <c r="C55" i="35"/>
  <c r="D55" i="35" s="1"/>
  <c r="F55" i="35"/>
  <c r="G63" i="33"/>
  <c r="C63" i="33"/>
  <c r="D63" i="33" s="1"/>
  <c r="F63" i="33"/>
  <c r="F128" i="19"/>
  <c r="H46" i="37"/>
  <c r="D46" i="37"/>
  <c r="E46" i="37" s="1"/>
  <c r="F195" i="14"/>
  <c r="G195" i="14"/>
  <c r="H195" i="14"/>
  <c r="H77" i="30"/>
  <c r="D77" i="30"/>
  <c r="E77" i="30" s="1"/>
  <c r="G209" i="13"/>
  <c r="G210" i="13"/>
  <c r="F210" i="13"/>
  <c r="F209" i="13"/>
  <c r="F265" i="11"/>
  <c r="G265" i="11" s="1"/>
  <c r="F293" i="6"/>
  <c r="G80" i="28"/>
  <c r="C80" i="28"/>
  <c r="D80" i="28" s="1"/>
  <c r="F80" i="28"/>
  <c r="G247" i="25"/>
  <c r="G294" i="5"/>
  <c r="H75" i="32"/>
  <c r="D75" i="32"/>
  <c r="E75" i="32" s="1"/>
  <c r="G75" i="32"/>
  <c r="H80" i="29"/>
  <c r="D80" i="29"/>
  <c r="E80" i="29"/>
  <c r="F294" i="4"/>
  <c r="F245" i="24"/>
  <c r="G245" i="24"/>
  <c r="G46" i="38"/>
  <c r="C46" i="38"/>
  <c r="D46" i="38" s="1"/>
  <c r="F46" i="38"/>
  <c r="G54" i="35"/>
  <c r="C54" i="35"/>
  <c r="D54" i="35" s="1"/>
  <c r="F54" i="35"/>
  <c r="F127" i="19"/>
  <c r="G246" i="25"/>
  <c r="F130" i="18"/>
  <c r="F264" i="11"/>
  <c r="G264" i="11" s="1"/>
  <c r="F292" i="6"/>
  <c r="D293" i="6"/>
  <c r="F194" i="14"/>
  <c r="G194" i="14"/>
  <c r="H194" i="14"/>
  <c r="H76" i="30"/>
  <c r="D76" i="30"/>
  <c r="E76" i="30" s="1"/>
  <c r="G62" i="33"/>
  <c r="C62" i="33"/>
  <c r="D62" i="33"/>
  <c r="F62" i="33"/>
  <c r="G179" i="23"/>
  <c r="H179" i="23"/>
  <c r="C179" i="23"/>
  <c r="D179" i="23"/>
  <c r="F179" i="23"/>
  <c r="G79" i="28"/>
  <c r="C79" i="28"/>
  <c r="D79" i="28" s="1"/>
  <c r="F79" i="28"/>
  <c r="H45" i="37"/>
  <c r="D45" i="37"/>
  <c r="E45" i="37" s="1"/>
  <c r="G293" i="5"/>
  <c r="H79" i="29"/>
  <c r="D79" i="29"/>
  <c r="E79" i="29" s="1"/>
  <c r="H74" i="32"/>
  <c r="D74" i="32"/>
  <c r="E74" i="32" s="1"/>
  <c r="G74" i="32"/>
  <c r="F244" i="24"/>
  <c r="G244" i="24"/>
  <c r="G45" i="38"/>
  <c r="C45" i="38"/>
  <c r="D45" i="38" s="1"/>
  <c r="F45" i="38"/>
  <c r="F291" i="6"/>
  <c r="F126" i="19"/>
  <c r="G61" i="33"/>
  <c r="C61" i="33"/>
  <c r="D61" i="33" s="1"/>
  <c r="F61" i="33"/>
  <c r="F193" i="14"/>
  <c r="G193" i="14"/>
  <c r="H193" i="14"/>
  <c r="F129" i="18"/>
  <c r="D107" i="22"/>
  <c r="G53" i="35"/>
  <c r="C53" i="35"/>
  <c r="D53" i="35" s="1"/>
  <c r="F53" i="35"/>
  <c r="G178" i="23"/>
  <c r="H178" i="23"/>
  <c r="C178" i="23"/>
  <c r="D178" i="23" s="1"/>
  <c r="F178" i="23"/>
  <c r="H44" i="37"/>
  <c r="D44" i="37"/>
  <c r="E44" i="37" s="1"/>
  <c r="G208" i="13"/>
  <c r="F208" i="13"/>
  <c r="G245" i="25"/>
  <c r="F292" i="4"/>
  <c r="F293" i="4"/>
  <c r="G44" i="38"/>
  <c r="C44" i="38"/>
  <c r="D44" i="38" s="1"/>
  <c r="F44" i="38"/>
  <c r="G177" i="23"/>
  <c r="H177" i="23"/>
  <c r="H78" i="29"/>
  <c r="D78" i="29"/>
  <c r="E78" i="29" s="1"/>
  <c r="H75" i="30"/>
  <c r="D75" i="30"/>
  <c r="E75" i="30" s="1"/>
  <c r="G78" i="28"/>
  <c r="C78" i="28"/>
  <c r="D78" i="28"/>
  <c r="F78" i="28"/>
  <c r="G292" i="5"/>
  <c r="F243" i="24"/>
  <c r="G243" i="24"/>
  <c r="H73" i="32"/>
  <c r="D73" i="32"/>
  <c r="E73" i="32" s="1"/>
  <c r="G73" i="32"/>
  <c r="F290" i="6"/>
  <c r="D124" i="19"/>
  <c r="F124" i="19"/>
  <c r="F125" i="19"/>
  <c r="G244" i="25"/>
  <c r="G60" i="33"/>
  <c r="H74" i="30"/>
  <c r="H43" i="37"/>
  <c r="F192" i="14"/>
  <c r="G192" i="14"/>
  <c r="H192" i="14"/>
  <c r="G52" i="35"/>
  <c r="G43" i="38"/>
  <c r="C43" i="38"/>
  <c r="D43" i="38" s="1"/>
  <c r="F43" i="38"/>
  <c r="G207" i="13"/>
  <c r="F207" i="13"/>
  <c r="D295" i="5"/>
  <c r="G289" i="5"/>
  <c r="G290" i="5"/>
  <c r="G291" i="5"/>
  <c r="D291" i="5"/>
  <c r="H72" i="32"/>
  <c r="D72" i="32"/>
  <c r="E72" i="32" s="1"/>
  <c r="G72" i="32"/>
  <c r="F291" i="4"/>
  <c r="H77" i="29"/>
  <c r="D77" i="29"/>
  <c r="E77" i="29" s="1"/>
  <c r="G77" i="28"/>
  <c r="C77" i="28"/>
  <c r="D77" i="28" s="1"/>
  <c r="F77" i="28"/>
  <c r="F242" i="24"/>
  <c r="G242" i="24"/>
  <c r="G59" i="33"/>
  <c r="C59" i="33"/>
  <c r="D59" i="33" s="1"/>
  <c r="C60" i="33"/>
  <c r="D60" i="33" s="1"/>
  <c r="F59" i="33"/>
  <c r="F60" i="33"/>
  <c r="F191" i="14"/>
  <c r="G191" i="14"/>
  <c r="H191" i="14"/>
  <c r="D192" i="14"/>
  <c r="H73" i="30"/>
  <c r="D74" i="30"/>
  <c r="E74" i="30" s="1"/>
  <c r="H42" i="37"/>
  <c r="D42" i="37"/>
  <c r="E42" i="37" s="1"/>
  <c r="D43" i="37"/>
  <c r="E43" i="37" s="1"/>
  <c r="G176" i="23"/>
  <c r="H176" i="23"/>
  <c r="C176" i="23"/>
  <c r="D176" i="23" s="1"/>
  <c r="C177" i="23"/>
  <c r="D177" i="23" s="1"/>
  <c r="F176" i="23"/>
  <c r="F177" i="23"/>
  <c r="F127" i="18"/>
  <c r="F128" i="18"/>
  <c r="G51" i="35"/>
  <c r="C51" i="35"/>
  <c r="D51" i="35" s="1"/>
  <c r="C52" i="35"/>
  <c r="D52" i="35"/>
  <c r="F51" i="35"/>
  <c r="F52" i="35"/>
  <c r="G206" i="13"/>
  <c r="F206" i="13"/>
  <c r="F241" i="24"/>
  <c r="G241" i="24"/>
  <c r="F289" i="6"/>
  <c r="D73" i="30"/>
  <c r="E73" i="30" s="1"/>
  <c r="G243" i="25"/>
  <c r="D243" i="25"/>
  <c r="G76" i="28"/>
  <c r="C76" i="28"/>
  <c r="D76" i="28" s="1"/>
  <c r="F76" i="28"/>
  <c r="H76" i="29"/>
  <c r="D76" i="29"/>
  <c r="E76" i="29"/>
  <c r="H71" i="32"/>
  <c r="D71" i="32"/>
  <c r="E71" i="32" s="1"/>
  <c r="G71" i="32"/>
  <c r="F290" i="4"/>
  <c r="G58" i="33"/>
  <c r="C58" i="33"/>
  <c r="D58" i="33" s="1"/>
  <c r="F58" i="33"/>
  <c r="G42" i="38"/>
  <c r="C42" i="38"/>
  <c r="D42" i="38" s="1"/>
  <c r="F42" i="38"/>
  <c r="F123" i="19"/>
  <c r="G205" i="13"/>
  <c r="F205" i="13"/>
  <c r="H41" i="37"/>
  <c r="D41" i="37"/>
  <c r="E41" i="37" s="1"/>
  <c r="F126" i="18"/>
  <c r="G175" i="23"/>
  <c r="H175" i="23"/>
  <c r="C175" i="23"/>
  <c r="D175" i="23" s="1"/>
  <c r="F175" i="23"/>
  <c r="G50" i="35"/>
  <c r="C50" i="35"/>
  <c r="D50" i="35" s="1"/>
  <c r="F50" i="35"/>
  <c r="F190" i="14"/>
  <c r="G190" i="14"/>
  <c r="H190" i="14"/>
  <c r="H72" i="30"/>
  <c r="D72" i="30"/>
  <c r="E72" i="30" s="1"/>
  <c r="F289" i="4"/>
  <c r="G75" i="28"/>
  <c r="C75" i="28"/>
  <c r="D75" i="28" s="1"/>
  <c r="F75" i="28"/>
  <c r="G242" i="25"/>
  <c r="H74" i="29"/>
  <c r="H75" i="29"/>
  <c r="D75" i="29"/>
  <c r="E75" i="29" s="1"/>
  <c r="H70" i="32"/>
  <c r="D70" i="32"/>
  <c r="E70" i="32" s="1"/>
  <c r="G70" i="32"/>
  <c r="F240" i="24"/>
  <c r="G240" i="24"/>
  <c r="F288" i="6"/>
  <c r="D289" i="6"/>
  <c r="G41" i="38"/>
  <c r="C41" i="38"/>
  <c r="D41" i="38"/>
  <c r="F41" i="38"/>
  <c r="G57" i="33"/>
  <c r="C57" i="33"/>
  <c r="D57" i="33"/>
  <c r="F57" i="33"/>
  <c r="F122" i="19"/>
  <c r="H40" i="37"/>
  <c r="D40" i="37"/>
  <c r="E40" i="37" s="1"/>
  <c r="D103" i="22"/>
  <c r="F125" i="18"/>
  <c r="H71" i="30"/>
  <c r="D71" i="30"/>
  <c r="E71" i="30" s="1"/>
  <c r="F189" i="14"/>
  <c r="G189" i="14"/>
  <c r="H189" i="14"/>
  <c r="G241" i="25"/>
  <c r="F288" i="4"/>
  <c r="G203" i="13"/>
  <c r="G204" i="13"/>
  <c r="F203" i="13"/>
  <c r="F204" i="13"/>
  <c r="G174" i="23"/>
  <c r="H174" i="23"/>
  <c r="C174" i="23"/>
  <c r="D174" i="23" s="1"/>
  <c r="F174" i="23"/>
  <c r="G288" i="5"/>
  <c r="G49" i="35"/>
  <c r="C49" i="35"/>
  <c r="D49" i="35"/>
  <c r="F49" i="35"/>
  <c r="D74" i="29"/>
  <c r="E74" i="29" s="1"/>
  <c r="G74" i="28"/>
  <c r="C74" i="28"/>
  <c r="D74" i="28" s="1"/>
  <c r="F74" i="28"/>
  <c r="F239" i="24"/>
  <c r="G239" i="24"/>
  <c r="F287" i="6"/>
  <c r="H69" i="32"/>
  <c r="D69" i="32"/>
  <c r="E69" i="32" s="1"/>
  <c r="G69" i="32"/>
  <c r="G40" i="38"/>
  <c r="C40" i="38"/>
  <c r="D40" i="38"/>
  <c r="F40" i="38"/>
  <c r="G48" i="35"/>
  <c r="C48" i="35"/>
  <c r="D48" i="35" s="1"/>
  <c r="F48" i="35"/>
  <c r="H70" i="30"/>
  <c r="D70" i="30"/>
  <c r="E70" i="30" s="1"/>
  <c r="G56" i="33"/>
  <c r="C56" i="33"/>
  <c r="D56" i="33" s="1"/>
  <c r="F56" i="33"/>
  <c r="F121" i="19"/>
  <c r="F124" i="18"/>
  <c r="H39" i="37"/>
  <c r="D39" i="37"/>
  <c r="E39" i="37" s="1"/>
  <c r="H68" i="32"/>
  <c r="D68" i="32"/>
  <c r="E68" i="32" s="1"/>
  <c r="G68" i="32"/>
  <c r="G173" i="23"/>
  <c r="H173" i="23"/>
  <c r="C173" i="23"/>
  <c r="D173" i="23" s="1"/>
  <c r="F173" i="23"/>
  <c r="F188" i="14"/>
  <c r="G188" i="14"/>
  <c r="H188" i="14"/>
  <c r="G287" i="5"/>
  <c r="D287" i="5"/>
  <c r="H73" i="29"/>
  <c r="D73" i="29"/>
  <c r="E73" i="29"/>
  <c r="F238" i="24"/>
  <c r="G238" i="24"/>
  <c r="F286" i="6"/>
  <c r="G240" i="25"/>
  <c r="G73" i="28"/>
  <c r="C73" i="28"/>
  <c r="D73" i="28"/>
  <c r="F73" i="28"/>
  <c r="F287" i="4"/>
  <c r="F120" i="19"/>
  <c r="G39" i="38"/>
  <c r="C39" i="38"/>
  <c r="D39" i="38"/>
  <c r="F39" i="38"/>
  <c r="G55" i="33"/>
  <c r="C55" i="33"/>
  <c r="D55" i="33" s="1"/>
  <c r="F55" i="33"/>
  <c r="F187" i="14"/>
  <c r="G187" i="14"/>
  <c r="H187" i="14"/>
  <c r="H69" i="30"/>
  <c r="D69" i="30"/>
  <c r="E69" i="30" s="1"/>
  <c r="H38" i="37"/>
  <c r="D38" i="37"/>
  <c r="E38" i="37" s="1"/>
  <c r="G172" i="23"/>
  <c r="H172" i="23"/>
  <c r="C172" i="23"/>
  <c r="D172" i="23"/>
  <c r="F172" i="23"/>
  <c r="G47" i="35"/>
  <c r="C47" i="35"/>
  <c r="D47" i="35"/>
  <c r="F47" i="35"/>
  <c r="D123" i="18"/>
  <c r="F123" i="18"/>
  <c r="G46" i="35"/>
  <c r="C46" i="35"/>
  <c r="D46" i="35" s="1"/>
  <c r="F46" i="35"/>
  <c r="G72" i="28"/>
  <c r="C72" i="28"/>
  <c r="D72" i="28" s="1"/>
  <c r="F72" i="28"/>
  <c r="G202" i="13"/>
  <c r="F202" i="13"/>
  <c r="G286" i="5"/>
  <c r="G239" i="25"/>
  <c r="D239" i="25"/>
  <c r="F285" i="6"/>
  <c r="H72" i="29"/>
  <c r="D72" i="29"/>
  <c r="E72" i="29" s="1"/>
  <c r="F286" i="4"/>
  <c r="F236" i="24"/>
  <c r="G236" i="24"/>
  <c r="F237" i="24"/>
  <c r="G237" i="24"/>
  <c r="H67" i="32"/>
  <c r="D67" i="32"/>
  <c r="E67" i="32" s="1"/>
  <c r="G67" i="32"/>
  <c r="G38" i="38"/>
  <c r="C38" i="38"/>
  <c r="D38" i="38" s="1"/>
  <c r="F38" i="38"/>
  <c r="G54" i="33"/>
  <c r="C54" i="33"/>
  <c r="D54" i="33" s="1"/>
  <c r="F54" i="33"/>
  <c r="F119" i="19"/>
  <c r="H68" i="30"/>
  <c r="D68" i="30"/>
  <c r="E68" i="30" s="1"/>
  <c r="H37" i="37"/>
  <c r="D37" i="37"/>
  <c r="E37" i="37" s="1"/>
  <c r="F122" i="18"/>
  <c r="G171" i="23"/>
  <c r="H171" i="23"/>
  <c r="C171" i="23"/>
  <c r="D171" i="23"/>
  <c r="F171" i="23"/>
  <c r="G200" i="13"/>
  <c r="G201" i="13"/>
  <c r="D201" i="13"/>
  <c r="F201" i="13"/>
  <c r="F200" i="13"/>
  <c r="G238" i="25"/>
  <c r="F186" i="14"/>
  <c r="H186" i="14"/>
  <c r="G70" i="28"/>
  <c r="G71" i="28"/>
  <c r="C71" i="28"/>
  <c r="D71" i="28" s="1"/>
  <c r="F71" i="28"/>
  <c r="G285" i="5"/>
  <c r="F285" i="4"/>
  <c r="H70" i="29"/>
  <c r="H71" i="29"/>
  <c r="D71" i="29"/>
  <c r="E71" i="29" s="1"/>
  <c r="D70" i="29"/>
  <c r="E70" i="29" s="1"/>
  <c r="H66" i="32"/>
  <c r="D66" i="32"/>
  <c r="E66" i="32" s="1"/>
  <c r="G66" i="32"/>
  <c r="F284" i="6"/>
  <c r="D285" i="6"/>
  <c r="G35" i="38"/>
  <c r="G36" i="38"/>
  <c r="G37" i="38"/>
  <c r="C37" i="38"/>
  <c r="D37" i="38" s="1"/>
  <c r="F37" i="38"/>
  <c r="D99" i="22"/>
  <c r="G45" i="35"/>
  <c r="C45" i="35"/>
  <c r="D45" i="35" s="1"/>
  <c r="F45" i="35"/>
  <c r="D256" i="11"/>
  <c r="F118" i="19"/>
  <c r="G53" i="33"/>
  <c r="C53" i="33"/>
  <c r="D53" i="33"/>
  <c r="F53" i="33"/>
  <c r="F185" i="14"/>
  <c r="H185" i="14"/>
  <c r="F284" i="4"/>
  <c r="H36" i="37"/>
  <c r="D36" i="37"/>
  <c r="E36" i="37" s="1"/>
  <c r="F121" i="18"/>
  <c r="H66" i="30"/>
  <c r="H67" i="30"/>
  <c r="D67" i="30"/>
  <c r="E67" i="30" s="1"/>
  <c r="C36" i="38"/>
  <c r="D36" i="38"/>
  <c r="F36" i="38"/>
  <c r="C35" i="38"/>
  <c r="D35" i="38"/>
  <c r="F35" i="38"/>
  <c r="G44" i="35"/>
  <c r="C44" i="35"/>
  <c r="D44" i="35" s="1"/>
  <c r="F44" i="35"/>
  <c r="G69" i="28"/>
  <c r="C70" i="28"/>
  <c r="D70" i="28" s="1"/>
  <c r="F70" i="28"/>
  <c r="F283" i="6"/>
  <c r="G237" i="25"/>
  <c r="G283" i="5"/>
  <c r="G284" i="5"/>
  <c r="D283" i="5"/>
  <c r="G170" i="23"/>
  <c r="H170" i="23"/>
  <c r="C170" i="23"/>
  <c r="D170" i="23" s="1"/>
  <c r="F170" i="23"/>
  <c r="H34" i="37"/>
  <c r="H35" i="37"/>
  <c r="F235" i="24"/>
  <c r="G235" i="24"/>
  <c r="F120" i="18"/>
  <c r="H65" i="32"/>
  <c r="D65" i="32"/>
  <c r="E65" i="32" s="1"/>
  <c r="G65" i="32"/>
  <c r="F117" i="19"/>
  <c r="G52" i="33"/>
  <c r="C52" i="33"/>
  <c r="D52" i="33" s="1"/>
  <c r="F52" i="33"/>
  <c r="F283" i="4"/>
  <c r="D35" i="37"/>
  <c r="E35" i="37" s="1"/>
  <c r="D34" i="37"/>
  <c r="E34" i="37" s="1"/>
  <c r="F184" i="14"/>
  <c r="H184" i="14"/>
  <c r="C69" i="28"/>
  <c r="D69" i="28" s="1"/>
  <c r="F69" i="28"/>
  <c r="G199" i="13"/>
  <c r="F199" i="13"/>
  <c r="F282" i="6"/>
  <c r="G236" i="25"/>
  <c r="D66" i="30"/>
  <c r="E66" i="30" s="1"/>
  <c r="G282" i="5"/>
  <c r="H69" i="29"/>
  <c r="D69" i="29"/>
  <c r="E69" i="29" s="1"/>
  <c r="F234" i="24"/>
  <c r="G234" i="24"/>
  <c r="H64" i="32"/>
  <c r="D64" i="32"/>
  <c r="E64" i="32" s="1"/>
  <c r="G64" i="32"/>
  <c r="C169" i="23"/>
  <c r="D169" i="23" s="1"/>
  <c r="F169" i="23"/>
  <c r="G168" i="23"/>
  <c r="H168" i="23"/>
  <c r="G169" i="23"/>
  <c r="H169" i="23"/>
  <c r="C168" i="23"/>
  <c r="D168" i="23"/>
  <c r="F168" i="23"/>
  <c r="F116" i="19"/>
  <c r="G51" i="33"/>
  <c r="C51" i="33"/>
  <c r="D51" i="33" s="1"/>
  <c r="F51" i="33"/>
  <c r="F183" i="14"/>
  <c r="H183" i="14"/>
  <c r="H65" i="30"/>
  <c r="D65" i="30"/>
  <c r="E65" i="30" s="1"/>
  <c r="G198" i="13"/>
  <c r="F198" i="13"/>
  <c r="G235" i="25"/>
  <c r="D235" i="25"/>
  <c r="G68" i="28"/>
  <c r="C68" i="28"/>
  <c r="D68" i="28"/>
  <c r="F68" i="28"/>
  <c r="H68" i="29"/>
  <c r="D68" i="29"/>
  <c r="E68" i="29" s="1"/>
  <c r="F282" i="4"/>
  <c r="F281" i="6"/>
  <c r="F233" i="24"/>
  <c r="G233" i="24"/>
  <c r="H63" i="32"/>
  <c r="D63" i="32"/>
  <c r="E63" i="32" s="1"/>
  <c r="G63" i="32"/>
  <c r="G43" i="35"/>
  <c r="C43" i="35"/>
  <c r="D43" i="35"/>
  <c r="F43" i="35"/>
  <c r="G34" i="38"/>
  <c r="C34" i="38"/>
  <c r="D34" i="38"/>
  <c r="F34" i="38"/>
  <c r="F115" i="19"/>
  <c r="G50" i="33"/>
  <c r="C50" i="33"/>
  <c r="D50" i="33" s="1"/>
  <c r="F50" i="33"/>
  <c r="F119" i="18"/>
  <c r="F118" i="18"/>
  <c r="H33" i="37"/>
  <c r="D33" i="37"/>
  <c r="E33" i="37" s="1"/>
  <c r="H64" i="30"/>
  <c r="D64" i="30"/>
  <c r="E64" i="30" s="1"/>
  <c r="F182" i="14"/>
  <c r="H182" i="14"/>
  <c r="G167" i="23"/>
  <c r="H167" i="23"/>
  <c r="C167" i="23"/>
  <c r="D167" i="23"/>
  <c r="F167" i="23"/>
  <c r="F280" i="6"/>
  <c r="G197" i="13"/>
  <c r="F197" i="13"/>
  <c r="G281" i="5"/>
  <c r="G42" i="35"/>
  <c r="C42" i="35"/>
  <c r="D42" i="35"/>
  <c r="F42" i="35"/>
  <c r="H67" i="29"/>
  <c r="D67" i="29"/>
  <c r="E67" i="29" s="1"/>
  <c r="H62" i="32"/>
  <c r="D62" i="32"/>
  <c r="E62" i="32" s="1"/>
  <c r="G62" i="32"/>
  <c r="G33" i="38"/>
  <c r="C33" i="38"/>
  <c r="D33" i="38"/>
  <c r="F33" i="38"/>
  <c r="G67" i="28"/>
  <c r="C67" i="28"/>
  <c r="D67" i="28"/>
  <c r="F67" i="28"/>
  <c r="F281" i="4"/>
  <c r="G234" i="25"/>
  <c r="F232" i="24"/>
  <c r="G232" i="24"/>
  <c r="G49" i="33"/>
  <c r="C49" i="33"/>
  <c r="D49" i="33"/>
  <c r="F49" i="33"/>
  <c r="F114" i="19"/>
  <c r="F231" i="24"/>
  <c r="G231" i="24"/>
  <c r="F117" i="18"/>
  <c r="D95" i="22"/>
  <c r="H32" i="37"/>
  <c r="D32" i="37"/>
  <c r="E32" i="37"/>
  <c r="H63" i="30"/>
  <c r="D63" i="30"/>
  <c r="E63" i="30" s="1"/>
  <c r="F181" i="14"/>
  <c r="H181" i="14"/>
  <c r="G196" i="13"/>
  <c r="F196" i="13"/>
  <c r="G280" i="5"/>
  <c r="G41" i="35"/>
  <c r="C41" i="35"/>
  <c r="D41" i="35"/>
  <c r="F41" i="35"/>
  <c r="F279" i="6"/>
  <c r="G166" i="23"/>
  <c r="H166" i="23"/>
  <c r="C166" i="23"/>
  <c r="D166" i="23" s="1"/>
  <c r="F166" i="23"/>
  <c r="G233" i="25"/>
  <c r="H66" i="29"/>
  <c r="D66" i="29"/>
  <c r="E66" i="29" s="1"/>
  <c r="F280" i="4"/>
  <c r="G66" i="28"/>
  <c r="C66" i="28"/>
  <c r="D66" i="28"/>
  <c r="F66" i="28"/>
  <c r="H61" i="32"/>
  <c r="D61" i="32"/>
  <c r="E61" i="32" s="1"/>
  <c r="G61" i="32"/>
  <c r="G32" i="38"/>
  <c r="C32" i="38"/>
  <c r="D32" i="38"/>
  <c r="F32" i="38"/>
  <c r="G48" i="33"/>
  <c r="C48" i="33"/>
  <c r="D48" i="33"/>
  <c r="F48" i="33"/>
  <c r="F113" i="19"/>
  <c r="G195" i="13"/>
  <c r="F195" i="13"/>
  <c r="H31" i="37"/>
  <c r="D31" i="37"/>
  <c r="E31" i="37" s="1"/>
  <c r="F116" i="18"/>
  <c r="G40" i="35"/>
  <c r="C40" i="35"/>
  <c r="D40" i="35" s="1"/>
  <c r="F40" i="35"/>
  <c r="F180" i="14"/>
  <c r="H180" i="14"/>
  <c r="H62" i="30"/>
  <c r="D62" i="30"/>
  <c r="E62" i="30" s="1"/>
  <c r="G165" i="23"/>
  <c r="H165" i="23"/>
  <c r="C165" i="23"/>
  <c r="D165" i="23"/>
  <c r="F165" i="23"/>
  <c r="G231" i="25"/>
  <c r="G232" i="25"/>
  <c r="G279" i="5"/>
  <c r="D279" i="5"/>
  <c r="G31" i="38"/>
  <c r="C31" i="38"/>
  <c r="D31" i="38" s="1"/>
  <c r="F31" i="38"/>
  <c r="F230" i="24"/>
  <c r="G230" i="24"/>
  <c r="H65" i="29"/>
  <c r="D65" i="29"/>
  <c r="E65" i="29" s="1"/>
  <c r="G65" i="28"/>
  <c r="C65" i="28"/>
  <c r="D65" i="28" s="1"/>
  <c r="F65" i="28"/>
  <c r="F279" i="4"/>
  <c r="H60" i="32"/>
  <c r="D60" i="32"/>
  <c r="E60" i="32" s="1"/>
  <c r="G60" i="32"/>
  <c r="G36" i="35"/>
  <c r="G37" i="35"/>
  <c r="G38" i="35"/>
  <c r="G39" i="35"/>
  <c r="C39" i="35"/>
  <c r="D39" i="35" s="1"/>
  <c r="F39" i="35"/>
  <c r="C36" i="35"/>
  <c r="D36" i="35"/>
  <c r="C37" i="35"/>
  <c r="D37" i="35"/>
  <c r="C38" i="35"/>
  <c r="D38" i="35" s="1"/>
  <c r="F36" i="35"/>
  <c r="F37" i="35"/>
  <c r="F38" i="35"/>
  <c r="G47" i="33"/>
  <c r="C47" i="33"/>
  <c r="D47" i="33"/>
  <c r="F47" i="33"/>
  <c r="F112" i="19"/>
  <c r="H30" i="37"/>
  <c r="D30" i="37"/>
  <c r="E30" i="37" s="1"/>
  <c r="G194" i="13"/>
  <c r="F194" i="13"/>
  <c r="G278" i="5"/>
  <c r="F179" i="14"/>
  <c r="H179" i="14"/>
  <c r="H61" i="30"/>
  <c r="D61" i="30"/>
  <c r="E61" i="30" s="1"/>
  <c r="G164" i="23"/>
  <c r="H164" i="23"/>
  <c r="C164" i="23"/>
  <c r="D164" i="23"/>
  <c r="F164" i="23"/>
  <c r="D115" i="18"/>
  <c r="F115" i="18"/>
  <c r="F229" i="24"/>
  <c r="G229" i="24"/>
  <c r="F277" i="6"/>
  <c r="F278" i="6"/>
  <c r="H59" i="32"/>
  <c r="D59" i="32"/>
  <c r="E59" i="32" s="1"/>
  <c r="G59" i="32"/>
  <c r="G193" i="13"/>
  <c r="F193" i="13"/>
  <c r="G30" i="38"/>
  <c r="C30" i="38"/>
  <c r="D30" i="38" s="1"/>
  <c r="E9" i="38" s="1"/>
  <c r="E5" i="38" s="1"/>
  <c r="F30" i="38"/>
  <c r="G45" i="33"/>
  <c r="G46" i="33"/>
  <c r="C46" i="33"/>
  <c r="D46" i="33"/>
  <c r="F46" i="33"/>
  <c r="F111" i="19"/>
  <c r="F114" i="18"/>
  <c r="H29" i="37"/>
  <c r="D29" i="37"/>
  <c r="E29" i="37" s="1"/>
  <c r="F178" i="14"/>
  <c r="H178" i="14"/>
  <c r="H60" i="30"/>
  <c r="D60" i="30"/>
  <c r="E60" i="30" s="1"/>
  <c r="G29" i="38"/>
  <c r="C29" i="38"/>
  <c r="D29" i="38"/>
  <c r="F29" i="38"/>
  <c r="G163" i="23"/>
  <c r="H163" i="23"/>
  <c r="C163" i="23"/>
  <c r="D163" i="23" s="1"/>
  <c r="F163" i="23"/>
  <c r="F278" i="4"/>
  <c r="H64" i="29"/>
  <c r="D64" i="29"/>
  <c r="E64" i="29" s="1"/>
  <c r="G64" i="28"/>
  <c r="C64" i="28"/>
  <c r="D64" i="28" s="1"/>
  <c r="F64" i="28"/>
  <c r="G229" i="25"/>
  <c r="G230" i="25"/>
  <c r="G277" i="5"/>
  <c r="F228" i="24"/>
  <c r="G228" i="24"/>
  <c r="H63" i="29"/>
  <c r="D63" i="29"/>
  <c r="E63" i="29" s="1"/>
  <c r="F277" i="4"/>
  <c r="F276" i="6"/>
  <c r="D277" i="6"/>
  <c r="G63" i="28"/>
  <c r="C63" i="28"/>
  <c r="D63" i="28" s="1"/>
  <c r="F63" i="28"/>
  <c r="H58" i="32"/>
  <c r="D58" i="32"/>
  <c r="E58" i="32" s="1"/>
  <c r="G58" i="32"/>
  <c r="F177" i="14"/>
  <c r="H177" i="14"/>
  <c r="C45" i="33"/>
  <c r="D45" i="33" s="1"/>
  <c r="F45" i="33"/>
  <c r="F110" i="19"/>
  <c r="F113" i="18"/>
  <c r="D91" i="22"/>
  <c r="H28" i="37"/>
  <c r="D28" i="37"/>
  <c r="E28" i="37" s="1"/>
  <c r="H59" i="30"/>
  <c r="D59" i="30"/>
  <c r="E59" i="30" s="1"/>
  <c r="F227" i="24"/>
  <c r="G227" i="24"/>
  <c r="G192" i="13"/>
  <c r="F192" i="13"/>
  <c r="G276" i="5"/>
  <c r="G162" i="23"/>
  <c r="H162" i="23"/>
  <c r="C162" i="23"/>
  <c r="D162" i="23"/>
  <c r="F162" i="23"/>
  <c r="F275" i="6"/>
  <c r="G44" i="33"/>
  <c r="C44" i="33"/>
  <c r="D44" i="33" s="1"/>
  <c r="F44" i="33"/>
  <c r="F109" i="19"/>
  <c r="F276" i="4"/>
  <c r="H62" i="29"/>
  <c r="D62" i="29"/>
  <c r="E62" i="29" s="1"/>
  <c r="G28" i="38"/>
  <c r="C28" i="38"/>
  <c r="D28" i="38"/>
  <c r="F28" i="38"/>
  <c r="H57" i="32"/>
  <c r="D57" i="32"/>
  <c r="E57" i="32" s="1"/>
  <c r="G57" i="32"/>
  <c r="G62" i="28"/>
  <c r="C62" i="28"/>
  <c r="D62" i="28" s="1"/>
  <c r="F62" i="28"/>
  <c r="D209" i="12"/>
  <c r="F112" i="18"/>
  <c r="H58" i="30"/>
  <c r="D58" i="30"/>
  <c r="E58" i="30" s="1"/>
  <c r="F176" i="14"/>
  <c r="H176" i="14"/>
  <c r="G275" i="5"/>
  <c r="D275" i="5"/>
  <c r="G191" i="13"/>
  <c r="F191" i="13"/>
  <c r="G43" i="33"/>
  <c r="C43" i="33"/>
  <c r="D43" i="33"/>
  <c r="F43" i="33"/>
  <c r="F274" i="6"/>
  <c r="G228" i="25"/>
  <c r="G161" i="23"/>
  <c r="H161" i="23"/>
  <c r="C161" i="23"/>
  <c r="D161" i="23" s="1"/>
  <c r="F161" i="23"/>
  <c r="H61" i="29"/>
  <c r="D61" i="29"/>
  <c r="E61" i="29" s="1"/>
  <c r="G60" i="28"/>
  <c r="G61" i="28"/>
  <c r="C61" i="28"/>
  <c r="D61" i="28"/>
  <c r="F61" i="28"/>
  <c r="F275" i="4"/>
  <c r="F226" i="24"/>
  <c r="G226" i="24"/>
  <c r="H55" i="32"/>
  <c r="H56" i="32"/>
  <c r="D56" i="32"/>
  <c r="E56" i="32" s="1"/>
  <c r="G56" i="32"/>
  <c r="D23" i="37"/>
  <c r="E23" i="37" s="1"/>
  <c r="D24" i="37"/>
  <c r="E24" i="37" s="1"/>
  <c r="D25" i="37"/>
  <c r="E25" i="37" s="1"/>
  <c r="D26" i="37"/>
  <c r="E26" i="37" s="1"/>
  <c r="D27" i="37"/>
  <c r="E27" i="37" s="1"/>
  <c r="G190" i="13"/>
  <c r="G35" i="35"/>
  <c r="C35" i="35"/>
  <c r="D35" i="35" s="1"/>
  <c r="F35" i="35"/>
  <c r="H57" i="30"/>
  <c r="D57" i="30"/>
  <c r="E57" i="30" s="1"/>
  <c r="F175" i="14"/>
  <c r="H175" i="14"/>
  <c r="G159" i="23"/>
  <c r="H159" i="23"/>
  <c r="G160" i="23"/>
  <c r="H160" i="23"/>
  <c r="C160" i="23"/>
  <c r="D160" i="23" s="1"/>
  <c r="F160" i="23"/>
  <c r="C159" i="23"/>
  <c r="D159" i="23" s="1"/>
  <c r="F159" i="23"/>
  <c r="F111" i="18"/>
  <c r="D108" i="19"/>
  <c r="F108" i="19"/>
  <c r="G274" i="5"/>
  <c r="H60" i="29"/>
  <c r="D60" i="29"/>
  <c r="E60" i="29" s="1"/>
  <c r="G227" i="25"/>
  <c r="F225" i="24"/>
  <c r="G225" i="24"/>
  <c r="F273" i="6"/>
  <c r="C60" i="28"/>
  <c r="D60" i="28" s="1"/>
  <c r="F60" i="28"/>
  <c r="G42" i="33"/>
  <c r="C42" i="33"/>
  <c r="D42" i="33"/>
  <c r="F42" i="33"/>
  <c r="D55" i="32"/>
  <c r="E55" i="32" s="1"/>
  <c r="G55" i="32"/>
  <c r="G33" i="35"/>
  <c r="G34" i="35"/>
  <c r="C34" i="35"/>
  <c r="D34" i="35" s="1"/>
  <c r="F34" i="35"/>
  <c r="F107" i="19"/>
  <c r="F224" i="24"/>
  <c r="G224" i="24"/>
  <c r="F110" i="18"/>
  <c r="F174" i="14"/>
  <c r="H174" i="14"/>
  <c r="G226" i="25"/>
  <c r="F190" i="13"/>
  <c r="G189" i="13"/>
  <c r="G273" i="5"/>
  <c r="F189" i="13"/>
  <c r="H56" i="30"/>
  <c r="D56" i="30"/>
  <c r="E56" i="30" s="1"/>
  <c r="H59" i="29"/>
  <c r="D59" i="29"/>
  <c r="E59" i="29" s="1"/>
  <c r="F273" i="4"/>
  <c r="F274" i="4"/>
  <c r="D273" i="6"/>
  <c r="H54" i="32"/>
  <c r="D54" i="32"/>
  <c r="E54" i="32" s="1"/>
  <c r="G54" i="32"/>
  <c r="G59" i="28"/>
  <c r="C59" i="28"/>
  <c r="D59" i="28" s="1"/>
  <c r="F59" i="28"/>
  <c r="D87" i="22"/>
  <c r="G41" i="33"/>
  <c r="C41" i="33"/>
  <c r="D41" i="33" s="1"/>
  <c r="F41" i="33"/>
  <c r="F106" i="19"/>
  <c r="F109" i="18"/>
  <c r="C33" i="35"/>
  <c r="D33" i="35"/>
  <c r="F33" i="35"/>
  <c r="G40" i="33"/>
  <c r="C40" i="33"/>
  <c r="D40" i="33"/>
  <c r="F40" i="33"/>
  <c r="H55" i="30"/>
  <c r="D55" i="30"/>
  <c r="E55" i="30" s="1"/>
  <c r="G188" i="13"/>
  <c r="F188" i="13"/>
  <c r="F173" i="14"/>
  <c r="H173" i="14"/>
  <c r="G272" i="5"/>
  <c r="G224" i="25"/>
  <c r="G225" i="25"/>
  <c r="F272" i="4"/>
  <c r="G158" i="23"/>
  <c r="H158" i="23"/>
  <c r="C158" i="23"/>
  <c r="D158" i="23"/>
  <c r="F158" i="23"/>
  <c r="F223" i="24"/>
  <c r="G223" i="24"/>
  <c r="H57" i="29"/>
  <c r="H58" i="29"/>
  <c r="D58" i="29"/>
  <c r="E58" i="29" s="1"/>
  <c r="F271" i="6"/>
  <c r="F272" i="6"/>
  <c r="H53" i="32"/>
  <c r="D53" i="32"/>
  <c r="E53" i="32" s="1"/>
  <c r="G53" i="32"/>
  <c r="G32" i="35"/>
  <c r="C32" i="35"/>
  <c r="D32" i="35"/>
  <c r="F32" i="35"/>
  <c r="G58" i="28"/>
  <c r="C58" i="28"/>
  <c r="D58" i="28" s="1"/>
  <c r="F58" i="28"/>
  <c r="F105" i="19"/>
  <c r="G187" i="13"/>
  <c r="F187" i="13"/>
  <c r="F108" i="18"/>
  <c r="F270" i="6"/>
  <c r="F172" i="14"/>
  <c r="H172" i="14"/>
  <c r="H54" i="30"/>
  <c r="D54" i="30"/>
  <c r="E54" i="30" s="1"/>
  <c r="G157" i="23"/>
  <c r="H157" i="23"/>
  <c r="C157" i="23"/>
  <c r="D157" i="23"/>
  <c r="F157" i="23"/>
  <c r="G57" i="28"/>
  <c r="C57" i="28"/>
  <c r="D57" i="28"/>
  <c r="F57" i="28"/>
  <c r="G271" i="5"/>
  <c r="D271" i="5"/>
  <c r="D224" i="25"/>
  <c r="F222" i="24"/>
  <c r="G222" i="24"/>
  <c r="D57" i="29"/>
  <c r="E57" i="29" s="1"/>
  <c r="F271" i="4"/>
  <c r="H52" i="32"/>
  <c r="D52" i="32"/>
  <c r="E52" i="32" s="1"/>
  <c r="G52" i="32"/>
  <c r="G186" i="13"/>
  <c r="F186" i="13"/>
  <c r="F107" i="18"/>
  <c r="F171" i="14"/>
  <c r="H171" i="14"/>
  <c r="F104" i="19"/>
  <c r="G39" i="33"/>
  <c r="C39" i="33"/>
  <c r="D39" i="33" s="1"/>
  <c r="F39" i="33"/>
  <c r="G27" i="38"/>
  <c r="F27" i="38"/>
  <c r="C27" i="38"/>
  <c r="D27" i="38"/>
  <c r="G26" i="38"/>
  <c r="F26" i="38"/>
  <c r="C26" i="38"/>
  <c r="D26" i="38"/>
  <c r="G25" i="38"/>
  <c r="F25" i="38"/>
  <c r="C25" i="38"/>
  <c r="D25" i="38"/>
  <c r="G24" i="38"/>
  <c r="F24" i="38"/>
  <c r="C24" i="38"/>
  <c r="D24" i="38"/>
  <c r="G23" i="38"/>
  <c r="F23" i="38"/>
  <c r="C23" i="38"/>
  <c r="D23" i="38"/>
  <c r="G22" i="38"/>
  <c r="F22" i="38"/>
  <c r="C22" i="38"/>
  <c r="D22" i="38"/>
  <c r="F21" i="38"/>
  <c r="C21" i="38"/>
  <c r="B8" i="38"/>
  <c r="G4" i="38"/>
  <c r="H27" i="37"/>
  <c r="H26" i="37"/>
  <c r="H25" i="37"/>
  <c r="H24" i="37"/>
  <c r="H23" i="37"/>
  <c r="H22" i="37"/>
  <c r="D22" i="37"/>
  <c r="E22" i="37" s="1"/>
  <c r="D21" i="37"/>
  <c r="B8" i="37"/>
  <c r="G4" i="37"/>
  <c r="F269" i="6"/>
  <c r="H53" i="30"/>
  <c r="D53" i="30"/>
  <c r="E53" i="30" s="1"/>
  <c r="G223" i="25"/>
  <c r="G31" i="35"/>
  <c r="C31" i="35"/>
  <c r="D31" i="35" s="1"/>
  <c r="F31" i="35"/>
  <c r="G270" i="5"/>
  <c r="F268" i="6"/>
  <c r="D269" i="6"/>
  <c r="H56" i="29"/>
  <c r="D56" i="29"/>
  <c r="E56" i="29" s="1"/>
  <c r="G156" i="23"/>
  <c r="H156" i="23"/>
  <c r="C156" i="23"/>
  <c r="D156" i="23" s="1"/>
  <c r="F156" i="23"/>
  <c r="G38" i="33"/>
  <c r="C38" i="33"/>
  <c r="D38" i="33" s="1"/>
  <c r="F38" i="33"/>
  <c r="G56" i="28"/>
  <c r="C56" i="28"/>
  <c r="D56" i="28" s="1"/>
  <c r="F56" i="28"/>
  <c r="H51" i="32"/>
  <c r="D51" i="32"/>
  <c r="E51" i="32" s="1"/>
  <c r="G51" i="32"/>
  <c r="F270" i="4"/>
  <c r="F103" i="19"/>
  <c r="F106" i="18"/>
  <c r="G155" i="23"/>
  <c r="H155" i="23"/>
  <c r="C155" i="23"/>
  <c r="D155" i="23" s="1"/>
  <c r="F155" i="23"/>
  <c r="G30" i="35"/>
  <c r="C30" i="35"/>
  <c r="D30" i="35" s="1"/>
  <c r="F30" i="35"/>
  <c r="G55" i="28"/>
  <c r="C55" i="28"/>
  <c r="D55" i="28" s="1"/>
  <c r="F55" i="28"/>
  <c r="H52" i="30"/>
  <c r="D52" i="30"/>
  <c r="E52" i="30" s="1"/>
  <c r="F170" i="14"/>
  <c r="H170" i="14"/>
  <c r="G185" i="13"/>
  <c r="D185" i="13"/>
  <c r="F185" i="13"/>
  <c r="G269" i="5"/>
  <c r="H55" i="29"/>
  <c r="D55" i="29"/>
  <c r="E55" i="29" s="1"/>
  <c r="G222" i="25"/>
  <c r="H50" i="32"/>
  <c r="D50" i="32"/>
  <c r="E50" i="32" s="1"/>
  <c r="G50" i="32"/>
  <c r="D83" i="22"/>
  <c r="F220" i="24"/>
  <c r="G220" i="24"/>
  <c r="F221" i="24"/>
  <c r="G221" i="24"/>
  <c r="F102" i="19"/>
  <c r="G37" i="33"/>
  <c r="C37" i="33"/>
  <c r="D37" i="33" s="1"/>
  <c r="F37" i="33"/>
  <c r="F105" i="18"/>
  <c r="G29" i="35"/>
  <c r="C29" i="35"/>
  <c r="D29" i="35"/>
  <c r="F29" i="35"/>
  <c r="D240" i="11"/>
  <c r="G184" i="13"/>
  <c r="F184" i="13"/>
  <c r="F169" i="14"/>
  <c r="H169" i="14"/>
  <c r="H51" i="30"/>
  <c r="D51" i="30"/>
  <c r="E51" i="30" s="1"/>
  <c r="G154" i="23"/>
  <c r="H154" i="23"/>
  <c r="C154" i="23"/>
  <c r="D154" i="23"/>
  <c r="F154" i="23"/>
  <c r="G268" i="5"/>
  <c r="H54" i="29"/>
  <c r="D54" i="29"/>
  <c r="E54" i="29" s="1"/>
  <c r="F267" i="6"/>
  <c r="G221" i="25"/>
  <c r="G54" i="28"/>
  <c r="C54" i="28"/>
  <c r="D54" i="28"/>
  <c r="F54" i="28"/>
  <c r="F219" i="24"/>
  <c r="G219" i="24"/>
  <c r="F268" i="4"/>
  <c r="F269" i="4"/>
  <c r="G183" i="13"/>
  <c r="F183" i="13"/>
  <c r="H49" i="32"/>
  <c r="D49" i="32"/>
  <c r="E49" i="32" s="1"/>
  <c r="G49" i="32"/>
  <c r="F101" i="19"/>
  <c r="G36" i="33"/>
  <c r="C36" i="33"/>
  <c r="D36" i="33" s="1"/>
  <c r="F36" i="33"/>
  <c r="F104" i="18"/>
  <c r="G220" i="25"/>
  <c r="F218" i="24"/>
  <c r="G218" i="24"/>
  <c r="F168" i="14"/>
  <c r="H168" i="14"/>
  <c r="G28" i="35"/>
  <c r="C28" i="35"/>
  <c r="D28" i="35"/>
  <c r="F28" i="35"/>
  <c r="H50" i="30"/>
  <c r="D50" i="30"/>
  <c r="E50" i="30" s="1"/>
  <c r="F266" i="6"/>
  <c r="G267" i="5"/>
  <c r="D267" i="5"/>
  <c r="H53" i="29"/>
  <c r="D53" i="29"/>
  <c r="E53" i="29" s="1"/>
  <c r="G153" i="23"/>
  <c r="H153" i="23"/>
  <c r="C153" i="23"/>
  <c r="D153" i="23"/>
  <c r="F153" i="23"/>
  <c r="H48" i="32"/>
  <c r="D48" i="32"/>
  <c r="E48" i="32" s="1"/>
  <c r="G48" i="32"/>
  <c r="F267" i="4"/>
  <c r="G53" i="28"/>
  <c r="C53" i="28"/>
  <c r="D53" i="28"/>
  <c r="F53" i="28"/>
  <c r="F103" i="18"/>
  <c r="G182" i="13"/>
  <c r="F182" i="13"/>
  <c r="G35" i="33"/>
  <c r="C35" i="33"/>
  <c r="D35" i="33"/>
  <c r="F35" i="33"/>
  <c r="F167" i="14"/>
  <c r="H167" i="14"/>
  <c r="H49" i="30"/>
  <c r="D49" i="30"/>
  <c r="E49" i="30" s="1"/>
  <c r="F265" i="6"/>
  <c r="D100" i="19"/>
  <c r="F100" i="19"/>
  <c r="G152" i="23"/>
  <c r="H152" i="23"/>
  <c r="C152" i="23"/>
  <c r="D152" i="23" s="1"/>
  <c r="F152" i="23"/>
  <c r="G266" i="5"/>
  <c r="F217" i="24"/>
  <c r="G217" i="24"/>
  <c r="G219" i="25"/>
  <c r="H52" i="29"/>
  <c r="D52" i="29"/>
  <c r="E52" i="29" s="1"/>
  <c r="F266" i="4"/>
  <c r="G52" i="28"/>
  <c r="C52" i="28"/>
  <c r="D52" i="28"/>
  <c r="F52" i="28"/>
  <c r="F102" i="18"/>
  <c r="G34" i="33"/>
  <c r="C34" i="33"/>
  <c r="D34" i="33" s="1"/>
  <c r="F34" i="33"/>
  <c r="G181" i="13"/>
  <c r="F181" i="13"/>
  <c r="F264" i="6"/>
  <c r="H48" i="30"/>
  <c r="D48" i="30"/>
  <c r="E48" i="30" s="1"/>
  <c r="F166" i="14"/>
  <c r="H166" i="14"/>
  <c r="G218" i="25"/>
  <c r="F99" i="19"/>
  <c r="H46" i="32"/>
  <c r="H47" i="32"/>
  <c r="D47" i="32"/>
  <c r="E47" i="32" s="1"/>
  <c r="G47" i="32"/>
  <c r="F265" i="4"/>
  <c r="D266" i="4"/>
  <c r="G265" i="5"/>
  <c r="G151" i="23"/>
  <c r="H151" i="23"/>
  <c r="C151" i="23"/>
  <c r="D151" i="23" s="1"/>
  <c r="F151" i="23"/>
  <c r="D46" i="32"/>
  <c r="E46" i="32" s="1"/>
  <c r="G46" i="32"/>
  <c r="G51" i="28"/>
  <c r="C51" i="28"/>
  <c r="D51" i="28" s="1"/>
  <c r="F51" i="28"/>
  <c r="H51" i="29"/>
  <c r="D51" i="29"/>
  <c r="E51" i="29" s="1"/>
  <c r="F98" i="19"/>
  <c r="G33" i="33"/>
  <c r="C33" i="33"/>
  <c r="D33" i="33" s="1"/>
  <c r="F33" i="33"/>
  <c r="D236" i="11"/>
  <c r="D79" i="22"/>
  <c r="F101" i="18"/>
  <c r="G180" i="13"/>
  <c r="F180" i="13"/>
  <c r="H47" i="30"/>
  <c r="D47" i="30"/>
  <c r="E47" i="30" s="1"/>
  <c r="F165" i="14"/>
  <c r="H165" i="14"/>
  <c r="G217" i="25"/>
  <c r="G150" i="23"/>
  <c r="H150" i="23"/>
  <c r="C150" i="23"/>
  <c r="D150" i="23"/>
  <c r="F150" i="23"/>
  <c r="F215" i="24"/>
  <c r="G215" i="24"/>
  <c r="F216" i="24"/>
  <c r="G216" i="24"/>
  <c r="G264" i="5"/>
  <c r="H50" i="29"/>
  <c r="D50" i="29"/>
  <c r="E50" i="29" s="1"/>
  <c r="F263" i="6"/>
  <c r="F264" i="4"/>
  <c r="H45" i="32"/>
  <c r="D45" i="32"/>
  <c r="E45" i="32" s="1"/>
  <c r="G45" i="32"/>
  <c r="G50" i="28"/>
  <c r="C50" i="28"/>
  <c r="D50" i="28" s="1"/>
  <c r="F50" i="28"/>
  <c r="G216" i="25"/>
  <c r="C23" i="35"/>
  <c r="D23" i="35" s="1"/>
  <c r="C24" i="35"/>
  <c r="D24" i="35" s="1"/>
  <c r="C25" i="35"/>
  <c r="D25" i="35"/>
  <c r="C26" i="35"/>
  <c r="D26" i="35" s="1"/>
  <c r="C27" i="35"/>
  <c r="D27" i="35" s="1"/>
  <c r="F100" i="18"/>
  <c r="G32" i="33"/>
  <c r="C32" i="33"/>
  <c r="D32" i="33" s="1"/>
  <c r="F32" i="33"/>
  <c r="F97" i="19"/>
  <c r="G179" i="13"/>
  <c r="F179" i="13"/>
  <c r="D235" i="11"/>
  <c r="F148" i="23"/>
  <c r="G148" i="23"/>
  <c r="H148" i="23"/>
  <c r="F149" i="23"/>
  <c r="G149" i="23"/>
  <c r="H149" i="23"/>
  <c r="C149" i="23"/>
  <c r="D149" i="23"/>
  <c r="F164" i="14"/>
  <c r="H164" i="14"/>
  <c r="H46" i="30"/>
  <c r="D46" i="30"/>
  <c r="E46" i="30" s="1"/>
  <c r="G263" i="5"/>
  <c r="D263" i="5"/>
  <c r="H49" i="29"/>
  <c r="D49" i="29"/>
  <c r="E49" i="29" s="1"/>
  <c r="F263" i="4"/>
  <c r="F262" i="6"/>
  <c r="H44" i="32"/>
  <c r="D44" i="32"/>
  <c r="E44" i="32" s="1"/>
  <c r="G44" i="32"/>
  <c r="G49" i="28"/>
  <c r="C49" i="28"/>
  <c r="D49" i="28" s="1"/>
  <c r="F49" i="28"/>
  <c r="G178" i="13"/>
  <c r="F178" i="13"/>
  <c r="F99" i="18"/>
  <c r="G215" i="25"/>
  <c r="F261" i="6"/>
  <c r="G31" i="33"/>
  <c r="C31" i="33"/>
  <c r="D31" i="33" s="1"/>
  <c r="F31" i="33"/>
  <c r="D96" i="19"/>
  <c r="F96" i="19"/>
  <c r="C148" i="23"/>
  <c r="D148" i="23"/>
  <c r="H45" i="30"/>
  <c r="D45" i="30"/>
  <c r="E45" i="30" s="1"/>
  <c r="F214" i="24"/>
  <c r="G214" i="24"/>
  <c r="F163" i="14"/>
  <c r="H163" i="14"/>
  <c r="H48" i="29"/>
  <c r="D48" i="29"/>
  <c r="E48" i="29" s="1"/>
  <c r="G262" i="5"/>
  <c r="F262" i="4"/>
  <c r="H43" i="32"/>
  <c r="D43" i="32"/>
  <c r="E43" i="32" s="1"/>
  <c r="G43" i="32"/>
  <c r="G48" i="28"/>
  <c r="C48" i="28"/>
  <c r="D48" i="28"/>
  <c r="F48" i="28"/>
  <c r="F95" i="19"/>
  <c r="G30" i="33"/>
  <c r="C30" i="33"/>
  <c r="D30" i="33" s="1"/>
  <c r="F30" i="33"/>
  <c r="G147" i="23"/>
  <c r="H147" i="23"/>
  <c r="C147" i="23"/>
  <c r="D147" i="23" s="1"/>
  <c r="F147" i="23"/>
  <c r="F98" i="18"/>
  <c r="G27" i="35"/>
  <c r="F27" i="35"/>
  <c r="G26" i="35"/>
  <c r="F26" i="35"/>
  <c r="G25" i="35"/>
  <c r="F25" i="35"/>
  <c r="G24" i="35"/>
  <c r="F24" i="35"/>
  <c r="G23" i="35"/>
  <c r="F23" i="35"/>
  <c r="F22" i="35"/>
  <c r="C22" i="35"/>
  <c r="D22" i="35" s="1"/>
  <c r="F21" i="35"/>
  <c r="C21" i="35"/>
  <c r="B8" i="35"/>
  <c r="G4" i="35"/>
  <c r="G214" i="25"/>
  <c r="H46" i="29"/>
  <c r="H47" i="29"/>
  <c r="D47" i="29"/>
  <c r="E47" i="29" s="1"/>
  <c r="H43" i="30"/>
  <c r="H44" i="30"/>
  <c r="D44" i="30"/>
  <c r="E44" i="30" s="1"/>
  <c r="F162" i="14"/>
  <c r="H162" i="14"/>
  <c r="G176" i="13"/>
  <c r="G177" i="13"/>
  <c r="F177" i="13"/>
  <c r="G261" i="5"/>
  <c r="H42" i="32"/>
  <c r="D42" i="32"/>
  <c r="E42" i="32" s="1"/>
  <c r="G42" i="32"/>
  <c r="F260" i="6"/>
  <c r="D261" i="6"/>
  <c r="G47" i="28"/>
  <c r="C47" i="28"/>
  <c r="D47" i="28" s="1"/>
  <c r="F47" i="28"/>
  <c r="F261" i="4"/>
  <c r="F212" i="24"/>
  <c r="G212" i="24"/>
  <c r="F213" i="24"/>
  <c r="G213" i="24"/>
  <c r="F176" i="13"/>
  <c r="F94" i="19"/>
  <c r="G29" i="33"/>
  <c r="C29" i="33"/>
  <c r="D29" i="33"/>
  <c r="F29" i="33"/>
  <c r="D75" i="22"/>
  <c r="F97" i="18"/>
  <c r="G146" i="23"/>
  <c r="H146" i="23"/>
  <c r="C146" i="23"/>
  <c r="D146" i="23" s="1"/>
  <c r="F146" i="23"/>
  <c r="D43" i="30"/>
  <c r="E43" i="30" s="1"/>
  <c r="F161" i="14"/>
  <c r="H161" i="14"/>
  <c r="F260" i="4"/>
  <c r="F259" i="6"/>
  <c r="G260" i="5"/>
  <c r="G213" i="25"/>
  <c r="D232" i="11"/>
  <c r="D46" i="29"/>
  <c r="E46" i="29" s="1"/>
  <c r="F211" i="24"/>
  <c r="G211" i="24"/>
  <c r="F160" i="14"/>
  <c r="H160" i="14"/>
  <c r="H41" i="32"/>
  <c r="D41" i="32"/>
  <c r="E41" i="32" s="1"/>
  <c r="G41" i="32"/>
  <c r="G46" i="28"/>
  <c r="C46" i="28"/>
  <c r="D46" i="28"/>
  <c r="F46" i="28"/>
  <c r="F96" i="18"/>
  <c r="F210" i="24"/>
  <c r="G210" i="24"/>
  <c r="G28" i="33"/>
  <c r="C28" i="33"/>
  <c r="D28" i="33" s="1"/>
  <c r="F28" i="33"/>
  <c r="F93" i="19"/>
  <c r="G145" i="23"/>
  <c r="H145" i="23"/>
  <c r="C145" i="23"/>
  <c r="D145" i="23" s="1"/>
  <c r="F145" i="23"/>
  <c r="G175" i="13"/>
  <c r="F175" i="13"/>
  <c r="F258" i="6"/>
  <c r="G45" i="28"/>
  <c r="C45" i="28"/>
  <c r="D45" i="28"/>
  <c r="F45" i="28"/>
  <c r="H45" i="29"/>
  <c r="D45" i="29"/>
  <c r="E45" i="29" s="1"/>
  <c r="H42" i="30"/>
  <c r="D42" i="30"/>
  <c r="E42" i="30" s="1"/>
  <c r="F259" i="4"/>
  <c r="G258" i="5"/>
  <c r="G259" i="5"/>
  <c r="D259" i="5"/>
  <c r="G212" i="25"/>
  <c r="G40" i="32"/>
  <c r="H40" i="32"/>
  <c r="D40" i="32"/>
  <c r="E40" i="32" s="1"/>
  <c r="G174" i="13"/>
  <c r="F174" i="13"/>
  <c r="F95" i="18"/>
  <c r="G210" i="25"/>
  <c r="G211" i="25"/>
  <c r="D211" i="25"/>
  <c r="F159" i="14"/>
  <c r="H159" i="14"/>
  <c r="G144" i="23"/>
  <c r="H144" i="23"/>
  <c r="C144" i="23"/>
  <c r="D144" i="23" s="1"/>
  <c r="F144" i="23"/>
  <c r="H41" i="30"/>
  <c r="D41" i="30"/>
  <c r="E41" i="30" s="1"/>
  <c r="F258" i="4"/>
  <c r="F92" i="19"/>
  <c r="G44" i="28"/>
  <c r="C44" i="28"/>
  <c r="D44" i="28" s="1"/>
  <c r="F44" i="28"/>
  <c r="H44" i="29"/>
  <c r="D44" i="29"/>
  <c r="E44" i="29" s="1"/>
  <c r="H39" i="32"/>
  <c r="D39" i="32"/>
  <c r="E39" i="32"/>
  <c r="G39" i="32"/>
  <c r="F91" i="19"/>
  <c r="F257" i="6"/>
  <c r="F94" i="18"/>
  <c r="G173" i="13"/>
  <c r="F173" i="13"/>
  <c r="F158" i="14"/>
  <c r="H158" i="14"/>
  <c r="H40" i="30"/>
  <c r="D40" i="30"/>
  <c r="E40" i="30" s="1"/>
  <c r="F256" i="6"/>
  <c r="D257" i="6"/>
  <c r="F257" i="4"/>
  <c r="G257" i="5"/>
  <c r="G142" i="23"/>
  <c r="H142" i="23"/>
  <c r="G143" i="23"/>
  <c r="H143" i="23"/>
  <c r="C143" i="23"/>
  <c r="D143" i="23"/>
  <c r="F143" i="23"/>
  <c r="H38" i="32"/>
  <c r="F208" i="24"/>
  <c r="G208" i="24"/>
  <c r="F209" i="24"/>
  <c r="G209" i="24"/>
  <c r="G209" i="25"/>
  <c r="H43" i="29"/>
  <c r="D43" i="29"/>
  <c r="E43" i="29" s="1"/>
  <c r="D38" i="32"/>
  <c r="E38" i="32" s="1"/>
  <c r="G38" i="32"/>
  <c r="D71" i="22"/>
  <c r="F93" i="18"/>
  <c r="G107" i="16"/>
  <c r="D107" i="16"/>
  <c r="F107" i="16"/>
  <c r="G43" i="28"/>
  <c r="C43" i="28"/>
  <c r="D43" i="28" s="1"/>
  <c r="F43" i="28"/>
  <c r="F90" i="19"/>
  <c r="G255" i="5"/>
  <c r="G256" i="5"/>
  <c r="F157" i="14"/>
  <c r="H157" i="14"/>
  <c r="H39" i="30"/>
  <c r="D39" i="30"/>
  <c r="E39" i="30" s="1"/>
  <c r="G208" i="25"/>
  <c r="F255" i="6"/>
  <c r="G172" i="13"/>
  <c r="F172" i="13"/>
  <c r="F256" i="4"/>
  <c r="H42" i="29"/>
  <c r="D42" i="29"/>
  <c r="E42" i="29" s="1"/>
  <c r="C142" i="23"/>
  <c r="D142" i="23"/>
  <c r="F142" i="23"/>
  <c r="G42" i="28"/>
  <c r="C42" i="28"/>
  <c r="D42" i="28" s="1"/>
  <c r="F42" i="28"/>
  <c r="F207" i="24"/>
  <c r="G207" i="24"/>
  <c r="D208" i="25"/>
  <c r="F156" i="14"/>
  <c r="H156" i="14"/>
  <c r="H37" i="32"/>
  <c r="D37" i="32"/>
  <c r="E37" i="32" s="1"/>
  <c r="G37" i="32"/>
  <c r="F92" i="18"/>
  <c r="G106" i="16"/>
  <c r="F106" i="16"/>
  <c r="F89" i="19"/>
  <c r="F206" i="24"/>
  <c r="G206" i="24"/>
  <c r="H38" i="30"/>
  <c r="D38" i="30"/>
  <c r="E38" i="30" s="1"/>
  <c r="G171" i="13"/>
  <c r="F171" i="13"/>
  <c r="H36" i="32"/>
  <c r="D36" i="32"/>
  <c r="E36" i="32" s="1"/>
  <c r="G36" i="32"/>
  <c r="H41" i="29"/>
  <c r="D41" i="29"/>
  <c r="E41" i="29" s="1"/>
  <c r="D255" i="5"/>
  <c r="F254" i="6"/>
  <c r="G141" i="23"/>
  <c r="H141" i="23"/>
  <c r="C141" i="23"/>
  <c r="D141" i="23"/>
  <c r="F141" i="23"/>
  <c r="F255" i="4"/>
  <c r="G41" i="28"/>
  <c r="C41" i="28"/>
  <c r="D41" i="28" s="1"/>
  <c r="F41" i="28"/>
  <c r="G206" i="25"/>
  <c r="G207" i="25"/>
  <c r="F253" i="6"/>
  <c r="D88" i="19"/>
  <c r="F88" i="19"/>
  <c r="G170" i="13"/>
  <c r="F170" i="13"/>
  <c r="F252" i="4"/>
  <c r="F253" i="4"/>
  <c r="F254" i="4"/>
  <c r="F91" i="18"/>
  <c r="G105" i="16"/>
  <c r="F105" i="16"/>
  <c r="H37" i="30"/>
  <c r="D37" i="30"/>
  <c r="E37" i="30" s="1"/>
  <c r="H35" i="32"/>
  <c r="D35" i="32"/>
  <c r="E35" i="32" s="1"/>
  <c r="G35" i="32"/>
  <c r="F155" i="14"/>
  <c r="H155" i="14"/>
  <c r="H39" i="29"/>
  <c r="H40" i="29"/>
  <c r="D40" i="29"/>
  <c r="E40" i="29" s="1"/>
  <c r="G140" i="23"/>
  <c r="H140" i="23"/>
  <c r="C140" i="23"/>
  <c r="D140" i="23" s="1"/>
  <c r="F140" i="23"/>
  <c r="G253" i="5"/>
  <c r="G254" i="5"/>
  <c r="G39" i="28"/>
  <c r="G40" i="28"/>
  <c r="C39" i="28"/>
  <c r="D39" i="28"/>
  <c r="C40" i="28"/>
  <c r="D40" i="28" s="1"/>
  <c r="F39" i="28"/>
  <c r="F40" i="28"/>
  <c r="F205" i="24"/>
  <c r="G205" i="24"/>
  <c r="G169" i="13"/>
  <c r="G168" i="13"/>
  <c r="F169" i="13"/>
  <c r="F90" i="18"/>
  <c r="F87" i="19"/>
  <c r="F251" i="2"/>
  <c r="G251" i="2"/>
  <c r="F252" i="2"/>
  <c r="G252" i="2" s="1"/>
  <c r="D252" i="2"/>
  <c r="G104" i="16"/>
  <c r="D104" i="16"/>
  <c r="F104" i="16"/>
  <c r="F154" i="14"/>
  <c r="H154" i="14"/>
  <c r="H36" i="30"/>
  <c r="D36" i="30"/>
  <c r="E36" i="30" s="1"/>
  <c r="D39" i="29"/>
  <c r="E39" i="29" s="1"/>
  <c r="G139" i="23"/>
  <c r="H139" i="23"/>
  <c r="C139" i="23"/>
  <c r="D139" i="23"/>
  <c r="F139" i="23"/>
  <c r="H34" i="32"/>
  <c r="D34" i="32"/>
  <c r="E34" i="32" s="1"/>
  <c r="G34" i="32"/>
  <c r="G27" i="33"/>
  <c r="F27" i="33"/>
  <c r="C27" i="33"/>
  <c r="D27" i="33"/>
  <c r="G26" i="33"/>
  <c r="F26" i="33"/>
  <c r="C26" i="33"/>
  <c r="D26" i="33" s="1"/>
  <c r="G25" i="33"/>
  <c r="F25" i="33"/>
  <c r="C25" i="33"/>
  <c r="D25" i="33"/>
  <c r="G24" i="33"/>
  <c r="F24" i="33"/>
  <c r="C24" i="33"/>
  <c r="D24" i="33"/>
  <c r="G23" i="33"/>
  <c r="F23" i="33"/>
  <c r="C23" i="33"/>
  <c r="D23" i="33" s="1"/>
  <c r="G22" i="33"/>
  <c r="F22" i="33"/>
  <c r="C22" i="33"/>
  <c r="D22" i="33"/>
  <c r="F21" i="33"/>
  <c r="C21" i="33"/>
  <c r="B8" i="33"/>
  <c r="G4" i="33"/>
  <c r="F204" i="24"/>
  <c r="G204" i="24"/>
  <c r="F252" i="6"/>
  <c r="D253" i="6"/>
  <c r="F249" i="2"/>
  <c r="G249" i="2"/>
  <c r="F250" i="2"/>
  <c r="G250" i="2"/>
  <c r="F86" i="19"/>
  <c r="D224" i="11"/>
  <c r="G102" i="16"/>
  <c r="G103" i="16"/>
  <c r="D103" i="16"/>
  <c r="F102" i="16"/>
  <c r="F103" i="16"/>
  <c r="G38" i="28"/>
  <c r="C38" i="28"/>
  <c r="D38" i="28"/>
  <c r="F38" i="28"/>
  <c r="F89" i="18"/>
  <c r="D67" i="22"/>
  <c r="H35" i="30"/>
  <c r="D35" i="30"/>
  <c r="E35" i="30" s="1"/>
  <c r="F153" i="14"/>
  <c r="H153" i="14"/>
  <c r="H38" i="29"/>
  <c r="F168" i="13"/>
  <c r="F138" i="23"/>
  <c r="G138" i="23"/>
  <c r="H138" i="23"/>
  <c r="C138" i="23"/>
  <c r="D138" i="23"/>
  <c r="F203" i="24"/>
  <c r="G203" i="24"/>
  <c r="G252" i="5"/>
  <c r="H33" i="32"/>
  <c r="D33" i="32"/>
  <c r="E33" i="32" s="1"/>
  <c r="G33" i="32"/>
  <c r="D38" i="29"/>
  <c r="E38" i="29" s="1"/>
  <c r="F251" i="6"/>
  <c r="G204" i="25"/>
  <c r="G205" i="25"/>
  <c r="F85" i="19"/>
  <c r="F202" i="24"/>
  <c r="G202" i="24"/>
  <c r="F88" i="18"/>
  <c r="F135" i="23"/>
  <c r="G135" i="23"/>
  <c r="H135" i="23"/>
  <c r="F136" i="23"/>
  <c r="G136" i="23"/>
  <c r="H136" i="23"/>
  <c r="F137" i="23"/>
  <c r="G137" i="23"/>
  <c r="H137" i="23"/>
  <c r="C137" i="23"/>
  <c r="D137" i="23" s="1"/>
  <c r="H33" i="30"/>
  <c r="H34" i="30"/>
  <c r="D34" i="30"/>
  <c r="E34" i="30" s="1"/>
  <c r="F152" i="14"/>
  <c r="H152" i="14"/>
  <c r="G251" i="5"/>
  <c r="D251" i="5"/>
  <c r="H37" i="29"/>
  <c r="D37" i="29"/>
  <c r="E37" i="29" s="1"/>
  <c r="F251" i="4"/>
  <c r="G37" i="28"/>
  <c r="C37" i="28"/>
  <c r="D37" i="28"/>
  <c r="F37" i="28"/>
  <c r="H32" i="32"/>
  <c r="D32" i="32"/>
  <c r="E32" i="32" s="1"/>
  <c r="G32" i="32"/>
  <c r="F250" i="6"/>
  <c r="F87" i="18"/>
  <c r="C136" i="23"/>
  <c r="D136" i="23" s="1"/>
  <c r="G101" i="16"/>
  <c r="F101" i="16"/>
  <c r="F84" i="19"/>
  <c r="D33" i="30"/>
  <c r="E33" i="30" s="1"/>
  <c r="F86" i="18"/>
  <c r="G36" i="28"/>
  <c r="C36" i="28"/>
  <c r="D36" i="28" s="1"/>
  <c r="F36" i="28"/>
  <c r="H36" i="29"/>
  <c r="D36" i="29"/>
  <c r="E36" i="29" s="1"/>
  <c r="G203" i="25"/>
  <c r="G249" i="5"/>
  <c r="G250" i="5"/>
  <c r="H31" i="32"/>
  <c r="D31" i="32"/>
  <c r="E31" i="32" s="1"/>
  <c r="G31" i="32"/>
  <c r="F250" i="4"/>
  <c r="F249" i="6"/>
  <c r="F201" i="24"/>
  <c r="G201" i="24"/>
  <c r="D202" i="24"/>
  <c r="F247" i="2"/>
  <c r="G247" i="2"/>
  <c r="F248" i="2"/>
  <c r="G248" i="2"/>
  <c r="D248" i="2"/>
  <c r="F83" i="19"/>
  <c r="G167" i="13"/>
  <c r="F167" i="13"/>
  <c r="G134" i="23"/>
  <c r="H134" i="23"/>
  <c r="C135" i="23"/>
  <c r="D135" i="23" s="1"/>
  <c r="F151" i="14"/>
  <c r="H151" i="14"/>
  <c r="H31" i="30"/>
  <c r="H32" i="30"/>
  <c r="D32" i="30"/>
  <c r="E32" i="30" s="1"/>
  <c r="G100" i="16"/>
  <c r="D100" i="16"/>
  <c r="F100" i="16"/>
  <c r="G202" i="25"/>
  <c r="F249" i="4"/>
  <c r="H35" i="29"/>
  <c r="D35" i="29"/>
  <c r="E35" i="29" s="1"/>
  <c r="G248" i="5"/>
  <c r="F200" i="24"/>
  <c r="G200" i="24"/>
  <c r="F248" i="6"/>
  <c r="D249" i="6"/>
  <c r="G35" i="28"/>
  <c r="C35" i="28"/>
  <c r="D35" i="28"/>
  <c r="F35" i="28"/>
  <c r="H29" i="32"/>
  <c r="H30" i="32"/>
  <c r="D30" i="32"/>
  <c r="E30" i="32" s="1"/>
  <c r="G30" i="32"/>
  <c r="F246" i="2"/>
  <c r="G246" i="2" s="1"/>
  <c r="D63" i="22"/>
  <c r="F85" i="18"/>
  <c r="G99" i="16"/>
  <c r="D99" i="16"/>
  <c r="F99" i="16"/>
  <c r="C134" i="23"/>
  <c r="D134" i="23"/>
  <c r="F134" i="23"/>
  <c r="F81" i="19"/>
  <c r="F82" i="19"/>
  <c r="H29" i="30"/>
  <c r="H30" i="30"/>
  <c r="D31" i="30"/>
  <c r="E31" i="30" s="1"/>
  <c r="F150" i="14"/>
  <c r="H149" i="14"/>
  <c r="H150" i="14"/>
  <c r="G246" i="5"/>
  <c r="G247" i="5"/>
  <c r="F248" i="4"/>
  <c r="G201" i="25"/>
  <c r="H34" i="29"/>
  <c r="D34" i="29"/>
  <c r="E34" i="29" s="1"/>
  <c r="D29" i="32"/>
  <c r="E29" i="32" s="1"/>
  <c r="G29" i="32"/>
  <c r="F199" i="24"/>
  <c r="G199" i="24"/>
  <c r="F247" i="6"/>
  <c r="D248" i="6"/>
  <c r="G34" i="28"/>
  <c r="C34" i="28"/>
  <c r="D34" i="28" s="1"/>
  <c r="F34" i="28"/>
  <c r="D181" i="12"/>
  <c r="G98" i="16"/>
  <c r="F98" i="16"/>
  <c r="G166" i="13"/>
  <c r="F166" i="13"/>
  <c r="F84" i="18"/>
  <c r="H33" i="29"/>
  <c r="D33" i="29"/>
  <c r="E33" i="29" s="1"/>
  <c r="G133" i="23"/>
  <c r="H133" i="23"/>
  <c r="C133" i="23"/>
  <c r="D133" i="23" s="1"/>
  <c r="F133" i="23"/>
  <c r="D247" i="5"/>
  <c r="G200" i="25"/>
  <c r="F198" i="24"/>
  <c r="G198" i="24"/>
  <c r="D30" i="30"/>
  <c r="E30" i="30"/>
  <c r="F149" i="14"/>
  <c r="F246" i="6"/>
  <c r="F33" i="28"/>
  <c r="G33" i="28"/>
  <c r="C33" i="28"/>
  <c r="D33" i="28" s="1"/>
  <c r="H28" i="32"/>
  <c r="D28" i="32"/>
  <c r="E28" i="32" s="1"/>
  <c r="G28" i="32"/>
  <c r="F245" i="2"/>
  <c r="G245" i="2"/>
  <c r="G132" i="23"/>
  <c r="H132" i="23"/>
  <c r="C132" i="23"/>
  <c r="D132" i="23"/>
  <c r="F132" i="23"/>
  <c r="F80" i="19"/>
  <c r="G165" i="13"/>
  <c r="F165" i="13"/>
  <c r="F83" i="18"/>
  <c r="G97" i="16"/>
  <c r="F97" i="16"/>
  <c r="F148" i="14"/>
  <c r="H148" i="14"/>
  <c r="D29" i="30"/>
  <c r="E29" i="30" s="1"/>
  <c r="H32" i="29"/>
  <c r="D32" i="29"/>
  <c r="E32" i="29" s="1"/>
  <c r="G199" i="25"/>
  <c r="D199" i="25"/>
  <c r="F246" i="4"/>
  <c r="F247" i="4"/>
  <c r="H27" i="32"/>
  <c r="D27" i="32"/>
  <c r="E27" i="32" s="1"/>
  <c r="G27" i="32"/>
  <c r="F245" i="6"/>
  <c r="G32" i="28"/>
  <c r="C32" i="28"/>
  <c r="D32" i="28"/>
  <c r="F32" i="28"/>
  <c r="F82" i="18"/>
  <c r="F79" i="19"/>
  <c r="F196" i="24"/>
  <c r="G196" i="24"/>
  <c r="F197" i="24"/>
  <c r="G197" i="24"/>
  <c r="F146" i="14"/>
  <c r="H146" i="14"/>
  <c r="F147" i="14"/>
  <c r="H147" i="14"/>
  <c r="H28" i="30"/>
  <c r="D28" i="30"/>
  <c r="E28" i="30" s="1"/>
  <c r="G96" i="16"/>
  <c r="D96" i="16"/>
  <c r="F96" i="16"/>
  <c r="F244" i="2"/>
  <c r="G244" i="2" s="1"/>
  <c r="D244" i="2"/>
  <c r="G198" i="25"/>
  <c r="G164" i="13"/>
  <c r="F164" i="13"/>
  <c r="G245" i="5"/>
  <c r="G131" i="23"/>
  <c r="H131" i="23"/>
  <c r="C131" i="23"/>
  <c r="D131" i="23" s="1"/>
  <c r="F131" i="23"/>
  <c r="H31" i="29"/>
  <c r="D31" i="29"/>
  <c r="E31" i="29" s="1"/>
  <c r="G31" i="28"/>
  <c r="C31" i="28"/>
  <c r="D31" i="28"/>
  <c r="F31" i="28"/>
  <c r="H26" i="32"/>
  <c r="D26" i="32"/>
  <c r="E26" i="32" s="1"/>
  <c r="G26" i="32"/>
  <c r="F243" i="2"/>
  <c r="G243" i="2" s="1"/>
  <c r="F78" i="19"/>
  <c r="G95" i="16"/>
  <c r="D95" i="16"/>
  <c r="F95" i="16"/>
  <c r="F346" i="7"/>
  <c r="F282" i="7"/>
  <c r="F81" i="18"/>
  <c r="D59" i="22"/>
  <c r="F244" i="6"/>
  <c r="G163" i="13"/>
  <c r="F163" i="13"/>
  <c r="H27" i="30"/>
  <c r="D27" i="30"/>
  <c r="E27" i="30" s="1"/>
  <c r="G30" i="28"/>
  <c r="C30" i="28"/>
  <c r="D30" i="28"/>
  <c r="F30" i="28"/>
  <c r="H30" i="29"/>
  <c r="D30" i="29"/>
  <c r="E30" i="29" s="1"/>
  <c r="G197" i="25"/>
  <c r="F245" i="4"/>
  <c r="H25" i="32"/>
  <c r="G244" i="5"/>
  <c r="G130" i="23"/>
  <c r="H130" i="23"/>
  <c r="C130" i="23"/>
  <c r="D130" i="23" s="1"/>
  <c r="F130" i="23"/>
  <c r="G94" i="16"/>
  <c r="F77" i="19"/>
  <c r="G162" i="13"/>
  <c r="G129" i="23"/>
  <c r="H129" i="23"/>
  <c r="F241" i="7"/>
  <c r="G196" i="25"/>
  <c r="F145" i="14"/>
  <c r="H145" i="14"/>
  <c r="F244" i="4"/>
  <c r="G29" i="28"/>
  <c r="H29" i="29"/>
  <c r="H26" i="30"/>
  <c r="G243" i="5"/>
  <c r="D243" i="5"/>
  <c r="F195" i="24"/>
  <c r="G195" i="24"/>
  <c r="F243" i="6"/>
  <c r="F194" i="24"/>
  <c r="G194" i="24"/>
  <c r="G161" i="13"/>
  <c r="G195" i="25"/>
  <c r="G93" i="16"/>
  <c r="F93" i="16"/>
  <c r="F94" i="16"/>
  <c r="F240" i="7"/>
  <c r="F243" i="4"/>
  <c r="G242" i="5"/>
  <c r="G128" i="23"/>
  <c r="H128" i="23"/>
  <c r="C128" i="23"/>
  <c r="D128" i="23" s="1"/>
  <c r="C129" i="23"/>
  <c r="D129" i="23"/>
  <c r="F128" i="23"/>
  <c r="F129" i="23"/>
  <c r="H27" i="29"/>
  <c r="H28" i="29"/>
  <c r="D27" i="29"/>
  <c r="E27" i="29" s="1"/>
  <c r="D28" i="29"/>
  <c r="E28" i="29" s="1"/>
  <c r="D29" i="29"/>
  <c r="E29" i="29" s="1"/>
  <c r="F144" i="14"/>
  <c r="H144" i="14"/>
  <c r="H25" i="30"/>
  <c r="D25" i="30"/>
  <c r="E25" i="30" s="1"/>
  <c r="D26" i="30"/>
  <c r="E26" i="30" s="1"/>
  <c r="G160" i="13"/>
  <c r="F160" i="13"/>
  <c r="F161" i="13"/>
  <c r="F162" i="13"/>
  <c r="F78" i="18"/>
  <c r="F79" i="18"/>
  <c r="F80" i="18"/>
  <c r="G28" i="28"/>
  <c r="F242" i="6"/>
  <c r="C28" i="28"/>
  <c r="D28" i="28" s="1"/>
  <c r="C29" i="28"/>
  <c r="D29" i="28"/>
  <c r="F28" i="28"/>
  <c r="F29" i="28"/>
  <c r="D25" i="32"/>
  <c r="E25" i="32" s="1"/>
  <c r="G25" i="32"/>
  <c r="D76" i="19"/>
  <c r="F75" i="19"/>
  <c r="F76" i="19"/>
  <c r="F143" i="14"/>
  <c r="H143" i="14"/>
  <c r="D240" i="2"/>
  <c r="G127" i="23"/>
  <c r="H127" i="23"/>
  <c r="C127" i="23"/>
  <c r="D127" i="23"/>
  <c r="F127" i="23"/>
  <c r="G27" i="28"/>
  <c r="C27" i="28"/>
  <c r="D27" i="28" s="1"/>
  <c r="F27" i="28"/>
  <c r="G92" i="16"/>
  <c r="D92" i="16"/>
  <c r="F92" i="16"/>
  <c r="F239" i="7"/>
  <c r="H26" i="29"/>
  <c r="D26" i="29"/>
  <c r="E26" i="29"/>
  <c r="G241" i="5"/>
  <c r="G194" i="25"/>
  <c r="F242" i="4"/>
  <c r="F192" i="24"/>
  <c r="G192" i="24"/>
  <c r="F193" i="24"/>
  <c r="G193" i="24"/>
  <c r="H24" i="32"/>
  <c r="G24" i="32"/>
  <c r="D24" i="32"/>
  <c r="E24" i="32" s="1"/>
  <c r="H23" i="32"/>
  <c r="G23" i="32"/>
  <c r="D23" i="32"/>
  <c r="E23" i="32" s="1"/>
  <c r="H22" i="32"/>
  <c r="G22" i="32"/>
  <c r="D22" i="32"/>
  <c r="E22" i="32" s="1"/>
  <c r="G21" i="32"/>
  <c r="D21" i="32"/>
  <c r="E21" i="32" s="1"/>
  <c r="B8" i="32"/>
  <c r="G4" i="32"/>
  <c r="F191" i="24"/>
  <c r="G191" i="24"/>
  <c r="F241" i="6"/>
  <c r="D241" i="6"/>
  <c r="D55" i="22"/>
  <c r="F77" i="18"/>
  <c r="F74" i="19"/>
  <c r="G26" i="28"/>
  <c r="C26" i="28"/>
  <c r="D26" i="28" s="1"/>
  <c r="F26" i="28"/>
  <c r="F238" i="7"/>
  <c r="G193" i="25"/>
  <c r="G91" i="16"/>
  <c r="D91" i="16"/>
  <c r="F91" i="16"/>
  <c r="G240" i="5"/>
  <c r="H24" i="29"/>
  <c r="H25" i="29"/>
  <c r="D25" i="29"/>
  <c r="E25" i="29" s="1"/>
  <c r="F241" i="4"/>
  <c r="G159" i="13"/>
  <c r="F159" i="13"/>
  <c r="F142" i="14"/>
  <c r="H142" i="14"/>
  <c r="D211" i="11"/>
  <c r="F239" i="6"/>
  <c r="F240" i="6"/>
  <c r="G126" i="23"/>
  <c r="H126" i="23"/>
  <c r="C126" i="23"/>
  <c r="D126" i="23" s="1"/>
  <c r="F126" i="23"/>
  <c r="H24" i="30"/>
  <c r="D24" i="30"/>
  <c r="E24" i="30" s="1"/>
  <c r="H23" i="30"/>
  <c r="D23" i="30"/>
  <c r="E23" i="30" s="1"/>
  <c r="H22" i="30"/>
  <c r="D22" i="30"/>
  <c r="E22" i="30"/>
  <c r="D21" i="30"/>
  <c r="E10" i="30" s="1"/>
  <c r="E11" i="30" s="1"/>
  <c r="C15" i="30" s="1"/>
  <c r="B8" i="30"/>
  <c r="G4" i="30"/>
  <c r="G158" i="13"/>
  <c r="F158" i="13"/>
  <c r="F73" i="19"/>
  <c r="F76" i="18"/>
  <c r="F239" i="4"/>
  <c r="F240" i="4"/>
  <c r="G125" i="23"/>
  <c r="H125" i="23"/>
  <c r="C125" i="23"/>
  <c r="D125" i="23"/>
  <c r="F125" i="23"/>
  <c r="F237" i="7"/>
  <c r="F140" i="14"/>
  <c r="H140" i="14"/>
  <c r="F141" i="14"/>
  <c r="H141" i="14"/>
  <c r="G25" i="28"/>
  <c r="C25" i="28"/>
  <c r="D25" i="28" s="1"/>
  <c r="F25" i="28"/>
  <c r="G90" i="16"/>
  <c r="F90" i="16"/>
  <c r="F190" i="24"/>
  <c r="G190" i="24"/>
  <c r="G239" i="5"/>
  <c r="D239" i="5"/>
  <c r="G192" i="25"/>
  <c r="F189" i="24"/>
  <c r="G189" i="24"/>
  <c r="F75" i="18"/>
  <c r="F72" i="19"/>
  <c r="F237" i="6"/>
  <c r="F238" i="6"/>
  <c r="G124" i="23"/>
  <c r="H124" i="23"/>
  <c r="C124" i="23"/>
  <c r="D124" i="23" s="1"/>
  <c r="F124" i="23"/>
  <c r="F157" i="13"/>
  <c r="G157" i="13"/>
  <c r="F236" i="7"/>
  <c r="F139" i="14"/>
  <c r="H139" i="14"/>
  <c r="G89" i="16"/>
  <c r="F89" i="16"/>
  <c r="G191" i="25"/>
  <c r="H23" i="29"/>
  <c r="F238" i="4"/>
  <c r="G238" i="5"/>
  <c r="F71" i="19"/>
  <c r="G24" i="28"/>
  <c r="G88" i="16"/>
  <c r="D88" i="16"/>
  <c r="F88" i="16"/>
  <c r="D236" i="2"/>
  <c r="F74" i="18"/>
  <c r="H22" i="29"/>
  <c r="G23" i="28"/>
  <c r="G22" i="28"/>
  <c r="F234" i="7"/>
  <c r="F235" i="7"/>
  <c r="D24" i="29"/>
  <c r="E24" i="29" s="1"/>
  <c r="D23" i="29"/>
  <c r="E23" i="29" s="1"/>
  <c r="D22" i="29"/>
  <c r="E22" i="29" s="1"/>
  <c r="D21" i="29"/>
  <c r="B8" i="29"/>
  <c r="H4" i="29"/>
  <c r="F24" i="28"/>
  <c r="C24" i="28"/>
  <c r="D24" i="28"/>
  <c r="F23" i="28"/>
  <c r="C23" i="28"/>
  <c r="D23" i="28" s="1"/>
  <c r="F22" i="28"/>
  <c r="C22" i="28"/>
  <c r="D22" i="28" s="1"/>
  <c r="F21" i="28"/>
  <c r="C21" i="28"/>
  <c r="B8" i="28"/>
  <c r="G4" i="28"/>
  <c r="G156" i="13"/>
  <c r="F156" i="13"/>
  <c r="G122" i="23"/>
  <c r="H122" i="23"/>
  <c r="G123" i="23"/>
  <c r="H123" i="23"/>
  <c r="C123" i="23"/>
  <c r="D123" i="23" s="1"/>
  <c r="F123" i="23"/>
  <c r="C122" i="23"/>
  <c r="D122" i="23" s="1"/>
  <c r="F122" i="23"/>
  <c r="G190" i="25"/>
  <c r="G237" i="5"/>
  <c r="F188" i="24"/>
  <c r="G188" i="24"/>
  <c r="F235" i="6"/>
  <c r="F236" i="6"/>
  <c r="F70" i="19"/>
  <c r="D87" i="16"/>
  <c r="F87" i="16"/>
  <c r="D51" i="22"/>
  <c r="F73" i="18"/>
  <c r="F137" i="14"/>
  <c r="H137" i="14"/>
  <c r="F138" i="14"/>
  <c r="H138" i="14"/>
  <c r="G155" i="13"/>
  <c r="F155" i="13"/>
  <c r="G189" i="25"/>
  <c r="F236" i="4"/>
  <c r="F237" i="4"/>
  <c r="G236" i="5"/>
  <c r="F72" i="18"/>
  <c r="G154" i="13"/>
  <c r="F154" i="13"/>
  <c r="G121" i="23"/>
  <c r="H121" i="23"/>
  <c r="C121" i="23"/>
  <c r="D121" i="23" s="1"/>
  <c r="F121" i="23"/>
  <c r="G188" i="25"/>
  <c r="F69" i="19"/>
  <c r="F233" i="7"/>
  <c r="F86" i="16"/>
  <c r="G235" i="5"/>
  <c r="D235" i="5"/>
  <c r="F136" i="14"/>
  <c r="H136" i="14"/>
  <c r="F186" i="24"/>
  <c r="G186" i="24"/>
  <c r="F187" i="24"/>
  <c r="G187" i="24"/>
  <c r="F233" i="6"/>
  <c r="F234" i="6"/>
  <c r="D68" i="19"/>
  <c r="F68" i="19"/>
  <c r="G153" i="13"/>
  <c r="F153" i="13"/>
  <c r="F71" i="18"/>
  <c r="G120" i="23"/>
  <c r="H120" i="23"/>
  <c r="C120" i="23"/>
  <c r="D120" i="23" s="1"/>
  <c r="F120" i="23"/>
  <c r="G187" i="25"/>
  <c r="F235" i="4"/>
  <c r="F231" i="7"/>
  <c r="F232" i="7"/>
  <c r="F85" i="16"/>
  <c r="G234" i="5"/>
  <c r="G152" i="13"/>
  <c r="F152" i="13"/>
  <c r="F70" i="18"/>
  <c r="F67" i="19"/>
  <c r="D232" i="2"/>
  <c r="D84" i="16"/>
  <c r="F84" i="16"/>
  <c r="F230" i="7"/>
  <c r="F135" i="14"/>
  <c r="H135" i="14"/>
  <c r="F234" i="4"/>
  <c r="G233" i="5"/>
  <c r="G186" i="25"/>
  <c r="G119" i="23"/>
  <c r="H119" i="23"/>
  <c r="C119" i="23"/>
  <c r="D119" i="23" s="1"/>
  <c r="F119" i="23"/>
  <c r="F184" i="24"/>
  <c r="G184" i="24"/>
  <c r="F185" i="24"/>
  <c r="G185" i="24"/>
  <c r="G151" i="13"/>
  <c r="D151" i="13"/>
  <c r="F151" i="13"/>
  <c r="G185" i="25"/>
  <c r="G118" i="23"/>
  <c r="H118" i="23"/>
  <c r="C118" i="23"/>
  <c r="D118" i="23" s="1"/>
  <c r="F118" i="23"/>
  <c r="D47" i="22"/>
  <c r="D69" i="18"/>
  <c r="F69" i="18"/>
  <c r="D204" i="11"/>
  <c r="F66" i="19"/>
  <c r="F134" i="14"/>
  <c r="H134" i="14"/>
  <c r="F233" i="4"/>
  <c r="G150" i="13"/>
  <c r="F150" i="13"/>
  <c r="F232" i="6"/>
  <c r="G232" i="5"/>
  <c r="F65" i="19"/>
  <c r="F68" i="18"/>
  <c r="D83" i="16"/>
  <c r="F83" i="16"/>
  <c r="F82" i="16"/>
  <c r="F229" i="7"/>
  <c r="G184" i="25"/>
  <c r="F232" i="4"/>
  <c r="F133" i="14"/>
  <c r="H133" i="14"/>
  <c r="G117" i="23"/>
  <c r="H117" i="23"/>
  <c r="C117" i="23"/>
  <c r="D117" i="23" s="1"/>
  <c r="F117" i="23"/>
  <c r="G231" i="5"/>
  <c r="D231" i="5"/>
  <c r="F183" i="24"/>
  <c r="G183" i="24"/>
  <c r="F231" i="6"/>
  <c r="F67" i="18"/>
  <c r="F81" i="16"/>
  <c r="F64" i="19"/>
  <c r="F132" i="14"/>
  <c r="H132" i="14"/>
  <c r="G116" i="23"/>
  <c r="H116" i="23"/>
  <c r="C116" i="23"/>
  <c r="D116" i="23" s="1"/>
  <c r="F116" i="23"/>
  <c r="G149" i="13"/>
  <c r="F149" i="13"/>
  <c r="F231" i="4"/>
  <c r="F228" i="7"/>
  <c r="G183" i="25"/>
  <c r="F182" i="24"/>
  <c r="G182" i="24"/>
  <c r="G230" i="5"/>
  <c r="F230" i="6"/>
  <c r="F63" i="19"/>
  <c r="F130" i="14"/>
  <c r="H130" i="14"/>
  <c r="F131" i="14"/>
  <c r="H131" i="14"/>
  <c r="G229" i="5"/>
  <c r="G182" i="25"/>
  <c r="G114" i="23"/>
  <c r="H114" i="23"/>
  <c r="G115" i="23"/>
  <c r="H115" i="23"/>
  <c r="G146" i="13"/>
  <c r="G147" i="13"/>
  <c r="G148" i="13"/>
  <c r="F146" i="13"/>
  <c r="F147" i="13"/>
  <c r="F148" i="13"/>
  <c r="F230" i="4"/>
  <c r="F181" i="24"/>
  <c r="G181" i="24"/>
  <c r="F66" i="18"/>
  <c r="G181" i="25"/>
  <c r="F228" i="4"/>
  <c r="F229" i="4"/>
  <c r="G228" i="5"/>
  <c r="F180" i="24"/>
  <c r="G180" i="24"/>
  <c r="D200" i="11"/>
  <c r="F64" i="18"/>
  <c r="F65" i="18"/>
  <c r="F229" i="6"/>
  <c r="F227" i="7"/>
  <c r="D78" i="16"/>
  <c r="D79" i="16"/>
  <c r="D80" i="16"/>
  <c r="F78" i="16"/>
  <c r="F79" i="16"/>
  <c r="F80" i="16"/>
  <c r="F225" i="7"/>
  <c r="F226" i="7"/>
  <c r="D43" i="22"/>
  <c r="D228" i="2"/>
  <c r="F227" i="6"/>
  <c r="F228" i="6"/>
  <c r="F61" i="19"/>
  <c r="F62" i="19"/>
  <c r="G180" i="25"/>
  <c r="D180" i="25"/>
  <c r="G113" i="23"/>
  <c r="H113" i="23"/>
  <c r="C113" i="23"/>
  <c r="D113" i="23" s="1"/>
  <c r="C114" i="23"/>
  <c r="D114" i="23"/>
  <c r="C115" i="23"/>
  <c r="D115" i="23" s="1"/>
  <c r="F113" i="23"/>
  <c r="F114" i="23"/>
  <c r="F115" i="23"/>
  <c r="F129" i="14"/>
  <c r="H129" i="14"/>
  <c r="G227" i="5"/>
  <c r="D227" i="5"/>
  <c r="F179" i="24"/>
  <c r="G179" i="24"/>
  <c r="F63" i="18"/>
  <c r="G145" i="13"/>
  <c r="F145" i="13"/>
  <c r="G179" i="25"/>
  <c r="G112" i="23"/>
  <c r="H112" i="23"/>
  <c r="C112" i="23"/>
  <c r="D112" i="23" s="1"/>
  <c r="F112" i="23"/>
  <c r="F224" i="7"/>
  <c r="F77" i="16"/>
  <c r="D60" i="19"/>
  <c r="F60" i="19"/>
  <c r="G174" i="26"/>
  <c r="C174" i="26"/>
  <c r="D174" i="26"/>
  <c r="F174" i="26"/>
  <c r="F128" i="14"/>
  <c r="H128" i="14"/>
  <c r="F226" i="6"/>
  <c r="G226" i="5"/>
  <c r="F178" i="24"/>
  <c r="G178" i="24"/>
  <c r="F227" i="4"/>
  <c r="F223" i="7"/>
  <c r="F62" i="18"/>
  <c r="G144" i="13"/>
  <c r="F144" i="13"/>
  <c r="F127" i="14"/>
  <c r="H127" i="14"/>
  <c r="G178" i="25"/>
  <c r="G111" i="23"/>
  <c r="H111" i="23"/>
  <c r="C111" i="23"/>
  <c r="D111" i="23" s="1"/>
  <c r="F111" i="23"/>
  <c r="F177" i="24"/>
  <c r="G177" i="24"/>
  <c r="F225" i="6"/>
  <c r="G225" i="5"/>
  <c r="G173" i="26"/>
  <c r="C173" i="26"/>
  <c r="D173" i="26"/>
  <c r="F173" i="26"/>
  <c r="F59" i="19"/>
  <c r="F58" i="19"/>
  <c r="D76" i="16"/>
  <c r="F76" i="16"/>
  <c r="D75" i="16"/>
  <c r="F75" i="16"/>
  <c r="D196" i="11"/>
  <c r="D224" i="2"/>
  <c r="F226" i="4"/>
  <c r="D39" i="22"/>
  <c r="F61" i="18"/>
  <c r="F225" i="4"/>
  <c r="G143" i="13"/>
  <c r="F143" i="13"/>
  <c r="F222" i="7"/>
  <c r="G172" i="26"/>
  <c r="C172" i="26"/>
  <c r="D172" i="26" s="1"/>
  <c r="F172" i="26"/>
  <c r="F126" i="14"/>
  <c r="F125" i="14"/>
  <c r="H126" i="14"/>
  <c r="G110" i="23"/>
  <c r="H110" i="23"/>
  <c r="C110" i="23"/>
  <c r="D110" i="23"/>
  <c r="F110" i="23"/>
  <c r="F176" i="24"/>
  <c r="G176" i="24"/>
  <c r="G224" i="5"/>
  <c r="F60" i="18"/>
  <c r="H125" i="14"/>
  <c r="G177" i="25"/>
  <c r="G142" i="13"/>
  <c r="F142" i="13"/>
  <c r="F57" i="19"/>
  <c r="F224" i="6"/>
  <c r="F221" i="7"/>
  <c r="G176" i="25"/>
  <c r="G109" i="23"/>
  <c r="H109" i="23"/>
  <c r="C109" i="23"/>
  <c r="D109" i="23" s="1"/>
  <c r="F109" i="23"/>
  <c r="F224" i="4"/>
  <c r="F74" i="16"/>
  <c r="G171" i="26"/>
  <c r="C171" i="26"/>
  <c r="D171" i="26" s="1"/>
  <c r="F171" i="26"/>
  <c r="F175" i="24"/>
  <c r="G175" i="24"/>
  <c r="G223" i="5"/>
  <c r="D223" i="5"/>
  <c r="F223" i="6"/>
  <c r="F59" i="18"/>
  <c r="G141" i="13"/>
  <c r="D141" i="13"/>
  <c r="F141" i="13"/>
  <c r="G175" i="25"/>
  <c r="G108" i="23"/>
  <c r="H108" i="23"/>
  <c r="C108" i="23"/>
  <c r="D108" i="23"/>
  <c r="F108" i="23"/>
  <c r="G170" i="26"/>
  <c r="C170" i="26"/>
  <c r="D170" i="26"/>
  <c r="F170" i="26"/>
  <c r="F56" i="19"/>
  <c r="F223" i="4"/>
  <c r="F220" i="7"/>
  <c r="F73" i="16"/>
  <c r="H124" i="14"/>
  <c r="F124" i="14"/>
  <c r="F58" i="18"/>
  <c r="F173" i="24"/>
  <c r="G173" i="24"/>
  <c r="F174" i="24"/>
  <c r="G174" i="24"/>
  <c r="G140" i="13"/>
  <c r="F140" i="13"/>
  <c r="F222" i="4"/>
  <c r="D222" i="4"/>
  <c r="F55" i="19"/>
  <c r="G222" i="5"/>
  <c r="F222" i="6"/>
  <c r="D220" i="2"/>
  <c r="F218" i="7"/>
  <c r="F219" i="7"/>
  <c r="G174" i="25"/>
  <c r="H123" i="14"/>
  <c r="F123" i="14"/>
  <c r="G107" i="23"/>
  <c r="H107" i="23"/>
  <c r="C107" i="23"/>
  <c r="D107" i="23" s="1"/>
  <c r="F107" i="23"/>
  <c r="G169" i="26"/>
  <c r="C169" i="26"/>
  <c r="D169" i="26"/>
  <c r="F169" i="26"/>
  <c r="D72" i="16"/>
  <c r="F72" i="16"/>
  <c r="G221" i="5"/>
  <c r="F221" i="6"/>
  <c r="D192" i="11"/>
  <c r="F57" i="18"/>
  <c r="D35" i="22"/>
  <c r="G139" i="13"/>
  <c r="F139" i="13"/>
  <c r="D221" i="6"/>
  <c r="F220" i="6"/>
  <c r="F54" i="19"/>
  <c r="G106" i="23"/>
  <c r="H106" i="23"/>
  <c r="C106" i="23"/>
  <c r="D106" i="23" s="1"/>
  <c r="F106" i="23"/>
  <c r="G173" i="25"/>
  <c r="G220" i="5"/>
  <c r="F221" i="4"/>
  <c r="G168" i="26"/>
  <c r="C168" i="26"/>
  <c r="D168" i="26"/>
  <c r="F168" i="26"/>
  <c r="H122" i="14"/>
  <c r="F122" i="14"/>
  <c r="D71" i="16"/>
  <c r="F71" i="16"/>
  <c r="F172" i="24"/>
  <c r="G172" i="24"/>
  <c r="F56" i="18"/>
  <c r="F70" i="16"/>
  <c r="F53" i="19"/>
  <c r="G105" i="23"/>
  <c r="H105" i="23"/>
  <c r="C105" i="23"/>
  <c r="D105" i="23" s="1"/>
  <c r="F105" i="23"/>
  <c r="G167" i="26"/>
  <c r="C167" i="26"/>
  <c r="D167" i="26"/>
  <c r="F167" i="26"/>
  <c r="G172" i="25"/>
  <c r="F217" i="7"/>
  <c r="F220" i="4"/>
  <c r="H121" i="14"/>
  <c r="F121" i="14"/>
  <c r="G219" i="5"/>
  <c r="D219" i="5"/>
  <c r="G138" i="13"/>
  <c r="F138" i="13"/>
  <c r="F219" i="6"/>
  <c r="F171" i="24"/>
  <c r="G171" i="24"/>
  <c r="F216" i="7"/>
  <c r="G137" i="13"/>
  <c r="F137" i="13"/>
  <c r="F69" i="16"/>
  <c r="G166" i="26"/>
  <c r="C166" i="26"/>
  <c r="D166" i="26" s="1"/>
  <c r="F166" i="26"/>
  <c r="G104" i="23"/>
  <c r="H104" i="23"/>
  <c r="C104" i="23"/>
  <c r="D104" i="23" s="1"/>
  <c r="F104" i="23"/>
  <c r="F219" i="4"/>
  <c r="G171" i="25"/>
  <c r="D171" i="25"/>
  <c r="G218" i="5"/>
  <c r="F218" i="6"/>
  <c r="H120" i="14"/>
  <c r="F120" i="14"/>
  <c r="D52" i="19"/>
  <c r="F52" i="19"/>
  <c r="F55" i="18"/>
  <c r="F170" i="24"/>
  <c r="G170" i="24"/>
  <c r="F54" i="18"/>
  <c r="G103" i="23"/>
  <c r="H103" i="23"/>
  <c r="C103" i="23"/>
  <c r="D103" i="23" s="1"/>
  <c r="F103" i="23"/>
  <c r="G170" i="25"/>
  <c r="F218" i="4"/>
  <c r="F217" i="6"/>
  <c r="F215" i="7"/>
  <c r="G165" i="26"/>
  <c r="F165" i="26"/>
  <c r="C165" i="26"/>
  <c r="D165" i="26" s="1"/>
  <c r="G164" i="26"/>
  <c r="F164" i="26"/>
  <c r="C164" i="26"/>
  <c r="D164" i="26" s="1"/>
  <c r="G163" i="26"/>
  <c r="F163" i="26"/>
  <c r="C163" i="26"/>
  <c r="D163" i="26"/>
  <c r="G162" i="26"/>
  <c r="F162" i="26"/>
  <c r="C162" i="26"/>
  <c r="D162" i="26" s="1"/>
  <c r="G161" i="26"/>
  <c r="F161" i="26"/>
  <c r="C161" i="26"/>
  <c r="D161" i="26" s="1"/>
  <c r="G160" i="26"/>
  <c r="F160" i="26"/>
  <c r="C160" i="26"/>
  <c r="D160" i="26"/>
  <c r="G159" i="26"/>
  <c r="F159" i="26"/>
  <c r="C159" i="26"/>
  <c r="D159" i="26" s="1"/>
  <c r="G158" i="26"/>
  <c r="F158" i="26"/>
  <c r="C158" i="26"/>
  <c r="D158" i="26" s="1"/>
  <c r="G157" i="26"/>
  <c r="F157" i="26"/>
  <c r="C157" i="26"/>
  <c r="D157" i="26"/>
  <c r="G156" i="26"/>
  <c r="F156" i="26"/>
  <c r="C156" i="26"/>
  <c r="D156" i="26" s="1"/>
  <c r="G155" i="26"/>
  <c r="F155" i="26"/>
  <c r="C155" i="26"/>
  <c r="D155" i="26" s="1"/>
  <c r="G154" i="26"/>
  <c r="F154" i="26"/>
  <c r="C154" i="26"/>
  <c r="D154" i="26"/>
  <c r="G153" i="26"/>
  <c r="F153" i="26"/>
  <c r="C153" i="26"/>
  <c r="D153" i="26" s="1"/>
  <c r="G152" i="26"/>
  <c r="F152" i="26"/>
  <c r="C152" i="26"/>
  <c r="D152" i="26" s="1"/>
  <c r="G151" i="26"/>
  <c r="F151" i="26"/>
  <c r="C151" i="26"/>
  <c r="D151" i="26"/>
  <c r="G150" i="26"/>
  <c r="F150" i="26"/>
  <c r="C150" i="26"/>
  <c r="D150" i="26" s="1"/>
  <c r="G149" i="26"/>
  <c r="F149" i="26"/>
  <c r="C149" i="26"/>
  <c r="D149" i="26" s="1"/>
  <c r="G148" i="26"/>
  <c r="F148" i="26"/>
  <c r="C148" i="26"/>
  <c r="D148" i="26"/>
  <c r="G147" i="26"/>
  <c r="F147" i="26"/>
  <c r="C147" i="26"/>
  <c r="D147" i="26" s="1"/>
  <c r="G146" i="26"/>
  <c r="F146" i="26"/>
  <c r="C146" i="26"/>
  <c r="D146" i="26" s="1"/>
  <c r="G145" i="26"/>
  <c r="F145" i="26"/>
  <c r="C145" i="26"/>
  <c r="D145" i="26"/>
  <c r="G144" i="26"/>
  <c r="F144" i="26"/>
  <c r="C144" i="26"/>
  <c r="D144" i="26" s="1"/>
  <c r="G143" i="26"/>
  <c r="F143" i="26"/>
  <c r="C143" i="26"/>
  <c r="D143" i="26" s="1"/>
  <c r="G142" i="26"/>
  <c r="F142" i="26"/>
  <c r="C142" i="26"/>
  <c r="D142" i="26"/>
  <c r="G141" i="26"/>
  <c r="F141" i="26"/>
  <c r="C141" i="26"/>
  <c r="D141" i="26" s="1"/>
  <c r="G140" i="26"/>
  <c r="F140" i="26"/>
  <c r="C140" i="26"/>
  <c r="D140" i="26" s="1"/>
  <c r="G139" i="26"/>
  <c r="F139" i="26"/>
  <c r="C139" i="26"/>
  <c r="D139" i="26"/>
  <c r="G138" i="26"/>
  <c r="F138" i="26"/>
  <c r="C138" i="26"/>
  <c r="D138" i="26" s="1"/>
  <c r="G137" i="26"/>
  <c r="F137" i="26"/>
  <c r="C137" i="26"/>
  <c r="D137" i="26" s="1"/>
  <c r="G136" i="26"/>
  <c r="F136" i="26"/>
  <c r="C136" i="26"/>
  <c r="D136" i="26"/>
  <c r="G135" i="26"/>
  <c r="F135" i="26"/>
  <c r="C135" i="26"/>
  <c r="D135" i="26" s="1"/>
  <c r="G134" i="26"/>
  <c r="F134" i="26"/>
  <c r="C134" i="26"/>
  <c r="D134" i="26" s="1"/>
  <c r="G133" i="26"/>
  <c r="F133" i="26"/>
  <c r="C133" i="26"/>
  <c r="D133" i="26"/>
  <c r="G132" i="26"/>
  <c r="F132" i="26"/>
  <c r="C132" i="26"/>
  <c r="D132" i="26" s="1"/>
  <c r="G131" i="26"/>
  <c r="F131" i="26"/>
  <c r="C131" i="26"/>
  <c r="D131" i="26" s="1"/>
  <c r="G130" i="26"/>
  <c r="F130" i="26"/>
  <c r="C130" i="26"/>
  <c r="D130" i="26"/>
  <c r="G129" i="26"/>
  <c r="F129" i="26"/>
  <c r="C129" i="26"/>
  <c r="D129" i="26" s="1"/>
  <c r="G128" i="26"/>
  <c r="F128" i="26"/>
  <c r="C128" i="26"/>
  <c r="D128" i="26" s="1"/>
  <c r="G127" i="26"/>
  <c r="F127" i="26"/>
  <c r="C127" i="26"/>
  <c r="D127" i="26"/>
  <c r="G126" i="26"/>
  <c r="F126" i="26"/>
  <c r="C126" i="26"/>
  <c r="D126" i="26" s="1"/>
  <c r="G125" i="26"/>
  <c r="F125" i="26"/>
  <c r="C125" i="26"/>
  <c r="D125" i="26" s="1"/>
  <c r="G124" i="26"/>
  <c r="F124" i="26"/>
  <c r="C124" i="26"/>
  <c r="D124" i="26"/>
  <c r="G123" i="26"/>
  <c r="F123" i="26"/>
  <c r="C123" i="26"/>
  <c r="D123" i="26" s="1"/>
  <c r="G122" i="26"/>
  <c r="F122" i="26"/>
  <c r="C122" i="26"/>
  <c r="D122" i="26" s="1"/>
  <c r="G121" i="26"/>
  <c r="F121" i="26"/>
  <c r="C121" i="26"/>
  <c r="D121" i="26"/>
  <c r="G120" i="26"/>
  <c r="F120" i="26"/>
  <c r="C120" i="26"/>
  <c r="D120" i="26" s="1"/>
  <c r="G119" i="26"/>
  <c r="F119" i="26"/>
  <c r="C119" i="26"/>
  <c r="D119" i="26" s="1"/>
  <c r="G118" i="26"/>
  <c r="F118" i="26"/>
  <c r="C118" i="26"/>
  <c r="D118" i="26"/>
  <c r="G117" i="26"/>
  <c r="F117" i="26"/>
  <c r="C117" i="26"/>
  <c r="D117" i="26" s="1"/>
  <c r="G116" i="26"/>
  <c r="F116" i="26"/>
  <c r="C116" i="26"/>
  <c r="D116" i="26" s="1"/>
  <c r="G115" i="26"/>
  <c r="F115" i="26"/>
  <c r="C115" i="26"/>
  <c r="D115" i="26"/>
  <c r="G114" i="26"/>
  <c r="F114" i="26"/>
  <c r="C114" i="26"/>
  <c r="D114" i="26" s="1"/>
  <c r="G113" i="26"/>
  <c r="F113" i="26"/>
  <c r="C113" i="26"/>
  <c r="D113" i="26" s="1"/>
  <c r="G112" i="26"/>
  <c r="F112" i="26"/>
  <c r="C112" i="26"/>
  <c r="D112" i="26"/>
  <c r="G111" i="26"/>
  <c r="F111" i="26"/>
  <c r="C111" i="26"/>
  <c r="D111" i="26" s="1"/>
  <c r="G110" i="26"/>
  <c r="F110" i="26"/>
  <c r="C110" i="26"/>
  <c r="D110" i="26" s="1"/>
  <c r="G109" i="26"/>
  <c r="F109" i="26"/>
  <c r="C109" i="26"/>
  <c r="D109" i="26"/>
  <c r="G108" i="26"/>
  <c r="F108" i="26"/>
  <c r="C108" i="26"/>
  <c r="D108" i="26" s="1"/>
  <c r="G107" i="26"/>
  <c r="F107" i="26"/>
  <c r="C107" i="26"/>
  <c r="D107" i="26" s="1"/>
  <c r="G106" i="26"/>
  <c r="F106" i="26"/>
  <c r="C106" i="26"/>
  <c r="D106" i="26"/>
  <c r="G105" i="26"/>
  <c r="F105" i="26"/>
  <c r="C105" i="26"/>
  <c r="D105" i="26" s="1"/>
  <c r="G104" i="26"/>
  <c r="F104" i="26"/>
  <c r="C104" i="26"/>
  <c r="D104" i="26" s="1"/>
  <c r="G103" i="26"/>
  <c r="F103" i="26"/>
  <c r="C103" i="26"/>
  <c r="D103" i="26"/>
  <c r="G102" i="26"/>
  <c r="F102" i="26"/>
  <c r="C102" i="26"/>
  <c r="D102" i="26" s="1"/>
  <c r="G101" i="26"/>
  <c r="F101" i="26"/>
  <c r="C101" i="26"/>
  <c r="D101" i="26" s="1"/>
  <c r="G100" i="26"/>
  <c r="F100" i="26"/>
  <c r="C100" i="26"/>
  <c r="D100" i="26"/>
  <c r="G99" i="26"/>
  <c r="F99" i="26"/>
  <c r="C99" i="26"/>
  <c r="D99" i="26" s="1"/>
  <c r="G98" i="26"/>
  <c r="F98" i="26"/>
  <c r="C98" i="26"/>
  <c r="D98" i="26" s="1"/>
  <c r="G97" i="26"/>
  <c r="F97" i="26"/>
  <c r="C97" i="26"/>
  <c r="D97" i="26"/>
  <c r="G96" i="26"/>
  <c r="F96" i="26"/>
  <c r="C96" i="26"/>
  <c r="D96" i="26" s="1"/>
  <c r="G95" i="26"/>
  <c r="F95" i="26"/>
  <c r="C95" i="26"/>
  <c r="D95" i="26" s="1"/>
  <c r="G94" i="26"/>
  <c r="F94" i="26"/>
  <c r="C94" i="26"/>
  <c r="D94" i="26"/>
  <c r="G93" i="26"/>
  <c r="F93" i="26"/>
  <c r="C93" i="26"/>
  <c r="D93" i="26" s="1"/>
  <c r="G92" i="26"/>
  <c r="F92" i="26"/>
  <c r="C92" i="26"/>
  <c r="D92" i="26" s="1"/>
  <c r="G91" i="26"/>
  <c r="F91" i="26"/>
  <c r="C91" i="26"/>
  <c r="D91" i="26"/>
  <c r="G90" i="26"/>
  <c r="F90" i="26"/>
  <c r="C90" i="26"/>
  <c r="D90" i="26" s="1"/>
  <c r="G89" i="26"/>
  <c r="F89" i="26"/>
  <c r="C89" i="26"/>
  <c r="D89" i="26" s="1"/>
  <c r="G88" i="26"/>
  <c r="F88" i="26"/>
  <c r="C88" i="26"/>
  <c r="D88" i="26"/>
  <c r="G87" i="26"/>
  <c r="F87" i="26"/>
  <c r="C87" i="26"/>
  <c r="D87" i="26" s="1"/>
  <c r="G86" i="26"/>
  <c r="F86" i="26"/>
  <c r="C86" i="26"/>
  <c r="D86" i="26" s="1"/>
  <c r="G85" i="26"/>
  <c r="F85" i="26"/>
  <c r="C85" i="26"/>
  <c r="D85" i="26"/>
  <c r="G84" i="26"/>
  <c r="F84" i="26"/>
  <c r="C84" i="26"/>
  <c r="D84" i="26" s="1"/>
  <c r="G83" i="26"/>
  <c r="F83" i="26"/>
  <c r="C83" i="26"/>
  <c r="D83" i="26" s="1"/>
  <c r="G82" i="26"/>
  <c r="F82" i="26"/>
  <c r="C82" i="26"/>
  <c r="D82" i="26"/>
  <c r="G81" i="26"/>
  <c r="F81" i="26"/>
  <c r="C81" i="26"/>
  <c r="D81" i="26" s="1"/>
  <c r="G80" i="26"/>
  <c r="F80" i="26"/>
  <c r="C80" i="26"/>
  <c r="D80" i="26" s="1"/>
  <c r="G79" i="26"/>
  <c r="F79" i="26"/>
  <c r="C79" i="26"/>
  <c r="D79" i="26"/>
  <c r="G78" i="26"/>
  <c r="F78" i="26"/>
  <c r="C78" i="26"/>
  <c r="D78" i="26" s="1"/>
  <c r="G77" i="26"/>
  <c r="F77" i="26"/>
  <c r="C77" i="26"/>
  <c r="D77" i="26" s="1"/>
  <c r="G76" i="26"/>
  <c r="F76" i="26"/>
  <c r="C76" i="26"/>
  <c r="D76" i="26"/>
  <c r="G75" i="26"/>
  <c r="F75" i="26"/>
  <c r="C75" i="26"/>
  <c r="D75" i="26" s="1"/>
  <c r="G74" i="26"/>
  <c r="F74" i="26"/>
  <c r="C74" i="26"/>
  <c r="D74" i="26" s="1"/>
  <c r="G73" i="26"/>
  <c r="F73" i="26"/>
  <c r="C73" i="26"/>
  <c r="D73" i="26"/>
  <c r="G72" i="26"/>
  <c r="F72" i="26"/>
  <c r="C72" i="26"/>
  <c r="D72" i="26" s="1"/>
  <c r="G71" i="26"/>
  <c r="F71" i="26"/>
  <c r="C71" i="26"/>
  <c r="D71" i="26" s="1"/>
  <c r="G70" i="26"/>
  <c r="F70" i="26"/>
  <c r="C70" i="26"/>
  <c r="D70" i="26"/>
  <c r="G69" i="26"/>
  <c r="F69" i="26"/>
  <c r="C69" i="26"/>
  <c r="D69" i="26" s="1"/>
  <c r="G68" i="26"/>
  <c r="F68" i="26"/>
  <c r="C68" i="26"/>
  <c r="D68" i="26" s="1"/>
  <c r="G67" i="26"/>
  <c r="F67" i="26"/>
  <c r="C67" i="26"/>
  <c r="D67" i="26"/>
  <c r="G66" i="26"/>
  <c r="F66" i="26"/>
  <c r="C66" i="26"/>
  <c r="D66" i="26" s="1"/>
  <c r="G65" i="26"/>
  <c r="F65" i="26"/>
  <c r="C65" i="26"/>
  <c r="D65" i="26" s="1"/>
  <c r="G64" i="26"/>
  <c r="F64" i="26"/>
  <c r="C64" i="26"/>
  <c r="D64" i="26"/>
  <c r="G63" i="26"/>
  <c r="F63" i="26"/>
  <c r="C63" i="26"/>
  <c r="D63" i="26" s="1"/>
  <c r="G62" i="26"/>
  <c r="F62" i="26"/>
  <c r="C62" i="26"/>
  <c r="D62" i="26" s="1"/>
  <c r="G61" i="26"/>
  <c r="F61" i="26"/>
  <c r="C61" i="26"/>
  <c r="D61" i="26"/>
  <c r="G60" i="26"/>
  <c r="F60" i="26"/>
  <c r="C60" i="26"/>
  <c r="D60" i="26" s="1"/>
  <c r="G59" i="26"/>
  <c r="F59" i="26"/>
  <c r="C59" i="26"/>
  <c r="D59" i="26" s="1"/>
  <c r="G58" i="26"/>
  <c r="F58" i="26"/>
  <c r="C58" i="26"/>
  <c r="D58" i="26"/>
  <c r="G57" i="26"/>
  <c r="F57" i="26"/>
  <c r="C57" i="26"/>
  <c r="D57" i="26" s="1"/>
  <c r="G56" i="26"/>
  <c r="F56" i="26"/>
  <c r="C56" i="26"/>
  <c r="D56" i="26" s="1"/>
  <c r="G55" i="26"/>
  <c r="F55" i="26"/>
  <c r="C55" i="26"/>
  <c r="D55" i="26"/>
  <c r="G54" i="26"/>
  <c r="F54" i="26"/>
  <c r="C54" i="26"/>
  <c r="D54" i="26" s="1"/>
  <c r="G53" i="26"/>
  <c r="F53" i="26"/>
  <c r="C53" i="26"/>
  <c r="D53" i="26" s="1"/>
  <c r="G52" i="26"/>
  <c r="F52" i="26"/>
  <c r="C52" i="26"/>
  <c r="D52" i="26"/>
  <c r="G51" i="26"/>
  <c r="F51" i="26"/>
  <c r="C51" i="26"/>
  <c r="D51" i="26" s="1"/>
  <c r="G50" i="26"/>
  <c r="F50" i="26"/>
  <c r="C50" i="26"/>
  <c r="D50" i="26" s="1"/>
  <c r="G49" i="26"/>
  <c r="F49" i="26"/>
  <c r="C49" i="26"/>
  <c r="D49" i="26"/>
  <c r="G48" i="26"/>
  <c r="F48" i="26"/>
  <c r="C48" i="26"/>
  <c r="D48" i="26" s="1"/>
  <c r="G47" i="26"/>
  <c r="F47" i="26"/>
  <c r="C47" i="26"/>
  <c r="D47" i="26" s="1"/>
  <c r="G46" i="26"/>
  <c r="F46" i="26"/>
  <c r="C46" i="26"/>
  <c r="D46" i="26"/>
  <c r="G45" i="26"/>
  <c r="F45" i="26"/>
  <c r="C45" i="26"/>
  <c r="D45" i="26" s="1"/>
  <c r="G44" i="26"/>
  <c r="F44" i="26"/>
  <c r="C44" i="26"/>
  <c r="D44" i="26" s="1"/>
  <c r="G43" i="26"/>
  <c r="F43" i="26"/>
  <c r="C43" i="26"/>
  <c r="D43" i="26"/>
  <c r="G42" i="26"/>
  <c r="F42" i="26"/>
  <c r="C42" i="26"/>
  <c r="D42" i="26" s="1"/>
  <c r="G41" i="26"/>
  <c r="F41" i="26"/>
  <c r="C41" i="26"/>
  <c r="D41" i="26" s="1"/>
  <c r="G40" i="26"/>
  <c r="F40" i="26"/>
  <c r="C40" i="26"/>
  <c r="D40" i="26"/>
  <c r="G39" i="26"/>
  <c r="F39" i="26"/>
  <c r="C39" i="26"/>
  <c r="D39" i="26" s="1"/>
  <c r="G38" i="26"/>
  <c r="F38" i="26"/>
  <c r="C38" i="26"/>
  <c r="D38" i="26" s="1"/>
  <c r="G37" i="26"/>
  <c r="F37" i="26"/>
  <c r="C37" i="26"/>
  <c r="D37" i="26"/>
  <c r="G36" i="26"/>
  <c r="F36" i="26"/>
  <c r="C36" i="26"/>
  <c r="D36" i="26" s="1"/>
  <c r="G35" i="26"/>
  <c r="F35" i="26"/>
  <c r="C35" i="26"/>
  <c r="D35" i="26" s="1"/>
  <c r="G34" i="26"/>
  <c r="F34" i="26"/>
  <c r="C34" i="26"/>
  <c r="D34" i="26"/>
  <c r="G33" i="26"/>
  <c r="F33" i="26"/>
  <c r="C33" i="26"/>
  <c r="D33" i="26" s="1"/>
  <c r="G32" i="26"/>
  <c r="F32" i="26"/>
  <c r="C32" i="26"/>
  <c r="D32" i="26" s="1"/>
  <c r="G31" i="26"/>
  <c r="F31" i="26"/>
  <c r="C31" i="26"/>
  <c r="D31" i="26"/>
  <c r="G30" i="26"/>
  <c r="F30" i="26"/>
  <c r="C30" i="26"/>
  <c r="D30" i="26" s="1"/>
  <c r="G29" i="26"/>
  <c r="F29" i="26"/>
  <c r="C29" i="26"/>
  <c r="D29" i="26" s="1"/>
  <c r="G28" i="26"/>
  <c r="F28" i="26"/>
  <c r="C28" i="26"/>
  <c r="D28" i="26"/>
  <c r="G27" i="26"/>
  <c r="F27" i="26"/>
  <c r="C27" i="26"/>
  <c r="D27" i="26" s="1"/>
  <c r="G26" i="26"/>
  <c r="F26" i="26"/>
  <c r="C26" i="26"/>
  <c r="D26" i="26" s="1"/>
  <c r="G25" i="26"/>
  <c r="F25" i="26"/>
  <c r="C25" i="26"/>
  <c r="D25" i="26"/>
  <c r="G24" i="26"/>
  <c r="F24" i="26"/>
  <c r="C24" i="26"/>
  <c r="D24" i="26" s="1"/>
  <c r="G23" i="26"/>
  <c r="F23" i="26"/>
  <c r="C23" i="26"/>
  <c r="D23" i="26" s="1"/>
  <c r="G22" i="26"/>
  <c r="F22" i="26"/>
  <c r="C22" i="26"/>
  <c r="D22" i="26"/>
  <c r="F21" i="26"/>
  <c r="C21" i="26"/>
  <c r="B8" i="26"/>
  <c r="G4" i="26"/>
  <c r="G136" i="13"/>
  <c r="F136" i="13"/>
  <c r="H119" i="14"/>
  <c r="F119" i="14"/>
  <c r="D68" i="16"/>
  <c r="F68" i="16"/>
  <c r="F169" i="24"/>
  <c r="G169" i="24"/>
  <c r="G169" i="25"/>
  <c r="G168" i="25"/>
  <c r="G167" i="25"/>
  <c r="G166" i="25"/>
  <c r="G165" i="25"/>
  <c r="G164" i="25"/>
  <c r="D164" i="25"/>
  <c r="G163" i="25"/>
  <c r="D163" i="25"/>
  <c r="G162" i="25"/>
  <c r="G161" i="25"/>
  <c r="G160" i="25"/>
  <c r="G159" i="25"/>
  <c r="G158" i="25"/>
  <c r="G157" i="25"/>
  <c r="G156" i="25"/>
  <c r="G155" i="25"/>
  <c r="G154" i="25"/>
  <c r="G153" i="25"/>
  <c r="G152" i="25"/>
  <c r="G151" i="25"/>
  <c r="G150" i="25"/>
  <c r="G149" i="25"/>
  <c r="G148" i="25"/>
  <c r="G147" i="25"/>
  <c r="D147" i="25"/>
  <c r="G146" i="25"/>
  <c r="G145" i="25"/>
  <c r="G144" i="25"/>
  <c r="D144" i="25"/>
  <c r="G143" i="25"/>
  <c r="G142" i="25"/>
  <c r="G141" i="25"/>
  <c r="G140" i="25"/>
  <c r="G139" i="25"/>
  <c r="G138" i="25"/>
  <c r="G137" i="25"/>
  <c r="G136" i="25"/>
  <c r="G135" i="25"/>
  <c r="D135" i="25"/>
  <c r="G134" i="25"/>
  <c r="G133" i="25"/>
  <c r="G132" i="25"/>
  <c r="D132" i="25"/>
  <c r="G131" i="25"/>
  <c r="G130" i="25"/>
  <c r="D130" i="25"/>
  <c r="G129" i="25"/>
  <c r="G128" i="25"/>
  <c r="D128" i="25"/>
  <c r="G127" i="25"/>
  <c r="G126" i="25"/>
  <c r="G125" i="25"/>
  <c r="G124" i="25"/>
  <c r="G123" i="25"/>
  <c r="G122" i="25"/>
  <c r="G121" i="25"/>
  <c r="G120" i="25"/>
  <c r="G119" i="25"/>
  <c r="G118" i="25"/>
  <c r="G117" i="25"/>
  <c r="G116" i="25"/>
  <c r="D116" i="25"/>
  <c r="G115" i="25"/>
  <c r="G114" i="25"/>
  <c r="G113" i="25"/>
  <c r="G112" i="25"/>
  <c r="G111" i="25"/>
  <c r="G110" i="25"/>
  <c r="G109" i="25"/>
  <c r="G108" i="25"/>
  <c r="G107" i="25"/>
  <c r="G106" i="25"/>
  <c r="G105" i="25"/>
  <c r="G104" i="25"/>
  <c r="G103" i="25"/>
  <c r="D103" i="25"/>
  <c r="G102" i="25"/>
  <c r="G101" i="25"/>
  <c r="G100" i="25"/>
  <c r="G99" i="25"/>
  <c r="G98" i="25"/>
  <c r="G97" i="25"/>
  <c r="G96" i="25"/>
  <c r="D96" i="25"/>
  <c r="G95" i="25"/>
  <c r="G94" i="25"/>
  <c r="G93" i="25"/>
  <c r="G92" i="25"/>
  <c r="G91" i="25"/>
  <c r="D91" i="25"/>
  <c r="G90" i="25"/>
  <c r="G89" i="25"/>
  <c r="G88" i="25"/>
  <c r="G87" i="25"/>
  <c r="G86" i="25"/>
  <c r="G85" i="25"/>
  <c r="G84" i="25"/>
  <c r="D84" i="25"/>
  <c r="G83" i="25"/>
  <c r="G82" i="25"/>
  <c r="G81" i="25"/>
  <c r="G80" i="25"/>
  <c r="G79" i="25"/>
  <c r="D79" i="25"/>
  <c r="G78" i="25"/>
  <c r="G77" i="25"/>
  <c r="G76" i="25"/>
  <c r="G75" i="25"/>
  <c r="G74" i="25"/>
  <c r="G73" i="25"/>
  <c r="G72" i="25"/>
  <c r="G71" i="25"/>
  <c r="G70" i="25"/>
  <c r="G69" i="25"/>
  <c r="G68" i="25"/>
  <c r="G67" i="25"/>
  <c r="G66" i="25"/>
  <c r="G65" i="25"/>
  <c r="G64" i="25"/>
  <c r="D64" i="25"/>
  <c r="G63" i="25"/>
  <c r="G62" i="25"/>
  <c r="G61" i="25"/>
  <c r="G60" i="25"/>
  <c r="G59" i="25"/>
  <c r="G58" i="25"/>
  <c r="G57" i="25"/>
  <c r="G56" i="25"/>
  <c r="G55" i="25"/>
  <c r="G54" i="25"/>
  <c r="G53" i="25"/>
  <c r="G52" i="25"/>
  <c r="D52" i="25"/>
  <c r="G51" i="25"/>
  <c r="G50" i="25"/>
  <c r="G49" i="25"/>
  <c r="G48" i="25"/>
  <c r="G47" i="25"/>
  <c r="G46" i="25"/>
  <c r="G45" i="25"/>
  <c r="G44" i="25"/>
  <c r="G43" i="25"/>
  <c r="G42" i="25"/>
  <c r="G41" i="25"/>
  <c r="G40" i="25"/>
  <c r="G39" i="25"/>
  <c r="D39" i="25"/>
  <c r="G38" i="25"/>
  <c r="G37" i="25"/>
  <c r="G36" i="25"/>
  <c r="G35" i="25"/>
  <c r="G34" i="25"/>
  <c r="G33" i="25"/>
  <c r="G32" i="25"/>
  <c r="D32" i="25"/>
  <c r="G31" i="25"/>
  <c r="G30" i="25"/>
  <c r="G29" i="25"/>
  <c r="G28" i="25"/>
  <c r="G27" i="25"/>
  <c r="D27" i="25"/>
  <c r="G26" i="25"/>
  <c r="G25" i="25"/>
  <c r="G24" i="25"/>
  <c r="G23" i="25"/>
  <c r="G22" i="25"/>
  <c r="B8" i="25"/>
  <c r="G4" i="25"/>
  <c r="G168" i="24"/>
  <c r="F168" i="24"/>
  <c r="H167" i="24"/>
  <c r="G167" i="24"/>
  <c r="F167" i="24"/>
  <c r="H166" i="24"/>
  <c r="G166" i="24"/>
  <c r="F166" i="24"/>
  <c r="H165" i="24"/>
  <c r="G165" i="24"/>
  <c r="F165" i="24"/>
  <c r="H164" i="24"/>
  <c r="G164" i="24"/>
  <c r="F164" i="24"/>
  <c r="H163" i="24"/>
  <c r="G163" i="24"/>
  <c r="F163" i="24"/>
  <c r="H162" i="24"/>
  <c r="G162" i="24"/>
  <c r="F162" i="24"/>
  <c r="H161" i="24"/>
  <c r="G161" i="24"/>
  <c r="F161" i="24"/>
  <c r="H160" i="24"/>
  <c r="G160" i="24"/>
  <c r="F160" i="24"/>
  <c r="H159" i="24"/>
  <c r="G159" i="24"/>
  <c r="F159" i="24"/>
  <c r="H158" i="24"/>
  <c r="G158" i="24"/>
  <c r="F158" i="24"/>
  <c r="H157" i="24"/>
  <c r="G157" i="24"/>
  <c r="F157" i="24"/>
  <c r="G156" i="24"/>
  <c r="F156" i="24"/>
  <c r="G155" i="24"/>
  <c r="F155" i="24"/>
  <c r="G154" i="24"/>
  <c r="F154" i="24"/>
  <c r="D154" i="24"/>
  <c r="G153" i="24"/>
  <c r="F153" i="24"/>
  <c r="G152" i="24"/>
  <c r="F152" i="24"/>
  <c r="G151" i="24"/>
  <c r="F151" i="24"/>
  <c r="G150" i="24"/>
  <c r="F150" i="24"/>
  <c r="G149" i="24"/>
  <c r="F149" i="24"/>
  <c r="G148" i="24"/>
  <c r="F148" i="24"/>
  <c r="G147" i="24"/>
  <c r="F147" i="24"/>
  <c r="G146" i="24"/>
  <c r="F146" i="24"/>
  <c r="G145" i="24"/>
  <c r="F145" i="24"/>
  <c r="G144" i="24"/>
  <c r="F144" i="24"/>
  <c r="G143" i="24"/>
  <c r="F143" i="24"/>
  <c r="G142" i="24"/>
  <c r="F142" i="24"/>
  <c r="G141" i="24"/>
  <c r="F141" i="24"/>
  <c r="G140" i="24"/>
  <c r="F140" i="24"/>
  <c r="G139" i="24"/>
  <c r="F139" i="24"/>
  <c r="G138" i="24"/>
  <c r="F138" i="24"/>
  <c r="G137" i="24"/>
  <c r="F137" i="24"/>
  <c r="G136" i="24"/>
  <c r="F136" i="24"/>
  <c r="G135" i="24"/>
  <c r="F135" i="24"/>
  <c r="G134" i="24"/>
  <c r="F134" i="24"/>
  <c r="G133" i="24"/>
  <c r="F133" i="24"/>
  <c r="G132" i="24"/>
  <c r="F132" i="24"/>
  <c r="G131" i="24"/>
  <c r="F131" i="24"/>
  <c r="G130" i="24"/>
  <c r="F130" i="24"/>
  <c r="G129" i="24"/>
  <c r="F129" i="24"/>
  <c r="G128" i="24"/>
  <c r="F128" i="24"/>
  <c r="G127" i="24"/>
  <c r="F127" i="24"/>
  <c r="G126" i="24"/>
  <c r="F126" i="24"/>
  <c r="G125" i="24"/>
  <c r="F125" i="24"/>
  <c r="G124" i="24"/>
  <c r="F124" i="24"/>
  <c r="G123" i="24"/>
  <c r="F123" i="24"/>
  <c r="G122" i="24"/>
  <c r="F122" i="24"/>
  <c r="G121" i="24"/>
  <c r="F121" i="24"/>
  <c r="G120" i="24"/>
  <c r="F120" i="24"/>
  <c r="G119" i="24"/>
  <c r="F119" i="24"/>
  <c r="G118" i="24"/>
  <c r="F118" i="24"/>
  <c r="G117" i="24"/>
  <c r="F117" i="24"/>
  <c r="G116" i="24"/>
  <c r="F116" i="24"/>
  <c r="G115" i="24"/>
  <c r="F115" i="24"/>
  <c r="G114" i="24"/>
  <c r="F114" i="24"/>
  <c r="G113" i="24"/>
  <c r="F113" i="24"/>
  <c r="G112" i="24"/>
  <c r="F112" i="24"/>
  <c r="G111" i="24"/>
  <c r="F111" i="24"/>
  <c r="G110" i="24"/>
  <c r="F110" i="24"/>
  <c r="G109" i="24"/>
  <c r="F109" i="24"/>
  <c r="G108" i="24"/>
  <c r="F108" i="24"/>
  <c r="G107" i="24"/>
  <c r="F107" i="24"/>
  <c r="G106" i="24"/>
  <c r="F106" i="24"/>
  <c r="G105" i="24"/>
  <c r="F105" i="24"/>
  <c r="G104" i="24"/>
  <c r="F104" i="24"/>
  <c r="G103" i="24"/>
  <c r="F103" i="24"/>
  <c r="G102" i="24"/>
  <c r="F102" i="24"/>
  <c r="G101" i="24"/>
  <c r="F101" i="24"/>
  <c r="G100" i="24"/>
  <c r="F100" i="24"/>
  <c r="G99" i="24"/>
  <c r="F99" i="24"/>
  <c r="G98" i="24"/>
  <c r="F98" i="24"/>
  <c r="G97" i="24"/>
  <c r="F97" i="24"/>
  <c r="G96" i="24"/>
  <c r="F96" i="24"/>
  <c r="G95" i="24"/>
  <c r="F95" i="24"/>
  <c r="G94" i="24"/>
  <c r="F94" i="24"/>
  <c r="G93" i="24"/>
  <c r="F93" i="24"/>
  <c r="G92" i="24"/>
  <c r="F92" i="24"/>
  <c r="G91" i="24"/>
  <c r="F91" i="24"/>
  <c r="G90" i="24"/>
  <c r="F90" i="24"/>
  <c r="G89" i="24"/>
  <c r="F89" i="24"/>
  <c r="G88" i="24"/>
  <c r="F88" i="24"/>
  <c r="G87" i="24"/>
  <c r="F87" i="24"/>
  <c r="G86" i="24"/>
  <c r="F86" i="24"/>
  <c r="G85" i="24"/>
  <c r="F85" i="24"/>
  <c r="G84" i="24"/>
  <c r="F84" i="24"/>
  <c r="G83" i="24"/>
  <c r="F83" i="24"/>
  <c r="G82" i="24"/>
  <c r="F82" i="24"/>
  <c r="G81" i="24"/>
  <c r="F81" i="24"/>
  <c r="G80" i="24"/>
  <c r="F80" i="24"/>
  <c r="G79" i="24"/>
  <c r="F79" i="24"/>
  <c r="G78" i="24"/>
  <c r="F78" i="24"/>
  <c r="G77" i="24"/>
  <c r="F77" i="24"/>
  <c r="G76" i="24"/>
  <c r="F76" i="24"/>
  <c r="G75" i="24"/>
  <c r="F75" i="24"/>
  <c r="G74" i="24"/>
  <c r="F74" i="24"/>
  <c r="G73" i="24"/>
  <c r="F73" i="24"/>
  <c r="G72" i="24"/>
  <c r="F72" i="24"/>
  <c r="G71" i="24"/>
  <c r="F71" i="24"/>
  <c r="G70" i="24"/>
  <c r="F70" i="24"/>
  <c r="G69" i="24"/>
  <c r="F69" i="24"/>
  <c r="G68" i="24"/>
  <c r="F68" i="24"/>
  <c r="G67" i="24"/>
  <c r="F67" i="24"/>
  <c r="G66" i="24"/>
  <c r="F66" i="24"/>
  <c r="G65" i="24"/>
  <c r="F65" i="24"/>
  <c r="G64" i="24"/>
  <c r="F64" i="24"/>
  <c r="G63" i="24"/>
  <c r="F63" i="24"/>
  <c r="G62" i="24"/>
  <c r="F62" i="24"/>
  <c r="G61" i="24"/>
  <c r="F61" i="24"/>
  <c r="G60" i="24"/>
  <c r="F60" i="24"/>
  <c r="G59" i="24"/>
  <c r="F59" i="24"/>
  <c r="G58" i="24"/>
  <c r="F58" i="24"/>
  <c r="G57" i="24"/>
  <c r="F57" i="24"/>
  <c r="G56" i="24"/>
  <c r="F56" i="24"/>
  <c r="G55" i="24"/>
  <c r="F55" i="24"/>
  <c r="G54" i="24"/>
  <c r="F54" i="24"/>
  <c r="D54" i="24"/>
  <c r="G53" i="24"/>
  <c r="F53" i="24"/>
  <c r="G52" i="24"/>
  <c r="F52" i="24"/>
  <c r="G51" i="24"/>
  <c r="F51" i="24"/>
  <c r="G50" i="24"/>
  <c r="F50" i="24"/>
  <c r="G49" i="24"/>
  <c r="F49" i="24"/>
  <c r="G48" i="24"/>
  <c r="F48" i="24"/>
  <c r="G47" i="24"/>
  <c r="F47" i="24"/>
  <c r="G46" i="24"/>
  <c r="F46" i="24"/>
  <c r="G45" i="24"/>
  <c r="F45" i="24"/>
  <c r="D45" i="24"/>
  <c r="G44" i="24"/>
  <c r="F44" i="24"/>
  <c r="G43" i="24"/>
  <c r="F43" i="24"/>
  <c r="G42" i="24"/>
  <c r="F42" i="24"/>
  <c r="G41" i="24"/>
  <c r="F41" i="24"/>
  <c r="G40" i="24"/>
  <c r="F40" i="24"/>
  <c r="G39" i="24"/>
  <c r="F39" i="24"/>
  <c r="G38" i="24"/>
  <c r="F38" i="24"/>
  <c r="G37" i="24"/>
  <c r="F37" i="24"/>
  <c r="G36" i="24"/>
  <c r="F36" i="24"/>
  <c r="G35" i="24"/>
  <c r="F35" i="24"/>
  <c r="G34" i="24"/>
  <c r="F34" i="24"/>
  <c r="G33" i="24"/>
  <c r="F33" i="24"/>
  <c r="G32" i="24"/>
  <c r="F32" i="24"/>
  <c r="G31" i="24"/>
  <c r="F31" i="24"/>
  <c r="G30" i="24"/>
  <c r="F30" i="24"/>
  <c r="G29" i="24"/>
  <c r="F29" i="24"/>
  <c r="G28" i="24"/>
  <c r="F28" i="24"/>
  <c r="G27" i="24"/>
  <c r="F27" i="24"/>
  <c r="G26" i="24"/>
  <c r="F26" i="24"/>
  <c r="G25" i="24"/>
  <c r="F25" i="24"/>
  <c r="G24" i="24"/>
  <c r="F24" i="24"/>
  <c r="G23" i="24"/>
  <c r="F23" i="24"/>
  <c r="G22" i="24"/>
  <c r="F22" i="24"/>
  <c r="B8" i="24"/>
  <c r="G4" i="24"/>
  <c r="H102" i="23"/>
  <c r="G102" i="23"/>
  <c r="F102" i="23"/>
  <c r="C102" i="23"/>
  <c r="D102" i="23" s="1"/>
  <c r="H101" i="23"/>
  <c r="G101" i="23"/>
  <c r="F101" i="23"/>
  <c r="C101" i="23"/>
  <c r="D101" i="23"/>
  <c r="H100" i="23"/>
  <c r="G100" i="23"/>
  <c r="F100" i="23"/>
  <c r="C100" i="23"/>
  <c r="D100" i="23" s="1"/>
  <c r="H99" i="23"/>
  <c r="G99" i="23"/>
  <c r="F99" i="23"/>
  <c r="C99" i="23"/>
  <c r="D99" i="23" s="1"/>
  <c r="H98" i="23"/>
  <c r="G98" i="23"/>
  <c r="F98" i="23"/>
  <c r="C98" i="23"/>
  <c r="D98" i="23"/>
  <c r="H97" i="23"/>
  <c r="G97" i="23"/>
  <c r="F97" i="23"/>
  <c r="C97" i="23"/>
  <c r="D97" i="23"/>
  <c r="H96" i="23"/>
  <c r="G96" i="23"/>
  <c r="F96" i="23"/>
  <c r="C96" i="23"/>
  <c r="D96" i="23"/>
  <c r="H95" i="23"/>
  <c r="G95" i="23"/>
  <c r="F95" i="23"/>
  <c r="C95" i="23"/>
  <c r="D95" i="23"/>
  <c r="H94" i="23"/>
  <c r="G94" i="23"/>
  <c r="F94" i="23"/>
  <c r="C94" i="23"/>
  <c r="D94" i="23" s="1"/>
  <c r="H93" i="23"/>
  <c r="G93" i="23"/>
  <c r="F93" i="23"/>
  <c r="C93" i="23"/>
  <c r="D93" i="23" s="1"/>
  <c r="H92" i="23"/>
  <c r="G92" i="23"/>
  <c r="F92" i="23"/>
  <c r="C92" i="23"/>
  <c r="D92" i="23"/>
  <c r="H91" i="23"/>
  <c r="G91" i="23"/>
  <c r="F91" i="23"/>
  <c r="C91" i="23"/>
  <c r="D91" i="23" s="1"/>
  <c r="H90" i="23"/>
  <c r="G90" i="23"/>
  <c r="F90" i="23"/>
  <c r="C90" i="23"/>
  <c r="D90" i="23" s="1"/>
  <c r="H89" i="23"/>
  <c r="G89" i="23"/>
  <c r="F89" i="23"/>
  <c r="C89" i="23"/>
  <c r="D89" i="23"/>
  <c r="H88" i="23"/>
  <c r="G88" i="23"/>
  <c r="F88" i="23"/>
  <c r="C88" i="23"/>
  <c r="D88" i="23" s="1"/>
  <c r="H87" i="23"/>
  <c r="G87" i="23"/>
  <c r="F87" i="23"/>
  <c r="C87" i="23"/>
  <c r="D87" i="23" s="1"/>
  <c r="H86" i="23"/>
  <c r="G86" i="23"/>
  <c r="F86" i="23"/>
  <c r="C86" i="23"/>
  <c r="D86" i="23"/>
  <c r="H85" i="23"/>
  <c r="G85" i="23"/>
  <c r="F85" i="23"/>
  <c r="C85" i="23"/>
  <c r="D85" i="23"/>
  <c r="H84" i="23"/>
  <c r="G84" i="23"/>
  <c r="F84" i="23"/>
  <c r="C84" i="23"/>
  <c r="D84" i="23"/>
  <c r="H83" i="23"/>
  <c r="G83" i="23"/>
  <c r="F83" i="23"/>
  <c r="C83" i="23"/>
  <c r="D83" i="23"/>
  <c r="H82" i="23"/>
  <c r="G82" i="23"/>
  <c r="F82" i="23"/>
  <c r="C82" i="23"/>
  <c r="D82" i="23" s="1"/>
  <c r="H81" i="23"/>
  <c r="G81" i="23"/>
  <c r="F81" i="23"/>
  <c r="C81" i="23"/>
  <c r="D81" i="23" s="1"/>
  <c r="H80" i="23"/>
  <c r="G80" i="23"/>
  <c r="F80" i="23"/>
  <c r="C80" i="23"/>
  <c r="D80" i="23"/>
  <c r="H79" i="23"/>
  <c r="G79" i="23"/>
  <c r="F79" i="23"/>
  <c r="C79" i="23"/>
  <c r="D79" i="23" s="1"/>
  <c r="H78" i="23"/>
  <c r="G78" i="23"/>
  <c r="F78" i="23"/>
  <c r="C78" i="23"/>
  <c r="D78" i="23" s="1"/>
  <c r="H77" i="23"/>
  <c r="G77" i="23"/>
  <c r="F77" i="23"/>
  <c r="C77" i="23"/>
  <c r="D77" i="23"/>
  <c r="H76" i="23"/>
  <c r="G76" i="23"/>
  <c r="F76" i="23"/>
  <c r="C76" i="23"/>
  <c r="D76" i="23" s="1"/>
  <c r="H75" i="23"/>
  <c r="G75" i="23"/>
  <c r="F75" i="23"/>
  <c r="C75" i="23"/>
  <c r="D75" i="23" s="1"/>
  <c r="H74" i="23"/>
  <c r="G74" i="23"/>
  <c r="F74" i="23"/>
  <c r="C74" i="23"/>
  <c r="D74" i="23"/>
  <c r="H73" i="23"/>
  <c r="G73" i="23"/>
  <c r="F73" i="23"/>
  <c r="C73" i="23"/>
  <c r="D73" i="23"/>
  <c r="H72" i="23"/>
  <c r="G72" i="23"/>
  <c r="F72" i="23"/>
  <c r="C72" i="23"/>
  <c r="D72" i="23"/>
  <c r="H71" i="23"/>
  <c r="G71" i="23"/>
  <c r="F71" i="23"/>
  <c r="C71" i="23"/>
  <c r="D71" i="23"/>
  <c r="H70" i="23"/>
  <c r="G70" i="23"/>
  <c r="F70" i="23"/>
  <c r="C70" i="23"/>
  <c r="D70" i="23" s="1"/>
  <c r="H69" i="23"/>
  <c r="G69" i="23"/>
  <c r="F69" i="23"/>
  <c r="C69" i="23"/>
  <c r="D69" i="23" s="1"/>
  <c r="H68" i="23"/>
  <c r="G68" i="23"/>
  <c r="F68" i="23"/>
  <c r="C68" i="23"/>
  <c r="D68" i="23"/>
  <c r="H67" i="23"/>
  <c r="G67" i="23"/>
  <c r="F67" i="23"/>
  <c r="C67" i="23"/>
  <c r="D67" i="23" s="1"/>
  <c r="H66" i="23"/>
  <c r="G66" i="23"/>
  <c r="F66" i="23"/>
  <c r="C66" i="23"/>
  <c r="D66" i="23" s="1"/>
  <c r="H65" i="23"/>
  <c r="G65" i="23"/>
  <c r="F65" i="23"/>
  <c r="C65" i="23"/>
  <c r="D65" i="23"/>
  <c r="H64" i="23"/>
  <c r="G64" i="23"/>
  <c r="F64" i="23"/>
  <c r="C64" i="23"/>
  <c r="D64" i="23" s="1"/>
  <c r="H63" i="23"/>
  <c r="G63" i="23"/>
  <c r="F63" i="23"/>
  <c r="C63" i="23"/>
  <c r="D63" i="23" s="1"/>
  <c r="H62" i="23"/>
  <c r="G62" i="23"/>
  <c r="F62" i="23"/>
  <c r="C62" i="23"/>
  <c r="D62" i="23"/>
  <c r="H61" i="23"/>
  <c r="G61" i="23"/>
  <c r="F61" i="23"/>
  <c r="C61" i="23"/>
  <c r="D61" i="23"/>
  <c r="H60" i="23"/>
  <c r="G60" i="23"/>
  <c r="F60" i="23"/>
  <c r="C60" i="23"/>
  <c r="D60" i="23"/>
  <c r="H59" i="23"/>
  <c r="G59" i="23"/>
  <c r="F59" i="23"/>
  <c r="C59" i="23"/>
  <c r="D59" i="23"/>
  <c r="H58" i="23"/>
  <c r="G58" i="23"/>
  <c r="F58" i="23"/>
  <c r="C58" i="23"/>
  <c r="D58" i="23" s="1"/>
  <c r="H57" i="23"/>
  <c r="G57" i="23"/>
  <c r="F57" i="23"/>
  <c r="C57" i="23"/>
  <c r="D57" i="23" s="1"/>
  <c r="H56" i="23"/>
  <c r="G56" i="23"/>
  <c r="F56" i="23"/>
  <c r="C56" i="23"/>
  <c r="D56" i="23"/>
  <c r="H55" i="23"/>
  <c r="G55" i="23"/>
  <c r="F55" i="23"/>
  <c r="C55" i="23"/>
  <c r="D55" i="23" s="1"/>
  <c r="H54" i="23"/>
  <c r="G54" i="23"/>
  <c r="F54" i="23"/>
  <c r="C54" i="23"/>
  <c r="D54" i="23" s="1"/>
  <c r="H53" i="23"/>
  <c r="G53" i="23"/>
  <c r="F53" i="23"/>
  <c r="C53" i="23"/>
  <c r="D53" i="23"/>
  <c r="H52" i="23"/>
  <c r="G52" i="23"/>
  <c r="F52" i="23"/>
  <c r="C52" i="23"/>
  <c r="D52" i="23" s="1"/>
  <c r="H51" i="23"/>
  <c r="G51" i="23"/>
  <c r="F51" i="23"/>
  <c r="C51" i="23"/>
  <c r="D51" i="23" s="1"/>
  <c r="H50" i="23"/>
  <c r="G50" i="23"/>
  <c r="F50" i="23"/>
  <c r="C50" i="23"/>
  <c r="D50" i="23"/>
  <c r="H49" i="23"/>
  <c r="G49" i="23"/>
  <c r="F49" i="23"/>
  <c r="C49" i="23"/>
  <c r="D49" i="23"/>
  <c r="H48" i="23"/>
  <c r="G48" i="23"/>
  <c r="F48" i="23"/>
  <c r="C48" i="23"/>
  <c r="D48" i="23"/>
  <c r="H47" i="23"/>
  <c r="G47" i="23"/>
  <c r="F47" i="23"/>
  <c r="C47" i="23"/>
  <c r="D47" i="23"/>
  <c r="H46" i="23"/>
  <c r="G46" i="23"/>
  <c r="F46" i="23"/>
  <c r="C46" i="23"/>
  <c r="D46" i="23" s="1"/>
  <c r="H45" i="23"/>
  <c r="G45" i="23"/>
  <c r="F45" i="23"/>
  <c r="C45" i="23"/>
  <c r="D45" i="23" s="1"/>
  <c r="H44" i="23"/>
  <c r="G44" i="23"/>
  <c r="F44" i="23"/>
  <c r="C44" i="23"/>
  <c r="D44" i="23"/>
  <c r="H43" i="23"/>
  <c r="G43" i="23"/>
  <c r="F43" i="23"/>
  <c r="C43" i="23"/>
  <c r="D43" i="23" s="1"/>
  <c r="H42" i="23"/>
  <c r="G42" i="23"/>
  <c r="F42" i="23"/>
  <c r="C42" i="23"/>
  <c r="D42" i="23" s="1"/>
  <c r="H41" i="23"/>
  <c r="G41" i="23"/>
  <c r="F41" i="23"/>
  <c r="C41" i="23"/>
  <c r="D41" i="23"/>
  <c r="H40" i="23"/>
  <c r="G40" i="23"/>
  <c r="F40" i="23"/>
  <c r="C40" i="23"/>
  <c r="D40" i="23" s="1"/>
  <c r="H39" i="23"/>
  <c r="G39" i="23"/>
  <c r="F39" i="23"/>
  <c r="C39" i="23"/>
  <c r="D39" i="23" s="1"/>
  <c r="H38" i="23"/>
  <c r="G38" i="23"/>
  <c r="F38" i="23"/>
  <c r="C38" i="23"/>
  <c r="D38" i="23"/>
  <c r="H37" i="23"/>
  <c r="G37" i="23"/>
  <c r="F37" i="23"/>
  <c r="C37" i="23"/>
  <c r="D37" i="23"/>
  <c r="H36" i="23"/>
  <c r="G36" i="23"/>
  <c r="F36" i="23"/>
  <c r="C36" i="23"/>
  <c r="D36" i="23"/>
  <c r="G35" i="23"/>
  <c r="F35" i="23"/>
  <c r="C35" i="23"/>
  <c r="D35" i="23" s="1"/>
  <c r="G34" i="23"/>
  <c r="F34" i="23"/>
  <c r="C34" i="23"/>
  <c r="D34" i="23"/>
  <c r="G33" i="23"/>
  <c r="F33" i="23"/>
  <c r="C33" i="23"/>
  <c r="D33" i="23"/>
  <c r="G32" i="23"/>
  <c r="F32" i="23"/>
  <c r="C32" i="23"/>
  <c r="D32" i="23" s="1"/>
  <c r="G31" i="23"/>
  <c r="F31" i="23"/>
  <c r="C31" i="23"/>
  <c r="D31" i="23"/>
  <c r="G30" i="23"/>
  <c r="F30" i="23"/>
  <c r="C30" i="23"/>
  <c r="D30" i="23"/>
  <c r="G29" i="23"/>
  <c r="F29" i="23"/>
  <c r="C29" i="23"/>
  <c r="D29" i="23" s="1"/>
  <c r="G28" i="23"/>
  <c r="F28" i="23"/>
  <c r="C28" i="23"/>
  <c r="D28" i="23"/>
  <c r="G27" i="23"/>
  <c r="F27" i="23"/>
  <c r="C27" i="23"/>
  <c r="D27" i="23"/>
  <c r="G26" i="23"/>
  <c r="F26" i="23"/>
  <c r="C26" i="23"/>
  <c r="D26" i="23" s="1"/>
  <c r="G25" i="23"/>
  <c r="F25" i="23"/>
  <c r="C25" i="23"/>
  <c r="D25" i="23"/>
  <c r="G24" i="23"/>
  <c r="F24" i="23"/>
  <c r="C24" i="23"/>
  <c r="D24" i="23"/>
  <c r="G23" i="23"/>
  <c r="F23" i="23"/>
  <c r="C23" i="23"/>
  <c r="D23" i="23" s="1"/>
  <c r="G22" i="23"/>
  <c r="F22" i="23"/>
  <c r="C22" i="23"/>
  <c r="D22" i="23"/>
  <c r="F21" i="23"/>
  <c r="C21" i="23"/>
  <c r="B8" i="23"/>
  <c r="G4" i="23"/>
  <c r="G217" i="5"/>
  <c r="F51" i="19"/>
  <c r="D216" i="2"/>
  <c r="D31" i="22"/>
  <c r="F53" i="18"/>
  <c r="G135" i="13"/>
  <c r="F135" i="13"/>
  <c r="F214" i="7"/>
  <c r="H118" i="14"/>
  <c r="F118" i="14"/>
  <c r="F50" i="19"/>
  <c r="F217" i="4"/>
  <c r="D67" i="16"/>
  <c r="F67" i="16"/>
  <c r="G216" i="5"/>
  <c r="F216" i="6"/>
  <c r="F49" i="19"/>
  <c r="F52" i="18"/>
  <c r="G134" i="13"/>
  <c r="F134" i="13"/>
  <c r="F66" i="16"/>
  <c r="F213" i="7"/>
  <c r="G215" i="5"/>
  <c r="D215" i="5"/>
  <c r="F216" i="4"/>
  <c r="H117" i="14"/>
  <c r="F117" i="14"/>
  <c r="F215" i="6"/>
  <c r="F51" i="18"/>
  <c r="F48" i="19"/>
  <c r="F212" i="7"/>
  <c r="G133" i="13"/>
  <c r="D133" i="13"/>
  <c r="F133" i="13"/>
  <c r="F215" i="4"/>
  <c r="G214" i="5"/>
  <c r="H116" i="14"/>
  <c r="F116" i="14"/>
  <c r="F65" i="16"/>
  <c r="F214" i="6"/>
  <c r="F50" i="18"/>
  <c r="G132" i="13"/>
  <c r="F132" i="13"/>
  <c r="F211" i="7"/>
  <c r="F214" i="4"/>
  <c r="G213" i="5"/>
  <c r="F213" i="6"/>
  <c r="F47" i="19"/>
  <c r="D212" i="2"/>
  <c r="D64" i="16"/>
  <c r="F64" i="16"/>
  <c r="H115" i="14"/>
  <c r="F115" i="14"/>
  <c r="F46" i="19"/>
  <c r="D27" i="22"/>
  <c r="F49" i="18"/>
  <c r="F48" i="18"/>
  <c r="G131" i="13"/>
  <c r="F131" i="13"/>
  <c r="F213" i="4"/>
  <c r="F210" i="7"/>
  <c r="G212" i="5"/>
  <c r="H114" i="14"/>
  <c r="F114" i="14"/>
  <c r="F212" i="6"/>
  <c r="G130" i="13"/>
  <c r="F130" i="13"/>
  <c r="F209" i="7"/>
  <c r="F45" i="19"/>
  <c r="D63" i="16"/>
  <c r="F63" i="16"/>
  <c r="F62" i="16"/>
  <c r="F212" i="4"/>
  <c r="H113" i="14"/>
  <c r="F113" i="14"/>
  <c r="G211" i="5"/>
  <c r="D211" i="5"/>
  <c r="F211" i="6"/>
  <c r="F47" i="18"/>
  <c r="D44" i="19"/>
  <c r="F44" i="19"/>
  <c r="H112" i="14"/>
  <c r="F112" i="14"/>
  <c r="G129" i="13"/>
  <c r="F129" i="13"/>
  <c r="F61" i="16"/>
  <c r="F208" i="7"/>
  <c r="F211" i="4"/>
  <c r="D182" i="11"/>
  <c r="G210" i="5"/>
  <c r="F210" i="6"/>
  <c r="D143" i="12"/>
  <c r="H111" i="14"/>
  <c r="F111" i="14"/>
  <c r="F43" i="19"/>
  <c r="D208" i="2"/>
  <c r="F207" i="7"/>
  <c r="F46" i="18"/>
  <c r="G128" i="13"/>
  <c r="F128" i="13"/>
  <c r="D60" i="16"/>
  <c r="F60" i="16"/>
  <c r="F210" i="4"/>
  <c r="F209" i="4"/>
  <c r="F209" i="6"/>
  <c r="D209" i="6"/>
  <c r="G209" i="5"/>
  <c r="F42" i="19"/>
  <c r="H110" i="14"/>
  <c r="F110" i="14"/>
  <c r="F45" i="18"/>
  <c r="F21" i="22"/>
  <c r="D59" i="16"/>
  <c r="F59" i="16"/>
  <c r="F206" i="7"/>
  <c r="G127" i="13"/>
  <c r="F127" i="13"/>
  <c r="F208" i="6"/>
  <c r="G208" i="5"/>
  <c r="F44" i="18"/>
  <c r="G126" i="13"/>
  <c r="F126" i="13"/>
  <c r="F41" i="19"/>
  <c r="F58" i="16"/>
  <c r="H109" i="14"/>
  <c r="F109" i="14"/>
  <c r="F205" i="7"/>
  <c r="F208" i="4"/>
  <c r="F207" i="6"/>
  <c r="G207" i="5"/>
  <c r="D207" i="5"/>
  <c r="F43" i="18"/>
  <c r="G125" i="13"/>
  <c r="D125" i="13"/>
  <c r="F125" i="13"/>
  <c r="D40" i="19"/>
  <c r="F40" i="19"/>
  <c r="H108" i="14"/>
  <c r="F108" i="14"/>
  <c r="F57" i="16"/>
  <c r="F204" i="7"/>
  <c r="G206" i="5"/>
  <c r="F207" i="4"/>
  <c r="D23" i="22"/>
  <c r="B8" i="22"/>
  <c r="G4" i="22"/>
  <c r="F206" i="6"/>
  <c r="F42" i="18"/>
  <c r="D56" i="16"/>
  <c r="F56" i="16"/>
  <c r="H107" i="14"/>
  <c r="F107" i="14"/>
  <c r="F39" i="19"/>
  <c r="D204" i="2"/>
  <c r="F203" i="7"/>
  <c r="G124" i="13"/>
  <c r="F124" i="13"/>
  <c r="F205" i="6"/>
  <c r="D205" i="6"/>
  <c r="F206" i="4"/>
  <c r="G205" i="5"/>
  <c r="G123" i="13"/>
  <c r="F123" i="13"/>
  <c r="F205" i="4"/>
  <c r="F41" i="18"/>
  <c r="G204" i="5"/>
  <c r="D55" i="16"/>
  <c r="F55" i="16"/>
  <c r="F202" i="7"/>
  <c r="H106" i="14"/>
  <c r="F106" i="14"/>
  <c r="D38" i="19"/>
  <c r="F38" i="19"/>
  <c r="F204" i="6"/>
  <c r="D204" i="6"/>
  <c r="D137" i="12"/>
  <c r="G122" i="13"/>
  <c r="F122" i="13"/>
  <c r="F37" i="19"/>
  <c r="H105" i="14"/>
  <c r="F105" i="14"/>
  <c r="F40" i="18"/>
  <c r="F203" i="6"/>
  <c r="F204" i="4"/>
  <c r="G203" i="5"/>
  <c r="D203" i="5"/>
  <c r="F202" i="6"/>
  <c r="F54" i="16"/>
  <c r="F201" i="7"/>
  <c r="F36" i="19"/>
  <c r="H104" i="14"/>
  <c r="F104" i="14"/>
  <c r="F203" i="4"/>
  <c r="F53" i="16"/>
  <c r="F39" i="18"/>
  <c r="F200" i="7"/>
  <c r="G121" i="13"/>
  <c r="F121" i="13"/>
  <c r="G202" i="5"/>
  <c r="G194" i="9"/>
  <c r="D194" i="9"/>
  <c r="F194" i="9"/>
  <c r="D52" i="16"/>
  <c r="F52" i="16"/>
  <c r="F201" i="6"/>
  <c r="D201" i="6"/>
  <c r="D200" i="2"/>
  <c r="G120" i="13"/>
  <c r="F120" i="13"/>
  <c r="F38" i="18"/>
  <c r="F35" i="19"/>
  <c r="H103" i="14"/>
  <c r="F103" i="14"/>
  <c r="F200" i="6"/>
  <c r="D200" i="6"/>
  <c r="F199" i="7"/>
  <c r="F202" i="4"/>
  <c r="G201" i="5"/>
  <c r="F193" i="9"/>
  <c r="G119" i="13"/>
  <c r="F119" i="13"/>
  <c r="F37" i="18"/>
  <c r="D172" i="11"/>
  <c r="D51" i="16"/>
  <c r="F51" i="16"/>
  <c r="H102" i="14"/>
  <c r="F102" i="14"/>
  <c r="F198" i="7"/>
  <c r="F34" i="19"/>
  <c r="F201" i="4"/>
  <c r="G200" i="5"/>
  <c r="F33" i="19"/>
  <c r="F200" i="4"/>
  <c r="F36" i="18"/>
  <c r="F197" i="7"/>
  <c r="H101" i="14"/>
  <c r="F101" i="14"/>
  <c r="F199" i="4"/>
  <c r="G117" i="13"/>
  <c r="G118" i="13"/>
  <c r="F118" i="13"/>
  <c r="D117" i="13"/>
  <c r="F117" i="13"/>
  <c r="F49" i="16"/>
  <c r="F50" i="16"/>
  <c r="F196" i="7"/>
  <c r="F191" i="9"/>
  <c r="F192" i="9"/>
  <c r="F35" i="18"/>
  <c r="F199" i="6"/>
  <c r="F198" i="6"/>
  <c r="H100" i="14"/>
  <c r="F100" i="14"/>
  <c r="G199" i="5"/>
  <c r="D199" i="5"/>
  <c r="D32" i="19"/>
  <c r="F32" i="19"/>
  <c r="G198" i="5"/>
  <c r="D48" i="16"/>
  <c r="F48" i="16"/>
  <c r="D47" i="16"/>
  <c r="F47" i="16"/>
  <c r="D190" i="9"/>
  <c r="F190" i="9"/>
  <c r="D196" i="2"/>
  <c r="G116" i="13"/>
  <c r="F116" i="13"/>
  <c r="F198" i="4"/>
  <c r="F34" i="18"/>
  <c r="F195" i="7"/>
  <c r="G197" i="5"/>
  <c r="H99" i="14"/>
  <c r="F99" i="14"/>
  <c r="F31" i="19"/>
  <c r="F197" i="6"/>
  <c r="F30" i="19"/>
  <c r="F33" i="18"/>
  <c r="H98" i="14"/>
  <c r="F98" i="14"/>
  <c r="F196" i="6"/>
  <c r="F46" i="16"/>
  <c r="G115" i="13"/>
  <c r="F115" i="13"/>
  <c r="F194" i="7"/>
  <c r="D168" i="11"/>
  <c r="F197" i="4"/>
  <c r="G196" i="5"/>
  <c r="D189" i="9"/>
  <c r="F189" i="9"/>
  <c r="F29" i="19"/>
  <c r="B8" i="20"/>
  <c r="G4" i="20"/>
  <c r="G114" i="13"/>
  <c r="F114" i="13"/>
  <c r="F32" i="18"/>
  <c r="F193" i="7"/>
  <c r="H97" i="14"/>
  <c r="F97" i="14"/>
  <c r="F196" i="4"/>
  <c r="G195" i="5"/>
  <c r="D195" i="5"/>
  <c r="F195" i="6"/>
  <c r="D43" i="16"/>
  <c r="D44" i="16"/>
  <c r="F43" i="16"/>
  <c r="F44" i="16"/>
  <c r="F45" i="16"/>
  <c r="F188" i="9"/>
  <c r="F28" i="19"/>
  <c r="F192" i="7"/>
  <c r="G113" i="13"/>
  <c r="F113" i="13"/>
  <c r="F31" i="18"/>
  <c r="H96" i="14"/>
  <c r="F96" i="14"/>
  <c r="F187" i="9"/>
  <c r="F195" i="4"/>
  <c r="G194" i="5"/>
  <c r="F194" i="6"/>
  <c r="F27" i="19"/>
  <c r="D192" i="2"/>
  <c r="F30" i="18"/>
  <c r="H95" i="14"/>
  <c r="F95" i="14"/>
  <c r="F191" i="7"/>
  <c r="G111" i="13"/>
  <c r="G112" i="13"/>
  <c r="F112" i="13"/>
  <c r="F111" i="13"/>
  <c r="F194" i="4"/>
  <c r="D186" i="9"/>
  <c r="F186" i="9"/>
  <c r="F26" i="19"/>
  <c r="F193" i="6"/>
  <c r="D193" i="6"/>
  <c r="G193" i="5"/>
  <c r="F29" i="18"/>
  <c r="G110" i="13"/>
  <c r="F110" i="13"/>
  <c r="F190" i="7"/>
  <c r="H94" i="14"/>
  <c r="F94" i="14"/>
  <c r="F193" i="4"/>
  <c r="G192" i="5"/>
  <c r="F192" i="6"/>
  <c r="F42" i="16"/>
  <c r="F185" i="9"/>
  <c r="F184" i="9"/>
  <c r="F28" i="18"/>
  <c r="H93" i="14"/>
  <c r="F93" i="14"/>
  <c r="F189" i="7"/>
  <c r="F192" i="4"/>
  <c r="G191" i="5"/>
  <c r="D191" i="5"/>
  <c r="F191" i="6"/>
  <c r="F183" i="9"/>
  <c r="H92" i="14"/>
  <c r="F92" i="14"/>
  <c r="G109" i="13"/>
  <c r="F109" i="13"/>
  <c r="F191" i="4"/>
  <c r="D40" i="16"/>
  <c r="F40" i="16"/>
  <c r="F41" i="16"/>
  <c r="F188" i="7"/>
  <c r="G190" i="5"/>
  <c r="F190" i="6"/>
  <c r="D188" i="2"/>
  <c r="H91" i="14"/>
  <c r="F91" i="14"/>
  <c r="G108" i="13"/>
  <c r="F108" i="13"/>
  <c r="F187" i="7"/>
  <c r="F190" i="4"/>
  <c r="G189" i="5"/>
  <c r="F189" i="6"/>
  <c r="D189" i="6"/>
  <c r="D39" i="16"/>
  <c r="F39" i="16"/>
  <c r="G107" i="13"/>
  <c r="F107" i="13"/>
  <c r="D182" i="9"/>
  <c r="F182" i="9"/>
  <c r="H90" i="14"/>
  <c r="F90" i="14"/>
  <c r="F186" i="7"/>
  <c r="G188" i="5"/>
  <c r="G106" i="13"/>
  <c r="F106" i="13"/>
  <c r="F188" i="6"/>
  <c r="D159" i="11"/>
  <c r="F185" i="7"/>
  <c r="D36" i="16"/>
  <c r="F36" i="16"/>
  <c r="F37" i="16"/>
  <c r="F38" i="16"/>
  <c r="D35" i="16"/>
  <c r="F35" i="16"/>
  <c r="F181" i="9"/>
  <c r="F189" i="4"/>
  <c r="F188" i="4"/>
  <c r="H89" i="14"/>
  <c r="F89" i="14"/>
  <c r="F187" i="6"/>
  <c r="G187" i="5"/>
  <c r="D187" i="5"/>
  <c r="D180" i="9"/>
  <c r="F180" i="9"/>
  <c r="G105" i="13"/>
  <c r="D105" i="13"/>
  <c r="F105" i="13"/>
  <c r="H88" i="14"/>
  <c r="F88" i="14"/>
  <c r="F184" i="7"/>
  <c r="F187" i="4"/>
  <c r="G186" i="5"/>
  <c r="F186" i="6"/>
  <c r="F179" i="9"/>
  <c r="F25" i="19"/>
  <c r="F24" i="19"/>
  <c r="D24" i="19"/>
  <c r="F23" i="19"/>
  <c r="F22" i="19"/>
  <c r="F21" i="19"/>
  <c r="B8" i="19"/>
  <c r="G4" i="19"/>
  <c r="G104" i="13"/>
  <c r="F104" i="13"/>
  <c r="D184" i="2"/>
  <c r="H87" i="14"/>
  <c r="F87" i="14"/>
  <c r="F183" i="7"/>
  <c r="F186" i="4"/>
  <c r="G185" i="5"/>
  <c r="F27" i="18"/>
  <c r="F26" i="18"/>
  <c r="F25" i="18"/>
  <c r="F24" i="18"/>
  <c r="F23" i="18"/>
  <c r="F22" i="18"/>
  <c r="F21" i="18"/>
  <c r="B8" i="18"/>
  <c r="G4" i="18"/>
  <c r="D178" i="9"/>
  <c r="F178" i="9"/>
  <c r="F185" i="6"/>
  <c r="D185" i="6"/>
  <c r="G103" i="13"/>
  <c r="F103" i="13"/>
  <c r="F185" i="4"/>
  <c r="H86" i="14"/>
  <c r="F86" i="14"/>
  <c r="F182" i="7"/>
  <c r="F177" i="9"/>
  <c r="G184" i="5"/>
  <c r="F184" i="6"/>
  <c r="D117" i="12"/>
  <c r="G102" i="13"/>
  <c r="F102" i="13"/>
  <c r="F181" i="7"/>
  <c r="D155" i="11"/>
  <c r="F33" i="16"/>
  <c r="F34" i="16"/>
  <c r="H85" i="14"/>
  <c r="F85" i="14"/>
  <c r="F184" i="4"/>
  <c r="J115" i="12"/>
  <c r="F183" i="6"/>
  <c r="G183" i="5"/>
  <c r="D183" i="5"/>
  <c r="F175" i="9"/>
  <c r="F176" i="9"/>
  <c r="G101" i="13"/>
  <c r="F101" i="13"/>
  <c r="H84" i="14"/>
  <c r="F84" i="14"/>
  <c r="F180" i="7"/>
  <c r="F183" i="4"/>
  <c r="G182" i="5"/>
  <c r="F182" i="6"/>
  <c r="D31" i="16"/>
  <c r="D32" i="16"/>
  <c r="F31" i="16"/>
  <c r="F32" i="16"/>
  <c r="G100" i="13"/>
  <c r="F100" i="13"/>
  <c r="D180" i="2"/>
  <c r="H83" i="14"/>
  <c r="F83" i="14"/>
  <c r="F179" i="7"/>
  <c r="G181" i="5"/>
  <c r="D182" i="4"/>
  <c r="F182" i="4"/>
  <c r="D174" i="9"/>
  <c r="F174" i="9"/>
  <c r="F181" i="6"/>
  <c r="G99" i="13"/>
  <c r="F99" i="13"/>
  <c r="F178" i="7"/>
  <c r="H82" i="14"/>
  <c r="F82" i="14"/>
  <c r="F181" i="4"/>
  <c r="G180" i="5"/>
  <c r="D152" i="11"/>
  <c r="F180" i="6"/>
  <c r="G98" i="13"/>
  <c r="F98" i="13"/>
  <c r="F173" i="9"/>
  <c r="H81" i="14"/>
  <c r="F81" i="14"/>
  <c r="F177" i="7"/>
  <c r="F180" i="4"/>
  <c r="G179" i="5"/>
  <c r="D179" i="5"/>
  <c r="F179" i="6"/>
  <c r="F30" i="16"/>
  <c r="G97" i="13"/>
  <c r="F97" i="13"/>
  <c r="F172" i="9"/>
  <c r="F176" i="7"/>
  <c r="D28" i="16"/>
  <c r="F28" i="16"/>
  <c r="F29" i="16"/>
  <c r="F178" i="6"/>
  <c r="H80" i="14"/>
  <c r="F80" i="14"/>
  <c r="F179" i="4"/>
  <c r="G178" i="5"/>
  <c r="F171" i="9"/>
  <c r="G96" i="13"/>
  <c r="F96" i="13"/>
  <c r="H79" i="14"/>
  <c r="F79" i="14"/>
  <c r="D176" i="2"/>
  <c r="D178" i="4"/>
  <c r="F178" i="4"/>
  <c r="G177" i="5"/>
  <c r="F175" i="7"/>
  <c r="F177" i="6"/>
  <c r="D27" i="16"/>
  <c r="F26" i="16"/>
  <c r="F27" i="16"/>
  <c r="D170" i="9"/>
  <c r="F170" i="9"/>
  <c r="G95" i="13"/>
  <c r="F95" i="13"/>
  <c r="D148" i="11"/>
  <c r="F174" i="7"/>
  <c r="H78" i="14"/>
  <c r="F176" i="6"/>
  <c r="F78" i="14"/>
  <c r="F177" i="4"/>
  <c r="G176" i="5"/>
  <c r="F168" i="9"/>
  <c r="F169" i="9"/>
  <c r="G93" i="13"/>
  <c r="G94" i="13"/>
  <c r="F94" i="13"/>
  <c r="D93" i="13"/>
  <c r="F93" i="13"/>
  <c r="G175" i="5"/>
  <c r="D175" i="5"/>
  <c r="H77" i="14"/>
  <c r="F77" i="14"/>
  <c r="F173" i="7"/>
  <c r="F175" i="6"/>
  <c r="D147" i="11"/>
  <c r="F176" i="4"/>
  <c r="F167" i="9"/>
  <c r="F175" i="4"/>
  <c r="F172" i="7"/>
  <c r="H76" i="14"/>
  <c r="F76" i="14"/>
  <c r="G174" i="5"/>
  <c r="F25" i="16"/>
  <c r="F24" i="16"/>
  <c r="D24" i="16"/>
  <c r="F23" i="16"/>
  <c r="D23" i="16"/>
  <c r="F22" i="16"/>
  <c r="F21" i="16"/>
  <c r="B8" i="16"/>
  <c r="G4" i="16"/>
  <c r="F174" i="6"/>
  <c r="G92" i="13"/>
  <c r="F92" i="13"/>
  <c r="H75" i="14"/>
  <c r="F75" i="14"/>
  <c r="D172" i="2"/>
  <c r="F174" i="4"/>
  <c r="F171" i="7"/>
  <c r="D166" i="9"/>
  <c r="F166" i="9"/>
  <c r="G173" i="5"/>
  <c r="F173" i="6"/>
  <c r="D173" i="6"/>
  <c r="G91" i="13"/>
  <c r="F91" i="13"/>
  <c r="D171" i="2"/>
  <c r="H74" i="14"/>
  <c r="F74" i="14"/>
  <c r="F170" i="7"/>
  <c r="G172" i="5"/>
  <c r="F173" i="4"/>
  <c r="F165" i="9"/>
  <c r="F171" i="6"/>
  <c r="F172" i="6"/>
  <c r="G90" i="13"/>
  <c r="F90" i="13"/>
  <c r="H73" i="14"/>
  <c r="F73" i="14"/>
  <c r="F169" i="7"/>
  <c r="F164" i="9"/>
  <c r="F172" i="4"/>
  <c r="G171" i="5"/>
  <c r="D171" i="5"/>
  <c r="H72" i="14"/>
  <c r="F72" i="14"/>
  <c r="G89" i="13"/>
  <c r="D89" i="13"/>
  <c r="F89" i="13"/>
  <c r="F171" i="4"/>
  <c r="F168" i="7"/>
  <c r="F163" i="9"/>
  <c r="G170" i="5"/>
  <c r="F170" i="6"/>
  <c r="D168" i="2"/>
  <c r="H71" i="14"/>
  <c r="F71" i="14"/>
  <c r="G88" i="13"/>
  <c r="F88" i="13"/>
  <c r="F170" i="4"/>
  <c r="D162" i="9"/>
  <c r="F162" i="9"/>
  <c r="G87" i="13"/>
  <c r="F87" i="13"/>
  <c r="F167" i="7"/>
  <c r="F169" i="6"/>
  <c r="H70" i="14"/>
  <c r="F70" i="14"/>
  <c r="G169" i="5"/>
  <c r="F166" i="7"/>
  <c r="F169" i="4"/>
  <c r="G168" i="5"/>
  <c r="G85" i="13"/>
  <c r="G86" i="13"/>
  <c r="F86" i="13"/>
  <c r="D85" i="13"/>
  <c r="F85" i="13"/>
  <c r="F161" i="9"/>
  <c r="H69" i="14"/>
  <c r="F69" i="14"/>
  <c r="F168" i="6"/>
  <c r="D139" i="11"/>
  <c r="F165" i="7"/>
  <c r="F168" i="4"/>
  <c r="G167" i="5"/>
  <c r="D167" i="5"/>
  <c r="F160" i="9"/>
  <c r="F167" i="6"/>
  <c r="F164" i="7"/>
  <c r="H68" i="14"/>
  <c r="F68" i="14"/>
  <c r="G166" i="5"/>
  <c r="F166" i="6"/>
  <c r="F159" i="9"/>
  <c r="D164" i="2"/>
  <c r="F167" i="4"/>
  <c r="G84" i="13"/>
  <c r="F84" i="13"/>
  <c r="H67" i="14"/>
  <c r="F67" i="14"/>
  <c r="F163" i="7"/>
  <c r="G165" i="5"/>
  <c r="F165" i="6"/>
  <c r="D165" i="6"/>
  <c r="F166" i="4"/>
  <c r="G83" i="13"/>
  <c r="F83" i="13"/>
  <c r="D158" i="9"/>
  <c r="F158" i="9"/>
  <c r="H66" i="14"/>
  <c r="F66" i="14"/>
  <c r="F162" i="7"/>
  <c r="G164" i="5"/>
  <c r="F157" i="9"/>
  <c r="F164" i="6"/>
  <c r="F165" i="4"/>
  <c r="G82" i="13"/>
  <c r="F82" i="13"/>
  <c r="D97" i="12"/>
  <c r="D135" i="11"/>
  <c r="H65" i="14"/>
  <c r="F65" i="14"/>
  <c r="F161" i="7"/>
  <c r="F156" i="9"/>
  <c r="G163" i="5"/>
  <c r="D163" i="5"/>
  <c r="F163" i="6"/>
  <c r="F164" i="4"/>
  <c r="G81" i="13"/>
  <c r="D81" i="13"/>
  <c r="F81" i="13"/>
  <c r="H64" i="14"/>
  <c r="F64" i="14"/>
  <c r="F160" i="7"/>
  <c r="F155" i="9"/>
  <c r="G161" i="5"/>
  <c r="G162" i="5"/>
  <c r="F162" i="6"/>
  <c r="F163" i="4"/>
  <c r="D160" i="2"/>
  <c r="G80" i="13"/>
  <c r="F80" i="13"/>
  <c r="F162" i="4"/>
  <c r="D154" i="9"/>
  <c r="F154" i="9"/>
  <c r="H63" i="14"/>
  <c r="F63" i="14"/>
  <c r="F159" i="7"/>
  <c r="F161" i="6"/>
  <c r="F153" i="9"/>
  <c r="G79" i="13"/>
  <c r="F79" i="13"/>
  <c r="D132" i="11"/>
  <c r="H62" i="14"/>
  <c r="F62" i="14"/>
  <c r="F161" i="4"/>
  <c r="F158" i="7"/>
  <c r="G160" i="5"/>
  <c r="F160" i="4"/>
  <c r="F160" i="6"/>
  <c r="G78" i="13"/>
  <c r="F78" i="13"/>
  <c r="F159" i="6"/>
  <c r="F157" i="7"/>
  <c r="H61" i="14"/>
  <c r="F61" i="14"/>
  <c r="G158" i="5"/>
  <c r="G159" i="5"/>
  <c r="D159" i="5"/>
  <c r="F152" i="9"/>
  <c r="F158" i="6"/>
  <c r="F156" i="7"/>
  <c r="G77" i="13"/>
  <c r="F77" i="13"/>
  <c r="H60" i="14"/>
  <c r="F60" i="14"/>
  <c r="D150" i="9"/>
  <c r="F150" i="9"/>
  <c r="F151" i="9"/>
  <c r="F159" i="4"/>
  <c r="D156" i="2"/>
  <c r="G76" i="13"/>
  <c r="F76" i="13"/>
  <c r="H59" i="14"/>
  <c r="F59" i="14"/>
  <c r="F155" i="7"/>
  <c r="G157" i="5"/>
  <c r="F157" i="6"/>
  <c r="D158" i="4"/>
  <c r="F158" i="4"/>
  <c r="G75" i="13"/>
  <c r="F75" i="13"/>
  <c r="H58" i="14"/>
  <c r="F58" i="14"/>
  <c r="F154" i="7"/>
  <c r="F156" i="6"/>
  <c r="G156" i="5"/>
  <c r="F157" i="4"/>
  <c r="F149" i="9"/>
  <c r="G74" i="13"/>
  <c r="F74" i="13"/>
  <c r="F153" i="7"/>
  <c r="F142" i="10"/>
  <c r="D142" i="10"/>
  <c r="F148" i="9"/>
  <c r="H57" i="14"/>
  <c r="F57" i="14"/>
  <c r="G155" i="5"/>
  <c r="D155" i="5"/>
  <c r="F155" i="6"/>
  <c r="D150" i="8"/>
  <c r="F150" i="8"/>
  <c r="H56" i="14"/>
  <c r="F56" i="14"/>
  <c r="F156" i="4"/>
  <c r="G73" i="13"/>
  <c r="F73" i="13"/>
  <c r="F141" i="10"/>
  <c r="F152" i="7"/>
  <c r="F154" i="6"/>
  <c r="G154" i="5"/>
  <c r="F147" i="9"/>
  <c r="F155" i="4"/>
  <c r="D87" i="12"/>
  <c r="F149" i="8"/>
  <c r="D152" i="2"/>
  <c r="G72" i="13"/>
  <c r="F72" i="13"/>
  <c r="H55" i="14"/>
  <c r="F55" i="14"/>
  <c r="F140" i="10"/>
  <c r="F151" i="7"/>
  <c r="G153" i="5"/>
  <c r="F153" i="6"/>
  <c r="F154" i="4"/>
  <c r="D146" i="9"/>
  <c r="F146" i="9"/>
  <c r="F148" i="8"/>
  <c r="G71" i="13"/>
  <c r="F71" i="13"/>
  <c r="H54" i="14"/>
  <c r="F54" i="14"/>
  <c r="F150" i="7"/>
  <c r="F139" i="10"/>
  <c r="F145" i="9"/>
  <c r="G152" i="5"/>
  <c r="F152" i="6"/>
  <c r="F153" i="4"/>
  <c r="F147" i="8"/>
  <c r="G70" i="13"/>
  <c r="F70" i="13"/>
  <c r="F138" i="10"/>
  <c r="D138" i="10"/>
  <c r="G151" i="5"/>
  <c r="D151" i="5"/>
  <c r="H53" i="14"/>
  <c r="F53" i="14"/>
  <c r="F144" i="9"/>
  <c r="F149" i="7"/>
  <c r="F151" i="6"/>
  <c r="F152" i="4"/>
  <c r="F137" i="10"/>
  <c r="G69" i="13"/>
  <c r="D69" i="13"/>
  <c r="F69" i="13"/>
  <c r="D146" i="8"/>
  <c r="F146" i="8"/>
  <c r="F143" i="9"/>
  <c r="F148" i="7"/>
  <c r="H52" i="14"/>
  <c r="D137" i="10"/>
  <c r="F150" i="6"/>
  <c r="F151" i="4"/>
  <c r="D148" i="2"/>
  <c r="G68" i="13"/>
  <c r="F145" i="8"/>
  <c r="F136" i="10"/>
  <c r="F147" i="7"/>
  <c r="F149" i="6"/>
  <c r="D149" i="6"/>
  <c r="F52" i="14"/>
  <c r="F51" i="14"/>
  <c r="D142" i="9"/>
  <c r="F142" i="9"/>
  <c r="F150" i="4"/>
  <c r="G67" i="13"/>
  <c r="F67" i="13"/>
  <c r="F68" i="13"/>
  <c r="F50" i="14"/>
  <c r="F144" i="8"/>
  <c r="F135" i="10"/>
  <c r="F146" i="7"/>
  <c r="D120" i="11"/>
  <c r="D140" i="9"/>
  <c r="F140" i="9"/>
  <c r="F141" i="9"/>
  <c r="F148" i="6"/>
  <c r="F149" i="4"/>
  <c r="F143" i="8"/>
  <c r="F66" i="13"/>
  <c r="F134" i="10"/>
  <c r="D134" i="10"/>
  <c r="F145" i="7"/>
  <c r="F147" i="6"/>
  <c r="F48" i="14"/>
  <c r="F49" i="14"/>
  <c r="D147" i="5"/>
  <c r="F147" i="4"/>
  <c r="F148" i="4"/>
  <c r="F146" i="6"/>
  <c r="D142" i="8"/>
  <c r="F142" i="8"/>
  <c r="F65" i="13"/>
  <c r="H144" i="7"/>
  <c r="I145" i="6"/>
  <c r="F133" i="10"/>
  <c r="F146" i="4"/>
  <c r="D139" i="9"/>
  <c r="F139" i="9"/>
  <c r="F47" i="14"/>
  <c r="F141" i="8"/>
  <c r="F64" i="13"/>
  <c r="D144" i="2"/>
  <c r="F131" i="10"/>
  <c r="F132" i="10"/>
  <c r="F143" i="7"/>
  <c r="D138" i="9"/>
  <c r="F138" i="9"/>
  <c r="F46" i="14"/>
  <c r="F63" i="13"/>
  <c r="F140" i="8"/>
  <c r="F142" i="7"/>
  <c r="F144" i="6"/>
  <c r="F137" i="9"/>
  <c r="F145" i="4"/>
  <c r="F45" i="14"/>
  <c r="F62" i="13"/>
  <c r="F139" i="8"/>
  <c r="F141" i="7"/>
  <c r="F130" i="10"/>
  <c r="D130" i="10"/>
  <c r="D77" i="12"/>
  <c r="D143" i="5"/>
  <c r="F135" i="9"/>
  <c r="F136" i="9"/>
  <c r="F143" i="6"/>
  <c r="D143" i="6"/>
  <c r="F144" i="4"/>
  <c r="D138" i="8"/>
  <c r="F138" i="8"/>
  <c r="F44" i="14"/>
  <c r="F61" i="13"/>
  <c r="F129" i="10"/>
  <c r="F140" i="7"/>
  <c r="F143" i="4"/>
  <c r="F142" i="6"/>
  <c r="D140" i="2"/>
  <c r="F137" i="8"/>
  <c r="F60" i="13"/>
  <c r="F43" i="14"/>
  <c r="F139" i="7"/>
  <c r="D134" i="9"/>
  <c r="F134" i="9"/>
  <c r="F127" i="10"/>
  <c r="F128" i="10"/>
  <c r="F141" i="6"/>
  <c r="F142" i="4"/>
  <c r="F42" i="14"/>
  <c r="D59" i="13"/>
  <c r="F59" i="13"/>
  <c r="F136" i="8"/>
  <c r="F138" i="7"/>
  <c r="F133" i="9"/>
  <c r="F140" i="6"/>
  <c r="F141" i="4"/>
  <c r="F58" i="13"/>
  <c r="F41" i="14"/>
  <c r="F132" i="9"/>
  <c r="F135" i="8"/>
  <c r="F116" i="10"/>
  <c r="F117" i="10"/>
  <c r="F118" i="10"/>
  <c r="F119" i="10"/>
  <c r="F120" i="10"/>
  <c r="F121" i="10"/>
  <c r="F122" i="10"/>
  <c r="F123" i="10"/>
  <c r="F124" i="10"/>
  <c r="F125" i="10"/>
  <c r="F126" i="10"/>
  <c r="D126" i="10"/>
  <c r="F137" i="7"/>
  <c r="F140" i="4"/>
  <c r="F139" i="6"/>
  <c r="D134" i="8"/>
  <c r="F134" i="8"/>
  <c r="D139" i="5"/>
  <c r="F131" i="9"/>
  <c r="F57" i="13"/>
  <c r="D136" i="7"/>
  <c r="F136" i="7"/>
  <c r="F40" i="14"/>
  <c r="F133" i="8"/>
  <c r="F139" i="4"/>
  <c r="F138" i="6"/>
  <c r="D136" i="2"/>
  <c r="F56" i="13"/>
  <c r="F137" i="6"/>
  <c r="F135" i="6"/>
  <c r="F136" i="6"/>
  <c r="F39" i="14"/>
  <c r="D130" i="9"/>
  <c r="F130" i="9"/>
  <c r="F135" i="7"/>
  <c r="D138" i="4"/>
  <c r="F138" i="4"/>
  <c r="D132" i="8"/>
  <c r="F132" i="8"/>
  <c r="F38" i="14"/>
  <c r="F55" i="13"/>
  <c r="F129" i="9"/>
  <c r="D108" i="11"/>
  <c r="F134" i="7"/>
  <c r="F137" i="4"/>
  <c r="F131" i="8"/>
  <c r="D122" i="10"/>
  <c r="F54" i="13"/>
  <c r="D135" i="6"/>
  <c r="F37" i="14"/>
  <c r="F133" i="7"/>
  <c r="F128" i="9"/>
  <c r="F134" i="6"/>
  <c r="F136" i="4"/>
  <c r="D130" i="8"/>
  <c r="F130" i="8"/>
  <c r="D53" i="13"/>
  <c r="F53" i="13"/>
  <c r="F36" i="14"/>
  <c r="F132" i="7"/>
  <c r="F127" i="9"/>
  <c r="F135" i="4"/>
  <c r="F52" i="13"/>
  <c r="D135" i="5"/>
  <c r="F35" i="14"/>
  <c r="D132" i="2"/>
  <c r="F131" i="7"/>
  <c r="D129" i="8"/>
  <c r="F129" i="8"/>
  <c r="D126" i="9"/>
  <c r="F126" i="9"/>
  <c r="F133" i="6"/>
  <c r="D133" i="6"/>
  <c r="F134" i="4"/>
  <c r="D128" i="8"/>
  <c r="F128" i="8"/>
  <c r="F51" i="13"/>
  <c r="F34" i="14"/>
  <c r="F132" i="6"/>
  <c r="F130" i="7"/>
  <c r="D125" i="9"/>
  <c r="F125" i="9"/>
  <c r="F130" i="6"/>
  <c r="F131" i="6"/>
  <c r="F133" i="4"/>
  <c r="F33" i="14"/>
  <c r="F124" i="9"/>
  <c r="F127" i="8"/>
  <c r="F50" i="13"/>
  <c r="D118" i="10"/>
  <c r="F129" i="7"/>
  <c r="D131" i="5"/>
  <c r="D126" i="8"/>
  <c r="F126" i="8"/>
  <c r="F32" i="14"/>
  <c r="F132" i="4"/>
  <c r="F49" i="13"/>
  <c r="D128" i="7"/>
  <c r="F128" i="7"/>
  <c r="F123" i="9"/>
  <c r="F129" i="6"/>
  <c r="F124" i="8"/>
  <c r="F125" i="8"/>
  <c r="F131" i="4"/>
  <c r="F30" i="14"/>
  <c r="F31" i="14"/>
  <c r="D128" i="2"/>
  <c r="F48" i="13"/>
  <c r="F127" i="7"/>
  <c r="D122" i="9"/>
  <c r="F122" i="9"/>
  <c r="F128" i="6"/>
  <c r="F47" i="13"/>
  <c r="F115" i="10"/>
  <c r="F126" i="7"/>
  <c r="F130" i="4"/>
  <c r="F129" i="4"/>
  <c r="F121" i="9"/>
  <c r="F123" i="8"/>
  <c r="D99" i="11"/>
  <c r="F127" i="6"/>
  <c r="D127" i="6"/>
  <c r="D122" i="8"/>
  <c r="F122" i="8"/>
  <c r="F28" i="14"/>
  <c r="F29" i="14"/>
  <c r="F45" i="13"/>
  <c r="F46" i="13"/>
  <c r="F114" i="10"/>
  <c r="D114" i="10"/>
  <c r="F125" i="7"/>
  <c r="D127" i="5"/>
  <c r="F119" i="9"/>
  <c r="F120" i="9"/>
  <c r="F126" i="6"/>
  <c r="F128" i="4"/>
  <c r="F124" i="7"/>
  <c r="F113" i="10"/>
  <c r="F127" i="4"/>
  <c r="F27" i="14"/>
  <c r="F121" i="8"/>
  <c r="F125" i="6"/>
  <c r="D125" i="6"/>
  <c r="F123" i="7"/>
  <c r="F112" i="10"/>
  <c r="D124" i="2"/>
  <c r="F44" i="13"/>
  <c r="D118" i="9"/>
  <c r="F118" i="9"/>
  <c r="F126" i="4"/>
  <c r="F111" i="10"/>
  <c r="F124" i="6"/>
  <c r="F125" i="4"/>
  <c r="D120" i="8"/>
  <c r="F119" i="8"/>
  <c r="F120" i="8"/>
  <c r="F110" i="10"/>
  <c r="D110" i="10"/>
  <c r="F116" i="9"/>
  <c r="F117" i="9"/>
  <c r="F42" i="13"/>
  <c r="F43" i="13"/>
  <c r="F25" i="14"/>
  <c r="F26" i="14"/>
  <c r="F121" i="7"/>
  <c r="F122" i="7"/>
  <c r="F123" i="6"/>
  <c r="D123" i="5"/>
  <c r="F124" i="4"/>
  <c r="D118" i="8"/>
  <c r="F118" i="8"/>
  <c r="F109" i="10"/>
  <c r="D109" i="10"/>
  <c r="F24" i="14"/>
  <c r="D41" i="13"/>
  <c r="F41" i="13"/>
  <c r="F115" i="9"/>
  <c r="F120" i="7"/>
  <c r="F123" i="4"/>
  <c r="F117" i="8"/>
  <c r="D120" i="2"/>
  <c r="F121" i="6"/>
  <c r="F122" i="6"/>
  <c r="F40" i="13"/>
  <c r="F122" i="4"/>
  <c r="F108" i="10"/>
  <c r="F119" i="7"/>
  <c r="D121" i="6"/>
  <c r="D114" i="9"/>
  <c r="F114" i="9"/>
  <c r="F116" i="8"/>
  <c r="F107" i="10"/>
  <c r="F39" i="13"/>
  <c r="F118" i="7"/>
  <c r="F23" i="14"/>
  <c r="F120" i="6"/>
  <c r="F113" i="9"/>
  <c r="F121" i="4"/>
  <c r="F115" i="8"/>
  <c r="F38" i="13"/>
  <c r="F106" i="10"/>
  <c r="D106" i="10"/>
  <c r="F22" i="14"/>
  <c r="F21" i="14"/>
  <c r="B8" i="14"/>
  <c r="G4" i="14"/>
  <c r="F120" i="4"/>
  <c r="F117" i="7"/>
  <c r="D91" i="11"/>
  <c r="D119" i="5"/>
  <c r="D114" i="8"/>
  <c r="F114" i="8"/>
  <c r="D112" i="9"/>
  <c r="F112" i="9"/>
  <c r="D37" i="13"/>
  <c r="F37" i="13"/>
  <c r="F119" i="6"/>
  <c r="F116" i="7"/>
  <c r="F104" i="10"/>
  <c r="F105" i="10"/>
  <c r="D110" i="9"/>
  <c r="F110" i="9"/>
  <c r="F111" i="9"/>
  <c r="F117" i="6"/>
  <c r="F118" i="6"/>
  <c r="F119" i="4"/>
  <c r="F113" i="8"/>
  <c r="F36" i="13"/>
  <c r="F115" i="7"/>
  <c r="D116" i="2"/>
  <c r="F103" i="10"/>
  <c r="F118" i="4"/>
  <c r="F112" i="8"/>
  <c r="F35" i="13"/>
  <c r="F114" i="7"/>
  <c r="D103" i="10"/>
  <c r="F116" i="6"/>
  <c r="F117" i="4"/>
  <c r="F109" i="9"/>
  <c r="F108" i="9"/>
  <c r="F111" i="8"/>
  <c r="F34" i="13"/>
  <c r="F101" i="10"/>
  <c r="F102" i="10"/>
  <c r="D102" i="10"/>
  <c r="F113" i="7"/>
  <c r="F115" i="6"/>
  <c r="F116" i="4"/>
  <c r="D110" i="8"/>
  <c r="F110" i="8"/>
  <c r="F100" i="10"/>
  <c r="D115" i="5"/>
  <c r="F33" i="13"/>
  <c r="F107" i="9"/>
  <c r="F112" i="7"/>
  <c r="F115" i="4"/>
  <c r="F109" i="8"/>
  <c r="F114" i="6"/>
  <c r="F32" i="13"/>
  <c r="D112" i="2"/>
  <c r="D106" i="9"/>
  <c r="F106" i="9"/>
  <c r="F113" i="6"/>
  <c r="D113" i="6"/>
  <c r="F111" i="7"/>
  <c r="F114" i="4"/>
  <c r="F31" i="13"/>
  <c r="D108" i="8"/>
  <c r="F108" i="8"/>
  <c r="F110" i="7"/>
  <c r="F99" i="10"/>
  <c r="F113" i="4"/>
  <c r="F105" i="9"/>
  <c r="F107" i="8"/>
  <c r="F112" i="6"/>
  <c r="F30" i="13"/>
  <c r="F98" i="10"/>
  <c r="D98" i="10"/>
  <c r="F109" i="7"/>
  <c r="F112" i="4"/>
  <c r="D83" i="11"/>
  <c r="F104" i="9"/>
  <c r="F111" i="6"/>
  <c r="D106" i="8"/>
  <c r="F106" i="8"/>
  <c r="F111" i="4"/>
  <c r="F97" i="10"/>
  <c r="D29" i="13"/>
  <c r="F29" i="13"/>
  <c r="F103" i="9"/>
  <c r="F108" i="7"/>
  <c r="F105" i="8"/>
  <c r="D111" i="5"/>
  <c r="F110" i="6"/>
  <c r="F28" i="13"/>
  <c r="F96" i="10"/>
  <c r="F107" i="7"/>
  <c r="D108" i="2"/>
  <c r="F109" i="6"/>
  <c r="D109" i="6"/>
  <c r="F110" i="4"/>
  <c r="D102" i="9"/>
  <c r="F102" i="9"/>
  <c r="F106" i="7"/>
  <c r="F108" i="6"/>
  <c r="F27" i="13"/>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22" i="10"/>
  <c r="F21" i="10"/>
  <c r="F95" i="10"/>
  <c r="F94" i="10"/>
  <c r="J93" i="10"/>
  <c r="F104" i="8"/>
  <c r="F103" i="8"/>
  <c r="F109" i="4"/>
  <c r="F101" i="9"/>
  <c r="F100" i="9"/>
  <c r="F105" i="7"/>
  <c r="D94" i="10"/>
  <c r="F26" i="13"/>
  <c r="F107" i="6"/>
  <c r="F108" i="4"/>
  <c r="D93" i="10"/>
  <c r="F104" i="7"/>
  <c r="F107" i="4"/>
  <c r="D102" i="8"/>
  <c r="F101" i="8"/>
  <c r="F102" i="8"/>
  <c r="F99" i="9"/>
  <c r="F106" i="6"/>
  <c r="D107" i="5"/>
  <c r="F103" i="7"/>
  <c r="F100" i="8"/>
  <c r="F102" i="7"/>
  <c r="F105" i="6"/>
  <c r="D105" i="6"/>
  <c r="D98" i="9"/>
  <c r="F97" i="9"/>
  <c r="F98" i="9"/>
  <c r="D104" i="2"/>
  <c r="D106" i="4"/>
  <c r="F106" i="4"/>
  <c r="F104" i="6"/>
  <c r="D91" i="10"/>
  <c r="F105" i="4"/>
  <c r="F99" i="8"/>
  <c r="F96" i="9"/>
  <c r="F101" i="7"/>
  <c r="F104" i="4"/>
  <c r="D90" i="10"/>
  <c r="D75" i="11"/>
  <c r="F103" i="6"/>
  <c r="F25" i="13"/>
  <c r="F24" i="13"/>
  <c r="F23" i="13"/>
  <c r="F22" i="13"/>
  <c r="F21" i="13"/>
  <c r="D21" i="13"/>
  <c r="B8" i="13"/>
  <c r="G4" i="13"/>
  <c r="D98" i="8"/>
  <c r="F98" i="8"/>
  <c r="D103" i="5"/>
  <c r="F100" i="7"/>
  <c r="F99" i="6"/>
  <c r="F100" i="6"/>
  <c r="F101" i="6"/>
  <c r="F102" i="6"/>
  <c r="F95" i="9"/>
  <c r="F103" i="4"/>
  <c r="D35" i="12"/>
  <c r="D87" i="10"/>
  <c r="F98" i="7"/>
  <c r="F99" i="7"/>
  <c r="D86" i="10"/>
  <c r="D94" i="8"/>
  <c r="F94" i="8"/>
  <c r="F95" i="8"/>
  <c r="F96" i="8"/>
  <c r="F97" i="8"/>
  <c r="D99" i="5"/>
  <c r="D94" i="9"/>
  <c r="F93" i="9"/>
  <c r="F94" i="9"/>
  <c r="F91" i="9"/>
  <c r="F92" i="9"/>
  <c r="F96" i="7"/>
  <c r="F97" i="7"/>
  <c r="F95" i="7"/>
  <c r="F98" i="6"/>
  <c r="D100" i="2"/>
  <c r="F99" i="4"/>
  <c r="F100" i="4"/>
  <c r="F101" i="4"/>
  <c r="F102" i="4"/>
  <c r="F93" i="8"/>
  <c r="D96" i="2"/>
  <c r="F97" i="6"/>
  <c r="D90" i="9"/>
  <c r="F90" i="9"/>
  <c r="F95" i="6"/>
  <c r="F96" i="6"/>
  <c r="F98" i="4"/>
  <c r="F89" i="9"/>
  <c r="F91" i="8"/>
  <c r="F92" i="8"/>
  <c r="F97" i="4"/>
  <c r="F93" i="7"/>
  <c r="F94" i="7"/>
  <c r="D67" i="11"/>
  <c r="D68" i="11"/>
  <c r="D82" i="10"/>
  <c r="D90" i="8"/>
  <c r="F90" i="8"/>
  <c r="D95" i="5"/>
  <c r="F88" i="9"/>
  <c r="D28" i="12"/>
  <c r="F96" i="4"/>
  <c r="F92" i="7"/>
  <c r="F94" i="6"/>
  <c r="F87" i="9"/>
  <c r="F95" i="4"/>
  <c r="F89" i="8"/>
  <c r="D86" i="9"/>
  <c r="F86" i="9"/>
  <c r="F94" i="4"/>
  <c r="F91" i="7"/>
  <c r="F90" i="7"/>
  <c r="F93" i="6"/>
  <c r="D88" i="8"/>
  <c r="F88" i="8"/>
  <c r="D92" i="2"/>
  <c r="D64" i="11"/>
  <c r="F90" i="6"/>
  <c r="F91" i="6"/>
  <c r="F92" i="6"/>
  <c r="F85" i="9"/>
  <c r="F93" i="4"/>
  <c r="F89" i="7"/>
  <c r="D78" i="10"/>
  <c r="F87" i="8"/>
  <c r="F88" i="7"/>
  <c r="F84" i="9"/>
  <c r="F92" i="4"/>
  <c r="D91" i="5"/>
  <c r="D86" i="8"/>
  <c r="F86" i="8"/>
  <c r="F85" i="8"/>
  <c r="F83" i="9"/>
  <c r="F91" i="4"/>
  <c r="F87" i="7"/>
  <c r="F89" i="6"/>
  <c r="D88" i="2"/>
  <c r="F90" i="4"/>
  <c r="F84" i="8"/>
  <c r="D82" i="9"/>
  <c r="F81" i="9"/>
  <c r="F82" i="9"/>
  <c r="B8" i="12"/>
  <c r="G4" i="12"/>
  <c r="F86" i="7"/>
  <c r="F88" i="6"/>
  <c r="F89" i="4"/>
  <c r="F80" i="9"/>
  <c r="F83" i="8"/>
  <c r="F87" i="6"/>
  <c r="F85" i="7"/>
  <c r="D74" i="10"/>
  <c r="F88" i="4"/>
  <c r="F86" i="6"/>
  <c r="F87" i="4"/>
  <c r="F83" i="7"/>
  <c r="F84" i="7"/>
  <c r="D82" i="8"/>
  <c r="F81" i="8"/>
  <c r="F82" i="8"/>
  <c r="D78" i="9"/>
  <c r="F78" i="9"/>
  <c r="F79" i="9"/>
  <c r="D87" i="5"/>
  <c r="D84" i="2"/>
  <c r="F85" i="6"/>
  <c r="D85" i="6"/>
  <c r="F86" i="4"/>
  <c r="F80" i="8"/>
  <c r="F82" i="7"/>
  <c r="F77" i="9"/>
  <c r="F85" i="4"/>
  <c r="F81" i="7"/>
  <c r="F83" i="6"/>
  <c r="F84" i="6"/>
  <c r="F79" i="8"/>
  <c r="D70" i="10"/>
  <c r="F84" i="4"/>
  <c r="D83" i="5"/>
  <c r="D78" i="8"/>
  <c r="F78" i="8"/>
  <c r="F76" i="9"/>
  <c r="F75" i="9"/>
  <c r="F80" i="7"/>
  <c r="F83" i="4"/>
  <c r="F82" i="6"/>
  <c r="F81" i="6"/>
  <c r="D69" i="10"/>
  <c r="D80" i="2"/>
  <c r="F82" i="4"/>
  <c r="D74" i="9"/>
  <c r="F73" i="9"/>
  <c r="F74" i="9"/>
  <c r="F76" i="8"/>
  <c r="F77" i="8"/>
  <c r="D81" i="6"/>
  <c r="F81" i="4"/>
  <c r="F77" i="7"/>
  <c r="F78" i="7"/>
  <c r="F79" i="7"/>
  <c r="F75" i="8"/>
  <c r="D66" i="10"/>
  <c r="F72" i="9"/>
  <c r="F80" i="4"/>
  <c r="D79" i="6"/>
  <c r="F76" i="7"/>
  <c r="D74" i="8"/>
  <c r="F74" i="8"/>
  <c r="D79" i="5"/>
  <c r="F71" i="9"/>
  <c r="D70" i="9"/>
  <c r="F70" i="9"/>
  <c r="F73" i="8"/>
  <c r="F75" i="7"/>
  <c r="D77" i="6"/>
  <c r="D76" i="2"/>
  <c r="F78" i="4"/>
  <c r="F79" i="4"/>
  <c r="F74" i="7"/>
  <c r="F72" i="8"/>
  <c r="F77" i="4"/>
  <c r="F69" i="9"/>
  <c r="F73" i="7"/>
  <c r="F71" i="8"/>
  <c r="D75" i="6"/>
  <c r="D62" i="10"/>
  <c r="D47" i="11"/>
  <c r="F76" i="4"/>
  <c r="D75" i="5"/>
  <c r="D70" i="8"/>
  <c r="F70" i="8"/>
  <c r="D68" i="9"/>
  <c r="F68" i="9"/>
  <c r="F72" i="7"/>
  <c r="F69" i="8"/>
  <c r="F75" i="4"/>
  <c r="F67" i="9"/>
  <c r="F71" i="7"/>
  <c r="D73" i="6"/>
  <c r="D72" i="2"/>
  <c r="F74" i="4"/>
  <c r="D66" i="9"/>
  <c r="F66" i="9"/>
  <c r="D68" i="8"/>
  <c r="F68" i="8"/>
  <c r="F70" i="7"/>
  <c r="F73" i="4"/>
  <c r="F65" i="9"/>
  <c r="F69" i="7"/>
  <c r="F72" i="4"/>
  <c r="F68" i="7"/>
  <c r="D66" i="8"/>
  <c r="F66" i="8"/>
  <c r="F67" i="8"/>
  <c r="D71" i="5"/>
  <c r="F64" i="9"/>
  <c r="D58" i="10"/>
  <c r="F71" i="4"/>
  <c r="F65" i="8"/>
  <c r="D62" i="9"/>
  <c r="F62" i="9"/>
  <c r="F63" i="9"/>
  <c r="F67" i="7"/>
  <c r="D69" i="6"/>
  <c r="D68" i="2"/>
  <c r="D64" i="8"/>
  <c r="F64" i="8"/>
  <c r="F70" i="4"/>
  <c r="F66" i="7"/>
  <c r="F69" i="4"/>
  <c r="D54" i="10"/>
  <c r="F63" i="8"/>
  <c r="F61" i="9"/>
  <c r="F65" i="7"/>
  <c r="F68" i="4"/>
  <c r="F60" i="9"/>
  <c r="D62" i="8"/>
  <c r="F62" i="8"/>
  <c r="F64" i="7"/>
  <c r="F67" i="4"/>
  <c r="F59" i="9"/>
  <c r="D67" i="5"/>
  <c r="F63" i="7"/>
  <c r="D64" i="2"/>
  <c r="F61" i="8"/>
  <c r="D58" i="9"/>
  <c r="F58" i="9"/>
  <c r="F66" i="4"/>
  <c r="F62" i="7"/>
  <c r="D60" i="8"/>
  <c r="F60" i="8"/>
  <c r="D51" i="10"/>
  <c r="F65" i="4"/>
  <c r="D36" i="11"/>
  <c r="F57" i="9"/>
  <c r="F59" i="8"/>
  <c r="D56" i="9"/>
  <c r="F56" i="9"/>
  <c r="F61" i="7"/>
  <c r="D50" i="10"/>
  <c r="F64" i="4"/>
  <c r="D49" i="10"/>
  <c r="D63" i="5"/>
  <c r="F63" i="4"/>
  <c r="F60" i="7"/>
  <c r="D58" i="8"/>
  <c r="F58" i="8"/>
  <c r="F55" i="9"/>
  <c r="F59" i="7"/>
  <c r="D60" i="2"/>
  <c r="F57" i="8"/>
  <c r="D54" i="9"/>
  <c r="F54" i="9"/>
  <c r="F62" i="4"/>
  <c r="F56" i="8"/>
  <c r="F58" i="7"/>
  <c r="F61" i="4"/>
  <c r="F53" i="9"/>
  <c r="F55" i="8"/>
  <c r="F57" i="7"/>
  <c r="F60" i="4"/>
  <c r="D59" i="5"/>
  <c r="D46" i="10"/>
  <c r="F52" i="9"/>
  <c r="D54" i="8"/>
  <c r="F54" i="8"/>
  <c r="D56" i="7"/>
  <c r="F56" i="7"/>
  <c r="F59" i="4"/>
  <c r="F51" i="9"/>
  <c r="F53" i="8"/>
  <c r="F55" i="7"/>
  <c r="D56" i="2"/>
  <c r="F58" i="4"/>
  <c r="D50" i="9"/>
  <c r="F50" i="9"/>
  <c r="F52" i="8"/>
  <c r="F54" i="7"/>
  <c r="D42" i="10"/>
  <c r="F51" i="8"/>
  <c r="F57" i="4"/>
  <c r="F49" i="9"/>
  <c r="F53" i="7"/>
  <c r="D56" i="4"/>
  <c r="F56" i="4"/>
  <c r="D27" i="11"/>
  <c r="F48" i="9"/>
  <c r="F52" i="7"/>
  <c r="F47" i="9"/>
  <c r="D50" i="8"/>
  <c r="F50" i="8"/>
  <c r="D49" i="8"/>
  <c r="F49" i="8"/>
  <c r="F55" i="4"/>
  <c r="D55" i="5"/>
  <c r="F51" i="7"/>
  <c r="D52" i="2"/>
  <c r="F54" i="4"/>
  <c r="D46" i="9"/>
  <c r="F46" i="9"/>
  <c r="F48" i="8"/>
  <c r="F50" i="7"/>
  <c r="F53" i="4"/>
  <c r="F45" i="9"/>
  <c r="D51" i="6"/>
  <c r="F44" i="9"/>
  <c r="F52" i="4"/>
  <c r="F48" i="7"/>
  <c r="F49" i="7"/>
  <c r="D38" i="10"/>
  <c r="D46" i="8"/>
  <c r="F46" i="8"/>
  <c r="F47" i="8"/>
  <c r="D51" i="5"/>
  <c r="F51" i="4"/>
  <c r="F43" i="9"/>
  <c r="F45" i="8"/>
  <c r="F47" i="7"/>
  <c r="D48" i="2"/>
  <c r="F50" i="4"/>
  <c r="F44" i="8"/>
  <c r="D42" i="9"/>
  <c r="F42" i="9"/>
  <c r="D41" i="9"/>
  <c r="F41" i="9"/>
  <c r="F46" i="7"/>
  <c r="F49" i="4"/>
  <c r="F40" i="9"/>
  <c r="F43" i="8"/>
  <c r="F45" i="7"/>
  <c r="D47" i="6"/>
  <c r="F48" i="4"/>
  <c r="D34" i="10"/>
  <c r="F44" i="7"/>
  <c r="F39" i="9"/>
  <c r="D42" i="8"/>
  <c r="F42" i="8"/>
  <c r="D47" i="5"/>
  <c r="F47" i="4"/>
  <c r="F41" i="8"/>
  <c r="D44" i="2"/>
  <c r="F43" i="7"/>
  <c r="G4" i="11"/>
  <c r="F46" i="4"/>
  <c r="F40" i="8"/>
  <c r="D38" i="9"/>
  <c r="F38" i="9"/>
  <c r="F42" i="7"/>
  <c r="F37" i="9"/>
  <c r="F45" i="4"/>
  <c r="D30" i="10"/>
  <c r="F39" i="8"/>
  <c r="F41" i="7"/>
  <c r="D43" i="5"/>
  <c r="D38" i="8"/>
  <c r="F38" i="8"/>
  <c r="D36" i="9"/>
  <c r="F36" i="9"/>
  <c r="F35" i="9"/>
  <c r="F40" i="7"/>
  <c r="F44" i="4"/>
  <c r="F43" i="4"/>
  <c r="F35" i="8"/>
  <c r="F36" i="8"/>
  <c r="F37" i="8"/>
  <c r="F37" i="7"/>
  <c r="F38" i="7"/>
  <c r="F39" i="7"/>
  <c r="D34" i="9"/>
  <c r="F32" i="9"/>
  <c r="F33" i="9"/>
  <c r="F34" i="9"/>
  <c r="F40" i="4"/>
  <c r="F41" i="4"/>
  <c r="F42" i="4"/>
  <c r="D40" i="2"/>
  <c r="D39" i="5"/>
  <c r="D34" i="8"/>
  <c r="F34" i="8"/>
  <c r="F31" i="9"/>
  <c r="F36" i="7"/>
  <c r="F39" i="4"/>
  <c r="F33" i="8"/>
  <c r="F35" i="7"/>
  <c r="D36" i="2"/>
  <c r="D37" i="6"/>
  <c r="D30" i="9"/>
  <c r="F30" i="9"/>
  <c r="F38" i="4"/>
  <c r="F32" i="8"/>
  <c r="F34" i="7"/>
  <c r="F29" i="9"/>
  <c r="F37" i="4"/>
  <c r="F31" i="8"/>
  <c r="F33" i="7"/>
  <c r="F36" i="4"/>
  <c r="D35" i="5"/>
  <c r="D30" i="8"/>
  <c r="F30" i="8"/>
  <c r="F32" i="7"/>
  <c r="F28" i="9"/>
  <c r="F35" i="4"/>
  <c r="F27" i="9"/>
  <c r="D29" i="8"/>
  <c r="F29" i="8"/>
  <c r="D33" i="6"/>
  <c r="D32" i="2"/>
  <c r="D26" i="10"/>
  <c r="D22" i="10"/>
  <c r="B8" i="10"/>
  <c r="G4" i="10"/>
  <c r="F31" i="7"/>
  <c r="D21" i="10"/>
  <c r="D34" i="4"/>
  <c r="F34" i="4"/>
  <c r="D26" i="9"/>
  <c r="F26" i="9"/>
  <c r="F30" i="7"/>
  <c r="F28" i="8"/>
  <c r="F33" i="4"/>
  <c r="F27" i="8"/>
  <c r="F29" i="7"/>
  <c r="D31" i="6"/>
  <c r="E9" i="6" s="1"/>
  <c r="E5" i="6" s="1"/>
  <c r="F32" i="4"/>
  <c r="D31" i="5"/>
  <c r="D26" i="8"/>
  <c r="F26" i="8"/>
  <c r="F28" i="7"/>
  <c r="F31" i="4"/>
  <c r="F25" i="8"/>
  <c r="F27" i="7"/>
  <c r="F30" i="4"/>
  <c r="B8" i="5"/>
  <c r="B8" i="9"/>
  <c r="B8" i="4"/>
  <c r="B8" i="8"/>
  <c r="B8" i="7"/>
  <c r="B8" i="6"/>
  <c r="F24" i="8"/>
  <c r="F26" i="7"/>
  <c r="F29" i="4"/>
  <c r="D24" i="9"/>
  <c r="F24" i="9"/>
  <c r="F25" i="9"/>
  <c r="F23" i="9"/>
  <c r="F22" i="9"/>
  <c r="D22" i="9"/>
  <c r="F21" i="9"/>
  <c r="G4" i="9"/>
  <c r="F23" i="8"/>
  <c r="F22" i="8"/>
  <c r="D22" i="8"/>
  <c r="F21" i="8"/>
  <c r="G4" i="8"/>
  <c r="F21" i="7"/>
  <c r="F25" i="7"/>
  <c r="F24" i="7"/>
  <c r="F23" i="7"/>
  <c r="F22" i="7"/>
  <c r="G4" i="7"/>
  <c r="G4" i="6"/>
  <c r="D27" i="5"/>
  <c r="D23" i="5"/>
  <c r="G4" i="5"/>
  <c r="F28" i="4"/>
  <c r="F27" i="4"/>
  <c r="F26" i="4"/>
  <c r="D26" i="4"/>
  <c r="F25" i="4"/>
  <c r="F24" i="4"/>
  <c r="F23" i="4"/>
  <c r="F22" i="4"/>
  <c r="F21" i="4"/>
  <c r="G4" i="4"/>
  <c r="G4" i="2"/>
  <c r="F432" i="7"/>
  <c r="F433" i="7"/>
  <c r="H387" i="25"/>
  <c r="H388" i="25"/>
  <c r="F430" i="7"/>
  <c r="F431" i="7"/>
  <c r="H385" i="25"/>
  <c r="H386" i="25"/>
  <c r="H382" i="25"/>
  <c r="H384" i="25"/>
  <c r="H383" i="25"/>
  <c r="F428" i="7"/>
  <c r="F427" i="7"/>
  <c r="F429" i="7"/>
  <c r="F425" i="7"/>
  <c r="F426" i="7"/>
  <c r="H379" i="25"/>
  <c r="H381" i="25"/>
  <c r="H380" i="25"/>
  <c r="F423" i="7"/>
  <c r="F424" i="7"/>
  <c r="H377" i="25"/>
  <c r="H378" i="25"/>
  <c r="F421" i="7"/>
  <c r="F422" i="7"/>
  <c r="H375" i="25"/>
  <c r="H376" i="25"/>
  <c r="F420" i="7"/>
  <c r="F419" i="7"/>
  <c r="H373" i="25"/>
  <c r="H374" i="25"/>
  <c r="F417" i="7"/>
  <c r="F418" i="7"/>
  <c r="H371" i="25"/>
  <c r="H372" i="25"/>
  <c r="B3" i="9"/>
  <c r="F415" i="7"/>
  <c r="F416" i="7"/>
  <c r="H369" i="25"/>
  <c r="H370" i="25"/>
  <c r="F414" i="7"/>
  <c r="B10" i="6"/>
  <c r="E10" i="6"/>
  <c r="E11" i="6"/>
  <c r="C15" i="6" s="1"/>
  <c r="D22" i="6"/>
  <c r="H367" i="25"/>
  <c r="H368" i="25"/>
  <c r="F412" i="7"/>
  <c r="F413" i="7"/>
  <c r="H364" i="25"/>
  <c r="H366" i="25"/>
  <c r="H365" i="25"/>
  <c r="F411" i="7"/>
  <c r="F410" i="7"/>
  <c r="F409" i="7"/>
  <c r="F376" i="7"/>
  <c r="F408" i="7"/>
  <c r="E10" i="9"/>
  <c r="E11" i="9" s="1"/>
  <c r="C15" i="9" s="1"/>
  <c r="H299" i="25"/>
  <c r="H363" i="25"/>
  <c r="B10" i="8"/>
  <c r="D22" i="16"/>
  <c r="B10" i="16"/>
  <c r="E10" i="8"/>
  <c r="E11" i="8" s="1"/>
  <c r="C15" i="8" s="1"/>
  <c r="B4" i="9"/>
  <c r="B12" i="9" s="1"/>
  <c r="D24" i="8"/>
  <c r="E9" i="8"/>
  <c r="F298" i="7"/>
  <c r="F363" i="7"/>
  <c r="B3" i="6"/>
  <c r="B10" i="9"/>
  <c r="E3" i="9" s="1"/>
  <c r="E15" i="9" s="1"/>
  <c r="F250" i="7"/>
  <c r="F314" i="7"/>
  <c r="D21" i="24"/>
  <c r="B3" i="24"/>
  <c r="F391" i="7"/>
  <c r="F383" i="7"/>
  <c r="F392" i="7"/>
  <c r="F384" i="7"/>
  <c r="F390" i="7"/>
  <c r="F387" i="7"/>
  <c r="F386" i="7"/>
  <c r="F381" i="7"/>
  <c r="F385" i="7"/>
  <c r="F378" i="7"/>
  <c r="F373" i="7"/>
  <c r="F368" i="7"/>
  <c r="F365" i="7"/>
  <c r="F361" i="7"/>
  <c r="F357" i="7"/>
  <c r="F353" i="7"/>
  <c r="F349" i="7"/>
  <c r="F345" i="7"/>
  <c r="F341" i="7"/>
  <c r="F336" i="7"/>
  <c r="F333" i="7"/>
  <c r="F328" i="7"/>
  <c r="F325" i="7"/>
  <c r="F321" i="7"/>
  <c r="F317" i="7"/>
  <c r="F313" i="7"/>
  <c r="F309" i="7"/>
  <c r="F304" i="7"/>
  <c r="F301" i="7"/>
  <c r="F297" i="7"/>
  <c r="F293" i="7"/>
  <c r="F289" i="7"/>
  <c r="F285" i="7"/>
  <c r="F280" i="7"/>
  <c r="F277" i="7"/>
  <c r="F273" i="7"/>
  <c r="F269" i="7"/>
  <c r="F265" i="7"/>
  <c r="F261" i="7"/>
  <c r="F257" i="7"/>
  <c r="F253" i="7"/>
  <c r="F249" i="7"/>
  <c r="F245" i="7"/>
  <c r="F379" i="7"/>
  <c r="F377" i="7"/>
  <c r="F372" i="7"/>
  <c r="F369" i="7"/>
  <c r="F364" i="7"/>
  <c r="F360" i="7"/>
  <c r="F356" i="7"/>
  <c r="F352" i="7"/>
  <c r="F348" i="7"/>
  <c r="F344" i="7"/>
  <c r="F339" i="7"/>
  <c r="F337" i="7"/>
  <c r="F332" i="7"/>
  <c r="F330" i="7"/>
  <c r="F324" i="7"/>
  <c r="F320" i="7"/>
  <c r="F316" i="7"/>
  <c r="F312" i="7"/>
  <c r="F308" i="7"/>
  <c r="F305" i="7"/>
  <c r="F300" i="7"/>
  <c r="F296" i="7"/>
  <c r="F292" i="7"/>
  <c r="F288" i="7"/>
  <c r="F284" i="7"/>
  <c r="F281" i="7"/>
  <c r="F275" i="7"/>
  <c r="F272" i="7"/>
  <c r="F268" i="7"/>
  <c r="F264" i="7"/>
  <c r="F260" i="7"/>
  <c r="F256" i="7"/>
  <c r="F252" i="7"/>
  <c r="F248" i="7"/>
  <c r="F244" i="7"/>
  <c r="F380" i="7"/>
  <c r="F374" i="7"/>
  <c r="F370" i="7"/>
  <c r="F366" i="7"/>
  <c r="F362" i="7"/>
  <c r="F359" i="7"/>
  <c r="F355" i="7"/>
  <c r="F351" i="7"/>
  <c r="F347" i="7"/>
  <c r="F343" i="7"/>
  <c r="F340" i="7"/>
  <c r="F335" i="7"/>
  <c r="F331" i="7"/>
  <c r="F327" i="7"/>
  <c r="F323" i="7"/>
  <c r="F319" i="7"/>
  <c r="F315" i="7"/>
  <c r="F311" i="7"/>
  <c r="F306" i="7"/>
  <c r="F303" i="7"/>
  <c r="F299" i="7"/>
  <c r="F295" i="7"/>
  <c r="F291" i="7"/>
  <c r="F287" i="7"/>
  <c r="F283" i="7"/>
  <c r="F279" i="7"/>
  <c r="F276" i="7"/>
  <c r="F271" i="7"/>
  <c r="F267" i="7"/>
  <c r="F263" i="7"/>
  <c r="F259" i="7"/>
  <c r="F255" i="7"/>
  <c r="F251" i="7"/>
  <c r="F247" i="7"/>
  <c r="F243" i="7"/>
  <c r="F388" i="7"/>
  <c r="F375" i="7"/>
  <c r="F358" i="7"/>
  <c r="F342" i="7"/>
  <c r="F326" i="7"/>
  <c r="F310" i="7"/>
  <c r="F294" i="7"/>
  <c r="F278" i="7"/>
  <c r="F262" i="7"/>
  <c r="F246" i="7"/>
  <c r="F371" i="7"/>
  <c r="F354" i="7"/>
  <c r="F338" i="7"/>
  <c r="F322" i="7"/>
  <c r="F307" i="7"/>
  <c r="F290" i="7"/>
  <c r="F274" i="7"/>
  <c r="F258" i="7"/>
  <c r="F382" i="7"/>
  <c r="F367" i="7"/>
  <c r="F350" i="7"/>
  <c r="F334" i="7"/>
  <c r="F318" i="7"/>
  <c r="F302" i="7"/>
  <c r="F286" i="7"/>
  <c r="F270" i="7"/>
  <c r="F254" i="7"/>
  <c r="B4" i="6"/>
  <c r="F266" i="7"/>
  <c r="F329" i="7"/>
  <c r="H229" i="25"/>
  <c r="H259" i="25"/>
  <c r="H261" i="25"/>
  <c r="H290" i="25"/>
  <c r="H235" i="25"/>
  <c r="H202" i="25"/>
  <c r="H279" i="25"/>
  <c r="H250" i="25"/>
  <c r="H207" i="25"/>
  <c r="H282" i="25"/>
  <c r="H199" i="25"/>
  <c r="H311" i="25"/>
  <c r="H244" i="25"/>
  <c r="H308" i="25"/>
  <c r="H306" i="25"/>
  <c r="H209" i="25"/>
  <c r="H332" i="25"/>
  <c r="H264" i="25"/>
  <c r="H233" i="25"/>
  <c r="H281" i="25"/>
  <c r="H251" i="25"/>
  <c r="H260" i="25"/>
  <c r="H252" i="25"/>
  <c r="H245" i="25"/>
  <c r="H247" i="25"/>
  <c r="H234" i="25"/>
  <c r="H292" i="25"/>
  <c r="H319" i="25"/>
  <c r="H326" i="25"/>
  <c r="H320" i="25"/>
  <c r="H300" i="25"/>
  <c r="H257" i="25"/>
  <c r="H208" i="25"/>
  <c r="H272" i="25"/>
  <c r="H226" i="25"/>
  <c r="H327" i="25"/>
  <c r="H318" i="25"/>
  <c r="H216" i="25"/>
  <c r="H220" i="25"/>
  <c r="H271" i="25"/>
  <c r="B4" i="19"/>
  <c r="H361" i="25"/>
  <c r="H362" i="25"/>
  <c r="F404" i="7"/>
  <c r="F406" i="7"/>
  <c r="F405" i="7"/>
  <c r="F407" i="7"/>
  <c r="B4" i="41"/>
  <c r="B4" i="43"/>
  <c r="H359" i="25"/>
  <c r="H360" i="25"/>
  <c r="H350" i="25"/>
  <c r="H240" i="25"/>
  <c r="H274" i="25"/>
  <c r="H201" i="25"/>
  <c r="H204" i="25"/>
  <c r="H297" i="25"/>
  <c r="H262" i="25"/>
  <c r="H241" i="25"/>
  <c r="H287" i="25"/>
  <c r="H268" i="25"/>
  <c r="H273" i="25"/>
  <c r="H198" i="25"/>
  <c r="H328" i="25"/>
  <c r="H295" i="25"/>
  <c r="H276" i="25"/>
  <c r="H232" i="25"/>
  <c r="H301" i="25"/>
  <c r="H210" i="25"/>
  <c r="H230" i="25"/>
  <c r="H255" i="25"/>
  <c r="H304" i="25"/>
  <c r="H258" i="25"/>
  <c r="H329" i="25"/>
  <c r="H312" i="25"/>
  <c r="H266" i="25"/>
  <c r="H284" i="25"/>
  <c r="H337" i="25"/>
  <c r="H344" i="25"/>
  <c r="H296" i="25"/>
  <c r="H277" i="25"/>
  <c r="H267" i="25"/>
  <c r="H222" i="25"/>
  <c r="H293" i="25"/>
  <c r="H224" i="25"/>
  <c r="H225" i="25"/>
  <c r="H243" i="25"/>
  <c r="H238" i="25"/>
  <c r="H314" i="25"/>
  <c r="H203" i="25"/>
  <c r="H265" i="25"/>
  <c r="H248" i="25"/>
  <c r="H239" i="25"/>
  <c r="H324" i="25"/>
  <c r="H263" i="25"/>
  <c r="H253" i="25"/>
  <c r="H309" i="25"/>
  <c r="H316" i="25"/>
  <c r="H303" i="25"/>
  <c r="H246" i="25"/>
  <c r="H322" i="25"/>
  <c r="H333" i="25"/>
  <c r="B3" i="13"/>
  <c r="B4" i="50"/>
  <c r="I173" i="2"/>
  <c r="F65" i="45"/>
  <c r="H305" i="25"/>
  <c r="H356" i="25"/>
  <c r="H355" i="25"/>
  <c r="H358" i="25"/>
  <c r="H357" i="25"/>
  <c r="F401" i="7"/>
  <c r="F403" i="7"/>
  <c r="F400" i="7"/>
  <c r="F402" i="7"/>
  <c r="H330" i="25"/>
  <c r="H254" i="25"/>
  <c r="H283" i="25"/>
  <c r="H317" i="25"/>
  <c r="H310" i="25"/>
  <c r="H212" i="25"/>
  <c r="H291" i="25"/>
  <c r="H213" i="25"/>
  <c r="H331" i="25"/>
  <c r="H242" i="25"/>
  <c r="H285" i="25"/>
  <c r="H270" i="25"/>
  <c r="H206" i="25"/>
  <c r="H342" i="25"/>
  <c r="H341" i="25"/>
  <c r="H340" i="25"/>
  <c r="H339" i="25"/>
  <c r="H338" i="25"/>
  <c r="H354" i="25"/>
  <c r="B10" i="43"/>
  <c r="B3" i="19"/>
  <c r="E10" i="43"/>
  <c r="E11" i="43"/>
  <c r="C15" i="43" s="1"/>
  <c r="B3" i="43"/>
  <c r="D21" i="19"/>
  <c r="E9" i="19"/>
  <c r="E10" i="19"/>
  <c r="E11" i="19"/>
  <c r="C15" i="19" s="1"/>
  <c r="B10" i="19"/>
  <c r="B10" i="12"/>
  <c r="E10" i="24"/>
  <c r="E11" i="24"/>
  <c r="C15" i="24"/>
  <c r="B4" i="24"/>
  <c r="B10" i="24"/>
  <c r="F398" i="7"/>
  <c r="F399" i="7"/>
  <c r="B8" i="2"/>
  <c r="C27" i="2"/>
  <c r="D27" i="2" s="1"/>
  <c r="B4" i="16"/>
  <c r="H352" i="25"/>
  <c r="H353" i="25"/>
  <c r="B4" i="8"/>
  <c r="B3" i="8"/>
  <c r="B4" i="26"/>
  <c r="E10" i="16"/>
  <c r="E11" i="16" s="1"/>
  <c r="C15" i="16" s="1"/>
  <c r="B3" i="16"/>
  <c r="D21" i="16"/>
  <c r="I241" i="6"/>
  <c r="B4" i="5"/>
  <c r="F396" i="7"/>
  <c r="F397" i="7"/>
  <c r="B4" i="11"/>
  <c r="B2" i="49"/>
  <c r="A15" i="49"/>
  <c r="L55" i="32"/>
  <c r="B10" i="25"/>
  <c r="B3" i="11"/>
  <c r="B10" i="11"/>
  <c r="E10" i="11"/>
  <c r="E11" i="11" s="1"/>
  <c r="C15" i="11" s="1"/>
  <c r="D21" i="11"/>
  <c r="E9" i="11" s="1"/>
  <c r="E5" i="11" s="1"/>
  <c r="B10" i="20"/>
  <c r="C23" i="2"/>
  <c r="D23" i="2"/>
  <c r="B4" i="12"/>
  <c r="E10" i="12"/>
  <c r="E11" i="12"/>
  <c r="C15" i="12" s="1"/>
  <c r="B2" i="12"/>
  <c r="A15" i="12" s="1"/>
  <c r="B3" i="12"/>
  <c r="D22" i="12"/>
  <c r="E9" i="12" s="1"/>
  <c r="E5" i="12" s="1"/>
  <c r="H347" i="25"/>
  <c r="H351" i="25"/>
  <c r="E10" i="28"/>
  <c r="E11" i="28" s="1"/>
  <c r="C15" i="28" s="1"/>
  <c r="E10" i="13"/>
  <c r="E11" i="13" s="1"/>
  <c r="C15" i="13" s="1"/>
  <c r="H289" i="25"/>
  <c r="H278" i="25"/>
  <c r="H315" i="25"/>
  <c r="H313" i="25"/>
  <c r="H236" i="25"/>
  <c r="H214" i="25"/>
  <c r="H218" i="25"/>
  <c r="H298" i="25"/>
  <c r="H221" i="25"/>
  <c r="H269" i="25"/>
  <c r="H294" i="25"/>
  <c r="H231" i="25"/>
  <c r="H280" i="25"/>
  <c r="H200" i="25"/>
  <c r="H205" i="25"/>
  <c r="H237" i="25"/>
  <c r="H223" i="25"/>
  <c r="H197" i="25"/>
  <c r="H321" i="25"/>
  <c r="H286" i="25"/>
  <c r="H219" i="25"/>
  <c r="H256" i="25"/>
  <c r="H227" i="25"/>
  <c r="H325" i="25"/>
  <c r="H323" i="25"/>
  <c r="H211" i="25"/>
  <c r="H302" i="25"/>
  <c r="H275" i="25"/>
  <c r="H217" i="25"/>
  <c r="H249" i="25"/>
  <c r="H215" i="25"/>
  <c r="H336" i="25"/>
  <c r="E10" i="25"/>
  <c r="B10" i="22"/>
  <c r="B3" i="18"/>
  <c r="B2" i="24"/>
  <c r="A15" i="24"/>
  <c r="F394" i="7"/>
  <c r="F395" i="7"/>
  <c r="D22" i="22"/>
  <c r="B4" i="35"/>
  <c r="D328" i="24"/>
  <c r="B4" i="13"/>
  <c r="B10" i="13"/>
  <c r="D24" i="13"/>
  <c r="E9" i="13" s="1"/>
  <c r="E5" i="13" s="1"/>
  <c r="B4" i="14"/>
  <c r="B4" i="25"/>
  <c r="B3" i="25"/>
  <c r="D350" i="25"/>
  <c r="E9" i="25" s="1"/>
  <c r="E5" i="25" s="1"/>
  <c r="B2" i="9"/>
  <c r="A15" i="9" s="1"/>
  <c r="B2" i="26"/>
  <c r="A15" i="26" s="1"/>
  <c r="B10" i="41"/>
  <c r="E9" i="9"/>
  <c r="E5" i="9" s="1"/>
  <c r="D21" i="26"/>
  <c r="E10" i="26"/>
  <c r="E11" i="26" s="1"/>
  <c r="C15" i="26" s="1"/>
  <c r="C29" i="2"/>
  <c r="D29" i="2"/>
  <c r="C25" i="2"/>
  <c r="D25" i="2"/>
  <c r="B10" i="42"/>
  <c r="B3" i="50"/>
  <c r="E10" i="50"/>
  <c r="E11" i="50" s="1"/>
  <c r="C15" i="50" s="1"/>
  <c r="B10" i="50"/>
  <c r="E10" i="41"/>
  <c r="E11" i="41" s="1"/>
  <c r="C15" i="41" s="1"/>
  <c r="D21" i="41"/>
  <c r="E9" i="41" s="1"/>
  <c r="E5" i="41" s="1"/>
  <c r="B3" i="41"/>
  <c r="E9" i="43"/>
  <c r="E10" i="23"/>
  <c r="E11" i="23"/>
  <c r="C15" i="23" s="1"/>
  <c r="H348" i="25"/>
  <c r="B10" i="7"/>
  <c r="B3" i="7"/>
  <c r="E10" i="7"/>
  <c r="E11" i="7" s="1"/>
  <c r="C15" i="7" s="1"/>
  <c r="B4" i="7"/>
  <c r="B2" i="5"/>
  <c r="B9" i="5" s="1"/>
  <c r="B15" i="5" s="1"/>
  <c r="E10" i="5"/>
  <c r="E11" i="5" s="1"/>
  <c r="C15" i="5" s="1"/>
  <c r="D21" i="5"/>
  <c r="E9" i="5"/>
  <c r="B10" i="5"/>
  <c r="B3" i="5"/>
  <c r="K58" i="29"/>
  <c r="B10" i="26"/>
  <c r="B10" i="29"/>
  <c r="F3" i="29" s="1"/>
  <c r="F15" i="29" s="1"/>
  <c r="E10" i="40"/>
  <c r="E11" i="40" s="1"/>
  <c r="C15" i="40" s="1"/>
  <c r="C67" i="45"/>
  <c r="D67" i="45" s="1"/>
  <c r="B4" i="18"/>
  <c r="E10" i="10"/>
  <c r="E11" i="10"/>
  <c r="C15" i="10"/>
  <c r="B2" i="33"/>
  <c r="A15" i="33" s="1"/>
  <c r="L54" i="32"/>
  <c r="K59" i="29"/>
  <c r="D21" i="42"/>
  <c r="E9" i="42" s="1"/>
  <c r="E5" i="42" s="1"/>
  <c r="E21" i="47"/>
  <c r="E10" i="4"/>
  <c r="E11" i="4"/>
  <c r="C15" i="4"/>
  <c r="C66" i="45"/>
  <c r="D66" i="45" s="1"/>
  <c r="B2" i="19"/>
  <c r="B2" i="11"/>
  <c r="A15" i="11" s="1"/>
  <c r="B2" i="8"/>
  <c r="B10" i="10"/>
  <c r="D23" i="10"/>
  <c r="E9" i="10" s="1"/>
  <c r="E5" i="10" s="1"/>
  <c r="B4" i="10"/>
  <c r="B2" i="10"/>
  <c r="A15" i="10"/>
  <c r="B3" i="10"/>
  <c r="B3" i="26"/>
  <c r="B2" i="16"/>
  <c r="C28" i="2"/>
  <c r="D28" i="2" s="1"/>
  <c r="C24" i="2"/>
  <c r="D24" i="2" s="1"/>
  <c r="E9" i="2" s="1"/>
  <c r="C30" i="2"/>
  <c r="D30" i="2" s="1"/>
  <c r="C26" i="2"/>
  <c r="D26" i="2"/>
  <c r="C22" i="2"/>
  <c r="D22" i="2"/>
  <c r="B2" i="6"/>
  <c r="B3" i="42"/>
  <c r="B4" i="42"/>
  <c r="B2" i="42"/>
  <c r="E10" i="42"/>
  <c r="E11" i="42" s="1"/>
  <c r="C15" i="42" s="1"/>
  <c r="B2" i="13"/>
  <c r="B8" i="11"/>
  <c r="B2" i="35"/>
  <c r="B9" i="35"/>
  <c r="B15" i="35"/>
  <c r="E10" i="35"/>
  <c r="E11" i="35" s="1"/>
  <c r="C15" i="35" s="1"/>
  <c r="B2" i="50"/>
  <c r="A15" i="50"/>
  <c r="E9" i="50"/>
  <c r="E10" i="48"/>
  <c r="E11" i="48" s="1"/>
  <c r="C15" i="48" s="1"/>
  <c r="B2" i="40"/>
  <c r="A15" i="40"/>
  <c r="G146" i="45"/>
  <c r="C69" i="45"/>
  <c r="D69" i="45" s="1"/>
  <c r="G148" i="45"/>
  <c r="C68" i="45"/>
  <c r="D68" i="45"/>
  <c r="B2" i="41"/>
  <c r="A15" i="41"/>
  <c r="B2" i="38"/>
  <c r="A15" i="38"/>
  <c r="E10" i="38"/>
  <c r="E11" i="38" s="1"/>
  <c r="C15" i="38" s="1"/>
  <c r="D21" i="33"/>
  <c r="E9" i="33" s="1"/>
  <c r="B2" i="43"/>
  <c r="B9" i="43" s="1"/>
  <c r="B15" i="43" s="1"/>
  <c r="B2" i="32"/>
  <c r="B9" i="32" s="1"/>
  <c r="B15" i="32" s="1"/>
  <c r="B3" i="30"/>
  <c r="E21" i="29"/>
  <c r="B3" i="29"/>
  <c r="B11" i="29" s="1"/>
  <c r="B10" i="28"/>
  <c r="B3" i="28"/>
  <c r="B4" i="23"/>
  <c r="E10" i="20"/>
  <c r="E11" i="20" s="1"/>
  <c r="C15" i="20" s="1"/>
  <c r="B2" i="25"/>
  <c r="H346" i="25"/>
  <c r="H349" i="25"/>
  <c r="B2" i="22"/>
  <c r="A15" i="22" s="1"/>
  <c r="B10" i="18"/>
  <c r="D22" i="18"/>
  <c r="E9" i="18"/>
  <c r="B2" i="18"/>
  <c r="B9" i="18" s="1"/>
  <c r="B15" i="18" s="1"/>
  <c r="E10" i="18"/>
  <c r="E11" i="18" s="1"/>
  <c r="C15" i="18" s="1"/>
  <c r="E9" i="7"/>
  <c r="B2" i="7"/>
  <c r="B2" i="4"/>
  <c r="D21" i="4"/>
  <c r="E9" i="4" s="1"/>
  <c r="E5" i="4" s="1"/>
  <c r="B3" i="4"/>
  <c r="B10" i="4"/>
  <c r="B4" i="4"/>
  <c r="B3" i="22"/>
  <c r="B11" i="22"/>
  <c r="B4" i="22"/>
  <c r="E10" i="22"/>
  <c r="E11" i="22"/>
  <c r="C15" i="22"/>
  <c r="D21" i="22"/>
  <c r="B4" i="20"/>
  <c r="D23" i="20"/>
  <c r="E9" i="20"/>
  <c r="B3" i="20"/>
  <c r="B2" i="20"/>
  <c r="B9" i="20" s="1"/>
  <c r="B15" i="20" s="1"/>
  <c r="D21" i="2"/>
  <c r="G76" i="11"/>
  <c r="G77" i="11"/>
  <c r="D21" i="35"/>
  <c r="E9" i="35" s="1"/>
  <c r="E5" i="35" s="1"/>
  <c r="B3" i="35"/>
  <c r="B10" i="35"/>
  <c r="B4" i="49"/>
  <c r="E10" i="49"/>
  <c r="E11" i="49" s="1"/>
  <c r="C15" i="49" s="1"/>
  <c r="B3" i="49"/>
  <c r="B10" i="49"/>
  <c r="D21" i="49"/>
  <c r="E9" i="49"/>
  <c r="B3" i="48"/>
  <c r="B10" i="48"/>
  <c r="D21" i="48"/>
  <c r="E9" i="48" s="1"/>
  <c r="B2" i="48"/>
  <c r="B4" i="48"/>
  <c r="B5" i="48" s="1"/>
  <c r="B10" i="40"/>
  <c r="B3" i="40"/>
  <c r="D21" i="40"/>
  <c r="E9" i="40" s="1"/>
  <c r="B4" i="40"/>
  <c r="D65" i="45"/>
  <c r="C70" i="45"/>
  <c r="D70" i="45" s="1"/>
  <c r="B4" i="38"/>
  <c r="D21" i="38"/>
  <c r="B10" i="38"/>
  <c r="B3" i="38"/>
  <c r="B4" i="33"/>
  <c r="B10" i="33"/>
  <c r="E10" i="33"/>
  <c r="E11" i="33"/>
  <c r="C15" i="33"/>
  <c r="B3" i="33"/>
  <c r="B3" i="37"/>
  <c r="E21" i="37"/>
  <c r="E10" i="32"/>
  <c r="E11" i="32" s="1"/>
  <c r="C15" i="32" s="1"/>
  <c r="B4" i="30"/>
  <c r="B12" i="30" s="1"/>
  <c r="B2" i="29"/>
  <c r="B5" i="29" s="1"/>
  <c r="B4" i="29"/>
  <c r="F10" i="29"/>
  <c r="F11" i="29" s="1"/>
  <c r="D15" i="29" s="1"/>
  <c r="D21" i="28"/>
  <c r="E9" i="28" s="1"/>
  <c r="E5" i="28" s="1"/>
  <c r="B4" i="28"/>
  <c r="B2" i="28"/>
  <c r="E9" i="14"/>
  <c r="B2" i="14"/>
  <c r="B10" i="14"/>
  <c r="E3" i="14" s="1"/>
  <c r="B3" i="14"/>
  <c r="E10" i="14"/>
  <c r="E11" i="14" s="1"/>
  <c r="C15" i="14" s="1"/>
  <c r="D21" i="23"/>
  <c r="B10" i="23"/>
  <c r="B3" i="23"/>
  <c r="B2" i="23"/>
  <c r="H343" i="25"/>
  <c r="H345" i="25"/>
  <c r="F393" i="7"/>
  <c r="B12" i="16"/>
  <c r="E3" i="6"/>
  <c r="E15" i="6"/>
  <c r="B12" i="11"/>
  <c r="E9" i="16"/>
  <c r="E5" i="16"/>
  <c r="E3" i="8"/>
  <c r="E15" i="8"/>
  <c r="E5" i="8"/>
  <c r="B12" i="19"/>
  <c r="B12" i="24"/>
  <c r="B12" i="6"/>
  <c r="E9" i="24"/>
  <c r="E5" i="24" s="1"/>
  <c r="B11" i="6"/>
  <c r="B12" i="13"/>
  <c r="B12" i="41"/>
  <c r="B12" i="43"/>
  <c r="E5" i="43"/>
  <c r="B12" i="50"/>
  <c r="E5" i="50"/>
  <c r="E5" i="19"/>
  <c r="E3" i="19"/>
  <c r="E15" i="19" s="1"/>
  <c r="B5" i="19"/>
  <c r="E3" i="24"/>
  <c r="E15" i="24"/>
  <c r="B9" i="49"/>
  <c r="B15" i="49"/>
  <c r="B5" i="8"/>
  <c r="E3" i="43"/>
  <c r="E15" i="43"/>
  <c r="B12" i="8"/>
  <c r="E5" i="5"/>
  <c r="B5" i="12"/>
  <c r="B11" i="9"/>
  <c r="B11" i="26"/>
  <c r="B5" i="16"/>
  <c r="E3" i="16"/>
  <c r="E15" i="16" s="1"/>
  <c r="B5" i="5"/>
  <c r="E5" i="20"/>
  <c r="E3" i="25"/>
  <c r="E15" i="25"/>
  <c r="E9" i="22"/>
  <c r="E5" i="22"/>
  <c r="E3" i="28"/>
  <c r="E15" i="28" s="1"/>
  <c r="E5" i="7"/>
  <c r="B11" i="7"/>
  <c r="E3" i="26"/>
  <c r="E15" i="26"/>
  <c r="B9" i="26"/>
  <c r="B15" i="26" s="1"/>
  <c r="B12" i="12"/>
  <c r="B12" i="7"/>
  <c r="E3" i="11"/>
  <c r="E15" i="11" s="1"/>
  <c r="A15" i="20"/>
  <c r="E3" i="10"/>
  <c r="E15" i="10"/>
  <c r="B9" i="9"/>
  <c r="B15" i="9"/>
  <c r="B9" i="33"/>
  <c r="B15" i="33"/>
  <c r="E3" i="12"/>
  <c r="E15" i="12" s="1"/>
  <c r="B9" i="22"/>
  <c r="B15" i="22"/>
  <c r="B12" i="18"/>
  <c r="B11" i="12"/>
  <c r="B9" i="12"/>
  <c r="B15" i="12"/>
  <c r="E3" i="7"/>
  <c r="E15" i="7" s="1"/>
  <c r="E3" i="13"/>
  <c r="E15" i="13" s="1"/>
  <c r="E3" i="5"/>
  <c r="E15" i="5" s="1"/>
  <c r="A15" i="5"/>
  <c r="E3" i="41"/>
  <c r="E15" i="41"/>
  <c r="B12" i="25"/>
  <c r="B9" i="38"/>
  <c r="B15" i="38" s="1"/>
  <c r="B11" i="8"/>
  <c r="B5" i="9"/>
  <c r="E10" i="2"/>
  <c r="E11" i="2" s="1"/>
  <c r="C15" i="2" s="1"/>
  <c r="B5" i="13"/>
  <c r="B11" i="43"/>
  <c r="B12" i="29"/>
  <c r="B11" i="19"/>
  <c r="B5" i="25"/>
  <c r="E11" i="25"/>
  <c r="C15" i="25" s="1"/>
  <c r="A15" i="19"/>
  <c r="B5" i="24"/>
  <c r="B9" i="24"/>
  <c r="B15" i="24" s="1"/>
  <c r="B11" i="24"/>
  <c r="B12" i="28"/>
  <c r="B5" i="7"/>
  <c r="A15" i="7"/>
  <c r="B9" i="7"/>
  <c r="B15" i="7" s="1"/>
  <c r="A15" i="35"/>
  <c r="B11" i="13"/>
  <c r="E3" i="4"/>
  <c r="E15" i="4" s="1"/>
  <c r="B11" i="11"/>
  <c r="B9" i="19"/>
  <c r="B15" i="19" s="1"/>
  <c r="B4" i="45"/>
  <c r="A15" i="16"/>
  <c r="B9" i="16"/>
  <c r="B15" i="16"/>
  <c r="B9" i="6"/>
  <c r="B15" i="6" s="1"/>
  <c r="B9" i="13"/>
  <c r="B15" i="13" s="1"/>
  <c r="B11" i="5"/>
  <c r="B12" i="5"/>
  <c r="B9" i="11"/>
  <c r="B15" i="11" s="1"/>
  <c r="B11" i="50"/>
  <c r="E3" i="50"/>
  <c r="E15" i="50"/>
  <c r="B5" i="41"/>
  <c r="B11" i="41"/>
  <c r="B9" i="41"/>
  <c r="B15" i="41"/>
  <c r="B5" i="43"/>
  <c r="B11" i="16"/>
  <c r="B11" i="10"/>
  <c r="E5" i="18"/>
  <c r="B3" i="45"/>
  <c r="B12" i="20"/>
  <c r="B11" i="4"/>
  <c r="B5" i="11"/>
  <c r="B11" i="18"/>
  <c r="B5" i="18"/>
  <c r="B9" i="8"/>
  <c r="B15" i="8"/>
  <c r="A15" i="8"/>
  <c r="B5" i="10"/>
  <c r="B9" i="10"/>
  <c r="B15" i="10"/>
  <c r="B12" i="10"/>
  <c r="B12" i="26"/>
  <c r="B5" i="26"/>
  <c r="B10" i="2"/>
  <c r="E5" i="2" s="1"/>
  <c r="B2" i="2"/>
  <c r="A15" i="2"/>
  <c r="B4" i="2"/>
  <c r="B3" i="2"/>
  <c r="B5" i="2" s="1"/>
  <c r="B5" i="6"/>
  <c r="A15" i="6"/>
  <c r="B12" i="42"/>
  <c r="B11" i="42"/>
  <c r="B9" i="42"/>
  <c r="B15" i="42"/>
  <c r="A15" i="42"/>
  <c r="B5" i="42"/>
  <c r="E3" i="42"/>
  <c r="E15" i="42" s="1"/>
  <c r="A15" i="13"/>
  <c r="B9" i="50"/>
  <c r="B15" i="50" s="1"/>
  <c r="B5" i="50"/>
  <c r="B9" i="40"/>
  <c r="B15" i="40" s="1"/>
  <c r="B2" i="45"/>
  <c r="B9" i="45"/>
  <c r="B15" i="45" s="1"/>
  <c r="A15" i="43"/>
  <c r="E3" i="20"/>
  <c r="E15" i="20"/>
  <c r="B11" i="25"/>
  <c r="B9" i="25"/>
  <c r="B15" i="25" s="1"/>
  <c r="A15" i="25"/>
  <c r="B12" i="22"/>
  <c r="B5" i="22"/>
  <c r="A15" i="18"/>
  <c r="E3" i="18"/>
  <c r="E15" i="18" s="1"/>
  <c r="A15" i="4"/>
  <c r="B9" i="4"/>
  <c r="B15" i="4"/>
  <c r="B12" i="4"/>
  <c r="B5" i="4"/>
  <c r="E3" i="22"/>
  <c r="E15" i="22" s="1"/>
  <c r="B11" i="20"/>
  <c r="B5" i="20"/>
  <c r="B11" i="35"/>
  <c r="B12" i="35"/>
  <c r="E3" i="35"/>
  <c r="E15" i="35"/>
  <c r="B5" i="35"/>
  <c r="E3" i="49"/>
  <c r="E15" i="49"/>
  <c r="E5" i="49"/>
  <c r="B12" i="49"/>
  <c r="B11" i="49"/>
  <c r="B5" i="49"/>
  <c r="B9" i="48"/>
  <c r="B15" i="48" s="1"/>
  <c r="A15" i="48"/>
  <c r="E5" i="48"/>
  <c r="E3" i="48"/>
  <c r="E15" i="48"/>
  <c r="B12" i="48"/>
  <c r="B11" i="48"/>
  <c r="B11" i="40"/>
  <c r="B12" i="40"/>
  <c r="E3" i="40"/>
  <c r="E15" i="40" s="1"/>
  <c r="E5" i="40"/>
  <c r="B5" i="40"/>
  <c r="E10" i="45"/>
  <c r="E11" i="45" s="1"/>
  <c r="C15" i="45" s="1"/>
  <c r="B10" i="45"/>
  <c r="B12" i="38"/>
  <c r="B11" i="38"/>
  <c r="E3" i="38"/>
  <c r="E15" i="38"/>
  <c r="B5" i="38"/>
  <c r="B12" i="33"/>
  <c r="B11" i="33"/>
  <c r="E5" i="33"/>
  <c r="E3" i="33"/>
  <c r="E15" i="33" s="1"/>
  <c r="B5" i="33"/>
  <c r="A15" i="29"/>
  <c r="B9" i="29"/>
  <c r="B15" i="29"/>
  <c r="B5" i="28"/>
  <c r="A15" i="28"/>
  <c r="B11" i="28"/>
  <c r="B9" i="28"/>
  <c r="B15" i="28"/>
  <c r="E15" i="14"/>
  <c r="E5" i="14"/>
  <c r="B5" i="14"/>
  <c r="A15" i="14"/>
  <c r="B12" i="14"/>
  <c r="B11" i="14"/>
  <c r="B9" i="14"/>
  <c r="B15" i="14" s="1"/>
  <c r="B11" i="23"/>
  <c r="B12" i="23"/>
  <c r="E3" i="23"/>
  <c r="E15" i="23"/>
  <c r="B5" i="23"/>
  <c r="A15" i="23"/>
  <c r="B9" i="23"/>
  <c r="B15" i="23"/>
  <c r="B9" i="2"/>
  <c r="B15" i="2"/>
  <c r="E3" i="2"/>
  <c r="E15" i="2" s="1"/>
  <c r="B12" i="45"/>
  <c r="B11" i="45"/>
  <c r="B11" i="2"/>
  <c r="B5" i="45"/>
  <c r="A15" i="45"/>
  <c r="E3" i="45"/>
  <c r="E15" i="45" s="1"/>
  <c r="E21" i="41"/>
  <c r="E22" i="49"/>
  <c r="E20" i="52"/>
  <c r="E21" i="16"/>
  <c r="E21" i="18"/>
  <c r="E21" i="42"/>
  <c r="F21" i="37"/>
  <c r="E21" i="35"/>
  <c r="E21" i="5"/>
  <c r="E22" i="56"/>
  <c r="E21" i="13"/>
  <c r="E22" i="48"/>
  <c r="E21" i="7"/>
  <c r="E22" i="51"/>
  <c r="E21" i="45"/>
  <c r="F21" i="30"/>
  <c r="E21" i="2"/>
  <c r="E21" i="6"/>
  <c r="E20" i="59"/>
  <c r="E22" i="26"/>
  <c r="E21" i="14"/>
  <c r="E21" i="40"/>
  <c r="E21" i="25"/>
  <c r="E21" i="10"/>
  <c r="E21" i="23"/>
  <c r="E21" i="19"/>
  <c r="E21" i="24"/>
  <c r="E21" i="38"/>
  <c r="E21" i="12"/>
  <c r="E21" i="28"/>
  <c r="F21" i="32"/>
  <c r="E22" i="58"/>
  <c r="E21" i="43"/>
  <c r="E21" i="4"/>
  <c r="F21" i="46"/>
  <c r="E21" i="9"/>
  <c r="E22" i="57"/>
  <c r="E21" i="22"/>
  <c r="E21" i="8"/>
  <c r="E21" i="11"/>
  <c r="F21" i="47"/>
  <c r="E21" i="50"/>
  <c r="E22" i="7"/>
  <c r="F21" i="29"/>
  <c r="E21" i="33"/>
  <c r="E21" i="20"/>
  <c r="B10" i="30" l="1"/>
  <c r="E21" i="30"/>
  <c r="E9" i="30" s="1"/>
  <c r="B2" i="30"/>
  <c r="B3" i="47"/>
  <c r="B11" i="47" s="1"/>
  <c r="E10" i="47"/>
  <c r="E11" i="47" s="1"/>
  <c r="C15" i="47" s="1"/>
  <c r="B2" i="47"/>
  <c r="B4" i="47"/>
  <c r="E9" i="47"/>
  <c r="B10" i="47"/>
  <c r="B4" i="37"/>
  <c r="B10" i="37"/>
  <c r="B12" i="37"/>
  <c r="E10" i="37"/>
  <c r="E11" i="37" s="1"/>
  <c r="C15" i="37" s="1"/>
  <c r="B2" i="37"/>
  <c r="E9" i="37"/>
  <c r="E5" i="37" s="1"/>
  <c r="B10" i="32"/>
  <c r="B3" i="32"/>
  <c r="E9" i="32"/>
  <c r="B4" i="32"/>
  <c r="B12" i="32"/>
  <c r="A15" i="32"/>
  <c r="E31" i="46"/>
  <c r="F9" i="46" s="1"/>
  <c r="B10" i="46"/>
  <c r="B4" i="46"/>
  <c r="B2" i="46"/>
  <c r="B3" i="46"/>
  <c r="E9" i="26"/>
  <c r="E5" i="26" s="1"/>
  <c r="B12" i="2"/>
  <c r="E9" i="45"/>
  <c r="E5" i="45" s="1"/>
  <c r="E9" i="23"/>
  <c r="E5" i="23" s="1"/>
  <c r="F9" i="29"/>
  <c r="F5" i="29" s="1"/>
  <c r="D22" i="51"/>
  <c r="A15" i="51"/>
  <c r="E2" i="52"/>
  <c r="F14" i="52" s="1"/>
  <c r="E4" i="52"/>
  <c r="E9" i="56"/>
  <c r="B11" i="59"/>
  <c r="B9" i="51"/>
  <c r="B11" i="58"/>
  <c r="E3" i="51"/>
  <c r="E15" i="51" s="1"/>
  <c r="B10" i="56"/>
  <c r="B3" i="57"/>
  <c r="E10" i="57"/>
  <c r="E11" i="57" s="1"/>
  <c r="C15" i="57" s="1"/>
  <c r="B2" i="56"/>
  <c r="B10" i="58"/>
  <c r="B3" i="51"/>
  <c r="B4" i="56"/>
  <c r="B2" i="58"/>
  <c r="B5" i="57"/>
  <c r="B1" i="59"/>
  <c r="D21" i="51"/>
  <c r="E9" i="51" s="1"/>
  <c r="E5" i="51" s="1"/>
  <c r="B9" i="57"/>
  <c r="B4" i="58"/>
  <c r="B12" i="58" s="1"/>
  <c r="B1" i="52"/>
  <c r="E10" i="56"/>
  <c r="E11" i="56" s="1"/>
  <c r="C15" i="56" s="1"/>
  <c r="D21" i="58"/>
  <c r="E9" i="58" s="1"/>
  <c r="B3" i="59"/>
  <c r="B2" i="52"/>
  <c r="B3" i="56"/>
  <c r="B9" i="59"/>
  <c r="D21" i="57"/>
  <c r="E9" i="57" s="1"/>
  <c r="E5" i="57" s="1"/>
  <c r="E10" i="58"/>
  <c r="E11" i="58" s="1"/>
  <c r="C15" i="58" s="1"/>
  <c r="G30" i="59"/>
  <c r="G27" i="59"/>
  <c r="G24" i="59"/>
  <c r="G26" i="59"/>
  <c r="E22" i="12"/>
  <c r="E22" i="8"/>
  <c r="E21" i="59"/>
  <c r="E22" i="45"/>
  <c r="E22" i="25"/>
  <c r="F22" i="32"/>
  <c r="E22" i="50"/>
  <c r="F22" i="47"/>
  <c r="E22" i="20"/>
  <c r="E22" i="23"/>
  <c r="F22" i="37"/>
  <c r="E22" i="14"/>
  <c r="F22" i="29"/>
  <c r="E22" i="22"/>
  <c r="E23" i="51"/>
  <c r="E22" i="16"/>
  <c r="E23" i="56"/>
  <c r="E23" i="49"/>
  <c r="F22" i="30"/>
  <c r="E22" i="24"/>
  <c r="E22" i="38"/>
  <c r="E22" i="4"/>
  <c r="E22" i="43"/>
  <c r="F22" i="46"/>
  <c r="E22" i="41"/>
  <c r="E23" i="48"/>
  <c r="E22" i="35"/>
  <c r="E22" i="19"/>
  <c r="E22" i="40"/>
  <c r="E22" i="6"/>
  <c r="E22" i="2"/>
  <c r="E22" i="33"/>
  <c r="E22" i="18"/>
  <c r="E22" i="13"/>
  <c r="E23" i="57"/>
  <c r="E22" i="11"/>
  <c r="E21" i="52"/>
  <c r="E22" i="9"/>
  <c r="E23" i="26"/>
  <c r="E22" i="28"/>
  <c r="E22" i="42"/>
  <c r="E22" i="10"/>
  <c r="E22" i="5"/>
  <c r="E23" i="58"/>
  <c r="E23" i="7"/>
  <c r="B5" i="30" l="1"/>
  <c r="A15" i="30"/>
  <c r="E5" i="30"/>
  <c r="E3" i="30"/>
  <c r="E15" i="30" s="1"/>
  <c r="B9" i="30"/>
  <c r="B15" i="30" s="1"/>
  <c r="B11" i="30"/>
  <c r="B12" i="47"/>
  <c r="E5" i="47"/>
  <c r="E3" i="47"/>
  <c r="E15" i="47" s="1"/>
  <c r="B9" i="47"/>
  <c r="B15" i="47" s="1"/>
  <c r="A15" i="47"/>
  <c r="B5" i="47"/>
  <c r="A15" i="37"/>
  <c r="B9" i="37"/>
  <c r="B15" i="37" s="1"/>
  <c r="B5" i="37"/>
  <c r="E3" i="37"/>
  <c r="E15" i="37" s="1"/>
  <c r="B11" i="37"/>
  <c r="B11" i="32"/>
  <c r="B5" i="32"/>
  <c r="E3" i="32"/>
  <c r="E15" i="32" s="1"/>
  <c r="E5" i="32"/>
  <c r="B11" i="46"/>
  <c r="B12" i="46"/>
  <c r="B5" i="46"/>
  <c r="A15" i="46"/>
  <c r="B9" i="46"/>
  <c r="B15" i="46" s="1"/>
  <c r="F3" i="46"/>
  <c r="F15" i="46" s="1"/>
  <c r="F5" i="46"/>
  <c r="E4" i="59"/>
  <c r="E2" i="59"/>
  <c r="F14" i="59" s="1"/>
  <c r="A14" i="59"/>
  <c r="B4" i="59"/>
  <c r="B8" i="59"/>
  <c r="B5" i="58"/>
  <c r="A15" i="58"/>
  <c r="B9" i="58"/>
  <c r="B11" i="51"/>
  <c r="B12" i="51"/>
  <c r="B15" i="51"/>
  <c r="B10" i="59"/>
  <c r="B12" i="56"/>
  <c r="B11" i="56"/>
  <c r="E3" i="58"/>
  <c r="E15" i="58" s="1"/>
  <c r="E5" i="58"/>
  <c r="B8" i="52"/>
  <c r="A14" i="52"/>
  <c r="B4" i="52"/>
  <c r="B11" i="52"/>
  <c r="B10" i="52"/>
  <c r="E3" i="57"/>
  <c r="E15" i="57" s="1"/>
  <c r="B12" i="57"/>
  <c r="B11" i="57"/>
  <c r="E5" i="56"/>
  <c r="E3" i="56"/>
  <c r="E15" i="56" s="1"/>
  <c r="B15" i="57"/>
  <c r="B5" i="51"/>
  <c r="B9" i="56"/>
  <c r="B5" i="56"/>
  <c r="A15" i="56"/>
  <c r="E23" i="50"/>
  <c r="E23" i="2"/>
  <c r="F23" i="30"/>
  <c r="E23" i="8"/>
  <c r="E23" i="12"/>
  <c r="E23" i="19"/>
  <c r="E23" i="11"/>
  <c r="E24" i="49"/>
  <c r="E24" i="56"/>
  <c r="E24" i="51"/>
  <c r="E22" i="52"/>
  <c r="F23" i="32"/>
  <c r="E24" i="7"/>
  <c r="E23" i="14"/>
  <c r="E23" i="22"/>
  <c r="E23" i="40"/>
  <c r="E23" i="5"/>
  <c r="E23" i="38"/>
  <c r="F23" i="47"/>
  <c r="E23" i="20"/>
  <c r="E23" i="18"/>
  <c r="E23" i="42"/>
  <c r="E23" i="28"/>
  <c r="E23" i="6"/>
  <c r="F23" i="46"/>
  <c r="E24" i="26"/>
  <c r="F23" i="37"/>
  <c r="E24" i="57"/>
  <c r="E24" i="48"/>
  <c r="E23" i="25"/>
  <c r="E23" i="23"/>
  <c r="E23" i="16"/>
  <c r="E23" i="10"/>
  <c r="E23" i="45"/>
  <c r="F23" i="29"/>
  <c r="E23" i="9"/>
  <c r="E23" i="13"/>
  <c r="E22" i="59"/>
  <c r="E23" i="4"/>
  <c r="E23" i="43"/>
  <c r="E23" i="35"/>
  <c r="E23" i="24"/>
  <c r="E24" i="58"/>
  <c r="E23" i="33"/>
  <c r="E23" i="41"/>
  <c r="E7" i="52" l="1"/>
  <c r="E14" i="52" s="1"/>
  <c r="C14" i="59"/>
  <c r="C14" i="52"/>
  <c r="B15" i="58"/>
  <c r="B15" i="56"/>
  <c r="E24" i="2"/>
  <c r="E24" i="11"/>
  <c r="E24" i="9"/>
  <c r="F24" i="47"/>
  <c r="E24" i="22"/>
  <c r="F24" i="37"/>
  <c r="E24" i="40"/>
  <c r="E25" i="51"/>
  <c r="E24" i="45"/>
  <c r="E25" i="7"/>
  <c r="E25" i="56"/>
  <c r="E24" i="4"/>
  <c r="E24" i="35"/>
  <c r="E24" i="14"/>
  <c r="E24" i="18"/>
  <c r="E24" i="43"/>
  <c r="F24" i="32"/>
  <c r="E24" i="23"/>
  <c r="E24" i="8"/>
  <c r="F24" i="29"/>
  <c r="E24" i="50"/>
  <c r="E24" i="16"/>
  <c r="E25" i="49"/>
  <c r="F24" i="30"/>
  <c r="E24" i="41"/>
  <c r="E24" i="12"/>
  <c r="E24" i="42"/>
  <c r="E24" i="25"/>
  <c r="F24" i="46"/>
  <c r="E24" i="19"/>
  <c r="E25" i="26"/>
  <c r="E24" i="33"/>
  <c r="E25" i="57"/>
  <c r="E24" i="24"/>
  <c r="E24" i="13"/>
  <c r="E24" i="6"/>
  <c r="E24" i="20"/>
  <c r="E24" i="10"/>
  <c r="E24" i="28"/>
  <c r="E24" i="5"/>
  <c r="E25" i="48"/>
  <c r="E25" i="58"/>
  <c r="E23" i="59"/>
  <c r="E24" i="38"/>
  <c r="E3" i="52" l="1"/>
  <c r="G14" i="52" s="1"/>
  <c r="E25" i="28"/>
  <c r="E25" i="42"/>
  <c r="F25" i="29"/>
  <c r="E25" i="50"/>
  <c r="E25" i="35"/>
  <c r="F25" i="47"/>
  <c r="F25" i="37"/>
  <c r="E25" i="5"/>
  <c r="E26" i="56"/>
  <c r="E26" i="49"/>
  <c r="E25" i="19"/>
  <c r="E25" i="33"/>
  <c r="F25" i="46"/>
  <c r="E26" i="57"/>
  <c r="E26" i="51"/>
  <c r="E25" i="18"/>
  <c r="E26" i="7"/>
  <c r="E25" i="40"/>
  <c r="E25" i="9"/>
  <c r="E26" i="58"/>
  <c r="E25" i="13"/>
  <c r="E25" i="14"/>
  <c r="E25" i="41"/>
  <c r="E24" i="59"/>
  <c r="E25" i="11"/>
  <c r="E25" i="25"/>
  <c r="E25" i="4"/>
  <c r="E25" i="2"/>
  <c r="E25" i="38"/>
  <c r="E25" i="24"/>
  <c r="E25" i="8"/>
  <c r="E25" i="45"/>
  <c r="E25" i="20"/>
  <c r="F25" i="30"/>
  <c r="E26" i="26"/>
  <c r="E25" i="23"/>
  <c r="F25" i="32"/>
  <c r="E25" i="22"/>
  <c r="E25" i="12"/>
  <c r="E26" i="48"/>
  <c r="E25" i="10"/>
  <c r="E25" i="43"/>
  <c r="E25" i="6"/>
  <c r="E25" i="16"/>
  <c r="E26" i="16"/>
  <c r="E26" i="45"/>
  <c r="E27" i="58"/>
  <c r="E26" i="5"/>
  <c r="E26" i="14"/>
  <c r="E26" i="6"/>
  <c r="E26" i="8"/>
  <c r="E26" i="9"/>
  <c r="F26" i="37"/>
  <c r="E27" i="7"/>
  <c r="E27" i="48"/>
  <c r="E26" i="18"/>
  <c r="E26" i="12"/>
  <c r="E27" i="51"/>
  <c r="E26" i="22"/>
  <c r="E26" i="42"/>
  <c r="E26" i="11"/>
  <c r="E26" i="33"/>
  <c r="E27" i="26"/>
  <c r="E26" i="13"/>
  <c r="E26" i="43"/>
  <c r="E26" i="24"/>
  <c r="E26" i="40"/>
  <c r="F26" i="47"/>
  <c r="E26" i="38"/>
  <c r="E26" i="35"/>
  <c r="E26" i="2"/>
  <c r="E26" i="50"/>
  <c r="E26" i="4"/>
  <c r="F26" i="29"/>
  <c r="E26" i="25"/>
  <c r="F26" i="32"/>
  <c r="E26" i="28"/>
  <c r="E25" i="59"/>
  <c r="E26" i="19"/>
  <c r="E27" i="56"/>
  <c r="E26" i="10"/>
  <c r="E27" i="57"/>
  <c r="F26" i="46"/>
  <c r="E26" i="23"/>
  <c r="E26" i="41"/>
  <c r="F26" i="30"/>
  <c r="E27" i="49"/>
  <c r="E26" i="20"/>
  <c r="E27" i="20"/>
  <c r="E28" i="57"/>
  <c r="F27" i="32"/>
  <c r="E27" i="35"/>
  <c r="E27" i="13"/>
  <c r="E28" i="51"/>
  <c r="E27" i="9"/>
  <c r="E27" i="45"/>
  <c r="E28" i="48"/>
  <c r="E27" i="8"/>
  <c r="E27" i="14"/>
  <c r="E28" i="7"/>
  <c r="E28" i="49"/>
  <c r="E27" i="10"/>
  <c r="E27" i="25"/>
  <c r="E27" i="38"/>
  <c r="E28" i="26"/>
  <c r="E27" i="12"/>
  <c r="E27" i="16"/>
  <c r="E27" i="11"/>
  <c r="E27" i="4"/>
  <c r="F27" i="30"/>
  <c r="E28" i="56"/>
  <c r="F27" i="29"/>
  <c r="F27" i="47"/>
  <c r="E27" i="33"/>
  <c r="E27" i="18"/>
  <c r="E27" i="6"/>
  <c r="E27" i="40"/>
  <c r="E27" i="5"/>
  <c r="E27" i="41"/>
  <c r="E27" i="19"/>
  <c r="E28" i="58"/>
  <c r="E27" i="23"/>
  <c r="E26" i="59"/>
  <c r="E27" i="50"/>
  <c r="E27" i="24"/>
  <c r="E27" i="42"/>
  <c r="F27" i="46"/>
  <c r="E27" i="28"/>
  <c r="E27" i="2"/>
  <c r="E27" i="43"/>
  <c r="E27" i="22"/>
  <c r="F27" i="37"/>
  <c r="F28" i="37"/>
  <c r="E28" i="42"/>
  <c r="E28" i="19"/>
  <c r="E28" i="33"/>
  <c r="E28" i="11"/>
  <c r="E28" i="10"/>
  <c r="E28" i="45"/>
  <c r="E29" i="57"/>
  <c r="E29" i="26"/>
  <c r="E28" i="20"/>
  <c r="E28" i="5"/>
  <c r="E28" i="40"/>
  <c r="E28" i="6"/>
  <c r="E28" i="22"/>
  <c r="E28" i="24"/>
  <c r="E28" i="41"/>
  <c r="F28" i="47"/>
  <c r="E28" i="16"/>
  <c r="E29" i="49"/>
  <c r="E28" i="9"/>
  <c r="E28" i="50"/>
  <c r="E28" i="12"/>
  <c r="E27" i="59"/>
  <c r="F28" i="30"/>
  <c r="E28" i="18"/>
  <c r="F28" i="32"/>
  <c r="E28" i="43"/>
  <c r="F28" i="29"/>
  <c r="E29" i="51"/>
  <c r="E28" i="14"/>
  <c r="E28" i="35"/>
  <c r="E28" i="4"/>
  <c r="E29" i="7"/>
  <c r="E29" i="56"/>
  <c r="E28" i="38"/>
  <c r="F28" i="46"/>
  <c r="E29" i="48"/>
  <c r="E28" i="13"/>
  <c r="E28" i="8"/>
  <c r="E29" i="58"/>
  <c r="E28" i="2"/>
  <c r="E28" i="28"/>
  <c r="E28" i="25"/>
  <c r="E28" i="23"/>
  <c r="E29" i="23"/>
  <c r="E29" i="13"/>
  <c r="E29" i="4"/>
  <c r="F29" i="32"/>
  <c r="E29" i="9"/>
  <c r="E29" i="22"/>
  <c r="E30" i="57"/>
  <c r="E29" i="42"/>
  <c r="E29" i="45"/>
  <c r="E29" i="35"/>
  <c r="E29" i="18"/>
  <c r="E29" i="6"/>
  <c r="E29" i="10"/>
  <c r="E29" i="43"/>
  <c r="E29" i="25"/>
  <c r="E30" i="48"/>
  <c r="E30" i="49"/>
  <c r="F29" i="37"/>
  <c r="E29" i="16"/>
  <c r="E29" i="11"/>
  <c r="E29" i="50"/>
  <c r="E29" i="28"/>
  <c r="F29" i="46"/>
  <c r="E29" i="14"/>
  <c r="F29" i="30"/>
  <c r="E29" i="40"/>
  <c r="E30" i="26"/>
  <c r="E29" i="5"/>
  <c r="E30" i="7"/>
  <c r="E29" i="2"/>
  <c r="E29" i="38"/>
  <c r="E30" i="51"/>
  <c r="E28" i="59"/>
  <c r="F29" i="47"/>
  <c r="E29" i="19"/>
  <c r="E29" i="20"/>
  <c r="E29" i="8"/>
  <c r="E30" i="58"/>
  <c r="E30" i="56"/>
  <c r="F29" i="29"/>
  <c r="E29" i="12"/>
  <c r="E29" i="41"/>
  <c r="E29" i="33"/>
  <c r="E29" i="24"/>
  <c r="E8" i="57" l="1"/>
  <c r="E30" i="24"/>
  <c r="E31" i="58"/>
  <c r="E31" i="51"/>
  <c r="E30" i="40"/>
  <c r="E30" i="11"/>
  <c r="E30" i="43"/>
  <c r="E30" i="42"/>
  <c r="E30" i="23"/>
  <c r="E30" i="33"/>
  <c r="E30" i="8"/>
  <c r="E30" i="38"/>
  <c r="F30" i="30"/>
  <c r="E30" i="16"/>
  <c r="E30" i="10"/>
  <c r="E30" i="22"/>
  <c r="E30" i="41"/>
  <c r="E30" i="20"/>
  <c r="E30" i="2"/>
  <c r="E30" i="14"/>
  <c r="F30" i="37"/>
  <c r="E30" i="6"/>
  <c r="E30" i="12"/>
  <c r="E30" i="19"/>
  <c r="E31" i="7"/>
  <c r="F30" i="46"/>
  <c r="E31" i="49"/>
  <c r="E30" i="18"/>
  <c r="F30" i="29"/>
  <c r="F30" i="47"/>
  <c r="E30" i="5"/>
  <c r="E30" i="28"/>
  <c r="E31" i="48"/>
  <c r="E30" i="35"/>
  <c r="E30" i="4"/>
  <c r="E30" i="9"/>
  <c r="E31" i="56"/>
  <c r="E29" i="59"/>
  <c r="E31" i="26"/>
  <c r="E30" i="50"/>
  <c r="E30" i="25"/>
  <c r="E30" i="45"/>
  <c r="F30" i="32"/>
  <c r="E30" i="13"/>
  <c r="E8" i="58" l="1"/>
  <c r="D15" i="57"/>
  <c r="E4" i="57"/>
  <c r="F15" i="57" s="1"/>
  <c r="E31" i="13"/>
  <c r="E30" i="59"/>
  <c r="E31" i="28"/>
  <c r="F31" i="46"/>
  <c r="E31" i="14"/>
  <c r="E31" i="16"/>
  <c r="E31" i="42"/>
  <c r="E31" i="11"/>
  <c r="E31" i="40"/>
  <c r="E31" i="22"/>
  <c r="E32" i="48"/>
  <c r="E31" i="38"/>
  <c r="E31" i="8"/>
  <c r="E31" i="33"/>
  <c r="F31" i="32"/>
  <c r="E32" i="56"/>
  <c r="E31" i="5"/>
  <c r="E32" i="7"/>
  <c r="E31" i="2"/>
  <c r="F31" i="30"/>
  <c r="E31" i="43"/>
  <c r="E31" i="19"/>
  <c r="E31" i="20"/>
  <c r="E31" i="18"/>
  <c r="F31" i="37"/>
  <c r="E31" i="45"/>
  <c r="E31" i="9"/>
  <c r="F31" i="47"/>
  <c r="E31" i="23"/>
  <c r="E31" i="25"/>
  <c r="E31" i="4"/>
  <c r="F31" i="29"/>
  <c r="E31" i="12"/>
  <c r="E31" i="41"/>
  <c r="E31" i="6"/>
  <c r="E32" i="49"/>
  <c r="E31" i="24"/>
  <c r="E31" i="50"/>
  <c r="E31" i="35"/>
  <c r="E32" i="51"/>
  <c r="E31" i="10"/>
  <c r="E32" i="26"/>
  <c r="D15" i="58" l="1"/>
  <c r="E4" i="58"/>
  <c r="F15" i="58" s="1"/>
  <c r="E33" i="26"/>
  <c r="E32" i="25"/>
  <c r="E33" i="7"/>
  <c r="E32" i="16"/>
  <c r="E32" i="33"/>
  <c r="E32" i="22"/>
  <c r="E32" i="2"/>
  <c r="E32" i="10"/>
  <c r="E32" i="23"/>
  <c r="E32" i="5"/>
  <c r="E32" i="14"/>
  <c r="E31" i="59"/>
  <c r="E32" i="38"/>
  <c r="E32" i="43"/>
  <c r="E33" i="51"/>
  <c r="F32" i="47"/>
  <c r="E33" i="56"/>
  <c r="F32" i="46"/>
  <c r="E32" i="8"/>
  <c r="E33" i="48"/>
  <c r="E32" i="11"/>
  <c r="E32" i="35"/>
  <c r="E32" i="9"/>
  <c r="F32" i="32"/>
  <c r="E32" i="28"/>
  <c r="F32" i="37"/>
  <c r="E32" i="20"/>
  <c r="E32" i="40"/>
  <c r="E32" i="50"/>
  <c r="E32" i="45"/>
  <c r="E32" i="24"/>
  <c r="E32" i="13"/>
  <c r="F32" i="30"/>
  <c r="E33" i="49"/>
  <c r="E32" i="18"/>
  <c r="E32" i="19"/>
  <c r="E32" i="4"/>
  <c r="E32" i="6"/>
  <c r="F32" i="29"/>
  <c r="E32" i="41"/>
  <c r="E32" i="12"/>
  <c r="E32" i="42"/>
  <c r="E33" i="42"/>
  <c r="E33" i="45"/>
  <c r="F33" i="46"/>
  <c r="E33" i="22"/>
  <c r="E33" i="16"/>
  <c r="E33" i="25"/>
  <c r="E34" i="26"/>
  <c r="E33" i="9"/>
  <c r="F33" i="30"/>
  <c r="E33" i="2"/>
  <c r="E33" i="12"/>
  <c r="E33" i="50"/>
  <c r="E34" i="56"/>
  <c r="E33" i="33"/>
  <c r="E34" i="51"/>
  <c r="E33" i="43"/>
  <c r="E33" i="4"/>
  <c r="E33" i="18"/>
  <c r="E33" i="23"/>
  <c r="E33" i="8"/>
  <c r="E33" i="41"/>
  <c r="E33" i="40"/>
  <c r="F33" i="47"/>
  <c r="F33" i="37"/>
  <c r="E33" i="19"/>
  <c r="E34" i="49"/>
  <c r="E33" i="13"/>
  <c r="F33" i="29"/>
  <c r="E33" i="20"/>
  <c r="E34" i="7"/>
  <c r="E33" i="28"/>
  <c r="E32" i="59"/>
  <c r="E33" i="5"/>
  <c r="E33" i="10"/>
  <c r="E33" i="6"/>
  <c r="F33" i="32"/>
  <c r="E33" i="35"/>
  <c r="E34" i="48"/>
  <c r="E33" i="38"/>
  <c r="E33" i="14"/>
  <c r="E33" i="24"/>
  <c r="E33" i="11"/>
  <c r="E7" i="59" l="1"/>
  <c r="E8" i="56"/>
  <c r="E34" i="11"/>
  <c r="E35" i="7"/>
  <c r="E34" i="18"/>
  <c r="E34" i="25"/>
  <c r="E34" i="22"/>
  <c r="E35" i="49"/>
  <c r="E34" i="42"/>
  <c r="F34" i="47"/>
  <c r="E34" i="5"/>
  <c r="E34" i="24"/>
  <c r="E34" i="20"/>
  <c r="E34" i="4"/>
  <c r="E34" i="16"/>
  <c r="E34" i="13"/>
  <c r="E34" i="45"/>
  <c r="F34" i="32"/>
  <c r="E34" i="2"/>
  <c r="E34" i="9"/>
  <c r="E34" i="14"/>
  <c r="F34" i="29"/>
  <c r="E34" i="43"/>
  <c r="E35" i="51"/>
  <c r="E34" i="35"/>
  <c r="E34" i="6"/>
  <c r="E34" i="41"/>
  <c r="E34" i="38"/>
  <c r="F34" i="46"/>
  <c r="E34" i="10"/>
  <c r="E34" i="8"/>
  <c r="E35" i="48"/>
  <c r="E34" i="33"/>
  <c r="F34" i="37"/>
  <c r="E34" i="40"/>
  <c r="E34" i="19"/>
  <c r="E34" i="50"/>
  <c r="F34" i="30"/>
  <c r="E35" i="26"/>
  <c r="E34" i="12"/>
  <c r="E34" i="28"/>
  <c r="E34" i="23"/>
  <c r="E14" i="59" l="1"/>
  <c r="E3" i="59"/>
  <c r="G14" i="59" s="1"/>
  <c r="D15" i="56"/>
  <c r="E4" i="56"/>
  <c r="F15" i="56" s="1"/>
  <c r="E35" i="23"/>
  <c r="E35" i="10"/>
  <c r="F35" i="32"/>
  <c r="E35" i="25"/>
  <c r="E35" i="4"/>
  <c r="E35" i="24"/>
  <c r="E35" i="33"/>
  <c r="E35" i="28"/>
  <c r="F35" i="46"/>
  <c r="E35" i="45"/>
  <c r="E35" i="18"/>
  <c r="E35" i="11"/>
  <c r="F35" i="37"/>
  <c r="E36" i="49"/>
  <c r="E35" i="12"/>
  <c r="E35" i="38"/>
  <c r="E35" i="13"/>
  <c r="E36" i="7"/>
  <c r="E35" i="6"/>
  <c r="E36" i="51"/>
  <c r="F35" i="29"/>
  <c r="E36" i="48"/>
  <c r="E36" i="26"/>
  <c r="E35" i="41"/>
  <c r="E35" i="16"/>
  <c r="E35" i="35"/>
  <c r="E35" i="43"/>
  <c r="E35" i="14"/>
  <c r="F35" i="30"/>
  <c r="E35" i="20"/>
  <c r="E35" i="50"/>
  <c r="E35" i="5"/>
  <c r="E35" i="42"/>
  <c r="E35" i="22"/>
  <c r="E35" i="19"/>
  <c r="F35" i="47"/>
  <c r="E35" i="9"/>
  <c r="E35" i="40"/>
  <c r="E35" i="8"/>
  <c r="E35" i="2"/>
  <c r="E36" i="2"/>
  <c r="E36" i="14"/>
  <c r="E36" i="38"/>
  <c r="E36" i="25"/>
  <c r="E36" i="41"/>
  <c r="E37" i="48"/>
  <c r="E36" i="28"/>
  <c r="E36" i="24"/>
  <c r="E36" i="8"/>
  <c r="E36" i="43"/>
  <c r="E36" i="12"/>
  <c r="F36" i="32"/>
  <c r="E36" i="23"/>
  <c r="E36" i="18"/>
  <c r="E36" i="42"/>
  <c r="E36" i="6"/>
  <c r="F36" i="30"/>
  <c r="E36" i="40"/>
  <c r="E36" i="35"/>
  <c r="E37" i="49"/>
  <c r="E36" i="10"/>
  <c r="E36" i="11"/>
  <c r="E36" i="22"/>
  <c r="E36" i="5"/>
  <c r="E37" i="7"/>
  <c r="E36" i="9"/>
  <c r="E36" i="16"/>
  <c r="F36" i="37"/>
  <c r="E37" i="26"/>
  <c r="F36" i="29"/>
  <c r="E36" i="33"/>
  <c r="E36" i="4"/>
  <c r="F36" i="47"/>
  <c r="E36" i="45"/>
  <c r="E37" i="51"/>
  <c r="E36" i="13"/>
  <c r="E36" i="19"/>
  <c r="F36" i="46"/>
  <c r="E36" i="20"/>
  <c r="E36" i="50"/>
  <c r="E37" i="50"/>
  <c r="F37" i="37"/>
  <c r="E37" i="6"/>
  <c r="E37" i="25"/>
  <c r="E37" i="14"/>
  <c r="F37" i="32"/>
  <c r="E37" i="45"/>
  <c r="E37" i="24"/>
  <c r="E37" i="40"/>
  <c r="E37" i="20"/>
  <c r="E37" i="16"/>
  <c r="E37" i="42"/>
  <c r="E37" i="38"/>
  <c r="E37" i="2"/>
  <c r="E38" i="51"/>
  <c r="E37" i="43"/>
  <c r="E37" i="4"/>
  <c r="E38" i="48"/>
  <c r="F37" i="46"/>
  <c r="E37" i="9"/>
  <c r="E37" i="18"/>
  <c r="E37" i="5"/>
  <c r="E37" i="22"/>
  <c r="F37" i="47"/>
  <c r="E37" i="28"/>
  <c r="E37" i="41"/>
  <c r="E37" i="19"/>
  <c r="E38" i="7"/>
  <c r="E37" i="23"/>
  <c r="E37" i="12"/>
  <c r="E37" i="8"/>
  <c r="E37" i="35"/>
  <c r="F37" i="30"/>
  <c r="E37" i="13"/>
  <c r="E37" i="11"/>
  <c r="E37" i="33"/>
  <c r="E38" i="26"/>
  <c r="E37" i="10"/>
  <c r="E38" i="49"/>
  <c r="F37" i="29"/>
  <c r="F38" i="29"/>
  <c r="E39" i="7"/>
  <c r="E38" i="43"/>
  <c r="E38" i="25"/>
  <c r="F38" i="37"/>
  <c r="E38" i="42"/>
  <c r="E38" i="13"/>
  <c r="E38" i="9"/>
  <c r="F38" i="32"/>
  <c r="E39" i="49"/>
  <c r="E38" i="19"/>
  <c r="E39" i="51"/>
  <c r="E38" i="6"/>
  <c r="E38" i="50"/>
  <c r="E38" i="11"/>
  <c r="E38" i="20"/>
  <c r="E38" i="24"/>
  <c r="E38" i="12"/>
  <c r="E38" i="10"/>
  <c r="E38" i="41"/>
  <c r="E38" i="2"/>
  <c r="F38" i="47"/>
  <c r="E38" i="16"/>
  <c r="E38" i="40"/>
  <c r="E38" i="45"/>
  <c r="E38" i="23"/>
  <c r="E39" i="26"/>
  <c r="E38" i="28"/>
  <c r="E38" i="38"/>
  <c r="E38" i="22"/>
  <c r="F38" i="30"/>
  <c r="F38" i="46"/>
  <c r="E38" i="4"/>
  <c r="E38" i="33"/>
  <c r="E38" i="5"/>
  <c r="E38" i="8"/>
  <c r="E38" i="14"/>
  <c r="E38" i="18"/>
  <c r="E38" i="35"/>
  <c r="E39" i="48"/>
  <c r="E40" i="48"/>
  <c r="E39" i="28"/>
  <c r="E39" i="20"/>
  <c r="E39" i="25"/>
  <c r="E40" i="7"/>
  <c r="E39" i="40"/>
  <c r="E39" i="33"/>
  <c r="E39" i="41"/>
  <c r="E39" i="12"/>
  <c r="E39" i="35"/>
  <c r="E40" i="26"/>
  <c r="E39" i="11"/>
  <c r="E39" i="43"/>
  <c r="E39" i="6"/>
  <c r="E39" i="5"/>
  <c r="E39" i="19"/>
  <c r="E39" i="2"/>
  <c r="E39" i="10"/>
  <c r="E39" i="24"/>
  <c r="E39" i="18"/>
  <c r="E39" i="23"/>
  <c r="E39" i="50"/>
  <c r="F39" i="29"/>
  <c r="E39" i="16"/>
  <c r="E40" i="49"/>
  <c r="E39" i="9"/>
  <c r="E39" i="22"/>
  <c r="E39" i="14"/>
  <c r="E39" i="45"/>
  <c r="E40" i="51"/>
  <c r="F39" i="47"/>
  <c r="F39" i="32"/>
  <c r="E39" i="13"/>
  <c r="F39" i="37"/>
  <c r="E39" i="8"/>
  <c r="F39" i="46"/>
  <c r="E39" i="4"/>
  <c r="E39" i="38"/>
  <c r="F39" i="30"/>
  <c r="E39" i="42"/>
  <c r="E40" i="42"/>
  <c r="E40" i="14"/>
  <c r="E40" i="19"/>
  <c r="E40" i="25"/>
  <c r="F40" i="30"/>
  <c r="E40" i="22"/>
  <c r="E40" i="5"/>
  <c r="E40" i="20"/>
  <c r="E40" i="38"/>
  <c r="E40" i="9"/>
  <c r="E40" i="6"/>
  <c r="E40" i="28"/>
  <c r="E40" i="4"/>
  <c r="E41" i="49"/>
  <c r="E40" i="43"/>
  <c r="E41" i="48"/>
  <c r="F40" i="46"/>
  <c r="E40" i="16"/>
  <c r="E40" i="11"/>
  <c r="E40" i="8"/>
  <c r="F40" i="29"/>
  <c r="E41" i="26"/>
  <c r="F40" i="37"/>
  <c r="E40" i="50"/>
  <c r="E40" i="35"/>
  <c r="E40" i="13"/>
  <c r="E40" i="23"/>
  <c r="E40" i="12"/>
  <c r="F40" i="32"/>
  <c r="E40" i="18"/>
  <c r="E40" i="41"/>
  <c r="E40" i="40"/>
  <c r="F40" i="47"/>
  <c r="E40" i="24"/>
  <c r="E40" i="33"/>
  <c r="E40" i="10"/>
  <c r="E41" i="51"/>
  <c r="E40" i="45"/>
  <c r="E40" i="2"/>
  <c r="E41" i="7"/>
  <c r="E42" i="7"/>
  <c r="E41" i="12"/>
  <c r="E42" i="48"/>
  <c r="E41" i="25"/>
  <c r="E41" i="42"/>
  <c r="F41" i="37"/>
  <c r="F41" i="29"/>
  <c r="E41" i="41"/>
  <c r="F41" i="46"/>
  <c r="E41" i="2"/>
  <c r="E41" i="23"/>
  <c r="E41" i="43"/>
  <c r="E41" i="19"/>
  <c r="E41" i="4"/>
  <c r="E41" i="33"/>
  <c r="F41" i="47"/>
  <c r="E41" i="11"/>
  <c r="F41" i="32"/>
  <c r="E41" i="45"/>
  <c r="E41" i="13"/>
  <c r="E42" i="49"/>
  <c r="E41" i="14"/>
  <c r="E41" i="50"/>
  <c r="E41" i="9"/>
  <c r="E41" i="38"/>
  <c r="E41" i="5"/>
  <c r="F41" i="30"/>
  <c r="E42" i="51"/>
  <c r="E41" i="35"/>
  <c r="E41" i="28"/>
  <c r="E41" i="24"/>
  <c r="E41" i="8"/>
  <c r="E41" i="22"/>
  <c r="E41" i="10"/>
  <c r="E42" i="26"/>
  <c r="E41" i="40"/>
  <c r="E41" i="16"/>
  <c r="E41" i="6"/>
  <c r="E41" i="20"/>
  <c r="E41" i="18"/>
  <c r="E42" i="18"/>
  <c r="E43" i="51"/>
  <c r="F42" i="47"/>
  <c r="E42" i="25"/>
  <c r="E42" i="19"/>
  <c r="E42" i="2"/>
  <c r="E42" i="41"/>
  <c r="F42" i="32"/>
  <c r="E42" i="20"/>
  <c r="F42" i="30"/>
  <c r="E42" i="33"/>
  <c r="E43" i="48"/>
  <c r="E42" i="5"/>
  <c r="E42" i="12"/>
  <c r="E42" i="9"/>
  <c r="E43" i="49"/>
  <c r="E42" i="45"/>
  <c r="E42" i="35"/>
  <c r="E42" i="6"/>
  <c r="E42" i="4"/>
  <c r="E42" i="43"/>
  <c r="E42" i="8"/>
  <c r="F42" i="37"/>
  <c r="E42" i="42"/>
  <c r="E42" i="16"/>
  <c r="E42" i="38"/>
  <c r="E43" i="7"/>
  <c r="E42" i="40"/>
  <c r="E43" i="26"/>
  <c r="E42" i="50"/>
  <c r="E42" i="23"/>
  <c r="E42" i="14"/>
  <c r="E42" i="13"/>
  <c r="F42" i="29"/>
  <c r="E42" i="11"/>
  <c r="E42" i="10"/>
  <c r="E42" i="22"/>
  <c r="F42" i="46"/>
  <c r="E42" i="28"/>
  <c r="E42" i="24"/>
  <c r="E43" i="24"/>
  <c r="E43" i="40"/>
  <c r="E44" i="49"/>
  <c r="E43" i="25"/>
  <c r="E43" i="12"/>
  <c r="E43" i="16"/>
  <c r="E44" i="48"/>
  <c r="E43" i="8"/>
  <c r="E43" i="4"/>
  <c r="E43" i="41"/>
  <c r="E43" i="28"/>
  <c r="E44" i="7"/>
  <c r="E43" i="9"/>
  <c r="F43" i="47"/>
  <c r="E44" i="51"/>
  <c r="E43" i="5"/>
  <c r="E43" i="33"/>
  <c r="E43" i="20"/>
  <c r="E43" i="23"/>
  <c r="F43" i="46"/>
  <c r="E43" i="38"/>
  <c r="E43" i="18"/>
  <c r="F43" i="37"/>
  <c r="E43" i="14"/>
  <c r="E43" i="50"/>
  <c r="E43" i="22"/>
  <c r="E43" i="43"/>
  <c r="E43" i="6"/>
  <c r="E43" i="10"/>
  <c r="E43" i="42"/>
  <c r="F43" i="30"/>
  <c r="F43" i="32"/>
  <c r="E44" i="26"/>
  <c r="E43" i="11"/>
  <c r="F43" i="29"/>
  <c r="E43" i="35"/>
  <c r="E43" i="13"/>
  <c r="E43" i="2"/>
  <c r="E43" i="45"/>
  <c r="E43" i="19"/>
  <c r="E44" i="19"/>
  <c r="E44" i="6"/>
  <c r="E44" i="5"/>
  <c r="E44" i="25"/>
  <c r="E44" i="40"/>
  <c r="F44" i="37"/>
  <c r="F44" i="32"/>
  <c r="E44" i="42"/>
  <c r="E44" i="45"/>
  <c r="E44" i="43"/>
  <c r="E45" i="51"/>
  <c r="E45" i="49"/>
  <c r="E44" i="24"/>
  <c r="E45" i="7"/>
  <c r="E44" i="18"/>
  <c r="F44" i="30"/>
  <c r="E44" i="12"/>
  <c r="E44" i="2"/>
  <c r="E44" i="22"/>
  <c r="F44" i="47"/>
  <c r="E44" i="14"/>
  <c r="E44" i="41"/>
  <c r="E44" i="8"/>
  <c r="E44" i="10"/>
  <c r="E44" i="13"/>
  <c r="E44" i="50"/>
  <c r="E44" i="9"/>
  <c r="E44" i="28"/>
  <c r="E44" i="38"/>
  <c r="E44" i="23"/>
  <c r="E44" i="35"/>
  <c r="F44" i="46"/>
  <c r="E44" i="16"/>
  <c r="F44" i="29"/>
  <c r="E44" i="4"/>
  <c r="E45" i="48"/>
  <c r="E44" i="11"/>
  <c r="E44" i="33"/>
  <c r="E45" i="26"/>
  <c r="E44" i="20"/>
  <c r="E45" i="20"/>
  <c r="E45" i="28"/>
  <c r="F45" i="30"/>
  <c r="E45" i="25"/>
  <c r="E45" i="6"/>
  <c r="E46" i="49"/>
  <c r="E45" i="43"/>
  <c r="F45" i="32"/>
  <c r="E46" i="26"/>
  <c r="E45" i="9"/>
  <c r="E45" i="18"/>
  <c r="E45" i="5"/>
  <c r="E45" i="19"/>
  <c r="E45" i="41"/>
  <c r="E45" i="42"/>
  <c r="E45" i="23"/>
  <c r="E45" i="33"/>
  <c r="E45" i="50"/>
  <c r="E46" i="7"/>
  <c r="E45" i="24"/>
  <c r="E45" i="8"/>
  <c r="E45" i="45"/>
  <c r="E45" i="22"/>
  <c r="E45" i="11"/>
  <c r="E45" i="13"/>
  <c r="E46" i="51"/>
  <c r="F45" i="46"/>
  <c r="F45" i="37"/>
  <c r="E46" i="48"/>
  <c r="E45" i="10"/>
  <c r="E45" i="14"/>
  <c r="E45" i="35"/>
  <c r="E45" i="4"/>
  <c r="F45" i="47"/>
  <c r="E45" i="12"/>
  <c r="F45" i="29"/>
  <c r="E45" i="2"/>
  <c r="E45" i="16"/>
  <c r="E45" i="40"/>
  <c r="E45" i="38"/>
  <c r="E46" i="38"/>
  <c r="F46" i="37"/>
  <c r="E46" i="23"/>
  <c r="E46" i="25"/>
  <c r="E46" i="28"/>
  <c r="E46" i="11"/>
  <c r="E46" i="4"/>
  <c r="E47" i="7"/>
  <c r="E46" i="40"/>
  <c r="F46" i="46"/>
  <c r="E46" i="42"/>
  <c r="F46" i="30"/>
  <c r="E46" i="19"/>
  <c r="E46" i="22"/>
  <c r="E46" i="8"/>
  <c r="E46" i="43"/>
  <c r="E46" i="16"/>
  <c r="E47" i="51"/>
  <c r="E46" i="41"/>
  <c r="E46" i="20"/>
  <c r="E46" i="18"/>
  <c r="E46" i="9"/>
  <c r="E46" i="24"/>
  <c r="E47" i="49"/>
  <c r="E46" i="2"/>
  <c r="E46" i="13"/>
  <c r="E46" i="45"/>
  <c r="F46" i="32"/>
  <c r="E46" i="50"/>
  <c r="F46" i="29"/>
  <c r="E46" i="5"/>
  <c r="E46" i="35"/>
  <c r="E46" i="33"/>
  <c r="E46" i="12"/>
  <c r="E47" i="26"/>
  <c r="E46" i="10"/>
  <c r="F46" i="47"/>
  <c r="E47" i="48"/>
  <c r="E46" i="14"/>
  <c r="E46" i="6"/>
  <c r="E47" i="6"/>
  <c r="F47" i="32"/>
  <c r="E47" i="43"/>
  <c r="E47" i="25"/>
  <c r="E47" i="19"/>
  <c r="E47" i="24"/>
  <c r="E47" i="18"/>
  <c r="E47" i="4"/>
  <c r="E47" i="14"/>
  <c r="E47" i="45"/>
  <c r="E47" i="8"/>
  <c r="E47" i="23"/>
  <c r="E47" i="38"/>
  <c r="F47" i="30"/>
  <c r="F47" i="46"/>
  <c r="E47" i="41"/>
  <c r="E48" i="48"/>
  <c r="E47" i="13"/>
  <c r="E47" i="22"/>
  <c r="F47" i="37"/>
  <c r="E47" i="9"/>
  <c r="E47" i="35"/>
  <c r="E47" i="50"/>
  <c r="F47" i="47"/>
  <c r="E47" i="2"/>
  <c r="E47" i="42"/>
  <c r="E48" i="7"/>
  <c r="E48" i="51"/>
  <c r="E47" i="10"/>
  <c r="E48" i="49"/>
  <c r="E47" i="20"/>
  <c r="E47" i="16"/>
  <c r="E48" i="26"/>
  <c r="E47" i="40"/>
  <c r="F47" i="29"/>
  <c r="E47" i="12"/>
  <c r="E47" i="5"/>
  <c r="E47" i="33"/>
  <c r="E47" i="28"/>
  <c r="E47" i="11"/>
  <c r="E48" i="11"/>
  <c r="E49" i="51"/>
  <c r="E48" i="41"/>
  <c r="E48" i="25"/>
  <c r="E48" i="38"/>
  <c r="E48" i="8"/>
  <c r="E48" i="14"/>
  <c r="E48" i="20"/>
  <c r="E48" i="19"/>
  <c r="E48" i="28"/>
  <c r="E49" i="7"/>
  <c r="F48" i="46"/>
  <c r="E48" i="43"/>
  <c r="E48" i="6"/>
  <c r="E48" i="50"/>
  <c r="E49" i="26"/>
  <c r="E48" i="24"/>
  <c r="E48" i="33"/>
  <c r="E48" i="42"/>
  <c r="F48" i="30"/>
  <c r="F48" i="32"/>
  <c r="E48" i="23"/>
  <c r="E48" i="45"/>
  <c r="E48" i="16"/>
  <c r="E49" i="48"/>
  <c r="E48" i="5"/>
  <c r="E48" i="2"/>
  <c r="E48" i="40"/>
  <c r="F48" i="37"/>
  <c r="E48" i="10"/>
  <c r="E48" i="12"/>
  <c r="F48" i="47"/>
  <c r="E48" i="9"/>
  <c r="E48" i="22"/>
  <c r="F48" i="29"/>
  <c r="E49" i="49"/>
  <c r="E48" i="35"/>
  <c r="E48" i="18"/>
  <c r="E48" i="4"/>
  <c r="E48" i="13"/>
  <c r="E49" i="13"/>
  <c r="E49" i="40"/>
  <c r="E50" i="26"/>
  <c r="E49" i="25"/>
  <c r="E49" i="11"/>
  <c r="E49" i="23"/>
  <c r="F49" i="30"/>
  <c r="E49" i="8"/>
  <c r="E49" i="4"/>
  <c r="E49" i="2"/>
  <c r="E49" i="50"/>
  <c r="E49" i="41"/>
  <c r="F49" i="46"/>
  <c r="E50" i="7"/>
  <c r="E49" i="19"/>
  <c r="E49" i="42"/>
  <c r="E49" i="38"/>
  <c r="E49" i="18"/>
  <c r="E49" i="5"/>
  <c r="E49" i="6"/>
  <c r="E50" i="51"/>
  <c r="E49" i="45"/>
  <c r="E49" i="28"/>
  <c r="F49" i="47"/>
  <c r="F49" i="37"/>
  <c r="E49" i="35"/>
  <c r="E50" i="48"/>
  <c r="E49" i="43"/>
  <c r="F49" i="32"/>
  <c r="E49" i="14"/>
  <c r="E50" i="49"/>
  <c r="E49" i="16"/>
  <c r="E49" i="9"/>
  <c r="E49" i="12"/>
  <c r="F49" i="29"/>
  <c r="E49" i="33"/>
  <c r="E49" i="22"/>
  <c r="E49" i="10"/>
  <c r="E49" i="20"/>
  <c r="E49" i="24"/>
  <c r="E8" i="51" l="1"/>
  <c r="E50" i="24"/>
  <c r="E50" i="43"/>
  <c r="E50" i="42"/>
  <c r="E50" i="25"/>
  <c r="E50" i="40"/>
  <c r="E50" i="41"/>
  <c r="E50" i="9"/>
  <c r="F50" i="30"/>
  <c r="E50" i="20"/>
  <c r="E51" i="48"/>
  <c r="E50" i="19"/>
  <c r="E51" i="26"/>
  <c r="F50" i="46"/>
  <c r="E50" i="28"/>
  <c r="E50" i="6"/>
  <c r="E50" i="18"/>
  <c r="E50" i="10"/>
  <c r="E50" i="35"/>
  <c r="E51" i="7"/>
  <c r="E50" i="13"/>
  <c r="E50" i="50"/>
  <c r="E50" i="2"/>
  <c r="E50" i="8"/>
  <c r="E50" i="38"/>
  <c r="E50" i="22"/>
  <c r="F50" i="37"/>
  <c r="E50" i="45"/>
  <c r="E51" i="49"/>
  <c r="E50" i="11"/>
  <c r="E50" i="33"/>
  <c r="F50" i="47"/>
  <c r="E50" i="4"/>
  <c r="E50" i="5"/>
  <c r="F50" i="29"/>
  <c r="E50" i="16"/>
  <c r="F50" i="32"/>
  <c r="E50" i="12"/>
  <c r="E50" i="14"/>
  <c r="E50" i="23"/>
  <c r="D15" i="51" l="1"/>
  <c r="E4" i="51"/>
  <c r="F15" i="51" s="1"/>
  <c r="E51" i="23"/>
  <c r="E51" i="45"/>
  <c r="E51" i="6"/>
  <c r="E51" i="42"/>
  <c r="F51" i="46"/>
  <c r="E51" i="19"/>
  <c r="E51" i="50"/>
  <c r="E51" i="41"/>
  <c r="E51" i="18"/>
  <c r="E51" i="14"/>
  <c r="F51" i="37"/>
  <c r="E51" i="28"/>
  <c r="E51" i="43"/>
  <c r="F51" i="47"/>
  <c r="E52" i="49"/>
  <c r="E51" i="12"/>
  <c r="E51" i="22"/>
  <c r="E51" i="24"/>
  <c r="E51" i="8"/>
  <c r="E51" i="2"/>
  <c r="F51" i="30"/>
  <c r="E51" i="33"/>
  <c r="F51" i="32"/>
  <c r="E51" i="38"/>
  <c r="E52" i="26"/>
  <c r="E52" i="48"/>
  <c r="E52" i="7"/>
  <c r="E51" i="10"/>
  <c r="E51" i="16"/>
  <c r="E51" i="20"/>
  <c r="E51" i="35"/>
  <c r="F51" i="29"/>
  <c r="E51" i="13"/>
  <c r="E51" i="11"/>
  <c r="E51" i="5"/>
  <c r="E51" i="40"/>
  <c r="E51" i="4"/>
  <c r="E51" i="25"/>
  <c r="E51" i="9"/>
  <c r="E52" i="9"/>
  <c r="E53" i="7"/>
  <c r="E53" i="49"/>
  <c r="E52" i="6"/>
  <c r="E52" i="45"/>
  <c r="E52" i="28"/>
  <c r="F52" i="30"/>
  <c r="E52" i="8"/>
  <c r="F52" i="46"/>
  <c r="E52" i="25"/>
  <c r="E53" i="48"/>
  <c r="F52" i="47"/>
  <c r="E52" i="23"/>
  <c r="F52" i="32"/>
  <c r="E52" i="13"/>
  <c r="E52" i="35"/>
  <c r="E52" i="42"/>
  <c r="E52" i="4"/>
  <c r="E53" i="26"/>
  <c r="E52" i="43"/>
  <c r="F52" i="37"/>
  <c r="E52" i="14"/>
  <c r="F52" i="29"/>
  <c r="E52" i="20"/>
  <c r="E52" i="40"/>
  <c r="E52" i="38"/>
  <c r="E52" i="33"/>
  <c r="E52" i="41"/>
  <c r="E52" i="19"/>
  <c r="E52" i="5"/>
  <c r="E52" i="2"/>
  <c r="E52" i="16"/>
  <c r="E52" i="11"/>
  <c r="E52" i="50"/>
  <c r="E52" i="10"/>
  <c r="E52" i="18"/>
  <c r="E52" i="22"/>
  <c r="E52" i="24"/>
  <c r="E52" i="12"/>
  <c r="E53" i="12"/>
  <c r="E53" i="33"/>
  <c r="E53" i="13"/>
  <c r="E54" i="49"/>
  <c r="E53" i="9"/>
  <c r="F53" i="29"/>
  <c r="E53" i="43"/>
  <c r="E53" i="4"/>
  <c r="E53" i="24"/>
  <c r="E53" i="38"/>
  <c r="F53" i="32"/>
  <c r="E54" i="7"/>
  <c r="E54" i="48"/>
  <c r="E53" i="16"/>
  <c r="E53" i="28"/>
  <c r="E53" i="22"/>
  <c r="E53" i="40"/>
  <c r="E53" i="23"/>
  <c r="F53" i="47"/>
  <c r="E53" i="14"/>
  <c r="F53" i="46"/>
  <c r="E53" i="2"/>
  <c r="E53" i="45"/>
  <c r="E53" i="18"/>
  <c r="E53" i="20"/>
  <c r="E53" i="25"/>
  <c r="E53" i="8"/>
  <c r="E53" i="19"/>
  <c r="E53" i="10"/>
  <c r="E53" i="11"/>
  <c r="F53" i="30"/>
  <c r="E53" i="35"/>
  <c r="E53" i="50"/>
  <c r="E54" i="26"/>
  <c r="E53" i="6"/>
  <c r="F53" i="37"/>
  <c r="E53" i="41"/>
  <c r="E53" i="5"/>
  <c r="E53" i="42"/>
  <c r="E54" i="42"/>
  <c r="E54" i="8"/>
  <c r="E54" i="28"/>
  <c r="E54" i="13"/>
  <c r="F54" i="32"/>
  <c r="E54" i="35"/>
  <c r="E54" i="9"/>
  <c r="E54" i="5"/>
  <c r="E54" i="25"/>
  <c r="E54" i="16"/>
  <c r="E54" i="33"/>
  <c r="E54" i="2"/>
  <c r="E54" i="4"/>
  <c r="F54" i="29"/>
  <c r="E54" i="41"/>
  <c r="E54" i="20"/>
  <c r="E55" i="48"/>
  <c r="E54" i="12"/>
  <c r="E54" i="38"/>
  <c r="E54" i="24"/>
  <c r="F54" i="30"/>
  <c r="E54" i="22"/>
  <c r="F54" i="37"/>
  <c r="E54" i="18"/>
  <c r="E55" i="7"/>
  <c r="E54" i="14"/>
  <c r="E54" i="23"/>
  <c r="E54" i="6"/>
  <c r="E54" i="45"/>
  <c r="F54" i="46"/>
  <c r="E54" i="11"/>
  <c r="E55" i="49"/>
  <c r="E55" i="26"/>
  <c r="F54" i="47"/>
  <c r="E54" i="19"/>
  <c r="E54" i="50"/>
  <c r="E54" i="10"/>
  <c r="E54" i="43"/>
  <c r="E54" i="40"/>
  <c r="E55" i="40"/>
  <c r="E55" i="23"/>
  <c r="E55" i="41"/>
  <c r="E55" i="28"/>
  <c r="E55" i="42"/>
  <c r="E55" i="33"/>
  <c r="E55" i="25"/>
  <c r="E55" i="11"/>
  <c r="E55" i="13"/>
  <c r="E55" i="43"/>
  <c r="E55" i="14"/>
  <c r="F55" i="29"/>
  <c r="E55" i="8"/>
  <c r="F55" i="37"/>
  <c r="E55" i="24"/>
  <c r="E55" i="35"/>
  <c r="E55" i="10"/>
  <c r="E56" i="7"/>
  <c r="E55" i="4"/>
  <c r="E55" i="2"/>
  <c r="E55" i="22"/>
  <c r="E56" i="49"/>
  <c r="E55" i="12"/>
  <c r="E55" i="6"/>
  <c r="E55" i="50"/>
  <c r="E55" i="18"/>
  <c r="E55" i="16"/>
  <c r="E55" i="5"/>
  <c r="E55" i="45"/>
  <c r="E55" i="19"/>
  <c r="E56" i="26"/>
  <c r="E55" i="38"/>
  <c r="E56" i="48"/>
  <c r="F55" i="47"/>
  <c r="E55" i="9"/>
  <c r="E55" i="20"/>
  <c r="F55" i="30"/>
  <c r="F55" i="32"/>
  <c r="F55" i="46"/>
  <c r="E8" i="42" l="1"/>
  <c r="F56" i="46"/>
  <c r="E56" i="16"/>
  <c r="E56" i="24"/>
  <c r="E56" i="41"/>
  <c r="E56" i="23"/>
  <c r="E56" i="40"/>
  <c r="E57" i="49"/>
  <c r="E56" i="4"/>
  <c r="E56" i="10"/>
  <c r="F56" i="32"/>
  <c r="E56" i="18"/>
  <c r="F56" i="37"/>
  <c r="F56" i="29"/>
  <c r="E56" i="38"/>
  <c r="E57" i="7"/>
  <c r="F56" i="30"/>
  <c r="E56" i="50"/>
  <c r="E56" i="8"/>
  <c r="E56" i="14"/>
  <c r="E56" i="13"/>
  <c r="E57" i="26"/>
  <c r="E56" i="20"/>
  <c r="E56" i="6"/>
  <c r="E56" i="43"/>
  <c r="E56" i="11"/>
  <c r="E56" i="33"/>
  <c r="E56" i="9"/>
  <c r="E56" i="12"/>
  <c r="E56" i="22"/>
  <c r="E56" i="19"/>
  <c r="E56" i="28"/>
  <c r="F56" i="47"/>
  <c r="E56" i="25"/>
  <c r="E56" i="45"/>
  <c r="E57" i="48"/>
  <c r="E56" i="5"/>
  <c r="E56" i="2"/>
  <c r="E56" i="35"/>
  <c r="D15" i="42" l="1"/>
  <c r="E4" i="42"/>
  <c r="F15" i="42" s="1"/>
  <c r="E57" i="35"/>
  <c r="E57" i="33"/>
  <c r="E57" i="38"/>
  <c r="E57" i="16"/>
  <c r="F57" i="37"/>
  <c r="E57" i="13"/>
  <c r="E57" i="22"/>
  <c r="E57" i="2"/>
  <c r="E57" i="11"/>
  <c r="F57" i="29"/>
  <c r="F57" i="46"/>
  <c r="E57" i="18"/>
  <c r="E57" i="4"/>
  <c r="E57" i="40"/>
  <c r="E57" i="24"/>
  <c r="E57" i="5"/>
  <c r="E57" i="43"/>
  <c r="E58" i="26"/>
  <c r="E57" i="19"/>
  <c r="E57" i="9"/>
  <c r="E58" i="48"/>
  <c r="E57" i="6"/>
  <c r="E57" i="10"/>
  <c r="E57" i="8"/>
  <c r="F57" i="30"/>
  <c r="E57" i="45"/>
  <c r="E57" i="20"/>
  <c r="F57" i="32"/>
  <c r="E57" i="28"/>
  <c r="E57" i="23"/>
  <c r="E57" i="25"/>
  <c r="E58" i="49"/>
  <c r="E57" i="12"/>
  <c r="F57" i="47"/>
  <c r="E57" i="50"/>
  <c r="E57" i="14"/>
  <c r="E58" i="7"/>
  <c r="E57" i="41"/>
  <c r="E58" i="41"/>
  <c r="E58" i="45"/>
  <c r="E58" i="40"/>
  <c r="E58" i="33"/>
  <c r="E59" i="48"/>
  <c r="E58" i="19"/>
  <c r="F58" i="37"/>
  <c r="E58" i="38"/>
  <c r="E59" i="7"/>
  <c r="F58" i="30"/>
  <c r="E58" i="4"/>
  <c r="E58" i="35"/>
  <c r="E58" i="6"/>
  <c r="E58" i="9"/>
  <c r="E58" i="13"/>
  <c r="E58" i="24"/>
  <c r="E58" i="14"/>
  <c r="E58" i="8"/>
  <c r="E58" i="18"/>
  <c r="F58" i="29"/>
  <c r="E58" i="2"/>
  <c r="E58" i="28"/>
  <c r="E58" i="50"/>
  <c r="E58" i="10"/>
  <c r="F58" i="46"/>
  <c r="E58" i="11"/>
  <c r="E58" i="23"/>
  <c r="E58" i="20"/>
  <c r="F58" i="47"/>
  <c r="E58" i="25"/>
  <c r="F58" i="32"/>
  <c r="E58" i="12"/>
  <c r="E59" i="26"/>
  <c r="E58" i="5"/>
  <c r="E59" i="49"/>
  <c r="E58" i="43"/>
  <c r="E58" i="22"/>
  <c r="E58" i="16"/>
  <c r="E59" i="16"/>
  <c r="E59" i="11"/>
  <c r="E59" i="9"/>
  <c r="E59" i="45"/>
  <c r="E59" i="50"/>
  <c r="E60" i="7"/>
  <c r="F59" i="37"/>
  <c r="E59" i="20"/>
  <c r="E59" i="22"/>
  <c r="F59" i="46"/>
  <c r="E59" i="6"/>
  <c r="E59" i="41"/>
  <c r="F59" i="30"/>
  <c r="E59" i="38"/>
  <c r="E59" i="8"/>
  <c r="E59" i="23"/>
  <c r="E59" i="43"/>
  <c r="E59" i="10"/>
  <c r="E59" i="35"/>
  <c r="E59" i="28"/>
  <c r="F59" i="32"/>
  <c r="F59" i="47"/>
  <c r="E60" i="49"/>
  <c r="E59" i="4"/>
  <c r="E59" i="2"/>
  <c r="E59" i="18"/>
  <c r="E60" i="48"/>
  <c r="E59" i="5"/>
  <c r="F59" i="29"/>
  <c r="E59" i="25"/>
  <c r="E59" i="33"/>
  <c r="E60" i="26"/>
  <c r="E59" i="19"/>
  <c r="E59" i="13"/>
  <c r="E59" i="12"/>
  <c r="E59" i="24"/>
  <c r="E59" i="14"/>
  <c r="E59" i="40"/>
  <c r="E60" i="40"/>
  <c r="E60" i="18"/>
  <c r="E60" i="38"/>
  <c r="E60" i="11"/>
  <c r="E60" i="16"/>
  <c r="E60" i="6"/>
  <c r="E60" i="22"/>
  <c r="E60" i="35"/>
  <c r="E60" i="50"/>
  <c r="E60" i="14"/>
  <c r="E60" i="2"/>
  <c r="F60" i="30"/>
  <c r="F60" i="47"/>
  <c r="E60" i="20"/>
  <c r="E61" i="7"/>
  <c r="E60" i="45"/>
  <c r="E60" i="24"/>
  <c r="E60" i="4"/>
  <c r="E60" i="41"/>
  <c r="F60" i="32"/>
  <c r="E60" i="28"/>
  <c r="E60" i="25"/>
  <c r="E61" i="48"/>
  <c r="E60" i="12"/>
  <c r="E61" i="49"/>
  <c r="E61" i="26"/>
  <c r="E60" i="10"/>
  <c r="E60" i="23"/>
  <c r="E60" i="13"/>
  <c r="F60" i="46"/>
  <c r="E60" i="33"/>
  <c r="E60" i="43"/>
  <c r="E60" i="8"/>
  <c r="E60" i="19"/>
  <c r="F60" i="29"/>
  <c r="E60" i="9"/>
  <c r="F60" i="37"/>
  <c r="E60" i="5"/>
  <c r="E61" i="5"/>
  <c r="E62" i="26"/>
  <c r="E61" i="20"/>
  <c r="E61" i="18"/>
  <c r="E62" i="48"/>
  <c r="E61" i="50"/>
  <c r="E61" i="6"/>
  <c r="E61" i="23"/>
  <c r="F61" i="37"/>
  <c r="E62" i="49"/>
  <c r="F61" i="47"/>
  <c r="E61" i="40"/>
  <c r="E61" i="14"/>
  <c r="E61" i="33"/>
  <c r="E61" i="16"/>
  <c r="E61" i="9"/>
  <c r="E61" i="12"/>
  <c r="F61" i="30"/>
  <c r="E61" i="28"/>
  <c r="E61" i="41"/>
  <c r="E61" i="24"/>
  <c r="F61" i="29"/>
  <c r="E61" i="2"/>
  <c r="E61" i="35"/>
  <c r="E61" i="13"/>
  <c r="E61" i="38"/>
  <c r="E61" i="19"/>
  <c r="E61" i="25"/>
  <c r="F61" i="32"/>
  <c r="E61" i="4"/>
  <c r="E62" i="7"/>
  <c r="E61" i="8"/>
  <c r="F61" i="46"/>
  <c r="E61" i="10"/>
  <c r="E61" i="43"/>
  <c r="E61" i="45"/>
  <c r="E61" i="22"/>
  <c r="E61" i="11"/>
  <c r="E62" i="11"/>
  <c r="E62" i="38"/>
  <c r="E62" i="33"/>
  <c r="E63" i="26"/>
  <c r="E62" i="40"/>
  <c r="E62" i="24"/>
  <c r="E62" i="6"/>
  <c r="E63" i="48"/>
  <c r="E62" i="22"/>
  <c r="E62" i="13"/>
  <c r="E62" i="14"/>
  <c r="E62" i="5"/>
  <c r="F62" i="29"/>
  <c r="E62" i="23"/>
  <c r="F62" i="30"/>
  <c r="E62" i="19"/>
  <c r="E62" i="45"/>
  <c r="E62" i="35"/>
  <c r="F62" i="47"/>
  <c r="E62" i="8"/>
  <c r="E62" i="50"/>
  <c r="E62" i="16"/>
  <c r="E62" i="43"/>
  <c r="E62" i="2"/>
  <c r="F62" i="37"/>
  <c r="E62" i="28"/>
  <c r="E62" i="25"/>
  <c r="E62" i="10"/>
  <c r="E63" i="49"/>
  <c r="E63" i="7"/>
  <c r="E62" i="12"/>
  <c r="F62" i="46"/>
  <c r="E62" i="4"/>
  <c r="E62" i="20"/>
  <c r="E62" i="41"/>
  <c r="E62" i="9"/>
  <c r="F62" i="32"/>
  <c r="E62" i="18"/>
  <c r="E63" i="18"/>
  <c r="E63" i="28"/>
  <c r="E63" i="23"/>
  <c r="E63" i="38"/>
  <c r="E63" i="14"/>
  <c r="E63" i="22"/>
  <c r="E63" i="6"/>
  <c r="E63" i="40"/>
  <c r="F63" i="32"/>
  <c r="F63" i="37"/>
  <c r="F63" i="29"/>
  <c r="E63" i="11"/>
  <c r="E63" i="16"/>
  <c r="E64" i="48"/>
  <c r="E63" i="24"/>
  <c r="F63" i="30"/>
  <c r="E63" i="9"/>
  <c r="E63" i="2"/>
  <c r="E63" i="5"/>
  <c r="E63" i="13"/>
  <c r="E63" i="8"/>
  <c r="E63" i="35"/>
  <c r="E63" i="33"/>
  <c r="E63" i="41"/>
  <c r="E63" i="43"/>
  <c r="E63" i="50"/>
  <c r="F63" i="47"/>
  <c r="E63" i="10"/>
  <c r="E63" i="20"/>
  <c r="E63" i="12"/>
  <c r="E64" i="49"/>
  <c r="E63" i="4"/>
  <c r="E64" i="7"/>
  <c r="E63" i="25"/>
  <c r="F63" i="46"/>
  <c r="E64" i="26"/>
  <c r="E63" i="45"/>
  <c r="E63" i="19"/>
  <c r="E64" i="19"/>
  <c r="E64" i="50"/>
  <c r="E65" i="48"/>
  <c r="E64" i="28"/>
  <c r="F64" i="47"/>
  <c r="E64" i="45"/>
  <c r="E64" i="43"/>
  <c r="E64" i="16"/>
  <c r="E64" i="18"/>
  <c r="E64" i="11"/>
  <c r="E64" i="8"/>
  <c r="E65" i="26"/>
  <c r="E64" i="41"/>
  <c r="E64" i="13"/>
  <c r="E64" i="6"/>
  <c r="E64" i="22"/>
  <c r="F64" i="30"/>
  <c r="F64" i="46"/>
  <c r="E64" i="33"/>
  <c r="F64" i="29"/>
  <c r="F64" i="32"/>
  <c r="E65" i="49"/>
  <c r="E64" i="20"/>
  <c r="E64" i="25"/>
  <c r="E64" i="35"/>
  <c r="F64" i="37"/>
  <c r="E64" i="4"/>
  <c r="E64" i="12"/>
  <c r="E64" i="14"/>
  <c r="E64" i="23"/>
  <c r="E65" i="7"/>
  <c r="E64" i="5"/>
  <c r="E64" i="9"/>
  <c r="E64" i="24"/>
  <c r="E64" i="40"/>
  <c r="E64" i="38"/>
  <c r="E64" i="2"/>
  <c r="E64" i="10"/>
  <c r="E65" i="10"/>
  <c r="F65" i="37"/>
  <c r="E65" i="13"/>
  <c r="E65" i="50"/>
  <c r="E65" i="19"/>
  <c r="E65" i="16"/>
  <c r="E65" i="14"/>
  <c r="E66" i="48"/>
  <c r="E65" i="2"/>
  <c r="E65" i="35"/>
  <c r="E65" i="41"/>
  <c r="F65" i="29"/>
  <c r="E65" i="12"/>
  <c r="E65" i="38"/>
  <c r="E65" i="25"/>
  <c r="E66" i="26"/>
  <c r="F65" i="46"/>
  <c r="E65" i="4"/>
  <c r="E65" i="40"/>
  <c r="E65" i="20"/>
  <c r="E65" i="8"/>
  <c r="F65" i="32"/>
  <c r="E65" i="43"/>
  <c r="E65" i="22"/>
  <c r="E65" i="24"/>
  <c r="E66" i="49"/>
  <c r="E65" i="11"/>
  <c r="E65" i="18"/>
  <c r="E65" i="45"/>
  <c r="E65" i="28"/>
  <c r="E65" i="9"/>
  <c r="E65" i="33"/>
  <c r="E65" i="5"/>
  <c r="F65" i="30"/>
  <c r="E65" i="6"/>
  <c r="E66" i="7"/>
  <c r="E65" i="23"/>
  <c r="F65" i="47"/>
  <c r="F66" i="47"/>
  <c r="E67" i="49"/>
  <c r="E66" i="38"/>
  <c r="F66" i="37"/>
  <c r="E66" i="10"/>
  <c r="E66" i="41"/>
  <c r="E66" i="2"/>
  <c r="E66" i="40"/>
  <c r="F66" i="46"/>
  <c r="E66" i="23"/>
  <c r="E66" i="24"/>
  <c r="E66" i="12"/>
  <c r="E66" i="43"/>
  <c r="E66" i="8"/>
  <c r="E66" i="14"/>
  <c r="E66" i="18"/>
  <c r="E67" i="7"/>
  <c r="E66" i="22"/>
  <c r="F66" i="29"/>
  <c r="E66" i="35"/>
  <c r="E66" i="20"/>
  <c r="E66" i="16"/>
  <c r="E66" i="50"/>
  <c r="E66" i="6"/>
  <c r="E66" i="33"/>
  <c r="E66" i="4"/>
  <c r="E66" i="13"/>
  <c r="F66" i="30"/>
  <c r="F66" i="32"/>
  <c r="E66" i="9"/>
  <c r="E66" i="28"/>
  <c r="E66" i="25"/>
  <c r="E66" i="5"/>
  <c r="E66" i="19"/>
  <c r="E67" i="48"/>
  <c r="E66" i="11"/>
  <c r="E66" i="45"/>
  <c r="E67" i="26"/>
  <c r="E68" i="26"/>
  <c r="E67" i="4"/>
  <c r="E67" i="8"/>
  <c r="E68" i="49"/>
  <c r="F67" i="47"/>
  <c r="E67" i="24"/>
  <c r="F67" i="46"/>
  <c r="E67" i="2"/>
  <c r="F67" i="30"/>
  <c r="E67" i="45"/>
  <c r="E67" i="33"/>
  <c r="E67" i="43"/>
  <c r="E67" i="16"/>
  <c r="F67" i="29"/>
  <c r="E67" i="10"/>
  <c r="E67" i="11"/>
  <c r="E67" i="6"/>
  <c r="E67" i="12"/>
  <c r="E67" i="20"/>
  <c r="E67" i="40"/>
  <c r="E68" i="7"/>
  <c r="E67" i="13"/>
  <c r="E68" i="48"/>
  <c r="E67" i="50"/>
  <c r="E67" i="25"/>
  <c r="E67" i="9"/>
  <c r="E67" i="38"/>
  <c r="E67" i="19"/>
  <c r="E67" i="23"/>
  <c r="E67" i="28"/>
  <c r="E67" i="41"/>
  <c r="F67" i="37"/>
  <c r="E67" i="5"/>
  <c r="F67" i="32"/>
  <c r="E67" i="35"/>
  <c r="E67" i="18"/>
  <c r="E67" i="22"/>
  <c r="E67" i="14"/>
  <c r="E68" i="14"/>
  <c r="E68" i="9"/>
  <c r="F68" i="29"/>
  <c r="E68" i="4"/>
  <c r="E69" i="48"/>
  <c r="F68" i="30"/>
  <c r="E68" i="20"/>
  <c r="E68" i="19"/>
  <c r="E68" i="22"/>
  <c r="E68" i="25"/>
  <c r="E68" i="16"/>
  <c r="E69" i="26"/>
  <c r="E68" i="45"/>
  <c r="E68" i="41"/>
  <c r="F68" i="47"/>
  <c r="E68" i="18"/>
  <c r="E68" i="50"/>
  <c r="E68" i="43"/>
  <c r="E69" i="7"/>
  <c r="E68" i="28"/>
  <c r="E68" i="38"/>
  <c r="E68" i="35"/>
  <c r="E68" i="33"/>
  <c r="E68" i="2"/>
  <c r="E68" i="23"/>
  <c r="F68" i="32"/>
  <c r="E68" i="13"/>
  <c r="E68" i="40"/>
  <c r="E68" i="24"/>
  <c r="E68" i="10"/>
  <c r="E68" i="5"/>
  <c r="E68" i="12"/>
  <c r="E69" i="49"/>
  <c r="F68" i="37"/>
  <c r="E68" i="6"/>
  <c r="F68" i="46"/>
  <c r="E68" i="8"/>
  <c r="E68" i="11"/>
  <c r="E69" i="11"/>
  <c r="F69" i="32"/>
  <c r="E69" i="41"/>
  <c r="E69" i="9"/>
  <c r="E69" i="45"/>
  <c r="E69" i="14"/>
  <c r="E69" i="35"/>
  <c r="E69" i="19"/>
  <c r="E69" i="43"/>
  <c r="E69" i="18"/>
  <c r="E69" i="8"/>
  <c r="E69" i="23"/>
  <c r="E69" i="16"/>
  <c r="E69" i="28"/>
  <c r="E69" i="24"/>
  <c r="F69" i="47"/>
  <c r="F69" i="46"/>
  <c r="E69" i="2"/>
  <c r="E70" i="26"/>
  <c r="E69" i="38"/>
  <c r="E69" i="12"/>
  <c r="E69" i="10"/>
  <c r="E69" i="13"/>
  <c r="E69" i="6"/>
  <c r="E69" i="33"/>
  <c r="E69" i="22"/>
  <c r="E69" i="5"/>
  <c r="F69" i="30"/>
  <c r="E69" i="4"/>
  <c r="F69" i="37"/>
  <c r="E69" i="25"/>
  <c r="E70" i="7"/>
  <c r="E69" i="40"/>
  <c r="E70" i="49"/>
  <c r="E70" i="48"/>
  <c r="E69" i="20"/>
  <c r="F69" i="29"/>
  <c r="E69" i="50"/>
  <c r="E70" i="50"/>
  <c r="E70" i="22"/>
  <c r="E70" i="28"/>
  <c r="F70" i="32"/>
  <c r="E70" i="10"/>
  <c r="E70" i="38"/>
  <c r="E70" i="2"/>
  <c r="E70" i="5"/>
  <c r="F70" i="29"/>
  <c r="E70" i="33"/>
  <c r="E70" i="16"/>
  <c r="E70" i="11"/>
  <c r="E70" i="43"/>
  <c r="E70" i="35"/>
  <c r="F70" i="46"/>
  <c r="E70" i="20"/>
  <c r="E70" i="6"/>
  <c r="E70" i="23"/>
  <c r="E70" i="18"/>
  <c r="E70" i="19"/>
  <c r="E70" i="14"/>
  <c r="E70" i="9"/>
  <c r="E71" i="48"/>
  <c r="E70" i="13"/>
  <c r="E70" i="8"/>
  <c r="E70" i="12"/>
  <c r="F70" i="37"/>
  <c r="E70" i="24"/>
  <c r="E71" i="49"/>
  <c r="E70" i="25"/>
  <c r="F70" i="47"/>
  <c r="E70" i="40"/>
  <c r="E71" i="26"/>
  <c r="F70" i="30"/>
  <c r="E71" i="7"/>
  <c r="E70" i="45"/>
  <c r="E70" i="4"/>
  <c r="E70" i="41"/>
  <c r="E71" i="41"/>
  <c r="E71" i="12"/>
  <c r="E71" i="35"/>
  <c r="E71" i="22"/>
  <c r="E71" i="4"/>
  <c r="E71" i="8"/>
  <c r="E71" i="43"/>
  <c r="E71" i="50"/>
  <c r="E71" i="45"/>
  <c r="E71" i="13"/>
  <c r="E71" i="11"/>
  <c r="E72" i="7"/>
  <c r="E72" i="48"/>
  <c r="E71" i="16"/>
  <c r="F71" i="30"/>
  <c r="E71" i="9"/>
  <c r="E71" i="33"/>
  <c r="E72" i="26"/>
  <c r="E71" i="14"/>
  <c r="F71" i="29"/>
  <c r="E71" i="40"/>
  <c r="E71" i="19"/>
  <c r="E71" i="5"/>
  <c r="F71" i="47"/>
  <c r="E71" i="18"/>
  <c r="E71" i="2"/>
  <c r="E71" i="25"/>
  <c r="E71" i="23"/>
  <c r="E71" i="38"/>
  <c r="E72" i="49"/>
  <c r="E71" i="6"/>
  <c r="E71" i="10"/>
  <c r="E71" i="24"/>
  <c r="E71" i="20"/>
  <c r="F71" i="32"/>
  <c r="F71" i="37"/>
  <c r="F71" i="46"/>
  <c r="E71" i="28"/>
  <c r="E72" i="28"/>
  <c r="E72" i="2"/>
  <c r="E72" i="16"/>
  <c r="E72" i="12"/>
  <c r="F72" i="32"/>
  <c r="E72" i="20"/>
  <c r="E72" i="45"/>
  <c r="E72" i="50"/>
  <c r="E72" i="38"/>
  <c r="F72" i="30"/>
  <c r="F72" i="46"/>
  <c r="E72" i="18"/>
  <c r="E73" i="48"/>
  <c r="E72" i="41"/>
  <c r="E72" i="5"/>
  <c r="E72" i="13"/>
  <c r="E72" i="40"/>
  <c r="E72" i="14"/>
  <c r="E72" i="4"/>
  <c r="E72" i="35"/>
  <c r="F72" i="37"/>
  <c r="F72" i="47"/>
  <c r="E73" i="7"/>
  <c r="E72" i="11"/>
  <c r="E72" i="19"/>
  <c r="E72" i="10"/>
  <c r="E72" i="43"/>
  <c r="E72" i="9"/>
  <c r="E72" i="33"/>
  <c r="E72" i="8"/>
  <c r="E72" i="24"/>
  <c r="E73" i="26"/>
  <c r="E72" i="22"/>
  <c r="F72" i="29"/>
  <c r="E72" i="6"/>
  <c r="E72" i="25"/>
  <c r="E73" i="49"/>
  <c r="E72" i="23"/>
  <c r="E73" i="23"/>
  <c r="E73" i="10"/>
  <c r="E73" i="41"/>
  <c r="E73" i="2"/>
  <c r="E73" i="11"/>
  <c r="E73" i="18"/>
  <c r="F73" i="46"/>
  <c r="E73" i="4"/>
  <c r="E73" i="9"/>
  <c r="E74" i="49"/>
  <c r="E73" i="19"/>
  <c r="E74" i="48"/>
  <c r="E73" i="28"/>
  <c r="E74" i="7"/>
  <c r="E73" i="38"/>
  <c r="E73" i="8"/>
  <c r="E73" i="12"/>
  <c r="E73" i="25"/>
  <c r="E73" i="14"/>
  <c r="E73" i="5"/>
  <c r="E73" i="6"/>
  <c r="F73" i="32"/>
  <c r="F73" i="29"/>
  <c r="F73" i="47"/>
  <c r="F73" i="30"/>
  <c r="E73" i="50"/>
  <c r="E73" i="33"/>
  <c r="E73" i="22"/>
  <c r="F73" i="37"/>
  <c r="E73" i="45"/>
  <c r="E73" i="40"/>
  <c r="E73" i="16"/>
  <c r="E74" i="26"/>
  <c r="E73" i="35"/>
  <c r="E73" i="20"/>
  <c r="E73" i="24"/>
  <c r="E73" i="13"/>
  <c r="E73" i="43"/>
  <c r="E74" i="43"/>
  <c r="E74" i="50"/>
  <c r="E75" i="7"/>
  <c r="E74" i="10"/>
  <c r="E74" i="28"/>
  <c r="E75" i="49"/>
  <c r="E74" i="4"/>
  <c r="E74" i="18"/>
  <c r="E74" i="38"/>
  <c r="E74" i="13"/>
  <c r="F74" i="30"/>
  <c r="E74" i="23"/>
  <c r="E74" i="9"/>
  <c r="E74" i="25"/>
  <c r="E74" i="2"/>
  <c r="E74" i="24"/>
  <c r="F74" i="47"/>
  <c r="E75" i="48"/>
  <c r="E74" i="6"/>
  <c r="F74" i="46"/>
  <c r="E74" i="12"/>
  <c r="E74" i="20"/>
  <c r="F74" i="29"/>
  <c r="E74" i="19"/>
  <c r="E74" i="5"/>
  <c r="F74" i="37"/>
  <c r="E74" i="35"/>
  <c r="F74" i="32"/>
  <c r="E74" i="40"/>
  <c r="E74" i="11"/>
  <c r="E75" i="26"/>
  <c r="E74" i="45"/>
  <c r="E74" i="8"/>
  <c r="E74" i="16"/>
  <c r="E74" i="33"/>
  <c r="E74" i="14"/>
  <c r="E74" i="22"/>
  <c r="E74" i="41"/>
  <c r="E75" i="41"/>
  <c r="F75" i="37"/>
  <c r="E75" i="25"/>
  <c r="E75" i="50"/>
  <c r="E75" i="43"/>
  <c r="E75" i="13"/>
  <c r="E76" i="26"/>
  <c r="E75" i="28"/>
  <c r="E75" i="22"/>
  <c r="E75" i="5"/>
  <c r="E75" i="9"/>
  <c r="E75" i="38"/>
  <c r="E75" i="6"/>
  <c r="F75" i="32"/>
  <c r="E75" i="14"/>
  <c r="E75" i="19"/>
  <c r="E75" i="23"/>
  <c r="E75" i="12"/>
  <c r="E75" i="4"/>
  <c r="F75" i="47"/>
  <c r="E75" i="33"/>
  <c r="F75" i="29"/>
  <c r="F75" i="30"/>
  <c r="F75" i="46"/>
  <c r="E75" i="40"/>
  <c r="E76" i="7"/>
  <c r="E75" i="16"/>
  <c r="E75" i="20"/>
  <c r="E75" i="18"/>
  <c r="E76" i="49"/>
  <c r="E75" i="2"/>
  <c r="E75" i="8"/>
  <c r="E75" i="11"/>
  <c r="E75" i="35"/>
  <c r="E75" i="45"/>
  <c r="E75" i="10"/>
  <c r="E76" i="48"/>
  <c r="E75" i="24"/>
  <c r="E76" i="24"/>
  <c r="E77" i="7"/>
  <c r="F76" i="32"/>
  <c r="F76" i="37"/>
  <c r="E76" i="5"/>
  <c r="E76" i="2"/>
  <c r="E76" i="43"/>
  <c r="E77" i="48"/>
  <c r="E76" i="40"/>
  <c r="E76" i="6"/>
  <c r="E76" i="41"/>
  <c r="E76" i="28"/>
  <c r="E76" i="18"/>
  <c r="E76" i="25"/>
  <c r="E76" i="10"/>
  <c r="F76" i="46"/>
  <c r="E76" i="38"/>
  <c r="E76" i="33"/>
  <c r="E76" i="4"/>
  <c r="E76" i="23"/>
  <c r="E76" i="45"/>
  <c r="F76" i="30"/>
  <c r="E76" i="9"/>
  <c r="E76" i="22"/>
  <c r="E76" i="12"/>
  <c r="E76" i="19"/>
  <c r="E76" i="35"/>
  <c r="F76" i="29"/>
  <c r="F76" i="47"/>
  <c r="E77" i="49"/>
  <c r="E76" i="14"/>
  <c r="E76" i="11"/>
  <c r="E76" i="13"/>
  <c r="E76" i="50"/>
  <c r="E76" i="8"/>
  <c r="E76" i="16"/>
  <c r="E77" i="26"/>
  <c r="E76" i="20"/>
  <c r="E8" i="50" l="1"/>
  <c r="E8" i="49"/>
  <c r="E77" i="20"/>
  <c r="E77" i="19"/>
  <c r="E77" i="25"/>
  <c r="E78" i="7"/>
  <c r="E77" i="24"/>
  <c r="E77" i="41"/>
  <c r="E77" i="40"/>
  <c r="E77" i="43"/>
  <c r="E77" i="5"/>
  <c r="E78" i="26"/>
  <c r="E77" i="12"/>
  <c r="E77" i="18"/>
  <c r="F77" i="30"/>
  <c r="E78" i="48"/>
  <c r="F77" i="47"/>
  <c r="F77" i="32"/>
  <c r="E77" i="16"/>
  <c r="E77" i="22"/>
  <c r="E77" i="28"/>
  <c r="E77" i="6"/>
  <c r="E77" i="23"/>
  <c r="E77" i="2"/>
  <c r="E77" i="35"/>
  <c r="E77" i="8"/>
  <c r="E77" i="9"/>
  <c r="E77" i="45"/>
  <c r="E77" i="14"/>
  <c r="F77" i="29"/>
  <c r="E77" i="13"/>
  <c r="E77" i="33"/>
  <c r="F77" i="37"/>
  <c r="E77" i="11"/>
  <c r="E77" i="38"/>
  <c r="E77" i="4"/>
  <c r="E77" i="10"/>
  <c r="F77" i="46"/>
  <c r="E4" i="49" l="1"/>
  <c r="F15" i="49" s="1"/>
  <c r="D15" i="49"/>
  <c r="D15" i="50"/>
  <c r="E4" i="50"/>
  <c r="F15" i="50" s="1"/>
  <c r="F78" i="46"/>
  <c r="E78" i="8"/>
  <c r="E78" i="18"/>
  <c r="E78" i="5"/>
  <c r="E78" i="22"/>
  <c r="F78" i="47"/>
  <c r="E78" i="10"/>
  <c r="E78" i="35"/>
  <c r="E78" i="12"/>
  <c r="E78" i="28"/>
  <c r="F78" i="29"/>
  <c r="E78" i="19"/>
  <c r="E78" i="4"/>
  <c r="E78" i="2"/>
  <c r="E79" i="26"/>
  <c r="E78" i="40"/>
  <c r="F78" i="32"/>
  <c r="E78" i="9"/>
  <c r="E78" i="38"/>
  <c r="E78" i="23"/>
  <c r="E78" i="43"/>
  <c r="E78" i="13"/>
  <c r="E79" i="48"/>
  <c r="E78" i="11"/>
  <c r="E78" i="6"/>
  <c r="E78" i="41"/>
  <c r="E79" i="7"/>
  <c r="F78" i="30"/>
  <c r="F78" i="37"/>
  <c r="E78" i="24"/>
  <c r="E78" i="25"/>
  <c r="E78" i="20"/>
  <c r="E78" i="33"/>
  <c r="E78" i="14"/>
  <c r="E78" i="16"/>
  <c r="E78" i="45"/>
  <c r="E79" i="45"/>
  <c r="E79" i="11"/>
  <c r="E79" i="19"/>
  <c r="E79" i="43"/>
  <c r="E79" i="38"/>
  <c r="F79" i="32"/>
  <c r="E79" i="18"/>
  <c r="E79" i="16"/>
  <c r="E80" i="48"/>
  <c r="F79" i="29"/>
  <c r="E79" i="35"/>
  <c r="E79" i="9"/>
  <c r="E79" i="5"/>
  <c r="F79" i="46"/>
  <c r="E79" i="14"/>
  <c r="E79" i="13"/>
  <c r="E79" i="28"/>
  <c r="E79" i="23"/>
  <c r="F79" i="47"/>
  <c r="E79" i="40"/>
  <c r="E79" i="2"/>
  <c r="E79" i="33"/>
  <c r="E79" i="12"/>
  <c r="E79" i="10"/>
  <c r="E79" i="22"/>
  <c r="E79" i="41"/>
  <c r="E79" i="20"/>
  <c r="F79" i="37"/>
  <c r="E80" i="7"/>
  <c r="E79" i="25"/>
  <c r="F79" i="30"/>
  <c r="E79" i="4"/>
  <c r="E79" i="24"/>
  <c r="E79" i="6"/>
  <c r="E80" i="26"/>
  <c r="E79" i="8"/>
  <c r="E80" i="8"/>
  <c r="E80" i="10"/>
  <c r="E80" i="9"/>
  <c r="F80" i="29"/>
  <c r="E80" i="40"/>
  <c r="E80" i="23"/>
  <c r="E80" i="13"/>
  <c r="E80" i="11"/>
  <c r="E81" i="26"/>
  <c r="E80" i="12"/>
  <c r="E80" i="35"/>
  <c r="E81" i="48"/>
  <c r="E80" i="25"/>
  <c r="E80" i="43"/>
  <c r="E80" i="22"/>
  <c r="E80" i="6"/>
  <c r="E80" i="33"/>
  <c r="E80" i="16"/>
  <c r="F80" i="47"/>
  <c r="E81" i="7"/>
  <c r="F80" i="46"/>
  <c r="E80" i="24"/>
  <c r="E80" i="2"/>
  <c r="E80" i="18"/>
  <c r="E80" i="28"/>
  <c r="E80" i="41"/>
  <c r="E80" i="4"/>
  <c r="F80" i="32"/>
  <c r="E80" i="38"/>
  <c r="E80" i="19"/>
  <c r="F80" i="30"/>
  <c r="E80" i="20"/>
  <c r="E80" i="45"/>
  <c r="F80" i="37"/>
  <c r="E80" i="14"/>
  <c r="E80" i="5"/>
  <c r="E8" i="48" l="1"/>
  <c r="E81" i="5"/>
  <c r="E81" i="18"/>
  <c r="E81" i="11"/>
  <c r="E81" i="38"/>
  <c r="E81" i="22"/>
  <c r="E81" i="14"/>
  <c r="E81" i="2"/>
  <c r="E81" i="35"/>
  <c r="E81" i="13"/>
  <c r="E81" i="33"/>
  <c r="E81" i="9"/>
  <c r="E81" i="8"/>
  <c r="F81" i="37"/>
  <c r="E81" i="24"/>
  <c r="E81" i="12"/>
  <c r="F81" i="47"/>
  <c r="F81" i="32"/>
  <c r="E81" i="43"/>
  <c r="E81" i="45"/>
  <c r="F81" i="46"/>
  <c r="E82" i="26"/>
  <c r="E81" i="23"/>
  <c r="F81" i="29"/>
  <c r="E81" i="10"/>
  <c r="E81" i="20"/>
  <c r="E82" i="7"/>
  <c r="E81" i="16"/>
  <c r="E81" i="40"/>
  <c r="E81" i="41"/>
  <c r="F81" i="30"/>
  <c r="E81" i="4"/>
  <c r="E81" i="19"/>
  <c r="E81" i="25"/>
  <c r="E81" i="6"/>
  <c r="E81" i="28"/>
  <c r="D15" i="48" l="1"/>
  <c r="E4" i="48"/>
  <c r="F15" i="48" s="1"/>
  <c r="E82" i="28"/>
  <c r="F82" i="29"/>
  <c r="E82" i="9"/>
  <c r="F82" i="46"/>
  <c r="E82" i="14"/>
  <c r="E82" i="38"/>
  <c r="E82" i="20"/>
  <c r="E82" i="6"/>
  <c r="E82" i="23"/>
  <c r="E82" i="33"/>
  <c r="E82" i="43"/>
  <c r="E82" i="40"/>
  <c r="E82" i="18"/>
  <c r="E82" i="25"/>
  <c r="E83" i="26"/>
  <c r="E82" i="13"/>
  <c r="E82" i="2"/>
  <c r="E82" i="22"/>
  <c r="E83" i="7"/>
  <c r="E82" i="19"/>
  <c r="E82" i="35"/>
  <c r="F82" i="32"/>
  <c r="E82" i="12"/>
  <c r="E82" i="5"/>
  <c r="E82" i="4"/>
  <c r="E82" i="45"/>
  <c r="E82" i="41"/>
  <c r="E82" i="16"/>
  <c r="F82" i="37"/>
  <c r="F82" i="30"/>
  <c r="E82" i="11"/>
  <c r="E82" i="10"/>
  <c r="F82" i="47"/>
  <c r="E82" i="24"/>
  <c r="E82" i="8"/>
  <c r="E83" i="8"/>
  <c r="E83" i="12"/>
  <c r="E83" i="43"/>
  <c r="E83" i="35"/>
  <c r="E83" i="6"/>
  <c r="E83" i="22"/>
  <c r="E83" i="13"/>
  <c r="F83" i="29"/>
  <c r="E83" i="40"/>
  <c r="E83" i="24"/>
  <c r="F83" i="32"/>
  <c r="E83" i="33"/>
  <c r="E84" i="7"/>
  <c r="E83" i="14"/>
  <c r="E84" i="26"/>
  <c r="E83" i="5"/>
  <c r="F83" i="47"/>
  <c r="E83" i="23"/>
  <c r="E83" i="20"/>
  <c r="E83" i="38"/>
  <c r="E83" i="41"/>
  <c r="E83" i="28"/>
  <c r="E83" i="10"/>
  <c r="E83" i="19"/>
  <c r="E83" i="2"/>
  <c r="E83" i="9"/>
  <c r="E83" i="18"/>
  <c r="E83" i="11"/>
  <c r="F83" i="37"/>
  <c r="F83" i="46"/>
  <c r="E83" i="25"/>
  <c r="F83" i="30"/>
  <c r="E83" i="45"/>
  <c r="E83" i="16"/>
  <c r="E83" i="4"/>
  <c r="E8" i="43" l="1"/>
  <c r="E84" i="4"/>
  <c r="E84" i="10"/>
  <c r="F84" i="32"/>
  <c r="E84" i="24"/>
  <c r="E84" i="38"/>
  <c r="E84" i="13"/>
  <c r="F84" i="47"/>
  <c r="E84" i="18"/>
  <c r="E84" i="2"/>
  <c r="E84" i="16"/>
  <c r="E84" i="28"/>
  <c r="E84" i="40"/>
  <c r="E84" i="20"/>
  <c r="E84" i="22"/>
  <c r="E84" i="5"/>
  <c r="E84" i="14"/>
  <c r="E84" i="45"/>
  <c r="E84" i="41"/>
  <c r="F84" i="29"/>
  <c r="E84" i="23"/>
  <c r="E84" i="6"/>
  <c r="E85" i="26"/>
  <c r="E84" i="12"/>
  <c r="F84" i="30"/>
  <c r="F84" i="46"/>
  <c r="E84" i="11"/>
  <c r="E84" i="25"/>
  <c r="E84" i="35"/>
  <c r="E85" i="7"/>
  <c r="E84" i="33"/>
  <c r="F84" i="37"/>
  <c r="E84" i="8"/>
  <c r="E84" i="9"/>
  <c r="E84" i="19"/>
  <c r="E4" i="43" l="1"/>
  <c r="F15" i="43" s="1"/>
  <c r="D15" i="43"/>
  <c r="E85" i="19"/>
  <c r="E86" i="26"/>
  <c r="E85" i="16"/>
  <c r="E85" i="23"/>
  <c r="E85" i="18"/>
  <c r="F85" i="47"/>
  <c r="E85" i="13"/>
  <c r="E85" i="38"/>
  <c r="E85" i="24"/>
  <c r="E85" i="22"/>
  <c r="E85" i="9"/>
  <c r="E85" i="6"/>
  <c r="E85" i="2"/>
  <c r="F85" i="29"/>
  <c r="E85" i="41"/>
  <c r="E85" i="45"/>
  <c r="E85" i="14"/>
  <c r="E85" i="11"/>
  <c r="F85" i="30"/>
  <c r="E85" i="8"/>
  <c r="F85" i="32"/>
  <c r="E85" i="4"/>
  <c r="F85" i="37"/>
  <c r="E85" i="25"/>
  <c r="E85" i="20"/>
  <c r="E85" i="33"/>
  <c r="E85" i="5"/>
  <c r="F85" i="46"/>
  <c r="E86" i="7"/>
  <c r="E85" i="28"/>
  <c r="E85" i="35"/>
  <c r="E85" i="40"/>
  <c r="E85" i="10"/>
  <c r="E85" i="12"/>
  <c r="E86" i="12"/>
  <c r="E86" i="4"/>
  <c r="E86" i="22"/>
  <c r="E86" i="24"/>
  <c r="E86" i="38"/>
  <c r="E86" i="11"/>
  <c r="E86" i="14"/>
  <c r="E86" i="23"/>
  <c r="E86" i="33"/>
  <c r="E86" i="10"/>
  <c r="F86" i="32"/>
  <c r="F86" i="30"/>
  <c r="E86" i="13"/>
  <c r="E87" i="7"/>
  <c r="E86" i="16"/>
  <c r="F86" i="29"/>
  <c r="E86" i="25"/>
  <c r="E86" i="40"/>
  <c r="E86" i="8"/>
  <c r="F86" i="47"/>
  <c r="E86" i="41"/>
  <c r="E86" i="20"/>
  <c r="E86" i="35"/>
  <c r="F86" i="46"/>
  <c r="E87" i="26"/>
  <c r="F86" i="37"/>
  <c r="E86" i="28"/>
  <c r="E86" i="5"/>
  <c r="E86" i="2"/>
  <c r="E86" i="18"/>
  <c r="E86" i="6"/>
  <c r="E86" i="45"/>
  <c r="E86" i="9"/>
  <c r="E86" i="19"/>
  <c r="E87" i="19"/>
  <c r="E87" i="20"/>
  <c r="E87" i="10"/>
  <c r="E87" i="33"/>
  <c r="E87" i="23"/>
  <c r="E87" i="14"/>
  <c r="E87" i="25"/>
  <c r="F87" i="29"/>
  <c r="E88" i="7"/>
  <c r="E87" i="35"/>
  <c r="E87" i="9"/>
  <c r="E87" i="41"/>
  <c r="E87" i="8"/>
  <c r="E87" i="40"/>
  <c r="E87" i="5"/>
  <c r="E87" i="16"/>
  <c r="E87" i="4"/>
  <c r="F87" i="32"/>
  <c r="E87" i="45"/>
  <c r="F87" i="47"/>
  <c r="E87" i="2"/>
  <c r="E87" i="22"/>
  <c r="E87" i="13"/>
  <c r="E87" i="6"/>
  <c r="E87" i="11"/>
  <c r="E87" i="24"/>
  <c r="E88" i="26"/>
  <c r="E87" i="18"/>
  <c r="E87" i="28"/>
  <c r="E87" i="12"/>
  <c r="E87" i="38"/>
  <c r="F87" i="46"/>
  <c r="F87" i="37"/>
  <c r="F87" i="30"/>
  <c r="F88" i="30"/>
  <c r="E88" i="22"/>
  <c r="E88" i="35"/>
  <c r="E89" i="7"/>
  <c r="F88" i="47"/>
  <c r="E88" i="25"/>
  <c r="E88" i="14"/>
  <c r="E88" i="18"/>
  <c r="E88" i="5"/>
  <c r="E88" i="11"/>
  <c r="F88" i="37"/>
  <c r="E88" i="2"/>
  <c r="E88" i="45"/>
  <c r="F88" i="32"/>
  <c r="E88" i="28"/>
  <c r="E88" i="33"/>
  <c r="E88" i="40"/>
  <c r="E88" i="41"/>
  <c r="F88" i="46"/>
  <c r="F88" i="29"/>
  <c r="E88" i="4"/>
  <c r="E88" i="10"/>
  <c r="E88" i="19"/>
  <c r="E88" i="38"/>
  <c r="E88" i="16"/>
  <c r="E88" i="20"/>
  <c r="E88" i="9"/>
  <c r="E88" i="12"/>
  <c r="E89" i="26"/>
  <c r="E88" i="8"/>
  <c r="E88" i="23"/>
  <c r="E88" i="6"/>
  <c r="E88" i="24"/>
  <c r="E88" i="13"/>
  <c r="E89" i="13"/>
  <c r="E89" i="10"/>
  <c r="E89" i="11"/>
  <c r="E89" i="5"/>
  <c r="F89" i="29"/>
  <c r="F89" i="46"/>
  <c r="E89" i="25"/>
  <c r="E89" i="40"/>
  <c r="E90" i="7"/>
  <c r="F89" i="32"/>
  <c r="E89" i="2"/>
  <c r="E89" i="24"/>
  <c r="E89" i="4"/>
  <c r="E89" i="18"/>
  <c r="E89" i="41"/>
  <c r="E90" i="26"/>
  <c r="E89" i="9"/>
  <c r="E89" i="16"/>
  <c r="E89" i="38"/>
  <c r="E89" i="6"/>
  <c r="E89" i="14"/>
  <c r="E89" i="12"/>
  <c r="E89" i="22"/>
  <c r="E89" i="19"/>
  <c r="E89" i="23"/>
  <c r="F89" i="47"/>
  <c r="E89" i="35"/>
  <c r="F89" i="30"/>
  <c r="E89" i="8"/>
  <c r="E89" i="28"/>
  <c r="E89" i="45"/>
  <c r="E89" i="33"/>
  <c r="F89" i="37"/>
  <c r="E89" i="20"/>
  <c r="E90" i="20"/>
  <c r="E90" i="12"/>
  <c r="F90" i="32"/>
  <c r="E91" i="7"/>
  <c r="E90" i="6"/>
  <c r="E90" i="38"/>
  <c r="F90" i="46"/>
  <c r="F90" i="29"/>
  <c r="E90" i="41"/>
  <c r="E90" i="4"/>
  <c r="F90" i="37"/>
  <c r="E90" i="14"/>
  <c r="E90" i="40"/>
  <c r="E90" i="16"/>
  <c r="E90" i="9"/>
  <c r="E90" i="5"/>
  <c r="E90" i="18"/>
  <c r="E90" i="13"/>
  <c r="E90" i="24"/>
  <c r="E90" i="33"/>
  <c r="E90" i="8"/>
  <c r="E90" i="11"/>
  <c r="E90" i="19"/>
  <c r="E90" i="45"/>
  <c r="E90" i="25"/>
  <c r="F90" i="30"/>
  <c r="E90" i="10"/>
  <c r="E90" i="2"/>
  <c r="E90" i="28"/>
  <c r="E91" i="26"/>
  <c r="E90" i="23"/>
  <c r="E90" i="22"/>
  <c r="E90" i="35"/>
  <c r="F90" i="47"/>
  <c r="F91" i="47"/>
  <c r="E91" i="11"/>
  <c r="E91" i="4"/>
  <c r="E91" i="41"/>
  <c r="E91" i="33"/>
  <c r="E91" i="24"/>
  <c r="E91" i="28"/>
  <c r="E91" i="10"/>
  <c r="E91" i="25"/>
  <c r="E91" i="35"/>
  <c r="E91" i="8"/>
  <c r="F91" i="29"/>
  <c r="F91" i="46"/>
  <c r="E91" i="38"/>
  <c r="E91" i="2"/>
  <c r="F91" i="30"/>
  <c r="E91" i="40"/>
  <c r="E91" i="22"/>
  <c r="E91" i="13"/>
  <c r="E92" i="7"/>
  <c r="E91" i="12"/>
  <c r="E91" i="14"/>
  <c r="E91" i="23"/>
  <c r="E91" i="18"/>
  <c r="E91" i="9"/>
  <c r="E91" i="45"/>
  <c r="E92" i="26"/>
  <c r="E91" i="5"/>
  <c r="E91" i="16"/>
  <c r="F91" i="37"/>
  <c r="E91" i="6"/>
  <c r="E91" i="20"/>
  <c r="F91" i="32"/>
  <c r="E91" i="19"/>
  <c r="E92" i="19"/>
  <c r="E92" i="14"/>
  <c r="E92" i="35"/>
  <c r="E92" i="25"/>
  <c r="E93" i="7"/>
  <c r="E92" i="28"/>
  <c r="E92" i="24"/>
  <c r="E92" i="33"/>
  <c r="F92" i="30"/>
  <c r="E92" i="11"/>
  <c r="F92" i="29"/>
  <c r="F92" i="32"/>
  <c r="E92" i="12"/>
  <c r="E92" i="10"/>
  <c r="E92" i="13"/>
  <c r="E92" i="22"/>
  <c r="E92" i="5"/>
  <c r="E92" i="41"/>
  <c r="E92" i="38"/>
  <c r="F92" i="46"/>
  <c r="E92" i="8"/>
  <c r="E92" i="20"/>
  <c r="E92" i="40"/>
  <c r="E92" i="4"/>
  <c r="E92" i="18"/>
  <c r="E92" i="6"/>
  <c r="E92" i="16"/>
  <c r="E92" i="2"/>
  <c r="F92" i="47"/>
  <c r="F92" i="37"/>
  <c r="E92" i="9"/>
  <c r="E93" i="26"/>
  <c r="E92" i="45"/>
  <c r="E92" i="23"/>
  <c r="E93" i="23"/>
  <c r="E93" i="20"/>
  <c r="E93" i="11"/>
  <c r="F93" i="30"/>
  <c r="F93" i="46"/>
  <c r="E93" i="38"/>
  <c r="E93" i="41"/>
  <c r="E94" i="7"/>
  <c r="E93" i="22"/>
  <c r="E93" i="10"/>
  <c r="F93" i="32"/>
  <c r="E93" i="45"/>
  <c r="E93" i="8"/>
  <c r="E93" i="24"/>
  <c r="E93" i="28"/>
  <c r="E93" i="2"/>
  <c r="E93" i="16"/>
  <c r="E93" i="18"/>
  <c r="E93" i="40"/>
  <c r="E94" i="26"/>
  <c r="E93" i="33"/>
  <c r="E93" i="5"/>
  <c r="E93" i="35"/>
  <c r="E93" i="12"/>
  <c r="E93" i="9"/>
  <c r="F93" i="47"/>
  <c r="E93" i="6"/>
  <c r="E93" i="19"/>
  <c r="F93" i="37"/>
  <c r="E93" i="13"/>
  <c r="E93" i="4"/>
  <c r="E93" i="25"/>
  <c r="F93" i="29"/>
  <c r="E93" i="14"/>
  <c r="E94" i="14"/>
  <c r="E94" i="5"/>
  <c r="E94" i="10"/>
  <c r="E94" i="22"/>
  <c r="E95" i="26"/>
  <c r="E94" i="41"/>
  <c r="E94" i="18"/>
  <c r="E94" i="19"/>
  <c r="F94" i="47"/>
  <c r="E94" i="8"/>
  <c r="F94" i="29"/>
  <c r="E94" i="33"/>
  <c r="E95" i="7"/>
  <c r="E94" i="40"/>
  <c r="E94" i="38"/>
  <c r="F94" i="46"/>
  <c r="E94" i="6"/>
  <c r="E94" i="20"/>
  <c r="E94" i="35"/>
  <c r="E94" i="25"/>
  <c r="E94" i="28"/>
  <c r="E94" i="23"/>
  <c r="E94" i="4"/>
  <c r="F94" i="37"/>
  <c r="E94" i="11"/>
  <c r="E94" i="9"/>
  <c r="E94" i="13"/>
  <c r="E94" i="2"/>
  <c r="E94" i="24"/>
  <c r="E94" i="45"/>
  <c r="E94" i="16"/>
  <c r="F94" i="30"/>
  <c r="F94" i="32"/>
  <c r="E94" i="12"/>
  <c r="E95" i="12"/>
  <c r="E95" i="23"/>
  <c r="E95" i="8"/>
  <c r="F95" i="47"/>
  <c r="E95" i="25"/>
  <c r="E95" i="35"/>
  <c r="E95" i="18"/>
  <c r="E95" i="24"/>
  <c r="E95" i="2"/>
  <c r="E95" i="40"/>
  <c r="E95" i="33"/>
  <c r="F95" i="32"/>
  <c r="E95" i="28"/>
  <c r="E95" i="19"/>
  <c r="E95" i="20"/>
  <c r="E96" i="26"/>
  <c r="E95" i="22"/>
  <c r="E95" i="9"/>
  <c r="F95" i="37"/>
  <c r="F95" i="30"/>
  <c r="E95" i="41"/>
  <c r="E95" i="13"/>
  <c r="E95" i="14"/>
  <c r="E95" i="16"/>
  <c r="E95" i="6"/>
  <c r="E95" i="38"/>
  <c r="E96" i="7"/>
  <c r="E95" i="45"/>
  <c r="F95" i="46"/>
  <c r="E95" i="11"/>
  <c r="F95" i="29"/>
  <c r="E95" i="10"/>
  <c r="E95" i="5"/>
  <c r="E95" i="4"/>
  <c r="E96" i="4"/>
  <c r="E96" i="13"/>
  <c r="E96" i="40"/>
  <c r="E96" i="41"/>
  <c r="F96" i="30"/>
  <c r="F96" i="37"/>
  <c r="E96" i="9"/>
  <c r="E96" i="25"/>
  <c r="F96" i="47"/>
  <c r="E96" i="8"/>
  <c r="E96" i="12"/>
  <c r="E96" i="5"/>
  <c r="E96" i="2"/>
  <c r="E96" i="18"/>
  <c r="E96" i="35"/>
  <c r="E96" i="45"/>
  <c r="E96" i="20"/>
  <c r="E96" i="19"/>
  <c r="F96" i="32"/>
  <c r="E96" i="10"/>
  <c r="E96" i="24"/>
  <c r="F96" i="46"/>
  <c r="E96" i="38"/>
  <c r="E96" i="14"/>
  <c r="F96" i="29"/>
  <c r="E97" i="7"/>
  <c r="E96" i="6"/>
  <c r="E96" i="11"/>
  <c r="E97" i="26"/>
  <c r="E96" i="23"/>
  <c r="E96" i="22"/>
  <c r="E96" i="16"/>
  <c r="E96" i="28"/>
  <c r="E96" i="33"/>
  <c r="E97" i="33"/>
  <c r="F97" i="46"/>
  <c r="E97" i="8"/>
  <c r="F97" i="47"/>
  <c r="E97" i="19"/>
  <c r="E97" i="45"/>
  <c r="E97" i="13"/>
  <c r="E97" i="38"/>
  <c r="E97" i="28"/>
  <c r="E97" i="24"/>
  <c r="E97" i="9"/>
  <c r="F97" i="30"/>
  <c r="E98" i="7"/>
  <c r="E97" i="5"/>
  <c r="E97" i="16"/>
  <c r="E97" i="10"/>
  <c r="E97" i="25"/>
  <c r="E97" i="20"/>
  <c r="E97" i="40"/>
  <c r="E97" i="4"/>
  <c r="E97" i="22"/>
  <c r="F97" i="32"/>
  <c r="E97" i="6"/>
  <c r="E97" i="2"/>
  <c r="E97" i="23"/>
  <c r="F97" i="37"/>
  <c r="E97" i="41"/>
  <c r="F97" i="29"/>
  <c r="E97" i="12"/>
  <c r="E98" i="26"/>
  <c r="E97" i="35"/>
  <c r="E97" i="11"/>
  <c r="E97" i="18"/>
  <c r="E97" i="14"/>
  <c r="E98" i="14"/>
  <c r="F98" i="32"/>
  <c r="E98" i="24"/>
  <c r="E98" i="38"/>
  <c r="E98" i="20"/>
  <c r="F98" i="47"/>
  <c r="E98" i="23"/>
  <c r="E98" i="18"/>
  <c r="E98" i="22"/>
  <c r="E98" i="28"/>
  <c r="E98" i="45"/>
  <c r="E98" i="19"/>
  <c r="E98" i="16"/>
  <c r="E98" i="2"/>
  <c r="E98" i="11"/>
  <c r="E98" i="4"/>
  <c r="E98" i="13"/>
  <c r="E98" i="25"/>
  <c r="E98" i="5"/>
  <c r="F98" i="30"/>
  <c r="E98" i="35"/>
  <c r="E98" i="40"/>
  <c r="E98" i="10"/>
  <c r="F98" i="46"/>
  <c r="E98" i="6"/>
  <c r="E99" i="26"/>
  <c r="F98" i="37"/>
  <c r="E98" i="12"/>
  <c r="E98" i="8"/>
  <c r="E98" i="33"/>
  <c r="F98" i="29"/>
  <c r="E99" i="7"/>
  <c r="E98" i="41"/>
  <c r="E98" i="9"/>
  <c r="E99" i="9"/>
  <c r="E99" i="40"/>
  <c r="E99" i="28"/>
  <c r="E99" i="22"/>
  <c r="E99" i="18"/>
  <c r="F99" i="47"/>
  <c r="E99" i="12"/>
  <c r="E99" i="24"/>
  <c r="E99" i="14"/>
  <c r="E99" i="41"/>
  <c r="E99" i="35"/>
  <c r="E99" i="5"/>
  <c r="E99" i="25"/>
  <c r="E99" i="13"/>
  <c r="E99" i="4"/>
  <c r="E100" i="26"/>
  <c r="F99" i="46"/>
  <c r="E100" i="7"/>
  <c r="F99" i="30"/>
  <c r="E99" i="23"/>
  <c r="E99" i="8"/>
  <c r="E99" i="11"/>
  <c r="F99" i="32"/>
  <c r="E99" i="45"/>
  <c r="F99" i="29"/>
  <c r="E99" i="20"/>
  <c r="E99" i="38"/>
  <c r="E99" i="2"/>
  <c r="E99" i="19"/>
  <c r="E99" i="33"/>
  <c r="E99" i="16"/>
  <c r="F99" i="37"/>
  <c r="E99" i="10"/>
  <c r="E99" i="6"/>
  <c r="E100" i="6"/>
  <c r="E100" i="11"/>
  <c r="E100" i="41"/>
  <c r="E100" i="14"/>
  <c r="E100" i="12"/>
  <c r="F100" i="46"/>
  <c r="E100" i="38"/>
  <c r="E100" i="25"/>
  <c r="E100" i="10"/>
  <c r="E100" i="8"/>
  <c r="F100" i="30"/>
  <c r="E101" i="7"/>
  <c r="E101" i="26"/>
  <c r="E100" i="4"/>
  <c r="E100" i="40"/>
  <c r="E100" i="35"/>
  <c r="F100" i="37"/>
  <c r="E100" i="23"/>
  <c r="E100" i="24"/>
  <c r="F100" i="47"/>
  <c r="E100" i="2"/>
  <c r="F100" i="29"/>
  <c r="E100" i="16"/>
  <c r="E100" i="19"/>
  <c r="E100" i="22"/>
  <c r="E100" i="20"/>
  <c r="E100" i="45"/>
  <c r="E100" i="33"/>
  <c r="E100" i="28"/>
  <c r="E100" i="5"/>
  <c r="E100" i="18"/>
  <c r="E100" i="9"/>
  <c r="E100" i="13"/>
  <c r="F100" i="32"/>
  <c r="F101" i="32"/>
  <c r="F101" i="29"/>
  <c r="E101" i="8"/>
  <c r="F101" i="47"/>
  <c r="E101" i="38"/>
  <c r="F101" i="46"/>
  <c r="E101" i="35"/>
  <c r="E101" i="11"/>
  <c r="F101" i="30"/>
  <c r="E101" i="13"/>
  <c r="E101" i="2"/>
  <c r="E101" i="10"/>
  <c r="E101" i="24"/>
  <c r="E101" i="28"/>
  <c r="E101" i="14"/>
  <c r="E101" i="41"/>
  <c r="E102" i="26"/>
  <c r="E101" i="9"/>
  <c r="E101" i="25"/>
  <c r="F101" i="37"/>
  <c r="E101" i="45"/>
  <c r="E101" i="22"/>
  <c r="E101" i="18"/>
  <c r="E101" i="23"/>
  <c r="E101" i="33"/>
  <c r="E101" i="20"/>
  <c r="E102" i="7"/>
  <c r="E101" i="5"/>
  <c r="E101" i="40"/>
  <c r="E101" i="19"/>
  <c r="E101" i="12"/>
  <c r="E101" i="6"/>
  <c r="E101" i="4"/>
  <c r="E101" i="16"/>
  <c r="E102" i="16"/>
  <c r="E102" i="22"/>
  <c r="E102" i="13"/>
  <c r="F102" i="30"/>
  <c r="F102" i="37"/>
  <c r="E102" i="9"/>
  <c r="E102" i="41"/>
  <c r="E102" i="20"/>
  <c r="E102" i="10"/>
  <c r="E102" i="4"/>
  <c r="E102" i="45"/>
  <c r="E102" i="25"/>
  <c r="E102" i="35"/>
  <c r="E102" i="40"/>
  <c r="F102" i="47"/>
  <c r="E102" i="8"/>
  <c r="E102" i="24"/>
  <c r="E102" i="6"/>
  <c r="E102" i="11"/>
  <c r="F102" i="46"/>
  <c r="E102" i="5"/>
  <c r="F102" i="29"/>
  <c r="E102" i="18"/>
  <c r="E102" i="12"/>
  <c r="E103" i="26"/>
  <c r="E103" i="7"/>
  <c r="E102" i="33"/>
  <c r="E102" i="19"/>
  <c r="E102" i="14"/>
  <c r="F102" i="32"/>
  <c r="E102" i="38"/>
  <c r="E102" i="23"/>
  <c r="E102" i="28"/>
  <c r="E102" i="2"/>
  <c r="E103" i="2"/>
  <c r="F103" i="29"/>
  <c r="E103" i="4"/>
  <c r="E103" i="10"/>
  <c r="E103" i="11"/>
  <c r="E103" i="14"/>
  <c r="E103" i="33"/>
  <c r="E104" i="26"/>
  <c r="E103" i="28"/>
  <c r="E103" i="5"/>
  <c r="E103" i="20"/>
  <c r="E103" i="6"/>
  <c r="E103" i="24"/>
  <c r="F103" i="30"/>
  <c r="E104" i="7"/>
  <c r="E103" i="16"/>
  <c r="E103" i="23"/>
  <c r="F103" i="46"/>
  <c r="E103" i="9"/>
  <c r="E103" i="8"/>
  <c r="E103" i="22"/>
  <c r="E103" i="18"/>
  <c r="E103" i="38"/>
  <c r="E103" i="41"/>
  <c r="E103" i="19"/>
  <c r="E103" i="13"/>
  <c r="E103" i="35"/>
  <c r="F103" i="32"/>
  <c r="F103" i="47"/>
  <c r="E103" i="25"/>
  <c r="F103" i="37"/>
  <c r="E103" i="12"/>
  <c r="E103" i="40"/>
  <c r="E103" i="45"/>
  <c r="E104" i="45"/>
  <c r="E104" i="18"/>
  <c r="E104" i="5"/>
  <c r="E104" i="28"/>
  <c r="E104" i="9"/>
  <c r="F104" i="47"/>
  <c r="E104" i="35"/>
  <c r="E104" i="24"/>
  <c r="E104" i="40"/>
  <c r="E104" i="22"/>
  <c r="E105" i="26"/>
  <c r="F104" i="46"/>
  <c r="E104" i="16"/>
  <c r="E104" i="13"/>
  <c r="E104" i="38"/>
  <c r="E104" i="12"/>
  <c r="E104" i="8"/>
  <c r="E104" i="14"/>
  <c r="F104" i="32"/>
  <c r="E104" i="4"/>
  <c r="E104" i="41"/>
  <c r="F104" i="37"/>
  <c r="E104" i="33"/>
  <c r="E104" i="11"/>
  <c r="E104" i="10"/>
  <c r="F104" i="29"/>
  <c r="E104" i="20"/>
  <c r="E104" i="25"/>
  <c r="E105" i="7"/>
  <c r="E104" i="19"/>
  <c r="E104" i="23"/>
  <c r="E104" i="2"/>
  <c r="F104" i="30"/>
  <c r="E104" i="6"/>
  <c r="E105" i="6"/>
  <c r="F105" i="37"/>
  <c r="E105" i="22"/>
  <c r="E105" i="40"/>
  <c r="E105" i="4"/>
  <c r="F105" i="32"/>
  <c r="E105" i="8"/>
  <c r="E105" i="20"/>
  <c r="E105" i="10"/>
  <c r="F105" i="30"/>
  <c r="E105" i="41"/>
  <c r="E105" i="24"/>
  <c r="E105" i="14"/>
  <c r="E105" i="9"/>
  <c r="E105" i="38"/>
  <c r="E105" i="18"/>
  <c r="E106" i="26"/>
  <c r="E105" i="2"/>
  <c r="E105" i="35"/>
  <c r="E106" i="7"/>
  <c r="E105" i="12"/>
  <c r="E105" i="13"/>
  <c r="E105" i="33"/>
  <c r="E105" i="23"/>
  <c r="F105" i="47"/>
  <c r="E105" i="25"/>
  <c r="E105" i="5"/>
  <c r="E105" i="16"/>
  <c r="E105" i="19"/>
  <c r="F105" i="29"/>
  <c r="E105" i="11"/>
  <c r="E105" i="28"/>
  <c r="F105" i="46"/>
  <c r="E105" i="45"/>
  <c r="E106" i="45"/>
  <c r="E106" i="13"/>
  <c r="F106" i="30"/>
  <c r="E106" i="10"/>
  <c r="E106" i="35"/>
  <c r="E106" i="19"/>
  <c r="E106" i="38"/>
  <c r="E106" i="14"/>
  <c r="F106" i="46"/>
  <c r="E106" i="12"/>
  <c r="E106" i="20"/>
  <c r="F106" i="32"/>
  <c r="E106" i="18"/>
  <c r="E106" i="25"/>
  <c r="E106" i="41"/>
  <c r="E106" i="28"/>
  <c r="E107" i="7"/>
  <c r="E106" i="2"/>
  <c r="E107" i="26"/>
  <c r="E106" i="22"/>
  <c r="E106" i="6"/>
  <c r="E106" i="11"/>
  <c r="E106" i="8"/>
  <c r="E106" i="16"/>
  <c r="E106" i="5"/>
  <c r="F106" i="47"/>
  <c r="F106" i="29"/>
  <c r="E106" i="40"/>
  <c r="E106" i="9"/>
  <c r="E106" i="24"/>
  <c r="E106" i="4"/>
  <c r="E106" i="23"/>
  <c r="F106" i="37"/>
  <c r="E106" i="33"/>
  <c r="E107" i="33"/>
  <c r="E107" i="11"/>
  <c r="E107" i="12"/>
  <c r="F107" i="46"/>
  <c r="E108" i="26"/>
  <c r="E107" i="19"/>
  <c r="E107" i="10"/>
  <c r="E107" i="25"/>
  <c r="E107" i="8"/>
  <c r="F107" i="37"/>
  <c r="E107" i="6"/>
  <c r="E107" i="14"/>
  <c r="E107" i="38"/>
  <c r="E107" i="40"/>
  <c r="E107" i="5"/>
  <c r="E107" i="23"/>
  <c r="E107" i="22"/>
  <c r="E107" i="2"/>
  <c r="E108" i="7"/>
  <c r="E107" i="41"/>
  <c r="E107" i="45"/>
  <c r="E107" i="4"/>
  <c r="E107" i="9"/>
  <c r="F107" i="29"/>
  <c r="F107" i="47"/>
  <c r="E107" i="20"/>
  <c r="E107" i="24"/>
  <c r="E107" i="28"/>
  <c r="F107" i="30"/>
  <c r="E107" i="18"/>
  <c r="E107" i="35"/>
  <c r="F107" i="32"/>
  <c r="E107" i="13"/>
  <c r="E107" i="16"/>
  <c r="E8" i="16" l="1"/>
  <c r="E108" i="4"/>
  <c r="F108" i="37"/>
  <c r="E108" i="28"/>
  <c r="E108" i="20"/>
  <c r="E108" i="14"/>
  <c r="E108" i="13"/>
  <c r="E108" i="45"/>
  <c r="E108" i="8"/>
  <c r="E108" i="10"/>
  <c r="E109" i="26"/>
  <c r="E108" i="24"/>
  <c r="F108" i="29"/>
  <c r="F108" i="32"/>
  <c r="E108" i="41"/>
  <c r="E108" i="25"/>
  <c r="F108" i="30"/>
  <c r="E108" i="5"/>
  <c r="E108" i="38"/>
  <c r="E108" i="35"/>
  <c r="E109" i="7"/>
  <c r="E108" i="19"/>
  <c r="E108" i="23"/>
  <c r="E108" i="11"/>
  <c r="E108" i="9"/>
  <c r="E108" i="18"/>
  <c r="E108" i="2"/>
  <c r="F108" i="46"/>
  <c r="E108" i="40"/>
  <c r="E108" i="6"/>
  <c r="E108" i="22"/>
  <c r="F108" i="47"/>
  <c r="E108" i="12"/>
  <c r="E108" i="33"/>
  <c r="D15" i="16" l="1"/>
  <c r="E4" i="16"/>
  <c r="F15" i="16" s="1"/>
  <c r="E109" i="33"/>
  <c r="E109" i="19"/>
  <c r="E109" i="10"/>
  <c r="E109" i="8"/>
  <c r="E109" i="35"/>
  <c r="E109" i="5"/>
  <c r="E109" i="28"/>
  <c r="F109" i="32"/>
  <c r="E109" i="23"/>
  <c r="E109" i="12"/>
  <c r="E110" i="7"/>
  <c r="E109" i="38"/>
  <c r="E109" i="40"/>
  <c r="E109" i="2"/>
  <c r="E110" i="26"/>
  <c r="F109" i="47"/>
  <c r="E109" i="45"/>
  <c r="E109" i="14"/>
  <c r="E109" i="20"/>
  <c r="E109" i="18"/>
  <c r="E109" i="22"/>
  <c r="E109" i="13"/>
  <c r="E109" i="25"/>
  <c r="E109" i="41"/>
  <c r="F109" i="29"/>
  <c r="E109" i="6"/>
  <c r="F109" i="46"/>
  <c r="F109" i="37"/>
  <c r="E109" i="9"/>
  <c r="F109" i="30"/>
  <c r="E109" i="11"/>
  <c r="E109" i="4"/>
  <c r="E109" i="24"/>
  <c r="E110" i="24"/>
  <c r="E110" i="22"/>
  <c r="E110" i="23"/>
  <c r="F110" i="32"/>
  <c r="E110" i="14"/>
  <c r="F110" i="37"/>
  <c r="E110" i="6"/>
  <c r="E110" i="41"/>
  <c r="E110" i="4"/>
  <c r="E110" i="18"/>
  <c r="E110" i="28"/>
  <c r="E110" i="45"/>
  <c r="E111" i="26"/>
  <c r="E110" i="40"/>
  <c r="E110" i="11"/>
  <c r="E110" i="20"/>
  <c r="E110" i="35"/>
  <c r="F110" i="47"/>
  <c r="E110" i="2"/>
  <c r="E110" i="25"/>
  <c r="F110" i="30"/>
  <c r="E110" i="5"/>
  <c r="F110" i="46"/>
  <c r="E110" i="19"/>
  <c r="E110" i="38"/>
  <c r="E110" i="9"/>
  <c r="E110" i="10"/>
  <c r="F110" i="29"/>
  <c r="E111" i="7"/>
  <c r="E110" i="8"/>
  <c r="E110" i="13"/>
  <c r="E110" i="33"/>
  <c r="E110" i="12"/>
  <c r="E111" i="12"/>
  <c r="F111" i="30"/>
  <c r="E111" i="4"/>
  <c r="E111" i="41"/>
  <c r="F111" i="47"/>
  <c r="E111" i="14"/>
  <c r="E111" i="11"/>
  <c r="E111" i="22"/>
  <c r="E111" i="28"/>
  <c r="E111" i="33"/>
  <c r="E111" i="25"/>
  <c r="E111" i="2"/>
  <c r="F111" i="37"/>
  <c r="E111" i="20"/>
  <c r="E111" i="38"/>
  <c r="E111" i="18"/>
  <c r="E111" i="13"/>
  <c r="E111" i="6"/>
  <c r="E111" i="35"/>
  <c r="F111" i="32"/>
  <c r="E111" i="9"/>
  <c r="E111" i="19"/>
  <c r="E111" i="8"/>
  <c r="F111" i="29"/>
  <c r="E111" i="23"/>
  <c r="E111" i="40"/>
  <c r="E111" i="45"/>
  <c r="E112" i="7"/>
  <c r="E111" i="24"/>
  <c r="E111" i="10"/>
  <c r="E111" i="5"/>
  <c r="E112" i="26"/>
  <c r="F111" i="46"/>
  <c r="F112" i="46"/>
  <c r="E112" i="9"/>
  <c r="E112" i="28"/>
  <c r="F112" i="32"/>
  <c r="E112" i="11"/>
  <c r="E112" i="13"/>
  <c r="E112" i="41"/>
  <c r="F112" i="30"/>
  <c r="E112" i="8"/>
  <c r="E113" i="26"/>
  <c r="E112" i="22"/>
  <c r="E112" i="6"/>
  <c r="F112" i="47"/>
  <c r="E112" i="4"/>
  <c r="E112" i="12"/>
  <c r="E112" i="5"/>
  <c r="E112" i="35"/>
  <c r="E112" i="14"/>
  <c r="E112" i="18"/>
  <c r="E112" i="20"/>
  <c r="E112" i="2"/>
  <c r="E112" i="10"/>
  <c r="E113" i="7"/>
  <c r="E112" i="45"/>
  <c r="E112" i="23"/>
  <c r="E112" i="25"/>
  <c r="E112" i="24"/>
  <c r="E112" i="40"/>
  <c r="F112" i="29"/>
  <c r="E112" i="38"/>
  <c r="E112" i="33"/>
  <c r="F112" i="37"/>
  <c r="E112" i="19"/>
  <c r="E113" i="19"/>
  <c r="E113" i="2"/>
  <c r="E113" i="8"/>
  <c r="E113" i="41"/>
  <c r="E113" i="11"/>
  <c r="E113" i="12"/>
  <c r="F113" i="46"/>
  <c r="E114" i="26"/>
  <c r="F113" i="37"/>
  <c r="E113" i="20"/>
  <c r="F113" i="30"/>
  <c r="E113" i="35"/>
  <c r="E113" i="24"/>
  <c r="F113" i="47"/>
  <c r="E113" i="10"/>
  <c r="E113" i="33"/>
  <c r="E113" i="18"/>
  <c r="E113" i="13"/>
  <c r="E113" i="40"/>
  <c r="E113" i="9"/>
  <c r="E114" i="7"/>
  <c r="E113" i="38"/>
  <c r="E113" i="14"/>
  <c r="F113" i="32"/>
  <c r="E113" i="25"/>
  <c r="E113" i="45"/>
  <c r="F113" i="29"/>
  <c r="E113" i="28"/>
  <c r="E113" i="23"/>
  <c r="E113" i="6"/>
  <c r="E113" i="5"/>
  <c r="E113" i="4"/>
  <c r="E113" i="22"/>
  <c r="E114" i="22"/>
  <c r="E115" i="7"/>
  <c r="F114" i="37"/>
  <c r="E114" i="10"/>
  <c r="E114" i="24"/>
  <c r="F114" i="30"/>
  <c r="E114" i="4"/>
  <c r="E114" i="9"/>
  <c r="E115" i="26"/>
  <c r="F114" i="46"/>
  <c r="E114" i="23"/>
  <c r="E114" i="28"/>
  <c r="E114" i="45"/>
  <c r="E114" i="19"/>
  <c r="E114" i="20"/>
  <c r="E114" i="5"/>
  <c r="E114" i="40"/>
  <c r="E114" i="12"/>
  <c r="E114" i="18"/>
  <c r="F114" i="29"/>
  <c r="E114" i="25"/>
  <c r="E114" i="14"/>
  <c r="E114" i="6"/>
  <c r="E114" i="13"/>
  <c r="E114" i="11"/>
  <c r="E114" i="33"/>
  <c r="F114" i="47"/>
  <c r="E114" i="35"/>
  <c r="E114" i="8"/>
  <c r="E114" i="41"/>
  <c r="F114" i="32"/>
  <c r="E114" i="2"/>
  <c r="E114" i="38"/>
  <c r="E115" i="38"/>
  <c r="E115" i="25"/>
  <c r="E116" i="26"/>
  <c r="E115" i="10"/>
  <c r="E115" i="19"/>
  <c r="E115" i="14"/>
  <c r="E115" i="2"/>
  <c r="F115" i="29"/>
  <c r="E115" i="9"/>
  <c r="F115" i="37"/>
  <c r="E116" i="7"/>
  <c r="E115" i="23"/>
  <c r="F115" i="32"/>
  <c r="E115" i="18"/>
  <c r="E115" i="4"/>
  <c r="F115" i="30"/>
  <c r="E115" i="40"/>
  <c r="E115" i="20"/>
  <c r="E115" i="11"/>
  <c r="F115" i="46"/>
  <c r="E115" i="41"/>
  <c r="E115" i="12"/>
  <c r="E115" i="24"/>
  <c r="E115" i="5"/>
  <c r="E115" i="33"/>
  <c r="E115" i="6"/>
  <c r="E115" i="8"/>
  <c r="E115" i="22"/>
  <c r="E115" i="35"/>
  <c r="E115" i="13"/>
  <c r="F115" i="47"/>
  <c r="E115" i="28"/>
  <c r="E115" i="45"/>
  <c r="E116" i="45"/>
  <c r="E116" i="41"/>
  <c r="E116" i="9"/>
  <c r="E116" i="2"/>
  <c r="E116" i="40"/>
  <c r="E116" i="4"/>
  <c r="E116" i="38"/>
  <c r="E116" i="28"/>
  <c r="F116" i="46"/>
  <c r="F116" i="29"/>
  <c r="E116" i="20"/>
  <c r="F116" i="30"/>
  <c r="E116" i="6"/>
  <c r="E117" i="7"/>
  <c r="F116" i="47"/>
  <c r="E116" i="11"/>
  <c r="E116" i="14"/>
  <c r="E116" i="22"/>
  <c r="E117" i="26"/>
  <c r="E116" i="25"/>
  <c r="E116" i="24"/>
  <c r="E116" i="13"/>
  <c r="E116" i="19"/>
  <c r="E116" i="8"/>
  <c r="E116" i="18"/>
  <c r="E116" i="5"/>
  <c r="E116" i="35"/>
  <c r="F116" i="32"/>
  <c r="F116" i="37"/>
  <c r="E116" i="10"/>
  <c r="E116" i="23"/>
  <c r="E116" i="33"/>
  <c r="E116" i="12"/>
  <c r="E117" i="12"/>
  <c r="E117" i="24"/>
  <c r="F117" i="46"/>
  <c r="E117" i="38"/>
  <c r="E117" i="14"/>
  <c r="E117" i="9"/>
  <c r="E117" i="45"/>
  <c r="E117" i="13"/>
  <c r="E117" i="33"/>
  <c r="E117" i="25"/>
  <c r="E117" i="28"/>
  <c r="E117" i="4"/>
  <c r="E117" i="2"/>
  <c r="E117" i="18"/>
  <c r="F117" i="29"/>
  <c r="E117" i="23"/>
  <c r="E118" i="26"/>
  <c r="E117" i="22"/>
  <c r="F117" i="32"/>
  <c r="F117" i="47"/>
  <c r="E117" i="41"/>
  <c r="E117" i="19"/>
  <c r="E117" i="10"/>
  <c r="E117" i="40"/>
  <c r="E117" i="35"/>
  <c r="E118" i="7"/>
  <c r="E117" i="8"/>
  <c r="F117" i="37"/>
  <c r="E117" i="5"/>
  <c r="F117" i="30"/>
  <c r="E117" i="11"/>
  <c r="E117" i="20"/>
  <c r="E117" i="6"/>
  <c r="E118" i="6"/>
  <c r="E118" i="41"/>
  <c r="E118" i="33"/>
  <c r="E118" i="13"/>
  <c r="E118" i="45"/>
  <c r="E119" i="26"/>
  <c r="E118" i="8"/>
  <c r="E118" i="35"/>
  <c r="E118" i="19"/>
  <c r="E118" i="20"/>
  <c r="F118" i="47"/>
  <c r="E118" i="22"/>
  <c r="E118" i="23"/>
  <c r="E119" i="7"/>
  <c r="E118" i="4"/>
  <c r="E118" i="11"/>
  <c r="F118" i="32"/>
  <c r="E118" i="9"/>
  <c r="E118" i="14"/>
  <c r="F118" i="29"/>
  <c r="E118" i="18"/>
  <c r="E118" i="10"/>
  <c r="F118" i="30"/>
  <c r="F118" i="37"/>
  <c r="F118" i="46"/>
  <c r="E118" i="24"/>
  <c r="E118" i="40"/>
  <c r="E118" i="25"/>
  <c r="E118" i="5"/>
  <c r="E118" i="12"/>
  <c r="E118" i="38"/>
  <c r="E118" i="28"/>
  <c r="E118" i="2"/>
  <c r="E119" i="2"/>
  <c r="E119" i="18"/>
  <c r="E119" i="19"/>
  <c r="E119" i="35"/>
  <c r="E119" i="14"/>
  <c r="E119" i="5"/>
  <c r="E119" i="40"/>
  <c r="F119" i="46"/>
  <c r="E119" i="20"/>
  <c r="E119" i="28"/>
  <c r="F119" i="29"/>
  <c r="E119" i="8"/>
  <c r="E119" i="9"/>
  <c r="E119" i="11"/>
  <c r="E120" i="7"/>
  <c r="E119" i="22"/>
  <c r="E119" i="38"/>
  <c r="E120" i="26"/>
  <c r="E119" i="25"/>
  <c r="E119" i="4"/>
  <c r="E119" i="6"/>
  <c r="E119" i="12"/>
  <c r="F119" i="32"/>
  <c r="E119" i="13"/>
  <c r="E119" i="24"/>
  <c r="E119" i="41"/>
  <c r="F119" i="30"/>
  <c r="E119" i="45"/>
  <c r="F119" i="37"/>
  <c r="E119" i="33"/>
  <c r="F119" i="47"/>
  <c r="E119" i="23"/>
  <c r="E119" i="10"/>
  <c r="E120" i="10"/>
  <c r="E120" i="6"/>
  <c r="E120" i="20"/>
  <c r="F120" i="46"/>
  <c r="E120" i="25"/>
  <c r="E120" i="38"/>
  <c r="E121" i="7"/>
  <c r="E120" i="9"/>
  <c r="E120" i="28"/>
  <c r="E120" i="23"/>
  <c r="E120" i="4"/>
  <c r="E120" i="40"/>
  <c r="E120" i="14"/>
  <c r="F120" i="30"/>
  <c r="E120" i="2"/>
  <c r="F120" i="47"/>
  <c r="E121" i="26"/>
  <c r="E120" i="45"/>
  <c r="E120" i="41"/>
  <c r="E120" i="13"/>
  <c r="E120" i="33"/>
  <c r="E120" i="5"/>
  <c r="E120" i="35"/>
  <c r="E120" i="19"/>
  <c r="E120" i="24"/>
  <c r="F120" i="29"/>
  <c r="F120" i="37"/>
  <c r="E120" i="18"/>
  <c r="E120" i="12"/>
  <c r="E120" i="22"/>
  <c r="E120" i="8"/>
  <c r="E120" i="11"/>
  <c r="F120" i="32"/>
  <c r="F121" i="32"/>
  <c r="E121" i="33"/>
  <c r="E121" i="28"/>
  <c r="E121" i="41"/>
  <c r="E121" i="38"/>
  <c r="F121" i="47"/>
  <c r="F121" i="30"/>
  <c r="E121" i="4"/>
  <c r="E121" i="11"/>
  <c r="E121" i="13"/>
  <c r="E121" i="9"/>
  <c r="E121" i="45"/>
  <c r="E121" i="18"/>
  <c r="E121" i="6"/>
  <c r="E121" i="35"/>
  <c r="E121" i="8"/>
  <c r="E122" i="7"/>
  <c r="E121" i="25"/>
  <c r="E121" i="20"/>
  <c r="E121" i="10"/>
  <c r="E121" i="5"/>
  <c r="E121" i="22"/>
  <c r="E122" i="26"/>
  <c r="E121" i="2"/>
  <c r="E121" i="24"/>
  <c r="E121" i="19"/>
  <c r="E121" i="12"/>
  <c r="F121" i="37"/>
  <c r="F121" i="29"/>
  <c r="E121" i="40"/>
  <c r="F121" i="46"/>
  <c r="E121" i="14"/>
  <c r="E121" i="23"/>
  <c r="E122" i="23"/>
  <c r="E122" i="5"/>
  <c r="E122" i="11"/>
  <c r="E122" i="20"/>
  <c r="F122" i="47"/>
  <c r="E122" i="41"/>
  <c r="E122" i="6"/>
  <c r="E122" i="45"/>
  <c r="E122" i="14"/>
  <c r="E122" i="10"/>
  <c r="E122" i="4"/>
  <c r="E122" i="25"/>
  <c r="F122" i="37"/>
  <c r="E122" i="24"/>
  <c r="E122" i="9"/>
  <c r="F122" i="46"/>
  <c r="F122" i="30"/>
  <c r="E123" i="7"/>
  <c r="E122" i="8"/>
  <c r="E122" i="28"/>
  <c r="E122" i="2"/>
  <c r="E122" i="40"/>
  <c r="E122" i="38"/>
  <c r="E122" i="12"/>
  <c r="E122" i="35"/>
  <c r="F122" i="32"/>
  <c r="E122" i="13"/>
  <c r="F122" i="29"/>
  <c r="E122" i="33"/>
  <c r="E123" i="26"/>
  <c r="E122" i="19"/>
  <c r="E122" i="18"/>
  <c r="E122" i="22"/>
  <c r="E123" i="22"/>
  <c r="E123" i="2"/>
  <c r="E123" i="14"/>
  <c r="E123" i="45"/>
  <c r="E124" i="7"/>
  <c r="F123" i="47"/>
  <c r="E123" i="13"/>
  <c r="E123" i="23"/>
  <c r="E123" i="10"/>
  <c r="E123" i="18"/>
  <c r="E123" i="28"/>
  <c r="E123" i="6"/>
  <c r="E123" i="41"/>
  <c r="F123" i="46"/>
  <c r="E123" i="5"/>
  <c r="E123" i="38"/>
  <c r="E123" i="19"/>
  <c r="E123" i="8"/>
  <c r="F123" i="30"/>
  <c r="E123" i="20"/>
  <c r="E123" i="24"/>
  <c r="E123" i="4"/>
  <c r="E124" i="26"/>
  <c r="F123" i="29"/>
  <c r="E123" i="9"/>
  <c r="E123" i="35"/>
  <c r="E123" i="25"/>
  <c r="E123" i="33"/>
  <c r="F123" i="32"/>
  <c r="E123" i="12"/>
  <c r="E123" i="11"/>
  <c r="E123" i="40"/>
  <c r="F123" i="37"/>
  <c r="F124" i="37"/>
  <c r="E124" i="24"/>
  <c r="E124" i="10"/>
  <c r="E124" i="23"/>
  <c r="E124" i="8"/>
  <c r="E125" i="7"/>
  <c r="E124" i="35"/>
  <c r="E125" i="26"/>
  <c r="E124" i="40"/>
  <c r="E124" i="20"/>
  <c r="E124" i="13"/>
  <c r="E124" i="19"/>
  <c r="E124" i="25"/>
  <c r="E124" i="41"/>
  <c r="E124" i="4"/>
  <c r="E124" i="11"/>
  <c r="F124" i="30"/>
  <c r="F124" i="47"/>
  <c r="E124" i="38"/>
  <c r="F124" i="46"/>
  <c r="E124" i="6"/>
  <c r="E124" i="12"/>
  <c r="E124" i="33"/>
  <c r="E124" i="5"/>
  <c r="E124" i="2"/>
  <c r="F124" i="29"/>
  <c r="F124" i="32"/>
  <c r="E124" i="14"/>
  <c r="E124" i="22"/>
  <c r="E124" i="18"/>
  <c r="E124" i="45"/>
  <c r="E124" i="28"/>
  <c r="E124" i="9"/>
  <c r="E125" i="9"/>
  <c r="E125" i="6"/>
  <c r="E125" i="40"/>
  <c r="E126" i="26"/>
  <c r="E125" i="35"/>
  <c r="F125" i="30"/>
  <c r="E125" i="4"/>
  <c r="E125" i="25"/>
  <c r="E125" i="12"/>
  <c r="E125" i="28"/>
  <c r="F125" i="46"/>
  <c r="F125" i="47"/>
  <c r="E125" i="8"/>
  <c r="F125" i="32"/>
  <c r="E125" i="5"/>
  <c r="E125" i="45"/>
  <c r="E125" i="38"/>
  <c r="E126" i="7"/>
  <c r="E125" i="14"/>
  <c r="E125" i="41"/>
  <c r="E125" i="19"/>
  <c r="E125" i="18"/>
  <c r="E125" i="11"/>
  <c r="F125" i="29"/>
  <c r="E125" i="24"/>
  <c r="E125" i="33"/>
  <c r="E125" i="22"/>
  <c r="E125" i="10"/>
  <c r="E125" i="2"/>
  <c r="E125" i="13"/>
  <c r="E125" i="23"/>
  <c r="E125" i="20"/>
  <c r="F125" i="37"/>
  <c r="F8" i="46" l="1"/>
  <c r="F126" i="37"/>
  <c r="E126" i="19"/>
  <c r="E126" i="12"/>
  <c r="E126" i="25"/>
  <c r="E126" i="4"/>
  <c r="E126" i="38"/>
  <c r="E126" i="40"/>
  <c r="E126" i="24"/>
  <c r="E126" i="20"/>
  <c r="E126" i="41"/>
  <c r="E127" i="7"/>
  <c r="E126" i="35"/>
  <c r="E126" i="33"/>
  <c r="F126" i="29"/>
  <c r="E126" i="23"/>
  <c r="E126" i="14"/>
  <c r="F126" i="30"/>
  <c r="E126" i="10"/>
  <c r="E126" i="5"/>
  <c r="E126" i="9"/>
  <c r="E126" i="28"/>
  <c r="E126" i="13"/>
  <c r="E126" i="45"/>
  <c r="F126" i="32"/>
  <c r="E126" i="8"/>
  <c r="E126" i="2"/>
  <c r="E126" i="22"/>
  <c r="E126" i="6"/>
  <c r="E126" i="11"/>
  <c r="E127" i="26"/>
  <c r="E126" i="18"/>
  <c r="F126" i="47"/>
  <c r="E8" i="47" l="1"/>
  <c r="E15" i="46"/>
  <c r="F4" i="46"/>
  <c r="G15" i="46" s="1"/>
  <c r="E127" i="9"/>
  <c r="E127" i="24"/>
  <c r="E127" i="22"/>
  <c r="E127" i="8"/>
  <c r="E127" i="20"/>
  <c r="E127" i="18"/>
  <c r="E127" i="5"/>
  <c r="E127" i="40"/>
  <c r="E127" i="38"/>
  <c r="E127" i="4"/>
  <c r="E127" i="23"/>
  <c r="E127" i="33"/>
  <c r="E127" i="45"/>
  <c r="E128" i="26"/>
  <c r="E127" i="10"/>
  <c r="F127" i="30"/>
  <c r="E127" i="25"/>
  <c r="E127" i="2"/>
  <c r="E127" i="13"/>
  <c r="E127" i="11"/>
  <c r="E127" i="12"/>
  <c r="F127" i="37"/>
  <c r="E127" i="41"/>
  <c r="E127" i="6"/>
  <c r="E127" i="14"/>
  <c r="F127" i="29"/>
  <c r="F127" i="32"/>
  <c r="E128" i="7"/>
  <c r="E127" i="19"/>
  <c r="E127" i="35"/>
  <c r="E127" i="28"/>
  <c r="E4" i="47" l="1"/>
  <c r="F15" i="47" s="1"/>
  <c r="D15" i="47"/>
  <c r="E128" i="28"/>
  <c r="E128" i="13"/>
  <c r="E128" i="5"/>
  <c r="E128" i="18"/>
  <c r="F128" i="30"/>
  <c r="E129" i="26"/>
  <c r="E128" i="6"/>
  <c r="F128" i="37"/>
  <c r="E128" i="35"/>
  <c r="E128" i="2"/>
  <c r="E128" i="20"/>
  <c r="E128" i="10"/>
  <c r="E128" i="9"/>
  <c r="E128" i="11"/>
  <c r="E128" i="19"/>
  <c r="E128" i="25"/>
  <c r="E128" i="8"/>
  <c r="E128" i="22"/>
  <c r="E128" i="14"/>
  <c r="E128" i="23"/>
  <c r="E128" i="40"/>
  <c r="E129" i="7"/>
  <c r="F128" i="29"/>
  <c r="E128" i="45"/>
  <c r="E128" i="33"/>
  <c r="E128" i="12"/>
  <c r="F128" i="32"/>
  <c r="E128" i="4"/>
  <c r="E128" i="24"/>
  <c r="E128" i="38"/>
  <c r="E128" i="41"/>
  <c r="E129" i="41"/>
  <c r="E129" i="14"/>
  <c r="E129" i="6"/>
  <c r="E130" i="26"/>
  <c r="F129" i="30"/>
  <c r="E129" i="5"/>
  <c r="E129" i="9"/>
  <c r="E129" i="2"/>
  <c r="E129" i="38"/>
  <c r="E129" i="22"/>
  <c r="E129" i="25"/>
  <c r="E129" i="12"/>
  <c r="E129" i="45"/>
  <c r="E129" i="40"/>
  <c r="E129" i="24"/>
  <c r="E129" i="8"/>
  <c r="E129" i="19"/>
  <c r="E129" i="28"/>
  <c r="E130" i="7"/>
  <c r="E129" i="4"/>
  <c r="E129" i="18"/>
  <c r="E129" i="13"/>
  <c r="E129" i="10"/>
  <c r="E129" i="35"/>
  <c r="F129" i="32"/>
  <c r="E129" i="33"/>
  <c r="F129" i="29"/>
  <c r="F129" i="37"/>
  <c r="E129" i="11"/>
  <c r="E129" i="23"/>
  <c r="E129" i="20"/>
  <c r="E130" i="20"/>
  <c r="E131" i="7"/>
  <c r="E130" i="9"/>
  <c r="E130" i="5"/>
  <c r="E130" i="8"/>
  <c r="E130" i="33"/>
  <c r="E130" i="35"/>
  <c r="E130" i="4"/>
  <c r="E130" i="23"/>
  <c r="E130" i="28"/>
  <c r="F130" i="30"/>
  <c r="E130" i="24"/>
  <c r="E130" i="45"/>
  <c r="E130" i="25"/>
  <c r="E130" i="2"/>
  <c r="E130" i="11"/>
  <c r="E130" i="19"/>
  <c r="E131" i="26"/>
  <c r="E130" i="6"/>
  <c r="F130" i="32"/>
  <c r="E130" i="22"/>
  <c r="F130" i="37"/>
  <c r="E130" i="40"/>
  <c r="E130" i="12"/>
  <c r="E130" i="38"/>
  <c r="F130" i="29"/>
  <c r="E130" i="41"/>
  <c r="E130" i="10"/>
  <c r="E130" i="18"/>
  <c r="E130" i="14"/>
  <c r="E130" i="13"/>
  <c r="E131" i="13"/>
  <c r="E131" i="6"/>
  <c r="E131" i="35"/>
  <c r="E131" i="33"/>
  <c r="E131" i="19"/>
  <c r="E131" i="9"/>
  <c r="E131" i="20"/>
  <c r="F131" i="30"/>
  <c r="E131" i="4"/>
  <c r="E131" i="14"/>
  <c r="E132" i="26"/>
  <c r="E131" i="11"/>
  <c r="E131" i="5"/>
  <c r="E131" i="38"/>
  <c r="E131" i="22"/>
  <c r="E131" i="18"/>
  <c r="E131" i="8"/>
  <c r="E131" i="2"/>
  <c r="E131" i="25"/>
  <c r="E131" i="24"/>
  <c r="E131" i="23"/>
  <c r="E131" i="10"/>
  <c r="F131" i="29"/>
  <c r="E131" i="12"/>
  <c r="F131" i="37"/>
  <c r="E131" i="41"/>
  <c r="E131" i="45"/>
  <c r="E131" i="40"/>
  <c r="F131" i="32"/>
  <c r="E132" i="7"/>
  <c r="E131" i="28"/>
  <c r="E132" i="28"/>
  <c r="E132" i="25"/>
  <c r="E132" i="20"/>
  <c r="E132" i="9"/>
  <c r="E132" i="19"/>
  <c r="E132" i="41"/>
  <c r="F132" i="29"/>
  <c r="E132" i="24"/>
  <c r="E133" i="7"/>
  <c r="E132" i="2"/>
  <c r="E132" i="33"/>
  <c r="E132" i="38"/>
  <c r="E132" i="11"/>
  <c r="E132" i="23"/>
  <c r="F132" i="32"/>
  <c r="E132" i="8"/>
  <c r="E132" i="18"/>
  <c r="E132" i="35"/>
  <c r="E132" i="5"/>
  <c r="E132" i="14"/>
  <c r="E132" i="40"/>
  <c r="E132" i="22"/>
  <c r="F132" i="37"/>
  <c r="E132" i="12"/>
  <c r="E132" i="4"/>
  <c r="E132" i="45"/>
  <c r="E132" i="13"/>
  <c r="E133" i="26"/>
  <c r="F132" i="30"/>
  <c r="E132" i="6"/>
  <c r="E132" i="10"/>
  <c r="E133" i="10"/>
  <c r="E133" i="5"/>
  <c r="F133" i="29"/>
  <c r="E133" i="41"/>
  <c r="E133" i="19"/>
  <c r="E133" i="20"/>
  <c r="E133" i="25"/>
  <c r="F133" i="37"/>
  <c r="E133" i="24"/>
  <c r="E133" i="6"/>
  <c r="E133" i="35"/>
  <c r="E133" i="8"/>
  <c r="E133" i="9"/>
  <c r="E133" i="4"/>
  <c r="E133" i="2"/>
  <c r="F133" i="30"/>
  <c r="E133" i="18"/>
  <c r="F133" i="32"/>
  <c r="E133" i="23"/>
  <c r="E133" i="12"/>
  <c r="E134" i="7"/>
  <c r="E134" i="26"/>
  <c r="E133" i="45"/>
  <c r="E133" i="28"/>
  <c r="E133" i="33"/>
  <c r="E133" i="13"/>
  <c r="E133" i="11"/>
  <c r="E133" i="22"/>
  <c r="E133" i="14"/>
  <c r="E133" i="38"/>
  <c r="E133" i="40"/>
  <c r="E134" i="40"/>
  <c r="E134" i="23"/>
  <c r="E134" i="25"/>
  <c r="F134" i="32"/>
  <c r="E134" i="19"/>
  <c r="E134" i="2"/>
  <c r="E134" i="5"/>
  <c r="E134" i="45"/>
  <c r="E134" i="38"/>
  <c r="E134" i="20"/>
  <c r="F134" i="30"/>
  <c r="E134" i="4"/>
  <c r="E134" i="8"/>
  <c r="E134" i="24"/>
  <c r="E134" i="14"/>
  <c r="E134" i="18"/>
  <c r="E134" i="41"/>
  <c r="F134" i="29"/>
  <c r="E134" i="33"/>
  <c r="E134" i="6"/>
  <c r="E134" i="22"/>
  <c r="E134" i="13"/>
  <c r="E134" i="10"/>
  <c r="E134" i="35"/>
  <c r="F134" i="37"/>
  <c r="E134" i="11"/>
  <c r="E134" i="28"/>
  <c r="E135" i="26"/>
  <c r="E134" i="12"/>
  <c r="E134" i="9"/>
  <c r="E135" i="7"/>
  <c r="E136" i="7"/>
  <c r="E135" i="33"/>
  <c r="E135" i="5"/>
  <c r="E135" i="2"/>
  <c r="E135" i="19"/>
  <c r="E135" i="25"/>
  <c r="F135" i="37"/>
  <c r="E135" i="13"/>
  <c r="E135" i="9"/>
  <c r="F135" i="29"/>
  <c r="E135" i="18"/>
  <c r="E135" i="11"/>
  <c r="E135" i="35"/>
  <c r="E135" i="22"/>
  <c r="E135" i="12"/>
  <c r="E135" i="41"/>
  <c r="E135" i="14"/>
  <c r="E135" i="24"/>
  <c r="E135" i="4"/>
  <c r="E135" i="6"/>
  <c r="E136" i="26"/>
  <c r="F135" i="32"/>
  <c r="E135" i="23"/>
  <c r="E135" i="10"/>
  <c r="E135" i="38"/>
  <c r="E135" i="28"/>
  <c r="E135" i="8"/>
  <c r="F135" i="30"/>
  <c r="E135" i="45"/>
  <c r="E135" i="40"/>
  <c r="E135" i="20"/>
  <c r="E136" i="20"/>
  <c r="E136" i="4"/>
  <c r="F136" i="37"/>
  <c r="E136" i="25"/>
  <c r="E136" i="41"/>
  <c r="E136" i="5"/>
  <c r="E136" i="38"/>
  <c r="E136" i="11"/>
  <c r="E136" i="6"/>
  <c r="E136" i="40"/>
  <c r="E136" i="24"/>
  <c r="E136" i="19"/>
  <c r="E136" i="2"/>
  <c r="E136" i="33"/>
  <c r="E137" i="7"/>
  <c r="E136" i="18"/>
  <c r="E136" i="45"/>
  <c r="E136" i="14"/>
  <c r="E136" i="12"/>
  <c r="E136" i="28"/>
  <c r="E136" i="10"/>
  <c r="F136" i="32"/>
  <c r="F136" i="30"/>
  <c r="E136" i="22"/>
  <c r="E136" i="35"/>
  <c r="F136" i="29"/>
  <c r="E136" i="9"/>
  <c r="E136" i="8"/>
  <c r="E137" i="26"/>
  <c r="E136" i="23"/>
  <c r="E136" i="13"/>
  <c r="E137" i="13"/>
  <c r="E137" i="12"/>
  <c r="E137" i="38"/>
  <c r="E137" i="5"/>
  <c r="E137" i="45"/>
  <c r="E137" i="25"/>
  <c r="F137" i="37"/>
  <c r="E137" i="2"/>
  <c r="F137" i="32"/>
  <c r="E137" i="23"/>
  <c r="E137" i="14"/>
  <c r="E137" i="41"/>
  <c r="E137" i="18"/>
  <c r="E138" i="7"/>
  <c r="E137" i="4"/>
  <c r="E137" i="19"/>
  <c r="E137" i="40"/>
  <c r="E138" i="26"/>
  <c r="F137" i="29"/>
  <c r="E137" i="22"/>
  <c r="E137" i="6"/>
  <c r="E137" i="8"/>
  <c r="E137" i="33"/>
  <c r="E137" i="35"/>
  <c r="E137" i="24"/>
  <c r="E137" i="28"/>
  <c r="E137" i="9"/>
  <c r="F137" i="30"/>
  <c r="E137" i="11"/>
  <c r="E137" i="20"/>
  <c r="E137" i="10"/>
  <c r="E138" i="10"/>
  <c r="F138" i="29"/>
  <c r="F138" i="37"/>
  <c r="E138" i="25"/>
  <c r="E138" i="40"/>
  <c r="E138" i="4"/>
  <c r="E139" i="7"/>
  <c r="E138" i="33"/>
  <c r="E138" i="20"/>
  <c r="E139" i="26"/>
  <c r="E138" i="45"/>
  <c r="E138" i="5"/>
  <c r="E138" i="28"/>
  <c r="E138" i="35"/>
  <c r="E138" i="6"/>
  <c r="E138" i="11"/>
  <c r="E138" i="19"/>
  <c r="E138" i="12"/>
  <c r="E138" i="14"/>
  <c r="E138" i="2"/>
  <c r="F138" i="30"/>
  <c r="E138" i="38"/>
  <c r="E138" i="24"/>
  <c r="E138" i="41"/>
  <c r="F138" i="32"/>
  <c r="E138" i="22"/>
  <c r="E138" i="9"/>
  <c r="E138" i="18"/>
  <c r="E138" i="23"/>
  <c r="E138" i="13"/>
  <c r="E138" i="8"/>
  <c r="E139" i="8"/>
  <c r="E139" i="14"/>
  <c r="E140" i="7"/>
  <c r="E139" i="4"/>
  <c r="E139" i="19"/>
  <c r="E139" i="11"/>
  <c r="E139" i="22"/>
  <c r="E139" i="5"/>
  <c r="F139" i="30"/>
  <c r="E139" i="13"/>
  <c r="E139" i="12"/>
  <c r="E139" i="40"/>
  <c r="E139" i="6"/>
  <c r="E139" i="35"/>
  <c r="E139" i="28"/>
  <c r="E139" i="38"/>
  <c r="E139" i="23"/>
  <c r="E139" i="25"/>
  <c r="F139" i="29"/>
  <c r="E139" i="45"/>
  <c r="E139" i="33"/>
  <c r="E139" i="18"/>
  <c r="F139" i="37"/>
  <c r="F139" i="32"/>
  <c r="E139" i="24"/>
  <c r="E139" i="2"/>
  <c r="E139" i="9"/>
  <c r="E139" i="41"/>
  <c r="E139" i="20"/>
  <c r="E139" i="10"/>
  <c r="E140" i="26"/>
  <c r="E141" i="26"/>
  <c r="F140" i="29"/>
  <c r="E140" i="22"/>
  <c r="E140" i="11"/>
  <c r="E140" i="23"/>
  <c r="E140" i="38"/>
  <c r="E140" i="2"/>
  <c r="E140" i="40"/>
  <c r="F140" i="30"/>
  <c r="E140" i="10"/>
  <c r="E140" i="25"/>
  <c r="E140" i="19"/>
  <c r="E140" i="4"/>
  <c r="E140" i="35"/>
  <c r="E140" i="6"/>
  <c r="E140" i="12"/>
  <c r="E140" i="5"/>
  <c r="E140" i="20"/>
  <c r="E140" i="28"/>
  <c r="E140" i="24"/>
  <c r="E140" i="18"/>
  <c r="E140" i="41"/>
  <c r="E141" i="7"/>
  <c r="E140" i="14"/>
  <c r="F140" i="37"/>
  <c r="E140" i="13"/>
  <c r="E140" i="9"/>
  <c r="F140" i="32"/>
  <c r="E140" i="45"/>
  <c r="E140" i="8"/>
  <c r="E140" i="33"/>
  <c r="E8" i="41" l="1"/>
  <c r="E8" i="40"/>
  <c r="E141" i="33"/>
  <c r="E141" i="28"/>
  <c r="E141" i="2"/>
  <c r="E141" i="38"/>
  <c r="E141" i="5"/>
  <c r="E141" i="11"/>
  <c r="E141" i="35"/>
  <c r="E141" i="19"/>
  <c r="E141" i="18"/>
  <c r="E141" i="8"/>
  <c r="E141" i="20"/>
  <c r="E141" i="12"/>
  <c r="E141" i="13"/>
  <c r="E141" i="14"/>
  <c r="F141" i="30"/>
  <c r="E141" i="45"/>
  <c r="E141" i="23"/>
  <c r="E141" i="6"/>
  <c r="F141" i="37"/>
  <c r="F141" i="32"/>
  <c r="E141" i="22"/>
  <c r="F141" i="29"/>
  <c r="E142" i="26"/>
  <c r="E141" i="10"/>
  <c r="E141" i="9"/>
  <c r="E142" i="7"/>
  <c r="E141" i="24"/>
  <c r="E141" i="4"/>
  <c r="E141" i="25"/>
  <c r="D15" i="40" l="1"/>
  <c r="E4" i="40"/>
  <c r="F15" i="40" s="1"/>
  <c r="E4" i="41"/>
  <c r="F15" i="41" s="1"/>
  <c r="D15" i="41"/>
  <c r="E142" i="25"/>
  <c r="E142" i="23"/>
  <c r="E142" i="5"/>
  <c r="E142" i="38"/>
  <c r="F142" i="30"/>
  <c r="E143" i="7"/>
  <c r="E142" i="9"/>
  <c r="E142" i="10"/>
  <c r="E143" i="26"/>
  <c r="F142" i="29"/>
  <c r="E142" i="19"/>
  <c r="E142" i="11"/>
  <c r="E142" i="4"/>
  <c r="E142" i="45"/>
  <c r="E142" i="2"/>
  <c r="E142" i="28"/>
  <c r="E142" i="33"/>
  <c r="E142" i="20"/>
  <c r="E142" i="8"/>
  <c r="E142" i="18"/>
  <c r="E142" i="6"/>
  <c r="E142" i="24"/>
  <c r="E142" i="14"/>
  <c r="E142" i="13"/>
  <c r="E142" i="12"/>
  <c r="F142" i="37"/>
  <c r="E142" i="22"/>
  <c r="F142" i="32"/>
  <c r="E142" i="35"/>
  <c r="E8" i="10" l="1"/>
  <c r="E143" i="35"/>
  <c r="E143" i="33"/>
  <c r="F143" i="30"/>
  <c r="E143" i="28"/>
  <c r="E143" i="38"/>
  <c r="E143" i="2"/>
  <c r="E143" i="45"/>
  <c r="E143" i="23"/>
  <c r="E143" i="19"/>
  <c r="F143" i="32"/>
  <c r="E143" i="4"/>
  <c r="E143" i="18"/>
  <c r="E143" i="22"/>
  <c r="E143" i="5"/>
  <c r="E143" i="11"/>
  <c r="E143" i="6"/>
  <c r="E143" i="20"/>
  <c r="F143" i="37"/>
  <c r="E143" i="25"/>
  <c r="E144" i="26"/>
  <c r="E144" i="7"/>
  <c r="E143" i="12"/>
  <c r="E143" i="13"/>
  <c r="E143" i="24"/>
  <c r="E143" i="8"/>
  <c r="E143" i="14"/>
  <c r="F143" i="29"/>
  <c r="E143" i="9"/>
  <c r="D15" i="10" l="1"/>
  <c r="E4" i="10"/>
  <c r="F15" i="10" s="1"/>
  <c r="E144" i="9"/>
  <c r="E144" i="6"/>
  <c r="E144" i="28"/>
  <c r="E144" i="11"/>
  <c r="E144" i="33"/>
  <c r="E144" i="18"/>
  <c r="E144" i="12"/>
  <c r="E144" i="45"/>
  <c r="F144" i="29"/>
  <c r="F144" i="30"/>
  <c r="E144" i="22"/>
  <c r="E144" i="4"/>
  <c r="E144" i="19"/>
  <c r="E144" i="14"/>
  <c r="E144" i="5"/>
  <c r="E144" i="35"/>
  <c r="E144" i="13"/>
  <c r="E145" i="26"/>
  <c r="E144" i="20"/>
  <c r="E144" i="8"/>
  <c r="F144" i="32"/>
  <c r="E144" i="23"/>
  <c r="E144" i="24"/>
  <c r="E145" i="7"/>
  <c r="F144" i="37"/>
  <c r="E144" i="2"/>
  <c r="E144" i="25"/>
  <c r="E144" i="38"/>
  <c r="E145" i="38"/>
  <c r="E145" i="35"/>
  <c r="E145" i="11"/>
  <c r="E145" i="5"/>
  <c r="E145" i="6"/>
  <c r="E145" i="4"/>
  <c r="E145" i="8"/>
  <c r="E145" i="18"/>
  <c r="E145" i="25"/>
  <c r="E145" i="28"/>
  <c r="E145" i="22"/>
  <c r="E145" i="45"/>
  <c r="E145" i="2"/>
  <c r="E145" i="14"/>
  <c r="E145" i="9"/>
  <c r="F145" i="32"/>
  <c r="E145" i="13"/>
  <c r="F145" i="37"/>
  <c r="E145" i="19"/>
  <c r="E145" i="24"/>
  <c r="F145" i="29"/>
  <c r="E146" i="26"/>
  <c r="E146" i="7"/>
  <c r="F145" i="30"/>
  <c r="E145" i="12"/>
  <c r="E145" i="23"/>
  <c r="E145" i="20"/>
  <c r="E145" i="33"/>
  <c r="E146" i="33"/>
  <c r="F146" i="32"/>
  <c r="E146" i="5"/>
  <c r="E146" i="35"/>
  <c r="E146" i="45"/>
  <c r="F146" i="29"/>
  <c r="E146" i="13"/>
  <c r="E146" i="20"/>
  <c r="E146" i="9"/>
  <c r="E146" i="11"/>
  <c r="E146" i="38"/>
  <c r="E146" i="28"/>
  <c r="F146" i="37"/>
  <c r="E146" i="23"/>
  <c r="E146" i="14"/>
  <c r="E146" i="2"/>
  <c r="E146" i="22"/>
  <c r="E146" i="18"/>
  <c r="E146" i="6"/>
  <c r="E146" i="12"/>
  <c r="E147" i="7"/>
  <c r="E147" i="26"/>
  <c r="E146" i="19"/>
  <c r="F146" i="30"/>
  <c r="E146" i="25"/>
  <c r="E146" i="4"/>
  <c r="E146" i="24"/>
  <c r="E146" i="8"/>
  <c r="E147" i="8"/>
  <c r="E147" i="2"/>
  <c r="E147" i="35"/>
  <c r="E148" i="7"/>
  <c r="E147" i="22"/>
  <c r="E147" i="24"/>
  <c r="E147" i="14"/>
  <c r="E147" i="5"/>
  <c r="F147" i="37"/>
  <c r="E147" i="19"/>
  <c r="E147" i="12"/>
  <c r="E147" i="45"/>
  <c r="E147" i="4"/>
  <c r="E147" i="23"/>
  <c r="F147" i="32"/>
  <c r="E147" i="28"/>
  <c r="E147" i="38"/>
  <c r="E147" i="18"/>
  <c r="E147" i="25"/>
  <c r="E147" i="33"/>
  <c r="E148" i="26"/>
  <c r="E147" i="6"/>
  <c r="F147" i="30"/>
  <c r="E147" i="11"/>
  <c r="E147" i="13"/>
  <c r="F147" i="29"/>
  <c r="E147" i="20"/>
  <c r="E147" i="9"/>
  <c r="E148" i="9"/>
  <c r="E148" i="28"/>
  <c r="E149" i="7"/>
  <c r="E148" i="23"/>
  <c r="E148" i="8"/>
  <c r="E148" i="6"/>
  <c r="E148" i="24"/>
  <c r="E148" i="20"/>
  <c r="F148" i="32"/>
  <c r="E148" i="35"/>
  <c r="E148" i="4"/>
  <c r="E148" i="12"/>
  <c r="E148" i="5"/>
  <c r="E148" i="22"/>
  <c r="F148" i="29"/>
  <c r="E148" i="2"/>
  <c r="E148" i="45"/>
  <c r="E148" i="19"/>
  <c r="E148" i="14"/>
  <c r="E148" i="13"/>
  <c r="F148" i="30"/>
  <c r="E149" i="26"/>
  <c r="E148" i="25"/>
  <c r="E148" i="11"/>
  <c r="F148" i="37"/>
  <c r="E148" i="38"/>
  <c r="E148" i="33"/>
  <c r="E148" i="18"/>
  <c r="E149" i="18"/>
  <c r="E149" i="2"/>
  <c r="E149" i="23"/>
  <c r="E149" i="28"/>
  <c r="E149" i="25"/>
  <c r="F149" i="30"/>
  <c r="E149" i="45"/>
  <c r="E149" i="33"/>
  <c r="F149" i="29"/>
  <c r="E150" i="7"/>
  <c r="E149" i="12"/>
  <c r="E149" i="35"/>
  <c r="E149" i="24"/>
  <c r="E149" i="38"/>
  <c r="E149" i="22"/>
  <c r="E149" i="5"/>
  <c r="E149" i="4"/>
  <c r="E149" i="13"/>
  <c r="E149" i="8"/>
  <c r="F149" i="37"/>
  <c r="E149" i="9"/>
  <c r="E150" i="26"/>
  <c r="E149" i="20"/>
  <c r="E149" i="11"/>
  <c r="F149" i="32"/>
  <c r="E149" i="6"/>
  <c r="E149" i="14"/>
  <c r="E149" i="19"/>
  <c r="E150" i="19"/>
  <c r="E150" i="5"/>
  <c r="E150" i="28"/>
  <c r="E150" i="23"/>
  <c r="E150" i="24"/>
  <c r="E151" i="26"/>
  <c r="E150" i="45"/>
  <c r="E150" i="14"/>
  <c r="E150" i="22"/>
  <c r="E150" i="2"/>
  <c r="E150" i="20"/>
  <c r="F150" i="37"/>
  <c r="E150" i="25"/>
  <c r="E150" i="6"/>
  <c r="E150" i="38"/>
  <c r="E150" i="18"/>
  <c r="E150" i="12"/>
  <c r="F150" i="29"/>
  <c r="F150" i="30"/>
  <c r="F150" i="32"/>
  <c r="E150" i="35"/>
  <c r="E151" i="7"/>
  <c r="E150" i="8"/>
  <c r="E150" i="11"/>
  <c r="E150" i="33"/>
  <c r="E150" i="4"/>
  <c r="E150" i="9"/>
  <c r="E150" i="13"/>
  <c r="E8" i="8" l="1"/>
  <c r="E151" i="13"/>
  <c r="E151" i="18"/>
  <c r="E151" i="23"/>
  <c r="E151" i="28"/>
  <c r="E151" i="6"/>
  <c r="E151" i="19"/>
  <c r="E152" i="7"/>
  <c r="E151" i="45"/>
  <c r="E151" i="9"/>
  <c r="E151" i="38"/>
  <c r="E151" i="25"/>
  <c r="F151" i="37"/>
  <c r="E151" i="2"/>
  <c r="F151" i="30"/>
  <c r="E151" i="4"/>
  <c r="E151" i="5"/>
  <c r="E151" i="33"/>
  <c r="E151" i="20"/>
  <c r="E151" i="35"/>
  <c r="E151" i="14"/>
  <c r="E151" i="24"/>
  <c r="E151" i="11"/>
  <c r="F151" i="32"/>
  <c r="F151" i="29"/>
  <c r="E151" i="12"/>
  <c r="E151" i="22"/>
  <c r="E152" i="26"/>
  <c r="D15" i="8" l="1"/>
  <c r="E4" i="8"/>
  <c r="F15" i="8" s="1"/>
  <c r="E153" i="26"/>
  <c r="E152" i="4"/>
  <c r="E152" i="23"/>
  <c r="E152" i="18"/>
  <c r="F152" i="37"/>
  <c r="E152" i="38"/>
  <c r="E153" i="7"/>
  <c r="E152" i="5"/>
  <c r="E152" i="22"/>
  <c r="F152" i="30"/>
  <c r="E152" i="2"/>
  <c r="E152" i="14"/>
  <c r="E152" i="28"/>
  <c r="E152" i="12"/>
  <c r="E152" i="13"/>
  <c r="E152" i="25"/>
  <c r="E152" i="24"/>
  <c r="E152" i="19"/>
  <c r="F152" i="29"/>
  <c r="E152" i="11"/>
  <c r="E152" i="35"/>
  <c r="E152" i="6"/>
  <c r="F152" i="32"/>
  <c r="E152" i="9"/>
  <c r="E152" i="20"/>
  <c r="E152" i="45"/>
  <c r="E152" i="33"/>
  <c r="E153" i="33"/>
  <c r="E153" i="13"/>
  <c r="E153" i="23"/>
  <c r="E153" i="4"/>
  <c r="E153" i="14"/>
  <c r="E153" i="35"/>
  <c r="E153" i="38"/>
  <c r="E153" i="45"/>
  <c r="E153" i="12"/>
  <c r="E154" i="26"/>
  <c r="E153" i="2"/>
  <c r="E153" i="11"/>
  <c r="E153" i="25"/>
  <c r="E153" i="20"/>
  <c r="E153" i="28"/>
  <c r="E153" i="6"/>
  <c r="E153" i="22"/>
  <c r="E153" i="19"/>
  <c r="E153" i="9"/>
  <c r="F153" i="30"/>
  <c r="E153" i="5"/>
  <c r="E153" i="24"/>
  <c r="F153" i="32"/>
  <c r="E154" i="7"/>
  <c r="F153" i="37"/>
  <c r="F153" i="29"/>
  <c r="E153" i="18"/>
  <c r="E154" i="18"/>
  <c r="E154" i="28"/>
  <c r="E154" i="23"/>
  <c r="E154" i="13"/>
  <c r="E154" i="38"/>
  <c r="F154" i="29"/>
  <c r="E154" i="20"/>
  <c r="E154" i="12"/>
  <c r="E154" i="14"/>
  <c r="F154" i="37"/>
  <c r="E154" i="25"/>
  <c r="E154" i="33"/>
  <c r="E155" i="26"/>
  <c r="E154" i="45"/>
  <c r="E154" i="6"/>
  <c r="E155" i="7"/>
  <c r="E154" i="11"/>
  <c r="E154" i="2"/>
  <c r="F154" i="30"/>
  <c r="E154" i="35"/>
  <c r="F154" i="32"/>
  <c r="E154" i="5"/>
  <c r="E154" i="9"/>
  <c r="E154" i="4"/>
  <c r="E154" i="24"/>
  <c r="E154" i="19"/>
  <c r="E154" i="22"/>
  <c r="E155" i="22"/>
  <c r="E155" i="6"/>
  <c r="E155" i="23"/>
  <c r="E155" i="28"/>
  <c r="E155" i="33"/>
  <c r="E155" i="14"/>
  <c r="F155" i="29"/>
  <c r="E155" i="19"/>
  <c r="E155" i="45"/>
  <c r="E155" i="18"/>
  <c r="E155" i="5"/>
  <c r="E155" i="20"/>
  <c r="E155" i="13"/>
  <c r="E155" i="24"/>
  <c r="E156" i="26"/>
  <c r="E155" i="25"/>
  <c r="F155" i="32"/>
  <c r="E155" i="2"/>
  <c r="E155" i="4"/>
  <c r="F155" i="37"/>
  <c r="E155" i="35"/>
  <c r="E155" i="11"/>
  <c r="E155" i="9"/>
  <c r="E155" i="12"/>
  <c r="E155" i="38"/>
  <c r="F155" i="30"/>
  <c r="E156" i="7"/>
  <c r="E157" i="7"/>
  <c r="E157" i="26"/>
  <c r="E156" i="23"/>
  <c r="E156" i="6"/>
  <c r="E156" i="22"/>
  <c r="E156" i="18"/>
  <c r="E156" i="19"/>
  <c r="E156" i="25"/>
  <c r="F156" i="30"/>
  <c r="E156" i="24"/>
  <c r="E156" i="20"/>
  <c r="E156" i="5"/>
  <c r="F156" i="37"/>
  <c r="E156" i="33"/>
  <c r="E156" i="38"/>
  <c r="E156" i="13"/>
  <c r="E156" i="11"/>
  <c r="E156" i="45"/>
  <c r="E156" i="14"/>
  <c r="E156" i="12"/>
  <c r="E156" i="35"/>
  <c r="E156" i="4"/>
  <c r="F156" i="32"/>
  <c r="E156" i="9"/>
  <c r="E156" i="2"/>
  <c r="F156" i="29"/>
  <c r="E156" i="28"/>
  <c r="E157" i="28"/>
  <c r="E157" i="38"/>
  <c r="E157" i="23"/>
  <c r="E158" i="26"/>
  <c r="F157" i="37"/>
  <c r="E157" i="4"/>
  <c r="E157" i="25"/>
  <c r="E157" i="13"/>
  <c r="F157" i="29"/>
  <c r="E157" i="33"/>
  <c r="E157" i="5"/>
  <c r="F157" i="32"/>
  <c r="E157" i="12"/>
  <c r="E157" i="11"/>
  <c r="E157" i="2"/>
  <c r="E158" i="7"/>
  <c r="E157" i="24"/>
  <c r="F157" i="30"/>
  <c r="E157" i="45"/>
  <c r="E157" i="9"/>
  <c r="E157" i="35"/>
  <c r="E157" i="14"/>
  <c r="E157" i="22"/>
  <c r="E157" i="20"/>
  <c r="E157" i="18"/>
  <c r="E157" i="19"/>
  <c r="E157" i="6"/>
  <c r="E158" i="6"/>
  <c r="E158" i="2"/>
  <c r="E158" i="23"/>
  <c r="E158" i="38"/>
  <c r="F158" i="32"/>
  <c r="F158" i="29"/>
  <c r="E158" i="4"/>
  <c r="E158" i="19"/>
  <c r="E158" i="11"/>
  <c r="E158" i="28"/>
  <c r="E158" i="33"/>
  <c r="E158" i="45"/>
  <c r="E159" i="26"/>
  <c r="E158" i="18"/>
  <c r="E158" i="12"/>
  <c r="E158" i="5"/>
  <c r="E158" i="35"/>
  <c r="E158" i="24"/>
  <c r="E158" i="20"/>
  <c r="E158" i="14"/>
  <c r="E158" i="9"/>
  <c r="E158" i="25"/>
  <c r="E158" i="22"/>
  <c r="F158" i="30"/>
  <c r="E159" i="7"/>
  <c r="E158" i="13"/>
  <c r="F158" i="37"/>
  <c r="F159" i="37"/>
  <c r="E159" i="12"/>
  <c r="E159" i="23"/>
  <c r="E160" i="26"/>
  <c r="E159" i="25"/>
  <c r="E159" i="19"/>
  <c r="E159" i="5"/>
  <c r="E159" i="13"/>
  <c r="E159" i="18"/>
  <c r="E159" i="2"/>
  <c r="E159" i="45"/>
  <c r="E159" i="11"/>
  <c r="F159" i="29"/>
  <c r="E160" i="7"/>
  <c r="E159" i="6"/>
  <c r="E159" i="33"/>
  <c r="E159" i="28"/>
  <c r="E159" i="24"/>
  <c r="F159" i="30"/>
  <c r="E159" i="9"/>
  <c r="E159" i="4"/>
  <c r="F159" i="32"/>
  <c r="E159" i="22"/>
  <c r="E159" i="14"/>
  <c r="E159" i="35"/>
  <c r="E159" i="20"/>
  <c r="E159" i="38"/>
  <c r="E160" i="38"/>
  <c r="E160" i="6"/>
  <c r="E160" i="23"/>
  <c r="E160" i="12"/>
  <c r="F160" i="37"/>
  <c r="F160" i="32"/>
  <c r="E160" i="13"/>
  <c r="E160" i="33"/>
  <c r="E160" i="20"/>
  <c r="E161" i="7"/>
  <c r="E160" i="11"/>
  <c r="E160" i="2"/>
  <c r="E160" i="24"/>
  <c r="E160" i="35"/>
  <c r="F160" i="29"/>
  <c r="E160" i="45"/>
  <c r="E160" i="18"/>
  <c r="E160" i="19"/>
  <c r="E160" i="14"/>
  <c r="E160" i="4"/>
  <c r="E160" i="9"/>
  <c r="E160" i="28"/>
  <c r="E160" i="22"/>
  <c r="E160" i="5"/>
  <c r="E160" i="25"/>
  <c r="F160" i="30"/>
  <c r="E161" i="26"/>
  <c r="E162" i="26"/>
  <c r="F161" i="29"/>
  <c r="E161" i="23"/>
  <c r="E161" i="6"/>
  <c r="E161" i="2"/>
  <c r="E161" i="4"/>
  <c r="E161" i="45"/>
  <c r="F161" i="30"/>
  <c r="E161" i="35"/>
  <c r="E161" i="38"/>
  <c r="E162" i="7"/>
  <c r="E161" i="33"/>
  <c r="E161" i="18"/>
  <c r="E161" i="25"/>
  <c r="E161" i="24"/>
  <c r="E161" i="11"/>
  <c r="E161" i="20"/>
  <c r="F161" i="37"/>
  <c r="E161" i="5"/>
  <c r="E161" i="28"/>
  <c r="E161" i="9"/>
  <c r="E161" i="19"/>
  <c r="E161" i="22"/>
  <c r="E161" i="14"/>
  <c r="F161" i="32"/>
  <c r="E161" i="13"/>
  <c r="E161" i="12"/>
  <c r="E162" i="12"/>
  <c r="E162" i="24"/>
  <c r="E162" i="23"/>
  <c r="F162" i="29"/>
  <c r="E163" i="26"/>
  <c r="E162" i="38"/>
  <c r="E162" i="45"/>
  <c r="E162" i="6"/>
  <c r="E162" i="13"/>
  <c r="E162" i="25"/>
  <c r="E162" i="33"/>
  <c r="E162" i="35"/>
  <c r="E162" i="4"/>
  <c r="F162" i="32"/>
  <c r="E162" i="18"/>
  <c r="E163" i="7"/>
  <c r="E162" i="9"/>
  <c r="F162" i="37"/>
  <c r="E162" i="14"/>
  <c r="E162" i="19"/>
  <c r="E162" i="28"/>
  <c r="E162" i="20"/>
  <c r="E162" i="22"/>
  <c r="F162" i="30"/>
  <c r="E162" i="2"/>
  <c r="E162" i="5"/>
  <c r="E162" i="11"/>
  <c r="E163" i="11"/>
  <c r="E163" i="18"/>
  <c r="E163" i="23"/>
  <c r="F163" i="32"/>
  <c r="E163" i="4"/>
  <c r="E163" i="35"/>
  <c r="E163" i="13"/>
  <c r="E164" i="26"/>
  <c r="E163" i="5"/>
  <c r="E163" i="24"/>
  <c r="E163" i="12"/>
  <c r="E163" i="33"/>
  <c r="E163" i="28"/>
  <c r="F163" i="37"/>
  <c r="E163" i="2"/>
  <c r="E163" i="20"/>
  <c r="E163" i="45"/>
  <c r="F163" i="29"/>
  <c r="F163" i="30"/>
  <c r="E163" i="25"/>
  <c r="E163" i="19"/>
  <c r="E163" i="38"/>
  <c r="E163" i="22"/>
  <c r="E163" i="14"/>
  <c r="E163" i="9"/>
  <c r="E163" i="6"/>
  <c r="E164" i="7"/>
  <c r="E165" i="7"/>
  <c r="E164" i="2"/>
  <c r="E164" i="23"/>
  <c r="E164" i="18"/>
  <c r="E164" i="28"/>
  <c r="E164" i="38"/>
  <c r="E164" i="25"/>
  <c r="E164" i="20"/>
  <c r="E164" i="6"/>
  <c r="F164" i="37"/>
  <c r="E164" i="11"/>
  <c r="E164" i="12"/>
  <c r="E164" i="19"/>
  <c r="F164" i="29"/>
  <c r="E164" i="9"/>
  <c r="E164" i="33"/>
  <c r="E164" i="24"/>
  <c r="E164" i="35"/>
  <c r="F164" i="32"/>
  <c r="E164" i="14"/>
  <c r="E164" i="5"/>
  <c r="E164" i="13"/>
  <c r="E164" i="4"/>
  <c r="E164" i="22"/>
  <c r="F164" i="30"/>
  <c r="E164" i="45"/>
  <c r="E165" i="26"/>
  <c r="E166" i="26"/>
  <c r="E165" i="9"/>
  <c r="E165" i="23"/>
  <c r="E165" i="2"/>
  <c r="E165" i="19"/>
  <c r="E165" i="11"/>
  <c r="E165" i="14"/>
  <c r="E165" i="24"/>
  <c r="E165" i="45"/>
  <c r="F165" i="29"/>
  <c r="E165" i="12"/>
  <c r="E165" i="13"/>
  <c r="E165" i="6"/>
  <c r="E165" i="38"/>
  <c r="F165" i="30"/>
  <c r="E166" i="7"/>
  <c r="F165" i="37"/>
  <c r="E165" i="20"/>
  <c r="E165" i="33"/>
  <c r="E165" i="22"/>
  <c r="E165" i="5"/>
  <c r="F165" i="32"/>
  <c r="E165" i="28"/>
  <c r="E165" i="4"/>
  <c r="E165" i="25"/>
  <c r="E165" i="18"/>
  <c r="E165" i="35"/>
  <c r="E166" i="35"/>
  <c r="F166" i="30"/>
  <c r="E166" i="23"/>
  <c r="E166" i="13"/>
  <c r="F166" i="29"/>
  <c r="E166" i="20"/>
  <c r="E166" i="18"/>
  <c r="E166" i="38"/>
  <c r="E166" i="9"/>
  <c r="E167" i="26"/>
  <c r="F166" i="32"/>
  <c r="E166" i="24"/>
  <c r="E166" i="19"/>
  <c r="E166" i="25"/>
  <c r="E166" i="6"/>
  <c r="E166" i="12"/>
  <c r="E166" i="22"/>
  <c r="E166" i="11"/>
  <c r="E166" i="4"/>
  <c r="E166" i="5"/>
  <c r="E166" i="33"/>
  <c r="E166" i="28"/>
  <c r="E166" i="45"/>
  <c r="E166" i="14"/>
  <c r="E167" i="7"/>
  <c r="E166" i="2"/>
  <c r="F166" i="37"/>
  <c r="F167" i="37"/>
  <c r="E167" i="6"/>
  <c r="E167" i="23"/>
  <c r="F167" i="30"/>
  <c r="E167" i="24"/>
  <c r="E167" i="9"/>
  <c r="E167" i="20"/>
  <c r="E167" i="2"/>
  <c r="E167" i="25"/>
  <c r="E167" i="35"/>
  <c r="F167" i="32"/>
  <c r="E167" i="33"/>
  <c r="E167" i="11"/>
  <c r="E168" i="7"/>
  <c r="E167" i="19"/>
  <c r="E167" i="28"/>
  <c r="E167" i="38"/>
  <c r="E167" i="13"/>
  <c r="E167" i="14"/>
  <c r="E168" i="26"/>
  <c r="E167" i="5"/>
  <c r="E167" i="22"/>
  <c r="E167" i="45"/>
  <c r="E167" i="18"/>
  <c r="E167" i="12"/>
  <c r="E167" i="4"/>
  <c r="F167" i="29"/>
  <c r="F168" i="29"/>
  <c r="E168" i="19"/>
  <c r="E168" i="23"/>
  <c r="E168" i="11"/>
  <c r="F168" i="32"/>
  <c r="E168" i="2"/>
  <c r="F168" i="30"/>
  <c r="E168" i="4"/>
  <c r="E169" i="7"/>
  <c r="E168" i="6"/>
  <c r="E168" i="33"/>
  <c r="E168" i="5"/>
  <c r="E168" i="13"/>
  <c r="E168" i="12"/>
  <c r="F168" i="37"/>
  <c r="E168" i="22"/>
  <c r="E169" i="26"/>
  <c r="E168" i="28"/>
  <c r="E168" i="18"/>
  <c r="E168" i="35"/>
  <c r="E168" i="25"/>
  <c r="E168" i="9"/>
  <c r="E168" i="45"/>
  <c r="E168" i="20"/>
  <c r="E168" i="38"/>
  <c r="E168" i="14"/>
  <c r="E168" i="24"/>
  <c r="E169" i="24"/>
  <c r="F169" i="37"/>
  <c r="E169" i="23"/>
  <c r="E169" i="19"/>
  <c r="E169" i="13"/>
  <c r="E169" i="9"/>
  <c r="E169" i="4"/>
  <c r="E169" i="11"/>
  <c r="E169" i="14"/>
  <c r="E169" i="12"/>
  <c r="E169" i="5"/>
  <c r="E169" i="33"/>
  <c r="E170" i="7"/>
  <c r="E169" i="28"/>
  <c r="E169" i="38"/>
  <c r="F169" i="29"/>
  <c r="E169" i="25"/>
  <c r="E169" i="2"/>
  <c r="E169" i="20"/>
  <c r="E169" i="6"/>
  <c r="E169" i="35"/>
  <c r="E170" i="26"/>
  <c r="E169" i="45"/>
  <c r="F169" i="30"/>
  <c r="F169" i="32"/>
  <c r="E169" i="18"/>
  <c r="E169" i="22"/>
  <c r="E170" i="22"/>
  <c r="E170" i="38"/>
  <c r="E170" i="23"/>
  <c r="F170" i="37"/>
  <c r="E170" i="33"/>
  <c r="E170" i="6"/>
  <c r="E170" i="13"/>
  <c r="E170" i="18"/>
  <c r="E170" i="28"/>
  <c r="E170" i="24"/>
  <c r="E171" i="26"/>
  <c r="E170" i="12"/>
  <c r="E170" i="4"/>
  <c r="F170" i="32"/>
  <c r="E171" i="7"/>
  <c r="E170" i="5"/>
  <c r="E170" i="14"/>
  <c r="E170" i="9"/>
  <c r="F170" i="30"/>
  <c r="E170" i="35"/>
  <c r="E170" i="20"/>
  <c r="E170" i="25"/>
  <c r="E170" i="45"/>
  <c r="E170" i="2"/>
  <c r="F170" i="29"/>
  <c r="E170" i="11"/>
  <c r="E170" i="19"/>
  <c r="E171" i="19"/>
  <c r="E172" i="7"/>
  <c r="E171" i="23"/>
  <c r="F171" i="32"/>
  <c r="E171" i="20"/>
  <c r="E171" i="13"/>
  <c r="E171" i="33"/>
  <c r="E171" i="11"/>
  <c r="E171" i="38"/>
  <c r="F171" i="29"/>
  <c r="E171" i="4"/>
  <c r="E171" i="22"/>
  <c r="E171" i="9"/>
  <c r="E171" i="5"/>
  <c r="E171" i="2"/>
  <c r="E171" i="12"/>
  <c r="E171" i="24"/>
  <c r="E171" i="18"/>
  <c r="E171" i="14"/>
  <c r="E171" i="45"/>
  <c r="E172" i="26"/>
  <c r="E171" i="28"/>
  <c r="E171" i="6"/>
  <c r="F171" i="37"/>
  <c r="E171" i="25"/>
  <c r="E171" i="35"/>
  <c r="F171" i="30"/>
  <c r="F172" i="30"/>
  <c r="E172" i="2"/>
  <c r="E172" i="23"/>
  <c r="E173" i="7"/>
  <c r="E172" i="9"/>
  <c r="E173" i="26"/>
  <c r="E172" i="24"/>
  <c r="E172" i="35"/>
  <c r="E172" i="5"/>
  <c r="E172" i="19"/>
  <c r="E172" i="11"/>
  <c r="E172" i="12"/>
  <c r="E172" i="25"/>
  <c r="E172" i="38"/>
  <c r="E172" i="20"/>
  <c r="F172" i="37"/>
  <c r="E172" i="22"/>
  <c r="E172" i="4"/>
  <c r="F172" i="29"/>
  <c r="E172" i="14"/>
  <c r="F172" i="32"/>
  <c r="E172" i="6"/>
  <c r="E172" i="18"/>
  <c r="E172" i="28"/>
  <c r="E172" i="13"/>
  <c r="E172" i="45"/>
  <c r="E172" i="33"/>
  <c r="E173" i="33"/>
  <c r="E173" i="20"/>
  <c r="E173" i="23"/>
  <c r="E173" i="19"/>
  <c r="E173" i="14"/>
  <c r="E173" i="9"/>
  <c r="E173" i="45"/>
  <c r="E173" i="38"/>
  <c r="E173" i="2"/>
  <c r="F173" i="32"/>
  <c r="E173" i="35"/>
  <c r="E173" i="22"/>
  <c r="E173" i="13"/>
  <c r="E173" i="25"/>
  <c r="F173" i="30"/>
  <c r="E173" i="11"/>
  <c r="E173" i="5"/>
  <c r="E173" i="24"/>
  <c r="E173" i="28"/>
  <c r="E173" i="12"/>
  <c r="F173" i="29"/>
  <c r="E174" i="7"/>
  <c r="E173" i="18"/>
  <c r="E173" i="4"/>
  <c r="E173" i="6"/>
  <c r="E174" i="26"/>
  <c r="F173" i="37"/>
  <c r="E8" i="26" l="1"/>
  <c r="F174" i="37"/>
  <c r="F174" i="30"/>
  <c r="E174" i="23"/>
  <c r="E174" i="25"/>
  <c r="E174" i="20"/>
  <c r="E174" i="35"/>
  <c r="E174" i="38"/>
  <c r="E174" i="9"/>
  <c r="E174" i="2"/>
  <c r="E174" i="5"/>
  <c r="E174" i="6"/>
  <c r="E174" i="13"/>
  <c r="E174" i="33"/>
  <c r="F174" i="29"/>
  <c r="E174" i="24"/>
  <c r="E174" i="4"/>
  <c r="E174" i="22"/>
  <c r="E175" i="7"/>
  <c r="E174" i="12"/>
  <c r="E174" i="45"/>
  <c r="E174" i="14"/>
  <c r="E174" i="18"/>
  <c r="F174" i="32"/>
  <c r="E174" i="11"/>
  <c r="E174" i="28"/>
  <c r="E174" i="19"/>
  <c r="E4" i="26" l="1"/>
  <c r="F15" i="26" s="1"/>
  <c r="D15" i="26"/>
  <c r="E175" i="19"/>
  <c r="F175" i="29"/>
  <c r="F175" i="30"/>
  <c r="F175" i="37"/>
  <c r="E175" i="14"/>
  <c r="E175" i="35"/>
  <c r="E175" i="24"/>
  <c r="E175" i="28"/>
  <c r="E175" i="33"/>
  <c r="E175" i="6"/>
  <c r="E175" i="45"/>
  <c r="E175" i="22"/>
  <c r="E175" i="11"/>
  <c r="E175" i="13"/>
  <c r="E175" i="2"/>
  <c r="E175" i="38"/>
  <c r="E175" i="25"/>
  <c r="F175" i="32"/>
  <c r="E175" i="5"/>
  <c r="E175" i="12"/>
  <c r="E175" i="20"/>
  <c r="E175" i="18"/>
  <c r="E176" i="7"/>
  <c r="E175" i="23"/>
  <c r="E175" i="9"/>
  <c r="E175" i="4"/>
  <c r="E176" i="4"/>
  <c r="E176" i="13"/>
  <c r="F176" i="29"/>
  <c r="E176" i="19"/>
  <c r="E176" i="20"/>
  <c r="F176" i="32"/>
  <c r="F176" i="30"/>
  <c r="E176" i="9"/>
  <c r="E176" i="11"/>
  <c r="E176" i="45"/>
  <c r="E176" i="12"/>
  <c r="E176" i="25"/>
  <c r="E176" i="23"/>
  <c r="E176" i="22"/>
  <c r="E176" i="6"/>
  <c r="E176" i="33"/>
  <c r="E176" i="24"/>
  <c r="F176" i="37"/>
  <c r="E177" i="7"/>
  <c r="E176" i="28"/>
  <c r="E176" i="5"/>
  <c r="E176" i="38"/>
  <c r="E176" i="18"/>
  <c r="E176" i="35"/>
  <c r="E176" i="14"/>
  <c r="E176" i="2"/>
  <c r="E177" i="2"/>
  <c r="E177" i="22"/>
  <c r="E177" i="13"/>
  <c r="E177" i="4"/>
  <c r="E177" i="38"/>
  <c r="E178" i="7"/>
  <c r="E177" i="20"/>
  <c r="E177" i="14"/>
  <c r="E177" i="23"/>
  <c r="E177" i="12"/>
  <c r="E177" i="11"/>
  <c r="F177" i="37"/>
  <c r="F177" i="29"/>
  <c r="E177" i="35"/>
  <c r="E177" i="25"/>
  <c r="E177" i="5"/>
  <c r="F177" i="30"/>
  <c r="E177" i="6"/>
  <c r="E177" i="18"/>
  <c r="E177" i="28"/>
  <c r="E177" i="9"/>
  <c r="E177" i="24"/>
  <c r="E177" i="45"/>
  <c r="E177" i="33"/>
  <c r="F177" i="32"/>
  <c r="E177" i="19"/>
  <c r="E178" i="19"/>
  <c r="E178" i="35"/>
  <c r="E178" i="22"/>
  <c r="F178" i="29"/>
  <c r="E178" i="11"/>
  <c r="E178" i="9"/>
  <c r="E178" i="6"/>
  <c r="E178" i="25"/>
  <c r="F178" i="32"/>
  <c r="E178" i="2"/>
  <c r="E178" i="24"/>
  <c r="E178" i="14"/>
  <c r="E178" i="4"/>
  <c r="E178" i="33"/>
  <c r="F178" i="37"/>
  <c r="E178" i="23"/>
  <c r="E178" i="18"/>
  <c r="E178" i="38"/>
  <c r="E178" i="45"/>
  <c r="E178" i="28"/>
  <c r="E178" i="20"/>
  <c r="E178" i="5"/>
  <c r="E178" i="12"/>
  <c r="F178" i="30"/>
  <c r="E178" i="13"/>
  <c r="E179" i="7"/>
  <c r="E180" i="7"/>
  <c r="E179" i="33"/>
  <c r="E179" i="35"/>
  <c r="E179" i="19"/>
  <c r="E179" i="14"/>
  <c r="E179" i="2"/>
  <c r="E179" i="25"/>
  <c r="E179" i="11"/>
  <c r="E179" i="13"/>
  <c r="E179" i="4"/>
  <c r="E179" i="12"/>
  <c r="E179" i="20"/>
  <c r="E179" i="45"/>
  <c r="F179" i="37"/>
  <c r="F179" i="30"/>
  <c r="E179" i="5"/>
  <c r="F179" i="32"/>
  <c r="E179" i="6"/>
  <c r="E179" i="9"/>
  <c r="E179" i="24"/>
  <c r="E179" i="38"/>
  <c r="E179" i="18"/>
  <c r="E179" i="22"/>
  <c r="E179" i="28"/>
  <c r="F179" i="29"/>
  <c r="E179" i="23"/>
  <c r="E180" i="23"/>
  <c r="F180" i="37"/>
  <c r="E180" i="33"/>
  <c r="E181" i="7"/>
  <c r="E180" i="12"/>
  <c r="E180" i="24"/>
  <c r="E180" i="14"/>
  <c r="F180" i="29"/>
  <c r="E180" i="45"/>
  <c r="E180" i="4"/>
  <c r="E180" i="9"/>
  <c r="E180" i="5"/>
  <c r="E180" i="28"/>
  <c r="E180" i="20"/>
  <c r="E180" i="38"/>
  <c r="E180" i="11"/>
  <c r="F180" i="32"/>
  <c r="E180" i="35"/>
  <c r="E180" i="22"/>
  <c r="E180" i="13"/>
  <c r="E180" i="25"/>
  <c r="F180" i="30"/>
  <c r="E180" i="18"/>
  <c r="E180" i="2"/>
  <c r="E180" i="19"/>
  <c r="E180" i="6"/>
  <c r="E181" i="6"/>
  <c r="E181" i="20"/>
  <c r="F181" i="37"/>
  <c r="E181" i="23"/>
  <c r="E181" i="9"/>
  <c r="E181" i="45"/>
  <c r="F181" i="32"/>
  <c r="E181" i="19"/>
  <c r="E181" i="28"/>
  <c r="E181" i="5"/>
  <c r="E181" i="25"/>
  <c r="E181" i="22"/>
  <c r="E182" i="7"/>
  <c r="E181" i="2"/>
  <c r="E181" i="4"/>
  <c r="F181" i="29"/>
  <c r="E181" i="35"/>
  <c r="E181" i="11"/>
  <c r="E181" i="18"/>
  <c r="E181" i="13"/>
  <c r="E181" i="14"/>
  <c r="E181" i="33"/>
  <c r="F181" i="30"/>
  <c r="E181" i="12"/>
  <c r="E181" i="38"/>
  <c r="E181" i="24"/>
  <c r="E182" i="24"/>
  <c r="E182" i="2"/>
  <c r="E182" i="20"/>
  <c r="E182" i="6"/>
  <c r="E182" i="5"/>
  <c r="F182" i="32"/>
  <c r="F182" i="29"/>
  <c r="E182" i="38"/>
  <c r="E183" i="7"/>
  <c r="E182" i="25"/>
  <c r="E182" i="14"/>
  <c r="E182" i="11"/>
  <c r="E182" i="12"/>
  <c r="E182" i="22"/>
  <c r="E182" i="28"/>
  <c r="E182" i="18"/>
  <c r="E182" i="9"/>
  <c r="F182" i="37"/>
  <c r="F182" i="30"/>
  <c r="E182" i="13"/>
  <c r="E182" i="19"/>
  <c r="E182" i="23"/>
  <c r="E182" i="33"/>
  <c r="E182" i="35"/>
  <c r="E182" i="4"/>
  <c r="E182" i="45"/>
  <c r="E183" i="45"/>
  <c r="E183" i="22"/>
  <c r="E183" i="2"/>
  <c r="E183" i="24"/>
  <c r="E183" i="14"/>
  <c r="E184" i="7"/>
  <c r="F183" i="37"/>
  <c r="E183" i="20"/>
  <c r="E183" i="4"/>
  <c r="E183" i="12"/>
  <c r="E183" i="11"/>
  <c r="E183" i="19"/>
  <c r="F183" i="30"/>
  <c r="E183" i="6"/>
  <c r="E183" i="35"/>
  <c r="E183" i="23"/>
  <c r="E183" i="13"/>
  <c r="F183" i="29"/>
  <c r="E183" i="18"/>
  <c r="E183" i="33"/>
  <c r="E183" i="38"/>
  <c r="F183" i="32"/>
  <c r="E183" i="25"/>
  <c r="E183" i="5"/>
  <c r="E183" i="28"/>
  <c r="E183" i="9"/>
  <c r="E184" i="9"/>
  <c r="E184" i="6"/>
  <c r="E184" i="22"/>
  <c r="E184" i="19"/>
  <c r="E184" i="38"/>
  <c r="F184" i="37"/>
  <c r="E184" i="35"/>
  <c r="E184" i="28"/>
  <c r="F184" i="30"/>
  <c r="E184" i="45"/>
  <c r="E184" i="12"/>
  <c r="E184" i="20"/>
  <c r="E184" i="23"/>
  <c r="E184" i="5"/>
  <c r="E184" i="11"/>
  <c r="E184" i="4"/>
  <c r="E184" i="18"/>
  <c r="E184" i="13"/>
  <c r="E184" i="24"/>
  <c r="E184" i="25"/>
  <c r="E184" i="33"/>
  <c r="E185" i="7"/>
  <c r="F184" i="32"/>
  <c r="E184" i="14"/>
  <c r="E184" i="2"/>
  <c r="F184" i="29"/>
  <c r="F185" i="29"/>
  <c r="E185" i="5"/>
  <c r="E185" i="6"/>
  <c r="E185" i="9"/>
  <c r="E185" i="12"/>
  <c r="F185" i="30"/>
  <c r="E185" i="13"/>
  <c r="E185" i="11"/>
  <c r="E185" i="2"/>
  <c r="E185" i="23"/>
  <c r="E185" i="20"/>
  <c r="E185" i="45"/>
  <c r="E185" i="28"/>
  <c r="E185" i="38"/>
  <c r="E185" i="14"/>
  <c r="E186" i="7"/>
  <c r="E185" i="25"/>
  <c r="E185" i="35"/>
  <c r="E185" i="19"/>
  <c r="F185" i="32"/>
  <c r="E185" i="24"/>
  <c r="E185" i="18"/>
  <c r="E185" i="33"/>
  <c r="E185" i="4"/>
  <c r="E185" i="22"/>
  <c r="F185" i="37"/>
  <c r="F186" i="37"/>
  <c r="E186" i="38"/>
  <c r="E186" i="5"/>
  <c r="F186" i="29"/>
  <c r="E186" i="20"/>
  <c r="E186" i="11"/>
  <c r="F186" i="30"/>
  <c r="E186" i="22"/>
  <c r="E186" i="28"/>
  <c r="E186" i="45"/>
  <c r="E186" i="24"/>
  <c r="E186" i="19"/>
  <c r="E186" i="14"/>
  <c r="E186" i="4"/>
  <c r="E186" i="18"/>
  <c r="E186" i="2"/>
  <c r="E186" i="13"/>
  <c r="E187" i="7"/>
  <c r="E186" i="33"/>
  <c r="F186" i="32"/>
  <c r="E186" i="35"/>
  <c r="E186" i="9"/>
  <c r="E186" i="23"/>
  <c r="E186" i="12"/>
  <c r="E186" i="6"/>
  <c r="E186" i="25"/>
  <c r="E187" i="25"/>
  <c r="E187" i="4"/>
  <c r="E187" i="38"/>
  <c r="F187" i="37"/>
  <c r="E187" i="24"/>
  <c r="E187" i="28"/>
  <c r="E187" i="22"/>
  <c r="E187" i="2"/>
  <c r="E187" i="6"/>
  <c r="E187" i="14"/>
  <c r="E187" i="19"/>
  <c r="E187" i="9"/>
  <c r="E187" i="35"/>
  <c r="E187" i="33"/>
  <c r="E187" i="5"/>
  <c r="E187" i="12"/>
  <c r="E188" i="7"/>
  <c r="F187" i="29"/>
  <c r="E187" i="23"/>
  <c r="F187" i="32"/>
  <c r="E187" i="11"/>
  <c r="E187" i="18"/>
  <c r="E187" i="45"/>
  <c r="E187" i="13"/>
  <c r="E187" i="20"/>
  <c r="F187" i="30"/>
  <c r="F188" i="30"/>
  <c r="E188" i="33"/>
  <c r="E188" i="4"/>
  <c r="E188" i="35"/>
  <c r="E188" i="9"/>
  <c r="E188" i="19"/>
  <c r="E188" i="6"/>
  <c r="F188" i="29"/>
  <c r="F188" i="37"/>
  <c r="E188" i="20"/>
  <c r="E188" i="25"/>
  <c r="E188" i="18"/>
  <c r="E188" i="11"/>
  <c r="E188" i="22"/>
  <c r="E188" i="12"/>
  <c r="E188" i="13"/>
  <c r="E188" i="14"/>
  <c r="E188" i="2"/>
  <c r="E188" i="28"/>
  <c r="E188" i="38"/>
  <c r="E188" i="45"/>
  <c r="E188" i="23"/>
  <c r="E188" i="24"/>
  <c r="E188" i="5"/>
  <c r="F188" i="32"/>
  <c r="E189" i="7"/>
  <c r="E190" i="7"/>
  <c r="E189" i="22"/>
  <c r="E189" i="33"/>
  <c r="E189" i="11"/>
  <c r="E189" i="25"/>
  <c r="E189" i="20"/>
  <c r="E189" i="6"/>
  <c r="E189" i="13"/>
  <c r="F189" i="32"/>
  <c r="F189" i="30"/>
  <c r="E189" i="38"/>
  <c r="E189" i="2"/>
  <c r="E189" i="5"/>
  <c r="E189" i="18"/>
  <c r="F189" i="37"/>
  <c r="E189" i="28"/>
  <c r="E189" i="9"/>
  <c r="E189" i="24"/>
  <c r="E189" i="45"/>
  <c r="F189" i="29"/>
  <c r="E189" i="19"/>
  <c r="E189" i="12"/>
  <c r="E189" i="23"/>
  <c r="E189" i="14"/>
  <c r="E189" i="4"/>
  <c r="E189" i="35"/>
  <c r="E8" i="38" l="1"/>
  <c r="E190" i="35"/>
  <c r="E190" i="18"/>
  <c r="E190" i="22"/>
  <c r="E191" i="7"/>
  <c r="E190" i="4"/>
  <c r="E190" i="5"/>
  <c r="F190" i="30"/>
  <c r="E190" i="13"/>
  <c r="E190" i="9"/>
  <c r="E190" i="33"/>
  <c r="E190" i="14"/>
  <c r="E190" i="2"/>
  <c r="E190" i="19"/>
  <c r="F190" i="29"/>
  <c r="E190" i="24"/>
  <c r="E190" i="25"/>
  <c r="E190" i="23"/>
  <c r="F190" i="32"/>
  <c r="E190" i="45"/>
  <c r="E190" i="20"/>
  <c r="E190" i="11"/>
  <c r="E190" i="12"/>
  <c r="E190" i="28"/>
  <c r="E190" i="6"/>
  <c r="F190" i="37"/>
  <c r="E8" i="37" l="1"/>
  <c r="E4" i="38"/>
  <c r="F15" i="38" s="1"/>
  <c r="D15" i="38"/>
  <c r="E191" i="19"/>
  <c r="E191" i="35"/>
  <c r="E191" i="25"/>
  <c r="E191" i="6"/>
  <c r="E191" i="2"/>
  <c r="E191" i="9"/>
  <c r="F191" i="30"/>
  <c r="E191" i="24"/>
  <c r="E191" i="28"/>
  <c r="E191" i="14"/>
  <c r="E191" i="20"/>
  <c r="E191" i="5"/>
  <c r="E191" i="22"/>
  <c r="E191" i="12"/>
  <c r="E191" i="33"/>
  <c r="E191" i="13"/>
  <c r="F191" i="32"/>
  <c r="E192" i="7"/>
  <c r="E191" i="11"/>
  <c r="E191" i="23"/>
  <c r="F191" i="29"/>
  <c r="E191" i="45"/>
  <c r="E191" i="4"/>
  <c r="E191" i="18"/>
  <c r="D15" i="37" l="1"/>
  <c r="E4" i="37"/>
  <c r="F15" i="37" s="1"/>
  <c r="E192" i="18"/>
  <c r="E192" i="5"/>
  <c r="E192" i="14"/>
  <c r="E192" i="11"/>
  <c r="E192" i="2"/>
  <c r="E192" i="35"/>
  <c r="E192" i="4"/>
  <c r="E192" i="20"/>
  <c r="E192" i="28"/>
  <c r="E192" i="9"/>
  <c r="E192" i="25"/>
  <c r="E192" i="45"/>
  <c r="E192" i="24"/>
  <c r="E193" i="7"/>
  <c r="E192" i="6"/>
  <c r="E192" i="19"/>
  <c r="F192" i="29"/>
  <c r="F192" i="30"/>
  <c r="F192" i="32"/>
  <c r="E192" i="12"/>
  <c r="E192" i="23"/>
  <c r="E192" i="33"/>
  <c r="E192" i="22"/>
  <c r="E192" i="13"/>
  <c r="E193" i="13"/>
  <c r="E193" i="45"/>
  <c r="E193" i="25"/>
  <c r="E193" i="9"/>
  <c r="E193" i="28"/>
  <c r="E193" i="4"/>
  <c r="E193" i="2"/>
  <c r="E193" i="5"/>
  <c r="E193" i="22"/>
  <c r="E193" i="12"/>
  <c r="F193" i="29"/>
  <c r="E193" i="14"/>
  <c r="E193" i="33"/>
  <c r="F193" i="32"/>
  <c r="E193" i="35"/>
  <c r="E193" i="19"/>
  <c r="E193" i="18"/>
  <c r="E193" i="23"/>
  <c r="F193" i="30"/>
  <c r="E193" i="11"/>
  <c r="E193" i="20"/>
  <c r="E193" i="6"/>
  <c r="E193" i="24"/>
  <c r="E194" i="7"/>
  <c r="E195" i="7"/>
  <c r="E194" i="14"/>
  <c r="F194" i="29"/>
  <c r="E194" i="12"/>
  <c r="E194" i="11"/>
  <c r="E194" i="2"/>
  <c r="E194" i="28"/>
  <c r="F194" i="32"/>
  <c r="E194" i="24"/>
  <c r="E194" i="22"/>
  <c r="E194" i="23"/>
  <c r="E194" i="9"/>
  <c r="E194" i="6"/>
  <c r="E194" i="5"/>
  <c r="F194" i="30"/>
  <c r="E194" i="18"/>
  <c r="E194" i="35"/>
  <c r="E194" i="45"/>
  <c r="E194" i="20"/>
  <c r="E194" i="19"/>
  <c r="E194" i="13"/>
  <c r="E194" i="4"/>
  <c r="E194" i="33"/>
  <c r="E194" i="25"/>
  <c r="E8" i="9" l="1"/>
  <c r="E195" i="25"/>
  <c r="E195" i="35"/>
  <c r="E196" i="7"/>
  <c r="E195" i="33"/>
  <c r="E195" i="23"/>
  <c r="E195" i="24"/>
  <c r="E195" i="20"/>
  <c r="E195" i="11"/>
  <c r="E195" i="14"/>
  <c r="E195" i="4"/>
  <c r="E195" i="22"/>
  <c r="F195" i="32"/>
  <c r="E195" i="28"/>
  <c r="E195" i="45"/>
  <c r="F195" i="29"/>
  <c r="E195" i="13"/>
  <c r="E195" i="2"/>
  <c r="F195" i="30"/>
  <c r="E195" i="19"/>
  <c r="E195" i="12"/>
  <c r="E195" i="5"/>
  <c r="E195" i="18"/>
  <c r="E195" i="6"/>
  <c r="D15" i="9" l="1"/>
  <c r="E4" i="9"/>
  <c r="F15" i="9" s="1"/>
  <c r="E196" i="6"/>
  <c r="E196" i="22"/>
  <c r="E196" i="20"/>
  <c r="E196" i="13"/>
  <c r="E196" i="28"/>
  <c r="E196" i="18"/>
  <c r="E196" i="4"/>
  <c r="E196" i="11"/>
  <c r="E196" i="24"/>
  <c r="F196" i="29"/>
  <c r="E196" i="5"/>
  <c r="E196" i="14"/>
  <c r="F196" i="30"/>
  <c r="E196" i="23"/>
  <c r="E196" i="45"/>
  <c r="E196" i="12"/>
  <c r="E196" i="2"/>
  <c r="E196" i="33"/>
  <c r="E196" i="35"/>
  <c r="E196" i="19"/>
  <c r="E197" i="7"/>
  <c r="F196" i="32"/>
  <c r="E196" i="25"/>
  <c r="E197" i="25"/>
  <c r="E197" i="5"/>
  <c r="F197" i="29"/>
  <c r="E197" i="11"/>
  <c r="E197" i="33"/>
  <c r="E197" i="20"/>
  <c r="F197" i="32"/>
  <c r="E197" i="24"/>
  <c r="E197" i="4"/>
  <c r="E197" i="18"/>
  <c r="E197" i="45"/>
  <c r="E198" i="7"/>
  <c r="E197" i="35"/>
  <c r="E197" i="2"/>
  <c r="E197" i="13"/>
  <c r="F197" i="30"/>
  <c r="E197" i="19"/>
  <c r="E197" i="12"/>
  <c r="E197" i="23"/>
  <c r="E197" i="14"/>
  <c r="E197" i="28"/>
  <c r="E197" i="6"/>
  <c r="E197" i="22"/>
  <c r="E198" i="22"/>
  <c r="E198" i="45"/>
  <c r="E198" i="18"/>
  <c r="E198" i="24"/>
  <c r="E198" i="12"/>
  <c r="F198" i="30"/>
  <c r="E199" i="7"/>
  <c r="E198" i="6"/>
  <c r="E198" i="4"/>
  <c r="E198" i="23"/>
  <c r="E198" i="20"/>
  <c r="E198" i="2"/>
  <c r="E198" i="28"/>
  <c r="E198" i="33"/>
  <c r="E198" i="5"/>
  <c r="E198" i="14"/>
  <c r="E198" i="19"/>
  <c r="E198" i="11"/>
  <c r="E198" i="35"/>
  <c r="F198" i="32"/>
  <c r="F198" i="29"/>
  <c r="E198" i="25"/>
  <c r="E198" i="13"/>
  <c r="E8" i="35" l="1"/>
  <c r="E199" i="13"/>
  <c r="E199" i="20"/>
  <c r="E199" i="23"/>
  <c r="E199" i="4"/>
  <c r="E200" i="7"/>
  <c r="E199" i="12"/>
  <c r="E199" i="18"/>
  <c r="E199" i="25"/>
  <c r="E199" i="6"/>
  <c r="F199" i="29"/>
  <c r="E199" i="11"/>
  <c r="E199" i="19"/>
  <c r="E199" i="24"/>
  <c r="E199" i="22"/>
  <c r="F199" i="32"/>
  <c r="E199" i="14"/>
  <c r="E199" i="5"/>
  <c r="E199" i="28"/>
  <c r="F199" i="30"/>
  <c r="E199" i="45"/>
  <c r="E199" i="2"/>
  <c r="E199" i="33"/>
  <c r="E4" i="35" l="1"/>
  <c r="F15" i="35" s="1"/>
  <c r="D15" i="35"/>
  <c r="E200" i="33"/>
  <c r="F200" i="29"/>
  <c r="E200" i="6"/>
  <c r="E200" i="18"/>
  <c r="E200" i="5"/>
  <c r="E200" i="23"/>
  <c r="E200" i="2"/>
  <c r="E200" i="25"/>
  <c r="E200" i="28"/>
  <c r="E200" i="14"/>
  <c r="E200" i="24"/>
  <c r="E200" i="45"/>
  <c r="E200" i="12"/>
  <c r="E200" i="4"/>
  <c r="E200" i="22"/>
  <c r="F200" i="30"/>
  <c r="F200" i="32"/>
  <c r="E200" i="20"/>
  <c r="E200" i="11"/>
  <c r="E201" i="7"/>
  <c r="E200" i="19"/>
  <c r="E200" i="13"/>
  <c r="E8" i="45" l="1"/>
  <c r="E201" i="13"/>
  <c r="E201" i="14"/>
  <c r="E201" i="28"/>
  <c r="E201" i="2"/>
  <c r="F201" i="32"/>
  <c r="E201" i="4"/>
  <c r="E201" i="19"/>
  <c r="E201" i="25"/>
  <c r="E201" i="20"/>
  <c r="F201" i="30"/>
  <c r="F201" i="29"/>
  <c r="E202" i="7"/>
  <c r="E201" i="23"/>
  <c r="E201" i="18"/>
  <c r="E201" i="6"/>
  <c r="E201" i="11"/>
  <c r="E201" i="22"/>
  <c r="E201" i="33"/>
  <c r="E201" i="24"/>
  <c r="E201" i="5"/>
  <c r="E201" i="12"/>
  <c r="D15" i="45" l="1"/>
  <c r="E4" i="45"/>
  <c r="F15" i="45" s="1"/>
  <c r="E202" i="12"/>
  <c r="E202" i="20"/>
  <c r="E202" i="19"/>
  <c r="E202" i="4"/>
  <c r="E202" i="2"/>
  <c r="E202" i="23"/>
  <c r="E202" i="5"/>
  <c r="E202" i="25"/>
  <c r="F202" i="32"/>
  <c r="E202" i="28"/>
  <c r="E202" i="13"/>
  <c r="E202" i="24"/>
  <c r="E202" i="22"/>
  <c r="E202" i="11"/>
  <c r="E202" i="14"/>
  <c r="E202" i="33"/>
  <c r="E202" i="18"/>
  <c r="E203" i="7"/>
  <c r="F202" i="30"/>
  <c r="E202" i="6"/>
  <c r="F202" i="29"/>
  <c r="F203" i="29"/>
  <c r="F203" i="32"/>
  <c r="E203" i="5"/>
  <c r="E204" i="7"/>
  <c r="E203" i="2"/>
  <c r="E203" i="11"/>
  <c r="E203" i="6"/>
  <c r="E203" i="25"/>
  <c r="E203" i="18"/>
  <c r="E203" i="4"/>
  <c r="E203" i="22"/>
  <c r="F203" i="30"/>
  <c r="E203" i="33"/>
  <c r="E203" i="19"/>
  <c r="E203" i="12"/>
  <c r="E203" i="23"/>
  <c r="E203" i="20"/>
  <c r="E203" i="24"/>
  <c r="E203" i="14"/>
  <c r="E203" i="28"/>
  <c r="E203" i="13"/>
  <c r="E204" i="13"/>
  <c r="E204" i="18"/>
  <c r="E204" i="25"/>
  <c r="E204" i="6"/>
  <c r="E204" i="20"/>
  <c r="E204" i="19"/>
  <c r="F204" i="29"/>
  <c r="E204" i="28"/>
  <c r="E204" i="24"/>
  <c r="E204" i="23"/>
  <c r="E204" i="12"/>
  <c r="F204" i="30"/>
  <c r="E204" i="14"/>
  <c r="E204" i="2"/>
  <c r="E204" i="5"/>
  <c r="E204" i="33"/>
  <c r="E204" i="11"/>
  <c r="F204" i="32"/>
  <c r="E204" i="22"/>
  <c r="E205" i="7"/>
  <c r="E204" i="4"/>
  <c r="E205" i="4"/>
  <c r="E205" i="24"/>
  <c r="E205" i="28"/>
  <c r="E205" i="19"/>
  <c r="E205" i="33"/>
  <c r="E205" i="18"/>
  <c r="E205" i="23"/>
  <c r="E206" i="7"/>
  <c r="F205" i="29"/>
  <c r="E205" i="11"/>
  <c r="E205" i="2"/>
  <c r="E205" i="22"/>
  <c r="E205" i="20"/>
  <c r="E205" i="25"/>
  <c r="E205" i="13"/>
  <c r="F205" i="32"/>
  <c r="E205" i="5"/>
  <c r="E205" i="14"/>
  <c r="E205" i="6"/>
  <c r="F205" i="30"/>
  <c r="E205" i="12"/>
  <c r="E206" i="12"/>
  <c r="F206" i="29"/>
  <c r="E207" i="7"/>
  <c r="E206" i="14"/>
  <c r="E206" i="19"/>
  <c r="E206" i="24"/>
  <c r="E206" i="11"/>
  <c r="F206" i="30"/>
  <c r="E206" i="23"/>
  <c r="E206" i="5"/>
  <c r="E206" i="13"/>
  <c r="E206" i="4"/>
  <c r="E206" i="6"/>
  <c r="F206" i="32"/>
  <c r="E206" i="25"/>
  <c r="E206" i="22"/>
  <c r="E206" i="18"/>
  <c r="E206" i="28"/>
  <c r="E206" i="20"/>
  <c r="E206" i="33"/>
  <c r="E206" i="2"/>
  <c r="E207" i="2"/>
  <c r="E207" i="23"/>
  <c r="E207" i="11"/>
  <c r="E207" i="24"/>
  <c r="E207" i="22"/>
  <c r="F207" i="32"/>
  <c r="E207" i="13"/>
  <c r="E207" i="33"/>
  <c r="F207" i="30"/>
  <c r="E207" i="18"/>
  <c r="E207" i="14"/>
  <c r="F207" i="29"/>
  <c r="E207" i="4"/>
  <c r="E207" i="20"/>
  <c r="E207" i="19"/>
  <c r="E207" i="25"/>
  <c r="E207" i="6"/>
  <c r="E207" i="5"/>
  <c r="E207" i="28"/>
  <c r="E208" i="7"/>
  <c r="E207" i="12"/>
  <c r="E8" i="33" l="1"/>
  <c r="E208" i="12"/>
  <c r="F208" i="30"/>
  <c r="E208" i="2"/>
  <c r="E209" i="7"/>
  <c r="E208" i="13"/>
  <c r="F208" i="32"/>
  <c r="E208" i="22"/>
  <c r="E208" i="25"/>
  <c r="E208" i="23"/>
  <c r="F208" i="29"/>
  <c r="E208" i="28"/>
  <c r="E208" i="11"/>
  <c r="E208" i="14"/>
  <c r="E208" i="5"/>
  <c r="E208" i="24"/>
  <c r="E208" i="19"/>
  <c r="E208" i="4"/>
  <c r="E208" i="18"/>
  <c r="E208" i="6"/>
  <c r="E208" i="20"/>
  <c r="E4" i="33" l="1"/>
  <c r="F15" i="33" s="1"/>
  <c r="D15" i="33"/>
  <c r="E209" i="20"/>
  <c r="E209" i="25"/>
  <c r="E209" i="22"/>
  <c r="F209" i="32"/>
  <c r="E209" i="19"/>
  <c r="E209" i="2"/>
  <c r="F209" i="30"/>
  <c r="E209" i="6"/>
  <c r="E209" i="4"/>
  <c r="E210" i="7"/>
  <c r="E209" i="5"/>
  <c r="E209" i="12"/>
  <c r="E209" i="28"/>
  <c r="E209" i="23"/>
  <c r="E209" i="18"/>
  <c r="E209" i="24"/>
  <c r="E209" i="11"/>
  <c r="E209" i="13"/>
  <c r="E209" i="14"/>
  <c r="F209" i="29"/>
  <c r="F210" i="29"/>
  <c r="E210" i="6"/>
  <c r="F210" i="30"/>
  <c r="E210" i="2"/>
  <c r="E210" i="24"/>
  <c r="E210" i="18"/>
  <c r="E210" i="28"/>
  <c r="E210" i="4"/>
  <c r="E210" i="14"/>
  <c r="E210" i="11"/>
  <c r="F210" i="32"/>
  <c r="E210" i="22"/>
  <c r="E210" i="25"/>
  <c r="E210" i="5"/>
  <c r="E210" i="13"/>
  <c r="E210" i="23"/>
  <c r="E210" i="12"/>
  <c r="E210" i="19"/>
  <c r="E210" i="20"/>
  <c r="E211" i="7"/>
  <c r="E212" i="7"/>
  <c r="E211" i="4"/>
  <c r="E211" i="28"/>
  <c r="E211" i="18"/>
  <c r="E211" i="23"/>
  <c r="F211" i="30"/>
  <c r="F211" i="29"/>
  <c r="E211" i="14"/>
  <c r="E211" i="20"/>
  <c r="E211" i="12"/>
  <c r="E211" i="2"/>
  <c r="E211" i="5"/>
  <c r="E211" i="22"/>
  <c r="E211" i="19"/>
  <c r="E211" i="13"/>
  <c r="E211" i="25"/>
  <c r="E211" i="11"/>
  <c r="E211" i="24"/>
  <c r="E211" i="6"/>
  <c r="F211" i="32"/>
  <c r="F212" i="32"/>
  <c r="E212" i="14"/>
  <c r="F212" i="29"/>
  <c r="F212" i="30"/>
  <c r="E212" i="23"/>
  <c r="E212" i="28"/>
  <c r="E212" i="4"/>
  <c r="E212" i="12"/>
  <c r="E212" i="6"/>
  <c r="E212" i="11"/>
  <c r="E212" i="18"/>
  <c r="E212" i="19"/>
  <c r="E213" i="7"/>
  <c r="E212" i="20"/>
  <c r="E212" i="24"/>
  <c r="E212" i="13"/>
  <c r="E212" i="22"/>
  <c r="E212" i="2"/>
  <c r="E212" i="25"/>
  <c r="E212" i="5"/>
  <c r="E213" i="5"/>
  <c r="E213" i="12"/>
  <c r="E213" i="4"/>
  <c r="E213" i="28"/>
  <c r="E213" i="13"/>
  <c r="F213" i="29"/>
  <c r="F213" i="32"/>
  <c r="E213" i="11"/>
  <c r="E213" i="25"/>
  <c r="E213" i="23"/>
  <c r="E213" i="24"/>
  <c r="E213" i="14"/>
  <c r="E213" i="18"/>
  <c r="E213" i="2"/>
  <c r="F213" i="30"/>
  <c r="E213" i="20"/>
  <c r="E213" i="19"/>
  <c r="E213" i="6"/>
  <c r="E213" i="22"/>
  <c r="E214" i="7"/>
  <c r="E8" i="22" l="1"/>
  <c r="E215" i="7"/>
  <c r="E214" i="11"/>
  <c r="F214" i="32"/>
  <c r="F214" i="29"/>
  <c r="E214" i="13"/>
  <c r="E214" i="20"/>
  <c r="E214" i="4"/>
  <c r="E214" i="18"/>
  <c r="E214" i="14"/>
  <c r="E214" i="6"/>
  <c r="E214" i="28"/>
  <c r="E214" i="2"/>
  <c r="E214" i="12"/>
  <c r="E214" i="23"/>
  <c r="E214" i="19"/>
  <c r="F214" i="30"/>
  <c r="E214" i="5"/>
  <c r="E214" i="25"/>
  <c r="E214" i="24"/>
  <c r="E4" i="22" l="1"/>
  <c r="F15" i="22" s="1"/>
  <c r="D15" i="22"/>
  <c r="E215" i="24"/>
  <c r="E215" i="4"/>
  <c r="E215" i="20"/>
  <c r="F215" i="29"/>
  <c r="F215" i="32"/>
  <c r="E215" i="11"/>
  <c r="E215" i="28"/>
  <c r="E215" i="25"/>
  <c r="E215" i="13"/>
  <c r="E215" i="19"/>
  <c r="E215" i="23"/>
  <c r="E216" i="7"/>
  <c r="E215" i="18"/>
  <c r="E215" i="5"/>
  <c r="E215" i="2"/>
  <c r="E215" i="6"/>
  <c r="F215" i="30"/>
  <c r="E215" i="12"/>
  <c r="E215" i="14"/>
  <c r="E216" i="14"/>
  <c r="E216" i="28"/>
  <c r="E216" i="11"/>
  <c r="F216" i="32"/>
  <c r="E216" i="2"/>
  <c r="E216" i="5"/>
  <c r="E216" i="23"/>
  <c r="E216" i="12"/>
  <c r="E216" i="6"/>
  <c r="E216" i="20"/>
  <c r="E216" i="18"/>
  <c r="E216" i="19"/>
  <c r="F216" i="30"/>
  <c r="E216" i="4"/>
  <c r="E217" i="7"/>
  <c r="E216" i="25"/>
  <c r="F216" i="29"/>
  <c r="E216" i="24"/>
  <c r="E216" i="13"/>
  <c r="E217" i="13"/>
  <c r="E217" i="23"/>
  <c r="E217" i="2"/>
  <c r="E217" i="4"/>
  <c r="E217" i="19"/>
  <c r="E217" i="24"/>
  <c r="E217" i="5"/>
  <c r="F217" i="32"/>
  <c r="E217" i="11"/>
  <c r="E217" i="14"/>
  <c r="E217" i="12"/>
  <c r="F217" i="29"/>
  <c r="E218" i="7"/>
  <c r="E217" i="28"/>
  <c r="E217" i="18"/>
  <c r="E217" i="25"/>
  <c r="F217" i="30"/>
  <c r="E217" i="6"/>
  <c r="E217" i="20"/>
  <c r="E218" i="20"/>
  <c r="E218" i="5"/>
  <c r="E218" i="24"/>
  <c r="E218" i="25"/>
  <c r="E218" i="23"/>
  <c r="E218" i="14"/>
  <c r="E218" i="6"/>
  <c r="E218" i="19"/>
  <c r="E218" i="18"/>
  <c r="E218" i="28"/>
  <c r="E218" i="11"/>
  <c r="F218" i="30"/>
  <c r="E218" i="2"/>
  <c r="E219" i="7"/>
  <c r="E218" i="12"/>
  <c r="E218" i="4"/>
  <c r="F218" i="29"/>
  <c r="F218" i="32"/>
  <c r="E218" i="13"/>
  <c r="E219" i="13"/>
  <c r="E219" i="6"/>
  <c r="E219" i="14"/>
  <c r="E219" i="25"/>
  <c r="E220" i="7"/>
  <c r="E219" i="28"/>
  <c r="F219" i="32"/>
  <c r="E219" i="23"/>
  <c r="E219" i="12"/>
  <c r="E219" i="5"/>
  <c r="E219" i="11"/>
  <c r="F219" i="29"/>
  <c r="E219" i="24"/>
  <c r="E219" i="2"/>
  <c r="E219" i="19"/>
  <c r="E219" i="4"/>
  <c r="F219" i="30"/>
  <c r="E219" i="18"/>
  <c r="E219" i="20"/>
  <c r="E220" i="20"/>
  <c r="F220" i="32"/>
  <c r="E221" i="7"/>
  <c r="E220" i="4"/>
  <c r="E220" i="6"/>
  <c r="E220" i="5"/>
  <c r="E220" i="18"/>
  <c r="E220" i="28"/>
  <c r="E220" i="19"/>
  <c r="E220" i="2"/>
  <c r="E220" i="12"/>
  <c r="F220" i="30"/>
  <c r="E220" i="14"/>
  <c r="E220" i="24"/>
  <c r="E220" i="11"/>
  <c r="E220" i="25"/>
  <c r="F220" i="29"/>
  <c r="E220" i="23"/>
  <c r="E220" i="13"/>
  <c r="E8" i="32" l="1"/>
  <c r="E221" i="13"/>
  <c r="E221" i="18"/>
  <c r="E221" i="6"/>
  <c r="E221" i="25"/>
  <c r="E222" i="7"/>
  <c r="F221" i="30"/>
  <c r="E221" i="19"/>
  <c r="E221" i="23"/>
  <c r="E221" i="5"/>
  <c r="E221" i="11"/>
  <c r="E221" i="24"/>
  <c r="E221" i="12"/>
  <c r="F221" i="29"/>
  <c r="E221" i="4"/>
  <c r="E221" i="20"/>
  <c r="E221" i="2"/>
  <c r="E221" i="14"/>
  <c r="E221" i="28"/>
  <c r="E8" i="30" l="1"/>
  <c r="D15" i="32"/>
  <c r="E4" i="32"/>
  <c r="F15" i="32" s="1"/>
  <c r="E222" i="28"/>
  <c r="E222" i="14"/>
  <c r="E223" i="7"/>
  <c r="E222" i="6"/>
  <c r="E222" i="4"/>
  <c r="E222" i="5"/>
  <c r="E222" i="2"/>
  <c r="E222" i="25"/>
  <c r="F222" i="29"/>
  <c r="E222" i="12"/>
  <c r="E222" i="20"/>
  <c r="E222" i="13"/>
  <c r="E222" i="24"/>
  <c r="E222" i="11"/>
  <c r="E222" i="18"/>
  <c r="E222" i="19"/>
  <c r="E222" i="23"/>
  <c r="D15" i="30" l="1"/>
  <c r="E4" i="30"/>
  <c r="F15" i="30" s="1"/>
  <c r="E223" i="23"/>
  <c r="E223" i="4"/>
  <c r="E224" i="7"/>
  <c r="E223" i="14"/>
  <c r="F223" i="29"/>
  <c r="E223" i="19"/>
  <c r="E223" i="6"/>
  <c r="E223" i="24"/>
  <c r="E223" i="20"/>
  <c r="E223" i="25"/>
  <c r="E223" i="18"/>
  <c r="E223" i="13"/>
  <c r="E223" i="12"/>
  <c r="E223" i="2"/>
  <c r="E223" i="11"/>
  <c r="E223" i="28"/>
  <c r="E223" i="5"/>
  <c r="E224" i="5"/>
  <c r="F224" i="29"/>
  <c r="E224" i="14"/>
  <c r="E225" i="7"/>
  <c r="E224" i="23"/>
  <c r="E224" i="24"/>
  <c r="E224" i="28"/>
  <c r="E224" i="4"/>
  <c r="E224" i="12"/>
  <c r="E224" i="18"/>
  <c r="E224" i="11"/>
  <c r="E224" i="13"/>
  <c r="E224" i="20"/>
  <c r="E224" i="19"/>
  <c r="E224" i="2"/>
  <c r="E224" i="25"/>
  <c r="E224" i="6"/>
  <c r="E8" i="28" l="1"/>
  <c r="F8" i="29"/>
  <c r="E225" i="6"/>
  <c r="E225" i="23"/>
  <c r="E226" i="7"/>
  <c r="E225" i="14"/>
  <c r="E225" i="20"/>
  <c r="E225" i="4"/>
  <c r="E225" i="25"/>
  <c r="E225" i="19"/>
  <c r="E225" i="5"/>
  <c r="E225" i="18"/>
  <c r="E225" i="24"/>
  <c r="E225" i="2"/>
  <c r="E225" i="13"/>
  <c r="E225" i="12"/>
  <c r="E225" i="11"/>
  <c r="F4" i="29" l="1"/>
  <c r="G15" i="29" s="1"/>
  <c r="E15" i="29"/>
  <c r="D15" i="28"/>
  <c r="E4" i="28"/>
  <c r="F15" i="28" s="1"/>
  <c r="E226" i="11"/>
  <c r="E227" i="7"/>
  <c r="E226" i="23"/>
  <c r="E226" i="6"/>
  <c r="E226" i="18"/>
  <c r="E226" i="4"/>
  <c r="E226" i="12"/>
  <c r="E226" i="5"/>
  <c r="E226" i="13"/>
  <c r="E226" i="24"/>
  <c r="E226" i="2"/>
  <c r="E226" i="19"/>
  <c r="E226" i="20"/>
  <c r="E226" i="25"/>
  <c r="E226" i="14"/>
  <c r="E227" i="14"/>
  <c r="E227" i="23"/>
  <c r="E228" i="7"/>
  <c r="E227" i="19"/>
  <c r="E227" i="13"/>
  <c r="E227" i="6"/>
  <c r="E227" i="25"/>
  <c r="E227" i="11"/>
  <c r="E227" i="24"/>
  <c r="E227" i="4"/>
  <c r="E227" i="20"/>
  <c r="E227" i="5"/>
  <c r="E227" i="18"/>
  <c r="E227" i="2"/>
  <c r="E227" i="12"/>
  <c r="E228" i="12"/>
  <c r="E229" i="7"/>
  <c r="E228" i="23"/>
  <c r="E228" i="5"/>
  <c r="E228" i="11"/>
  <c r="E228" i="19"/>
  <c r="E228" i="2"/>
  <c r="E228" i="14"/>
  <c r="E228" i="20"/>
  <c r="E228" i="25"/>
  <c r="E228" i="18"/>
  <c r="E228" i="24"/>
  <c r="E228" i="6"/>
  <c r="E228" i="4"/>
  <c r="E228" i="13"/>
  <c r="E229" i="13"/>
  <c r="E229" i="23"/>
  <c r="E230" i="7"/>
  <c r="E229" i="24"/>
  <c r="E229" i="20"/>
  <c r="E229" i="19"/>
  <c r="E229" i="4"/>
  <c r="E229" i="12"/>
  <c r="E229" i="18"/>
  <c r="E229" i="14"/>
  <c r="E229" i="11"/>
  <c r="E229" i="6"/>
  <c r="E229" i="25"/>
  <c r="E229" i="2"/>
  <c r="E229" i="5"/>
  <c r="E230" i="5"/>
  <c r="E231" i="7"/>
  <c r="E230" i="2"/>
  <c r="E230" i="23"/>
  <c r="E230" i="11"/>
  <c r="E230" i="18"/>
  <c r="E230" i="12"/>
  <c r="E230" i="20"/>
  <c r="E230" i="25"/>
  <c r="E230" i="13"/>
  <c r="E230" i="14"/>
  <c r="E230" i="4"/>
  <c r="E230" i="6"/>
  <c r="E230" i="19"/>
  <c r="E230" i="24"/>
  <c r="E231" i="24"/>
  <c r="E231" i="2"/>
  <c r="E232" i="7"/>
  <c r="E231" i="4"/>
  <c r="E231" i="20"/>
  <c r="E231" i="23"/>
  <c r="E231" i="19"/>
  <c r="E231" i="5"/>
  <c r="E231" i="13"/>
  <c r="E231" i="12"/>
  <c r="E231" i="6"/>
  <c r="E231" i="25"/>
  <c r="E231" i="18"/>
  <c r="E231" i="14"/>
  <c r="E231" i="11"/>
  <c r="E232" i="11"/>
  <c r="E233" i="7"/>
  <c r="E232" i="2"/>
  <c r="E232" i="25"/>
  <c r="E232" i="5"/>
  <c r="E232" i="23"/>
  <c r="E232" i="14"/>
  <c r="E232" i="24"/>
  <c r="E232" i="13"/>
  <c r="E232" i="19"/>
  <c r="E232" i="18"/>
  <c r="E232" i="12"/>
  <c r="E232" i="20"/>
  <c r="E232" i="6"/>
  <c r="E232" i="4"/>
  <c r="E233" i="4"/>
  <c r="E233" i="2"/>
  <c r="E234" i="7"/>
  <c r="E233" i="12"/>
  <c r="E233" i="13"/>
  <c r="E233" i="23"/>
  <c r="E233" i="6"/>
  <c r="E233" i="11"/>
  <c r="E233" i="18"/>
  <c r="E233" i="14"/>
  <c r="E233" i="20"/>
  <c r="E233" i="24"/>
  <c r="E233" i="5"/>
  <c r="E233" i="19"/>
  <c r="E233" i="25"/>
  <c r="E234" i="25"/>
  <c r="E235" i="7"/>
  <c r="E234" i="2"/>
  <c r="E234" i="24"/>
  <c r="E234" i="18"/>
  <c r="E234" i="12"/>
  <c r="E234" i="19"/>
  <c r="E234" i="4"/>
  <c r="E234" i="20"/>
  <c r="E234" i="13"/>
  <c r="E234" i="5"/>
  <c r="E234" i="14"/>
  <c r="E234" i="6"/>
  <c r="E234" i="11"/>
  <c r="E234" i="23"/>
  <c r="E235" i="23"/>
  <c r="E235" i="2"/>
  <c r="E235" i="25"/>
  <c r="E235" i="14"/>
  <c r="E235" i="4"/>
  <c r="E235" i="18"/>
  <c r="E235" i="11"/>
  <c r="E236" i="7"/>
  <c r="E235" i="5"/>
  <c r="E235" i="19"/>
  <c r="E235" i="24"/>
  <c r="E235" i="6"/>
  <c r="E235" i="20"/>
  <c r="E235" i="12"/>
  <c r="E235" i="13"/>
  <c r="E236" i="13"/>
  <c r="E236" i="25"/>
  <c r="E236" i="2"/>
  <c r="E236" i="23"/>
  <c r="E237" i="7"/>
  <c r="E236" i="12"/>
  <c r="E236" i="24"/>
  <c r="E236" i="11"/>
  <c r="E236" i="20"/>
  <c r="E236" i="19"/>
  <c r="E236" i="5"/>
  <c r="E236" i="14"/>
  <c r="E236" i="6"/>
  <c r="E236" i="4"/>
  <c r="E236" i="18"/>
  <c r="E237" i="18"/>
  <c r="E237" i="2"/>
  <c r="E237" i="25"/>
  <c r="E237" i="14"/>
  <c r="E237" i="11"/>
  <c r="E238" i="7"/>
  <c r="E237" i="4"/>
  <c r="E237" i="13"/>
  <c r="E237" i="5"/>
  <c r="E237" i="24"/>
  <c r="E237" i="6"/>
  <c r="E237" i="19"/>
  <c r="E237" i="12"/>
  <c r="E237" i="20"/>
  <c r="E237" i="23"/>
  <c r="E238" i="23"/>
  <c r="E238" i="25"/>
  <c r="E238" i="2"/>
  <c r="E238" i="19"/>
  <c r="E238" i="13"/>
  <c r="E238" i="11"/>
  <c r="E238" i="20"/>
  <c r="E238" i="18"/>
  <c r="E238" i="5"/>
  <c r="E238" i="4"/>
  <c r="E238" i="12"/>
  <c r="E238" i="24"/>
  <c r="E239" i="7"/>
  <c r="E238" i="6"/>
  <c r="E238" i="14"/>
  <c r="E239" i="14"/>
  <c r="E239" i="2"/>
  <c r="E239" i="25"/>
  <c r="E239" i="24"/>
  <c r="E239" i="5"/>
  <c r="E239" i="11"/>
  <c r="E239" i="6"/>
  <c r="E239" i="23"/>
  <c r="E239" i="4"/>
  <c r="E239" i="20"/>
  <c r="E240" i="7"/>
  <c r="E239" i="18"/>
  <c r="E239" i="19"/>
  <c r="E239" i="12"/>
  <c r="E239" i="13"/>
  <c r="E240" i="13"/>
  <c r="E240" i="25"/>
  <c r="E241" i="7"/>
  <c r="E240" i="11"/>
  <c r="E240" i="12"/>
  <c r="E240" i="2"/>
  <c r="E240" i="14"/>
  <c r="E240" i="4"/>
  <c r="E240" i="6"/>
  <c r="E240" i="19"/>
  <c r="E240" i="20"/>
  <c r="E240" i="23"/>
  <c r="E240" i="18"/>
  <c r="E240" i="24"/>
  <c r="E240" i="5"/>
  <c r="E241" i="5"/>
  <c r="E242" i="7"/>
  <c r="E241" i="25"/>
  <c r="E241" i="23"/>
  <c r="E241" i="6"/>
  <c r="E241" i="12"/>
  <c r="E241" i="24"/>
  <c r="E241" i="13"/>
  <c r="E241" i="19"/>
  <c r="E241" i="2"/>
  <c r="E241" i="18"/>
  <c r="E241" i="4"/>
  <c r="E241" i="11"/>
  <c r="E241" i="20"/>
  <c r="E241" i="14"/>
  <c r="E242" i="14"/>
  <c r="E242" i="25"/>
  <c r="E243" i="7"/>
  <c r="E242" i="4"/>
  <c r="E242" i="13"/>
  <c r="E242" i="23"/>
  <c r="E242" i="20"/>
  <c r="E242" i="5"/>
  <c r="E242" i="18"/>
  <c r="E242" i="24"/>
  <c r="E242" i="11"/>
  <c r="E242" i="2"/>
  <c r="E242" i="12"/>
  <c r="E242" i="19"/>
  <c r="E242" i="6"/>
  <c r="E243" i="6"/>
  <c r="E244" i="7"/>
  <c r="E243" i="25"/>
  <c r="E243" i="14"/>
  <c r="E243" i="11"/>
  <c r="E243" i="20"/>
  <c r="E243" i="19"/>
  <c r="E243" i="2"/>
  <c r="E243" i="18"/>
  <c r="E243" i="13"/>
  <c r="E243" i="12"/>
  <c r="E243" i="5"/>
  <c r="E243" i="23"/>
  <c r="E243" i="24"/>
  <c r="E243" i="4"/>
  <c r="E244" i="4"/>
  <c r="E244" i="25"/>
  <c r="E245" i="7"/>
  <c r="E244" i="6"/>
  <c r="E244" i="18"/>
  <c r="E244" i="11"/>
  <c r="E244" i="24"/>
  <c r="E244" i="13"/>
  <c r="E244" i="19"/>
  <c r="E244" i="23"/>
  <c r="E244" i="12"/>
  <c r="E244" i="2"/>
  <c r="E244" i="20"/>
  <c r="E244" i="5"/>
  <c r="E244" i="14"/>
  <c r="E245" i="14"/>
  <c r="E246" i="7"/>
  <c r="E245" i="25"/>
  <c r="E245" i="2"/>
  <c r="E245" i="19"/>
  <c r="E245" i="6"/>
  <c r="E245" i="5"/>
  <c r="E245" i="4"/>
  <c r="E245" i="23"/>
  <c r="E245" i="13"/>
  <c r="E245" i="20"/>
  <c r="E245" i="11"/>
  <c r="E245" i="12"/>
  <c r="E245" i="18"/>
  <c r="E245" i="24"/>
  <c r="E246" i="24"/>
  <c r="E246" i="25"/>
  <c r="E247" i="7"/>
  <c r="E246" i="11"/>
  <c r="E246" i="23"/>
  <c r="E246" i="2"/>
  <c r="E246" i="18"/>
  <c r="E246" i="14"/>
  <c r="E246" i="20"/>
  <c r="E246" i="5"/>
  <c r="E246" i="12"/>
  <c r="E246" i="4"/>
  <c r="E246" i="19"/>
  <c r="E246" i="13"/>
  <c r="E246" i="6"/>
  <c r="E247" i="6"/>
  <c r="E248" i="7"/>
  <c r="E247" i="25"/>
  <c r="E247" i="24"/>
  <c r="E247" i="12"/>
  <c r="E247" i="23"/>
  <c r="E247" i="13"/>
  <c r="E247" i="4"/>
  <c r="E247" i="20"/>
  <c r="E247" i="18"/>
  <c r="E247" i="19"/>
  <c r="E247" i="14"/>
  <c r="E247" i="2"/>
  <c r="E247" i="5"/>
  <c r="E247" i="11"/>
  <c r="E248" i="11"/>
  <c r="E248" i="25"/>
  <c r="E249" i="7"/>
  <c r="E248" i="6"/>
  <c r="E248" i="19"/>
  <c r="E248" i="13"/>
  <c r="E248" i="5"/>
  <c r="E248" i="14"/>
  <c r="E248" i="20"/>
  <c r="E248" i="23"/>
  <c r="E248" i="2"/>
  <c r="E248" i="4"/>
  <c r="E248" i="12"/>
  <c r="E248" i="18"/>
  <c r="E248" i="24"/>
  <c r="E249" i="24"/>
  <c r="E250" i="7"/>
  <c r="E249" i="25"/>
  <c r="E249" i="4"/>
  <c r="E249" i="23"/>
  <c r="E249" i="19"/>
  <c r="E249" i="18"/>
  <c r="E249" i="11"/>
  <c r="E249" i="2"/>
  <c r="E249" i="5"/>
  <c r="E249" i="12"/>
  <c r="E249" i="20"/>
  <c r="E249" i="13"/>
  <c r="E249" i="14"/>
  <c r="E249" i="6"/>
  <c r="E250" i="6"/>
  <c r="E250" i="25"/>
  <c r="E251" i="7"/>
  <c r="E250" i="24"/>
  <c r="E250" i="5"/>
  <c r="E250" i="4"/>
  <c r="E250" i="14"/>
  <c r="E250" i="20"/>
  <c r="E250" i="11"/>
  <c r="E250" i="19"/>
  <c r="E250" i="13"/>
  <c r="E250" i="2"/>
  <c r="E250" i="18"/>
  <c r="E250" i="12"/>
  <c r="E250" i="23"/>
  <c r="E251" i="23"/>
  <c r="E252" i="7"/>
  <c r="E251" i="25"/>
  <c r="E251" i="6"/>
  <c r="E251" i="13"/>
  <c r="E251" i="14"/>
  <c r="E251" i="12"/>
  <c r="E251" i="2"/>
  <c r="E251" i="19"/>
  <c r="E251" i="4"/>
  <c r="E251" i="18"/>
  <c r="E251" i="20"/>
  <c r="E251" i="5"/>
  <c r="E251" i="11"/>
  <c r="E251" i="24"/>
  <c r="E252" i="24"/>
  <c r="E252" i="25"/>
  <c r="E253" i="7"/>
  <c r="E252" i="20"/>
  <c r="E252" i="2"/>
  <c r="E252" i="6"/>
  <c r="E252" i="11"/>
  <c r="E252" i="23"/>
  <c r="E252" i="18"/>
  <c r="E252" i="12"/>
  <c r="E252" i="5"/>
  <c r="E252" i="19"/>
  <c r="E252" i="14"/>
  <c r="E252" i="4"/>
  <c r="E252" i="13"/>
  <c r="E8" i="2" l="1"/>
  <c r="E253" i="13"/>
  <c r="E254" i="7"/>
  <c r="E253" i="24"/>
  <c r="E253" i="5"/>
  <c r="E253" i="6"/>
  <c r="E253" i="4"/>
  <c r="E253" i="25"/>
  <c r="E253" i="12"/>
  <c r="E253" i="23"/>
  <c r="E253" i="14"/>
  <c r="E253" i="18"/>
  <c r="E253" i="11"/>
  <c r="E253" i="20"/>
  <c r="E253" i="19"/>
  <c r="D15" i="2" l="1"/>
  <c r="E4" i="2"/>
  <c r="F15" i="2" s="1"/>
  <c r="E254" i="19"/>
  <c r="E255" i="7"/>
  <c r="E254" i="13"/>
  <c r="E254" i="14"/>
  <c r="E254" i="6"/>
  <c r="E254" i="20"/>
  <c r="E254" i="18"/>
  <c r="E254" i="23"/>
  <c r="E254" i="25"/>
  <c r="E254" i="11"/>
  <c r="E254" i="12"/>
  <c r="E254" i="4"/>
  <c r="E254" i="24"/>
  <c r="E254" i="5"/>
  <c r="E255" i="5"/>
  <c r="E256" i="7"/>
  <c r="E255" i="19"/>
  <c r="E255" i="12"/>
  <c r="E255" i="23"/>
  <c r="E255" i="24"/>
  <c r="E255" i="11"/>
  <c r="E255" i="20"/>
  <c r="E255" i="6"/>
  <c r="E255" i="4"/>
  <c r="E255" i="18"/>
  <c r="E255" i="14"/>
  <c r="E255" i="25"/>
  <c r="E255" i="13"/>
  <c r="E256" i="13"/>
  <c r="E257" i="7"/>
  <c r="E256" i="5"/>
  <c r="E256" i="4"/>
  <c r="E256" i="11"/>
  <c r="E256" i="25"/>
  <c r="E256" i="6"/>
  <c r="E256" i="24"/>
  <c r="E256" i="14"/>
  <c r="E256" i="20"/>
  <c r="E256" i="23"/>
  <c r="E256" i="18"/>
  <c r="E256" i="12"/>
  <c r="E256" i="19"/>
  <c r="E257" i="19"/>
  <c r="E258" i="7"/>
  <c r="E257" i="13"/>
  <c r="E257" i="23"/>
  <c r="E257" i="6"/>
  <c r="E257" i="12"/>
  <c r="E257" i="20"/>
  <c r="E257" i="24"/>
  <c r="E257" i="4"/>
  <c r="E257" i="18"/>
  <c r="E257" i="25"/>
  <c r="E257" i="5"/>
  <c r="E257" i="14"/>
  <c r="E257" i="11"/>
  <c r="E258" i="11"/>
  <c r="E259" i="7"/>
  <c r="E258" i="19"/>
  <c r="E258" i="18"/>
  <c r="E258" i="6"/>
  <c r="E258" i="14"/>
  <c r="E258" i="25"/>
  <c r="E258" i="24"/>
  <c r="E258" i="12"/>
  <c r="E258" i="5"/>
  <c r="E258" i="20"/>
  <c r="E258" i="23"/>
  <c r="E258" i="4"/>
  <c r="E258" i="13"/>
  <c r="E259" i="13"/>
  <c r="E260" i="7"/>
  <c r="E259" i="11"/>
  <c r="E259" i="5"/>
  <c r="E259" i="14"/>
  <c r="E259" i="4"/>
  <c r="E259" i="20"/>
  <c r="E259" i="24"/>
  <c r="E259" i="6"/>
  <c r="E259" i="23"/>
  <c r="E259" i="25"/>
  <c r="E259" i="18"/>
  <c r="E259" i="12"/>
  <c r="E259" i="19"/>
  <c r="E260" i="19"/>
  <c r="E261" i="7"/>
  <c r="E260" i="13"/>
  <c r="E260" i="23"/>
  <c r="E260" i="20"/>
  <c r="E260" i="12"/>
  <c r="E260" i="25"/>
  <c r="E260" i="6"/>
  <c r="E260" i="14"/>
  <c r="E260" i="18"/>
  <c r="E260" i="4"/>
  <c r="E260" i="11"/>
  <c r="E260" i="24"/>
  <c r="E260" i="5"/>
  <c r="E261" i="5"/>
  <c r="E262" i="7"/>
  <c r="E261" i="19"/>
  <c r="E261" i="4"/>
  <c r="E261" i="14"/>
  <c r="E261" i="23"/>
  <c r="E261" i="24"/>
  <c r="E261" i="18"/>
  <c r="E261" i="6"/>
  <c r="E261" i="20"/>
  <c r="E261" i="11"/>
  <c r="E261" i="12"/>
  <c r="E261" i="13"/>
  <c r="E261" i="25"/>
  <c r="E262" i="25"/>
  <c r="E263" i="7"/>
  <c r="E262" i="5"/>
  <c r="E262" i="11"/>
  <c r="E262" i="18"/>
  <c r="E262" i="13"/>
  <c r="E262" i="20"/>
  <c r="E262" i="23"/>
  <c r="E262" i="19"/>
  <c r="E262" i="12"/>
  <c r="E262" i="24"/>
  <c r="E262" i="14"/>
  <c r="E262" i="6"/>
  <c r="E262" i="4"/>
  <c r="E263" i="4"/>
  <c r="E264" i="7"/>
  <c r="E263" i="25"/>
  <c r="E263" i="12"/>
  <c r="E263" i="18"/>
  <c r="E263" i="6"/>
  <c r="E263" i="24"/>
  <c r="E263" i="23"/>
  <c r="E263" i="13"/>
  <c r="E263" i="14"/>
  <c r="E263" i="20"/>
  <c r="E263" i="11"/>
  <c r="E263" i="19"/>
  <c r="E263" i="5"/>
  <c r="E8" i="20" l="1"/>
  <c r="E264" i="5"/>
  <c r="E265" i="7"/>
  <c r="E264" i="4"/>
  <c r="E264" i="14"/>
  <c r="E264" i="24"/>
  <c r="E264" i="25"/>
  <c r="E264" i="19"/>
  <c r="E264" i="11"/>
  <c r="E264" i="23"/>
  <c r="E264" i="6"/>
  <c r="E264" i="13"/>
  <c r="E264" i="12"/>
  <c r="E264" i="18"/>
  <c r="E4" i="20" l="1"/>
  <c r="F15" i="20" s="1"/>
  <c r="D15" i="20"/>
  <c r="E265" i="18"/>
  <c r="E265" i="5"/>
  <c r="E265" i="23"/>
  <c r="E265" i="24"/>
  <c r="E265" i="12"/>
  <c r="E265" i="19"/>
  <c r="E265" i="4"/>
  <c r="E265" i="13"/>
  <c r="E265" i="11"/>
  <c r="E265" i="25"/>
  <c r="E265" i="6"/>
  <c r="E266" i="7"/>
  <c r="E265" i="14"/>
  <c r="E266" i="14"/>
  <c r="E266" i="18"/>
  <c r="E266" i="6"/>
  <c r="E266" i="13"/>
  <c r="E266" i="19"/>
  <c r="E266" i="23"/>
  <c r="E267" i="7"/>
  <c r="E266" i="25"/>
  <c r="E266" i="4"/>
  <c r="E266" i="24"/>
  <c r="E266" i="11"/>
  <c r="E266" i="5"/>
  <c r="E266" i="12"/>
  <c r="E267" i="12"/>
  <c r="E267" i="14"/>
  <c r="E267" i="24"/>
  <c r="E267" i="25"/>
  <c r="E267" i="13"/>
  <c r="E267" i="5"/>
  <c r="E267" i="4"/>
  <c r="E268" i="7"/>
  <c r="E267" i="18"/>
  <c r="E267" i="11"/>
  <c r="E267" i="23"/>
  <c r="E267" i="6"/>
  <c r="E267" i="19"/>
  <c r="E268" i="19"/>
  <c r="E268" i="12"/>
  <c r="E268" i="23"/>
  <c r="E268" i="18"/>
  <c r="E268" i="5"/>
  <c r="E268" i="14"/>
  <c r="E268" i="6"/>
  <c r="E269" i="7"/>
  <c r="E268" i="13"/>
  <c r="E268" i="11"/>
  <c r="E268" i="25"/>
  <c r="E268" i="4"/>
  <c r="E268" i="24"/>
  <c r="E269" i="24"/>
  <c r="E269" i="19"/>
  <c r="E270" i="7"/>
  <c r="E269" i="12"/>
  <c r="E269" i="4"/>
  <c r="E269" i="11"/>
  <c r="E269" i="6"/>
  <c r="E269" i="5"/>
  <c r="E269" i="25"/>
  <c r="E269" i="14"/>
  <c r="E269" i="18"/>
  <c r="E269" i="13"/>
  <c r="E269" i="23"/>
  <c r="E270" i="23"/>
  <c r="E270" i="24"/>
  <c r="E270" i="14"/>
  <c r="E270" i="25"/>
  <c r="E270" i="12"/>
  <c r="E270" i="13"/>
  <c r="E270" i="5"/>
  <c r="E270" i="4"/>
  <c r="E271" i="7"/>
  <c r="E270" i="18"/>
  <c r="E270" i="11"/>
  <c r="E270" i="19"/>
  <c r="E270" i="6"/>
  <c r="E271" i="6"/>
  <c r="E271" i="23"/>
  <c r="E271" i="18"/>
  <c r="E271" i="4"/>
  <c r="E271" i="25"/>
  <c r="E271" i="19"/>
  <c r="E272" i="7"/>
  <c r="E271" i="12"/>
  <c r="E271" i="11"/>
  <c r="E271" i="13"/>
  <c r="E271" i="14"/>
  <c r="E271" i="5"/>
  <c r="E271" i="24"/>
  <c r="E8" i="19" l="1"/>
  <c r="E272" i="24"/>
  <c r="E272" i="6"/>
  <c r="E272" i="14"/>
  <c r="E272" i="13"/>
  <c r="E272" i="11"/>
  <c r="E272" i="25"/>
  <c r="E272" i="23"/>
  <c r="E272" i="5"/>
  <c r="E272" i="12"/>
  <c r="E273" i="7"/>
  <c r="E272" i="18"/>
  <c r="E272" i="4"/>
  <c r="E4" i="19" l="1"/>
  <c r="F15" i="19" s="1"/>
  <c r="D15" i="19"/>
  <c r="E273" i="4"/>
  <c r="E273" i="12"/>
  <c r="E273" i="23"/>
  <c r="E273" i="24"/>
  <c r="E273" i="18"/>
  <c r="E273" i="5"/>
  <c r="E273" i="13"/>
  <c r="E273" i="6"/>
  <c r="E274" i="7"/>
  <c r="E273" i="11"/>
  <c r="E273" i="14"/>
  <c r="E273" i="25"/>
  <c r="E274" i="25"/>
  <c r="E274" i="11"/>
  <c r="E275" i="7"/>
  <c r="E274" i="5"/>
  <c r="E274" i="12"/>
  <c r="E274" i="14"/>
  <c r="E274" i="13"/>
  <c r="E274" i="18"/>
  <c r="E274" i="4"/>
  <c r="E274" i="6"/>
  <c r="E274" i="23"/>
  <c r="E274" i="24"/>
  <c r="E8" i="18" l="1"/>
  <c r="E275" i="24"/>
  <c r="E275" i="6"/>
  <c r="E275" i="4"/>
  <c r="E275" i="23"/>
  <c r="E275" i="14"/>
  <c r="E275" i="12"/>
  <c r="E275" i="11"/>
  <c r="E275" i="13"/>
  <c r="E276" i="7"/>
  <c r="E275" i="25"/>
  <c r="E275" i="5"/>
  <c r="E4" i="18" l="1"/>
  <c r="F15" i="18" s="1"/>
  <c r="D15" i="18"/>
  <c r="E276" i="5"/>
  <c r="E277" i="7"/>
  <c r="E276" i="13"/>
  <c r="E276" i="14"/>
  <c r="E276" i="6"/>
  <c r="E276" i="25"/>
  <c r="E276" i="12"/>
  <c r="E276" i="4"/>
  <c r="E276" i="24"/>
  <c r="E276" i="11"/>
  <c r="E276" i="23"/>
  <c r="E277" i="23"/>
  <c r="E277" i="24"/>
  <c r="E277" i="12"/>
  <c r="E277" i="6"/>
  <c r="E277" i="5"/>
  <c r="E277" i="11"/>
  <c r="E277" i="4"/>
  <c r="E277" i="25"/>
  <c r="E277" i="13"/>
  <c r="E278" i="7"/>
  <c r="E277" i="14"/>
  <c r="E278" i="14"/>
  <c r="E278" i="13"/>
  <c r="E278" i="4"/>
  <c r="E278" i="11"/>
  <c r="E278" i="24"/>
  <c r="E279" i="7"/>
  <c r="E278" i="6"/>
  <c r="E278" i="23"/>
  <c r="E278" i="25"/>
  <c r="E278" i="12"/>
  <c r="E278" i="5"/>
  <c r="E279" i="5"/>
  <c r="E279" i="25"/>
  <c r="E279" i="6"/>
  <c r="E280" i="7"/>
  <c r="E279" i="4"/>
  <c r="E279" i="12"/>
  <c r="E279" i="23"/>
  <c r="E279" i="11"/>
  <c r="E279" i="13"/>
  <c r="E279" i="24"/>
  <c r="E279" i="14"/>
  <c r="E280" i="14"/>
  <c r="E280" i="13"/>
  <c r="E280" i="11"/>
  <c r="E280" i="12"/>
  <c r="E280" i="6"/>
  <c r="E280" i="24"/>
  <c r="E280" i="4"/>
  <c r="E280" i="5"/>
  <c r="E280" i="23"/>
  <c r="E280" i="25"/>
  <c r="E281" i="7"/>
  <c r="E282" i="7"/>
  <c r="E281" i="23"/>
  <c r="E281" i="5"/>
  <c r="E281" i="6"/>
  <c r="E281" i="11"/>
  <c r="E281" i="25"/>
  <c r="E281" i="24"/>
  <c r="E281" i="12"/>
  <c r="E281" i="4"/>
  <c r="E281" i="14"/>
  <c r="E281" i="13"/>
  <c r="E282" i="13"/>
  <c r="E282" i="4"/>
  <c r="E282" i="12"/>
  <c r="E282" i="25"/>
  <c r="E282" i="5"/>
  <c r="E282" i="14"/>
  <c r="E282" i="11"/>
  <c r="E283" i="7"/>
  <c r="E282" i="24"/>
  <c r="E282" i="23"/>
  <c r="E282" i="6"/>
  <c r="E283" i="6"/>
  <c r="E283" i="24"/>
  <c r="E284" i="7"/>
  <c r="E283" i="14"/>
  <c r="E283" i="4"/>
  <c r="E283" i="23"/>
  <c r="E283" i="5"/>
  <c r="E283" i="12"/>
  <c r="E283" i="11"/>
  <c r="E283" i="13"/>
  <c r="E283" i="25"/>
  <c r="E284" i="25"/>
  <c r="E284" i="11"/>
  <c r="E284" i="12"/>
  <c r="E284" i="23"/>
  <c r="E284" i="24"/>
  <c r="E284" i="13"/>
  <c r="E284" i="4"/>
  <c r="E284" i="14"/>
  <c r="E284" i="5"/>
  <c r="E284" i="6"/>
  <c r="E285" i="7"/>
  <c r="E286" i="7"/>
  <c r="E285" i="5"/>
  <c r="E285" i="4"/>
  <c r="E285" i="13"/>
  <c r="E285" i="25"/>
  <c r="E285" i="6"/>
  <c r="E285" i="24"/>
  <c r="E285" i="11"/>
  <c r="E285" i="14"/>
  <c r="E285" i="12"/>
  <c r="E285" i="23"/>
  <c r="E286" i="23"/>
  <c r="E286" i="14"/>
  <c r="E286" i="6"/>
  <c r="E286" i="4"/>
  <c r="E286" i="12"/>
  <c r="E286" i="24"/>
  <c r="E286" i="25"/>
  <c r="E287" i="7"/>
  <c r="E286" i="11"/>
  <c r="E286" i="5"/>
  <c r="E286" i="13"/>
  <c r="E287" i="13"/>
  <c r="E287" i="11"/>
  <c r="E288" i="7"/>
  <c r="E287" i="12"/>
  <c r="E287" i="14"/>
  <c r="E287" i="5"/>
  <c r="E287" i="24"/>
  <c r="E287" i="6"/>
  <c r="E287" i="23"/>
  <c r="E287" i="25"/>
  <c r="E287" i="4"/>
  <c r="E288" i="4"/>
  <c r="E288" i="23"/>
  <c r="E288" i="5"/>
  <c r="E288" i="12"/>
  <c r="E288" i="11"/>
  <c r="E288" i="25"/>
  <c r="E288" i="24"/>
  <c r="E289" i="7"/>
  <c r="E288" i="6"/>
  <c r="E288" i="13"/>
  <c r="E288" i="14"/>
  <c r="E289" i="14"/>
  <c r="E289" i="6"/>
  <c r="E289" i="24"/>
  <c r="E289" i="12"/>
  <c r="E289" i="23"/>
  <c r="E289" i="13"/>
  <c r="E289" i="25"/>
  <c r="E289" i="5"/>
  <c r="E290" i="7"/>
  <c r="E289" i="4"/>
  <c r="E289" i="11"/>
  <c r="E290" i="11"/>
  <c r="E291" i="7"/>
  <c r="E290" i="5"/>
  <c r="E290" i="23"/>
  <c r="E290" i="6"/>
  <c r="E290" i="4"/>
  <c r="E290" i="13"/>
  <c r="E290" i="12"/>
  <c r="E290" i="14"/>
  <c r="E290" i="25"/>
  <c r="E290" i="24"/>
  <c r="E291" i="24"/>
  <c r="E291" i="14"/>
  <c r="E291" i="13"/>
  <c r="E291" i="5"/>
  <c r="E291" i="11"/>
  <c r="E291" i="25"/>
  <c r="E291" i="4"/>
  <c r="E291" i="6"/>
  <c r="E292" i="7"/>
  <c r="E291" i="12"/>
  <c r="E291" i="23"/>
  <c r="E292" i="23"/>
  <c r="E293" i="7"/>
  <c r="E292" i="6"/>
  <c r="E292" i="11"/>
  <c r="E292" i="14"/>
  <c r="E292" i="12"/>
  <c r="E292" i="25"/>
  <c r="E292" i="5"/>
  <c r="E292" i="24"/>
  <c r="E292" i="4"/>
  <c r="E292" i="13"/>
  <c r="E293" i="13"/>
  <c r="E293" i="24"/>
  <c r="E293" i="5"/>
  <c r="E293" i="14"/>
  <c r="E294" i="7"/>
  <c r="E293" i="4"/>
  <c r="E293" i="12"/>
  <c r="E293" i="11"/>
  <c r="E293" i="23"/>
  <c r="E293" i="25"/>
  <c r="E293" i="6"/>
  <c r="E294" i="6"/>
  <c r="E294" i="23"/>
  <c r="E294" i="11"/>
  <c r="E294" i="4"/>
  <c r="E294" i="5"/>
  <c r="E294" i="13"/>
  <c r="E294" i="25"/>
  <c r="E295" i="7"/>
  <c r="E294" i="24"/>
  <c r="E294" i="12"/>
  <c r="E294" i="14"/>
  <c r="E295" i="14"/>
  <c r="E295" i="24"/>
  <c r="E296" i="7"/>
  <c r="E295" i="13"/>
  <c r="E295" i="4"/>
  <c r="E295" i="23"/>
  <c r="E295" i="12"/>
  <c r="E295" i="5"/>
  <c r="E295" i="25"/>
  <c r="E295" i="6"/>
  <c r="E295" i="11"/>
  <c r="E296" i="11"/>
  <c r="E296" i="25"/>
  <c r="E296" i="5"/>
  <c r="E296" i="23"/>
  <c r="E297" i="7"/>
  <c r="E296" i="6"/>
  <c r="E296" i="4"/>
  <c r="E296" i="24"/>
  <c r="E296" i="12"/>
  <c r="E296" i="14"/>
  <c r="E296" i="13"/>
  <c r="E297" i="13"/>
  <c r="E297" i="12"/>
  <c r="E297" i="24"/>
  <c r="E298" i="7"/>
  <c r="E297" i="25"/>
  <c r="E297" i="14"/>
  <c r="E297" i="6"/>
  <c r="E297" i="5"/>
  <c r="E297" i="4"/>
  <c r="E297" i="11"/>
  <c r="E297" i="23"/>
  <c r="E298" i="23"/>
  <c r="E298" i="4"/>
  <c r="E298" i="5"/>
  <c r="E298" i="25"/>
  <c r="E298" i="13"/>
  <c r="E298" i="11"/>
  <c r="E298" i="14"/>
  <c r="E298" i="24"/>
  <c r="E298" i="6"/>
  <c r="E298" i="12"/>
  <c r="E299" i="7"/>
  <c r="E8" i="6" l="1"/>
  <c r="E300" i="7"/>
  <c r="E299" i="12"/>
  <c r="E299" i="14"/>
  <c r="E299" i="13"/>
  <c r="E299" i="23"/>
  <c r="E299" i="24"/>
  <c r="E299" i="25"/>
  <c r="E299" i="4"/>
  <c r="E299" i="11"/>
  <c r="E299" i="5"/>
  <c r="E4" i="6" l="1"/>
  <c r="F15" i="6" s="1"/>
  <c r="D15" i="6"/>
  <c r="E300" i="5"/>
  <c r="E300" i="4"/>
  <c r="E300" i="24"/>
  <c r="E300" i="23"/>
  <c r="E300" i="12"/>
  <c r="E300" i="11"/>
  <c r="E300" i="13"/>
  <c r="E300" i="25"/>
  <c r="E301" i="7"/>
  <c r="E300" i="14"/>
  <c r="E301" i="14"/>
  <c r="E301" i="25"/>
  <c r="E301" i="11"/>
  <c r="E301" i="23"/>
  <c r="E301" i="5"/>
  <c r="E302" i="7"/>
  <c r="E301" i="12"/>
  <c r="E301" i="13"/>
  <c r="E301" i="4"/>
  <c r="E301" i="24"/>
  <c r="E302" i="24"/>
  <c r="E302" i="13"/>
  <c r="E302" i="12"/>
  <c r="E302" i="5"/>
  <c r="E302" i="11"/>
  <c r="E302" i="4"/>
  <c r="E302" i="23"/>
  <c r="E302" i="14"/>
  <c r="E303" i="7"/>
  <c r="E302" i="25"/>
  <c r="E303" i="25"/>
  <c r="E303" i="14"/>
  <c r="E303" i="23"/>
  <c r="E303" i="11"/>
  <c r="E303" i="13"/>
  <c r="E304" i="7"/>
  <c r="E303" i="12"/>
  <c r="E303" i="4"/>
  <c r="E303" i="24"/>
  <c r="E303" i="5"/>
  <c r="E304" i="5"/>
  <c r="E304" i="4"/>
  <c r="E304" i="12"/>
  <c r="E305" i="7"/>
  <c r="E304" i="23"/>
  <c r="E304" i="24"/>
  <c r="E304" i="11"/>
  <c r="E304" i="14"/>
  <c r="E304" i="13"/>
  <c r="E304" i="25"/>
  <c r="E305" i="25"/>
  <c r="E305" i="14"/>
  <c r="E305" i="11"/>
  <c r="E306" i="7"/>
  <c r="E305" i="13"/>
  <c r="E305" i="23"/>
  <c r="E305" i="4"/>
  <c r="E305" i="24"/>
  <c r="E305" i="5"/>
  <c r="E305" i="12"/>
  <c r="E306" i="12"/>
  <c r="E306" i="24"/>
  <c r="E306" i="4"/>
  <c r="E307" i="7"/>
  <c r="E306" i="25"/>
  <c r="E306" i="5"/>
  <c r="E306" i="13"/>
  <c r="E306" i="14"/>
  <c r="E306" i="23"/>
  <c r="E306" i="11"/>
  <c r="E307" i="11"/>
  <c r="E307" i="14"/>
  <c r="E307" i="5"/>
  <c r="E307" i="25"/>
  <c r="E307" i="24"/>
  <c r="E307" i="23"/>
  <c r="E307" i="4"/>
  <c r="E307" i="13"/>
  <c r="E307" i="12"/>
  <c r="E308" i="7"/>
  <c r="E309" i="7"/>
  <c r="E308" i="13"/>
  <c r="E308" i="4"/>
  <c r="E308" i="24"/>
  <c r="E308" i="14"/>
  <c r="E308" i="12"/>
  <c r="E308" i="25"/>
  <c r="E308" i="11"/>
  <c r="E308" i="23"/>
  <c r="E308" i="5"/>
  <c r="E309" i="5"/>
  <c r="E309" i="11"/>
  <c r="E309" i="12"/>
  <c r="E309" i="14"/>
  <c r="E310" i="7"/>
  <c r="E309" i="23"/>
  <c r="E309" i="4"/>
  <c r="E309" i="25"/>
  <c r="E309" i="13"/>
  <c r="E309" i="24"/>
  <c r="E310" i="24"/>
  <c r="E310" i="25"/>
  <c r="E310" i="4"/>
  <c r="E311" i="7"/>
  <c r="E310" i="5"/>
  <c r="E310" i="13"/>
  <c r="E310" i="14"/>
  <c r="E310" i="11"/>
  <c r="E310" i="23"/>
  <c r="E310" i="12"/>
  <c r="E311" i="12"/>
  <c r="E311" i="11"/>
  <c r="E311" i="14"/>
  <c r="E312" i="7"/>
  <c r="E311" i="24"/>
  <c r="E311" i="23"/>
  <c r="E311" i="5"/>
  <c r="E311" i="25"/>
  <c r="E311" i="13"/>
  <c r="E311" i="4"/>
  <c r="E312" i="4"/>
  <c r="E312" i="25"/>
  <c r="E312" i="5"/>
  <c r="E313" i="7"/>
  <c r="E312" i="12"/>
  <c r="E312" i="13"/>
  <c r="E312" i="24"/>
  <c r="E312" i="11"/>
  <c r="E312" i="23"/>
  <c r="E312" i="14"/>
  <c r="E313" i="14"/>
  <c r="E313" i="11"/>
  <c r="E313" i="13"/>
  <c r="E314" i="7"/>
  <c r="E313" i="23"/>
  <c r="E313" i="12"/>
  <c r="E313" i="5"/>
  <c r="E313" i="24"/>
  <c r="E313" i="4"/>
  <c r="E313" i="25"/>
  <c r="E314" i="25"/>
  <c r="E314" i="24"/>
  <c r="E314" i="5"/>
  <c r="E314" i="12"/>
  <c r="E314" i="13"/>
  <c r="E314" i="4"/>
  <c r="E315" i="7"/>
  <c r="E314" i="11"/>
  <c r="E314" i="23"/>
  <c r="E314" i="14"/>
  <c r="E315" i="14"/>
  <c r="E316" i="7"/>
  <c r="E315" i="13"/>
  <c r="E315" i="5"/>
  <c r="E315" i="23"/>
  <c r="E315" i="4"/>
  <c r="E315" i="12"/>
  <c r="E315" i="11"/>
  <c r="E315" i="25"/>
  <c r="E315" i="24"/>
  <c r="E316" i="24"/>
  <c r="E316" i="11"/>
  <c r="E316" i="12"/>
  <c r="E316" i="4"/>
  <c r="E316" i="13"/>
  <c r="E316" i="25"/>
  <c r="E316" i="23"/>
  <c r="E317" i="7"/>
  <c r="E316" i="5"/>
  <c r="E316" i="14"/>
  <c r="E317" i="14"/>
  <c r="E318" i="7"/>
  <c r="E317" i="25"/>
  <c r="E317" i="12"/>
  <c r="E317" i="5"/>
  <c r="E317" i="13"/>
  <c r="E317" i="4"/>
  <c r="E317" i="23"/>
  <c r="E317" i="24"/>
  <c r="E317" i="11"/>
  <c r="E318" i="11"/>
  <c r="E318" i="23"/>
  <c r="E318" i="4"/>
  <c r="E318" i="12"/>
  <c r="E318" i="14"/>
  <c r="E318" i="24"/>
  <c r="E318" i="13"/>
  <c r="E319" i="7"/>
  <c r="E318" i="5"/>
  <c r="E318" i="25"/>
  <c r="E319" i="25"/>
  <c r="E320" i="7"/>
  <c r="E319" i="13"/>
  <c r="E319" i="14"/>
  <c r="E319" i="11"/>
  <c r="E319" i="5"/>
  <c r="E319" i="12"/>
  <c r="E319" i="23"/>
  <c r="E319" i="24"/>
  <c r="E319" i="4"/>
  <c r="E320" i="4"/>
  <c r="E320" i="23"/>
  <c r="E320" i="11"/>
  <c r="E321" i="7"/>
  <c r="E320" i="24"/>
  <c r="E320" i="5"/>
  <c r="E320" i="14"/>
  <c r="E320" i="12"/>
  <c r="E320" i="25"/>
  <c r="E320" i="13"/>
  <c r="E321" i="13"/>
  <c r="E321" i="25"/>
  <c r="E321" i="14"/>
  <c r="E321" i="24"/>
  <c r="E321" i="23"/>
  <c r="E321" i="12"/>
  <c r="E322" i="7"/>
  <c r="E321" i="5"/>
  <c r="E321" i="4"/>
  <c r="E321" i="11"/>
  <c r="E322" i="11"/>
  <c r="E322" i="5"/>
  <c r="E323" i="7"/>
  <c r="E322" i="24"/>
  <c r="E322" i="13"/>
  <c r="E322" i="4"/>
  <c r="E322" i="23"/>
  <c r="E322" i="25"/>
  <c r="E322" i="12"/>
  <c r="E322" i="14"/>
  <c r="E323" i="14"/>
  <c r="E323" i="25"/>
  <c r="E323" i="23"/>
  <c r="E323" i="4"/>
  <c r="E324" i="7"/>
  <c r="E323" i="12"/>
  <c r="E323" i="13"/>
  <c r="E323" i="5"/>
  <c r="E323" i="24"/>
  <c r="E323" i="11"/>
  <c r="E324" i="11"/>
  <c r="E324" i="5"/>
  <c r="E324" i="13"/>
  <c r="E324" i="4"/>
  <c r="E324" i="14"/>
  <c r="E324" i="24"/>
  <c r="E325" i="7"/>
  <c r="E324" i="25"/>
  <c r="E324" i="12"/>
  <c r="E324" i="23"/>
  <c r="E8" i="23" l="1"/>
  <c r="E325" i="12"/>
  <c r="E326" i="7"/>
  <c r="E325" i="14"/>
  <c r="E325" i="13"/>
  <c r="E325" i="25"/>
  <c r="E325" i="4"/>
  <c r="E325" i="5"/>
  <c r="E325" i="24"/>
  <c r="E325" i="11"/>
  <c r="E8" i="13" l="1"/>
  <c r="D15" i="23"/>
  <c r="E4" i="23"/>
  <c r="F15" i="23" s="1"/>
  <c r="E326" i="11"/>
  <c r="E326" i="5"/>
  <c r="E326" i="25"/>
  <c r="E326" i="14"/>
  <c r="E326" i="24"/>
  <c r="E326" i="4"/>
  <c r="E326" i="12"/>
  <c r="E327" i="7"/>
  <c r="E4" i="13" l="1"/>
  <c r="F15" i="13" s="1"/>
  <c r="D15" i="13"/>
  <c r="E328" i="7"/>
  <c r="E327" i="4"/>
  <c r="E327" i="14"/>
  <c r="E327" i="25"/>
  <c r="E327" i="12"/>
  <c r="E327" i="5"/>
  <c r="E327" i="24"/>
  <c r="E327" i="11"/>
  <c r="E328" i="11"/>
  <c r="E328" i="5"/>
  <c r="E328" i="12"/>
  <c r="E328" i="14"/>
  <c r="E329" i="7"/>
  <c r="E328" i="24"/>
  <c r="E328" i="4"/>
  <c r="E328" i="25"/>
  <c r="E329" i="25"/>
  <c r="E329" i="24"/>
  <c r="E329" i="14"/>
  <c r="E329" i="5"/>
  <c r="E329" i="4"/>
  <c r="E329" i="12"/>
  <c r="E330" i="7"/>
  <c r="E329" i="11"/>
  <c r="E330" i="11"/>
  <c r="E330" i="12"/>
  <c r="E330" i="5"/>
  <c r="E330" i="25"/>
  <c r="E331" i="7"/>
  <c r="E330" i="14"/>
  <c r="E330" i="4"/>
  <c r="E330" i="24"/>
  <c r="E331" i="24"/>
  <c r="E331" i="14"/>
  <c r="E331" i="25"/>
  <c r="E331" i="12"/>
  <c r="E331" i="4"/>
  <c r="E331" i="5"/>
  <c r="E332" i="7"/>
  <c r="E331" i="11"/>
  <c r="E332" i="11"/>
  <c r="E332" i="5"/>
  <c r="E332" i="4"/>
  <c r="E332" i="14"/>
  <c r="E333" i="7"/>
  <c r="E332" i="25"/>
  <c r="E332" i="24"/>
  <c r="E332" i="12"/>
  <c r="E333" i="12"/>
  <c r="E333" i="25"/>
  <c r="E334" i="7"/>
  <c r="E333" i="4"/>
  <c r="E333" i="24"/>
  <c r="E333" i="14"/>
  <c r="E333" i="11"/>
  <c r="E333" i="5"/>
  <c r="E334" i="5"/>
  <c r="E334" i="14"/>
  <c r="E334" i="4"/>
  <c r="E334" i="25"/>
  <c r="E334" i="11"/>
  <c r="E335" i="7"/>
  <c r="E334" i="12"/>
  <c r="E334" i="24"/>
  <c r="E335" i="24"/>
  <c r="E336" i="7"/>
  <c r="E335" i="11"/>
  <c r="E335" i="4"/>
  <c r="E335" i="12"/>
  <c r="E335" i="25"/>
  <c r="E335" i="14"/>
  <c r="E335" i="5"/>
  <c r="E336" i="5"/>
  <c r="E336" i="25"/>
  <c r="E336" i="12"/>
  <c r="E337" i="7"/>
  <c r="E336" i="14"/>
  <c r="E336" i="11"/>
  <c r="E336" i="24"/>
  <c r="E336" i="4"/>
  <c r="E337" i="4"/>
  <c r="E337" i="11"/>
  <c r="E337" i="14"/>
  <c r="E337" i="25"/>
  <c r="E337" i="24"/>
  <c r="E337" i="12"/>
  <c r="E337" i="5"/>
  <c r="E338" i="7"/>
  <c r="E339" i="7"/>
  <c r="E338" i="12"/>
  <c r="E338" i="24"/>
  <c r="E338" i="11"/>
  <c r="E338" i="5"/>
  <c r="E338" i="14"/>
  <c r="E338" i="4"/>
  <c r="E338" i="25"/>
  <c r="E339" i="25"/>
  <c r="E339" i="14"/>
  <c r="E339" i="5"/>
  <c r="E339" i="24"/>
  <c r="E339" i="12"/>
  <c r="E339" i="4"/>
  <c r="E339" i="11"/>
  <c r="E340" i="7"/>
  <c r="E341" i="7"/>
  <c r="E340" i="4"/>
  <c r="E340" i="12"/>
  <c r="E340" i="5"/>
  <c r="E340" i="25"/>
  <c r="E340" i="11"/>
  <c r="E340" i="24"/>
  <c r="E340" i="14"/>
  <c r="E8" i="14" l="1"/>
  <c r="E341" i="24"/>
  <c r="E341" i="25"/>
  <c r="E342" i="7"/>
  <c r="E341" i="11"/>
  <c r="E341" i="12"/>
  <c r="E341" i="4"/>
  <c r="E341" i="5"/>
  <c r="E4" i="14" l="1"/>
  <c r="F15" i="14" s="1"/>
  <c r="D15" i="14"/>
  <c r="E342" i="5"/>
  <c r="E342" i="12"/>
  <c r="E343" i="7"/>
  <c r="E342" i="24"/>
  <c r="E342" i="4"/>
  <c r="E342" i="25"/>
  <c r="E342" i="11"/>
  <c r="E343" i="11"/>
  <c r="E343" i="4"/>
  <c r="E344" i="7"/>
  <c r="E343" i="5"/>
  <c r="E343" i="25"/>
  <c r="E343" i="12"/>
  <c r="E343" i="24"/>
  <c r="E344" i="24"/>
  <c r="E344" i="25"/>
  <c r="E344" i="5"/>
  <c r="E344" i="11"/>
  <c r="E344" i="12"/>
  <c r="E345" i="7"/>
  <c r="E344" i="4"/>
  <c r="E345" i="4"/>
  <c r="E345" i="12"/>
  <c r="E345" i="11"/>
  <c r="E345" i="24"/>
  <c r="E346" i="7"/>
  <c r="E345" i="25"/>
  <c r="E345" i="5"/>
  <c r="E346" i="5"/>
  <c r="E347" i="7"/>
  <c r="E346" i="24"/>
  <c r="E346" i="4"/>
  <c r="E346" i="25"/>
  <c r="E346" i="12"/>
  <c r="E346" i="11"/>
  <c r="E347" i="11"/>
  <c r="E347" i="25"/>
  <c r="E347" i="4"/>
  <c r="E347" i="5"/>
  <c r="E347" i="12"/>
  <c r="E348" i="7"/>
  <c r="E347" i="24"/>
  <c r="E348" i="24"/>
  <c r="E348" i="12"/>
  <c r="E348" i="4"/>
  <c r="E348" i="11"/>
  <c r="E349" i="7"/>
  <c r="E348" i="25"/>
  <c r="E348" i="5"/>
  <c r="E349" i="5"/>
  <c r="E350" i="7"/>
  <c r="E349" i="4"/>
  <c r="E349" i="24"/>
  <c r="E349" i="25"/>
  <c r="E349" i="12"/>
  <c r="E349" i="11"/>
  <c r="E350" i="11"/>
  <c r="E350" i="25"/>
  <c r="E350" i="4"/>
  <c r="E350" i="5"/>
  <c r="E350" i="12"/>
  <c r="E351" i="7"/>
  <c r="E350" i="24"/>
  <c r="E351" i="24"/>
  <c r="E351" i="12"/>
  <c r="E351" i="5"/>
  <c r="E351" i="11"/>
  <c r="E352" i="7"/>
  <c r="E351" i="25"/>
  <c r="E351" i="4"/>
  <c r="E352" i="4"/>
  <c r="E353" i="7"/>
  <c r="E352" i="5"/>
  <c r="E352" i="12"/>
  <c r="E352" i="25"/>
  <c r="E352" i="24"/>
  <c r="E352" i="11"/>
  <c r="E353" i="11"/>
  <c r="E353" i="25"/>
  <c r="E353" i="5"/>
  <c r="E353" i="4"/>
  <c r="E353" i="24"/>
  <c r="E354" i="7"/>
  <c r="E353" i="12"/>
  <c r="E354" i="12"/>
  <c r="E354" i="24"/>
  <c r="E354" i="5"/>
  <c r="E354" i="11"/>
  <c r="E355" i="7"/>
  <c r="E354" i="25"/>
  <c r="E354" i="4"/>
  <c r="E355" i="4"/>
  <c r="E356" i="7"/>
  <c r="E355" i="11"/>
  <c r="E355" i="12"/>
  <c r="E355" i="25"/>
  <c r="E355" i="24"/>
  <c r="E355" i="5"/>
  <c r="E356" i="5"/>
  <c r="E356" i="25"/>
  <c r="E356" i="12"/>
  <c r="E356" i="4"/>
  <c r="E356" i="24"/>
  <c r="E357" i="7"/>
  <c r="E356" i="11"/>
  <c r="E357" i="11"/>
  <c r="E357" i="24"/>
  <c r="E357" i="4"/>
  <c r="E357" i="5"/>
  <c r="E358" i="7"/>
  <c r="E357" i="12"/>
  <c r="E357" i="25"/>
  <c r="E358" i="25"/>
  <c r="E359" i="7"/>
  <c r="E358" i="5"/>
  <c r="E358" i="11"/>
  <c r="E358" i="12"/>
  <c r="E358" i="4"/>
  <c r="E358" i="24"/>
  <c r="E359" i="24"/>
  <c r="E359" i="12"/>
  <c r="E359" i="11"/>
  <c r="E359" i="25"/>
  <c r="E359" i="4"/>
  <c r="E360" i="7"/>
  <c r="E359" i="5"/>
  <c r="E360" i="5"/>
  <c r="E360" i="4"/>
  <c r="E360" i="12"/>
  <c r="E361" i="7"/>
  <c r="E360" i="25"/>
  <c r="E360" i="24"/>
  <c r="E360" i="11"/>
  <c r="E361" i="11"/>
  <c r="E361" i="25"/>
  <c r="E361" i="12"/>
  <c r="E361" i="24"/>
  <c r="E362" i="7"/>
  <c r="E361" i="5"/>
  <c r="E361" i="4"/>
  <c r="E362" i="4"/>
  <c r="E363" i="7"/>
  <c r="E362" i="24"/>
  <c r="E362" i="11"/>
  <c r="E362" i="5"/>
  <c r="E362" i="25"/>
  <c r="E362" i="12"/>
  <c r="E363" i="12"/>
  <c r="E363" i="5"/>
  <c r="E363" i="24"/>
  <c r="E363" i="4"/>
  <c r="E363" i="25"/>
  <c r="E364" i="7"/>
  <c r="E363" i="11"/>
  <c r="E364" i="11"/>
  <c r="E364" i="25"/>
  <c r="E364" i="4"/>
  <c r="E364" i="12"/>
  <c r="E365" i="7"/>
  <c r="E364" i="5"/>
  <c r="E364" i="24"/>
  <c r="E365" i="24"/>
  <c r="E366" i="7"/>
  <c r="E365" i="25"/>
  <c r="E365" i="5"/>
  <c r="E365" i="4"/>
  <c r="E365" i="11"/>
  <c r="E365" i="12"/>
  <c r="E366" i="12"/>
  <c r="E366" i="4"/>
  <c r="E366" i="25"/>
  <c r="E366" i="24"/>
  <c r="E366" i="11"/>
  <c r="E367" i="7"/>
  <c r="E366" i="5"/>
  <c r="E367" i="5"/>
  <c r="E367" i="11"/>
  <c r="E367" i="24"/>
  <c r="E367" i="12"/>
  <c r="E368" i="7"/>
  <c r="E367" i="4"/>
  <c r="E367" i="25"/>
  <c r="E368" i="25"/>
  <c r="E369" i="7"/>
  <c r="E368" i="24"/>
  <c r="E368" i="5"/>
  <c r="E368" i="4"/>
  <c r="E368" i="11"/>
  <c r="E368" i="12"/>
  <c r="E369" i="12"/>
  <c r="E369" i="4"/>
  <c r="E369" i="5"/>
  <c r="E369" i="25"/>
  <c r="E369" i="11"/>
  <c r="E370" i="7"/>
  <c r="E369" i="24"/>
  <c r="E370" i="24"/>
  <c r="E370" i="11"/>
  <c r="E370" i="5"/>
  <c r="E370" i="12"/>
  <c r="E371" i="7"/>
  <c r="E370" i="25"/>
  <c r="E370" i="4"/>
  <c r="E371" i="4"/>
  <c r="E372" i="7"/>
  <c r="E371" i="12"/>
  <c r="E371" i="24"/>
  <c r="E371" i="25"/>
  <c r="E371" i="11"/>
  <c r="E371" i="5"/>
  <c r="E8" i="12" l="1"/>
  <c r="E372" i="5"/>
  <c r="E372" i="11"/>
  <c r="E372" i="24"/>
  <c r="E373" i="7"/>
  <c r="E372" i="25"/>
  <c r="E372" i="4"/>
  <c r="D15" i="12" l="1"/>
  <c r="E4" i="12"/>
  <c r="F15" i="12" s="1"/>
  <c r="E373" i="4"/>
  <c r="E374" i="7"/>
  <c r="E373" i="11"/>
  <c r="E373" i="25"/>
  <c r="E373" i="5"/>
  <c r="E373" i="24"/>
  <c r="E374" i="24"/>
  <c r="E374" i="25"/>
  <c r="E375" i="7"/>
  <c r="E374" i="5"/>
  <c r="E374" i="4"/>
  <c r="E374" i="11"/>
  <c r="E375" i="11"/>
  <c r="E375" i="5"/>
  <c r="E376" i="7"/>
  <c r="E375" i="4"/>
  <c r="E375" i="24"/>
  <c r="E375" i="25"/>
  <c r="E376" i="25"/>
  <c r="E376" i="4"/>
  <c r="E377" i="7"/>
  <c r="E376" i="24"/>
  <c r="E376" i="11"/>
  <c r="E376" i="5"/>
  <c r="E377" i="5"/>
  <c r="E377" i="24"/>
  <c r="E378" i="7"/>
  <c r="E377" i="25"/>
  <c r="E377" i="11"/>
  <c r="E377" i="4"/>
  <c r="E378" i="4"/>
  <c r="E378" i="25"/>
  <c r="E379" i="7"/>
  <c r="E378" i="5"/>
  <c r="E378" i="11"/>
  <c r="E378" i="24"/>
  <c r="E379" i="24"/>
  <c r="E379" i="5"/>
  <c r="E380" i="7"/>
  <c r="E379" i="4"/>
  <c r="E379" i="11"/>
  <c r="E379" i="25"/>
  <c r="E380" i="25"/>
  <c r="E380" i="4"/>
  <c r="E381" i="7"/>
  <c r="E380" i="24"/>
  <c r="E380" i="11"/>
  <c r="E380" i="5"/>
  <c r="E381" i="5"/>
  <c r="E381" i="24"/>
  <c r="E382" i="7"/>
  <c r="E381" i="11"/>
  <c r="E381" i="4"/>
  <c r="E381" i="25"/>
  <c r="E382" i="25"/>
  <c r="E382" i="11"/>
  <c r="E383" i="7"/>
  <c r="E382" i="5"/>
  <c r="E382" i="4"/>
  <c r="E382" i="24"/>
  <c r="E383" i="24"/>
  <c r="E383" i="5"/>
  <c r="E384" i="7"/>
  <c r="E383" i="4"/>
  <c r="E383" i="25"/>
  <c r="E383" i="11"/>
  <c r="E384" i="11"/>
  <c r="E384" i="4"/>
  <c r="E384" i="5"/>
  <c r="E384" i="25"/>
  <c r="E384" i="24"/>
  <c r="E385" i="7"/>
  <c r="E386" i="7"/>
  <c r="E385" i="25"/>
  <c r="E385" i="11"/>
  <c r="E385" i="24"/>
  <c r="E385" i="4"/>
  <c r="E385" i="5"/>
  <c r="E386" i="5"/>
  <c r="E386" i="24"/>
  <c r="E387" i="7"/>
  <c r="E386" i="4"/>
  <c r="E386" i="11"/>
  <c r="E386" i="25"/>
  <c r="E387" i="25"/>
  <c r="E387" i="4"/>
  <c r="E388" i="7"/>
  <c r="E387" i="11"/>
  <c r="E387" i="24"/>
  <c r="E387" i="5"/>
  <c r="E388" i="5"/>
  <c r="E388" i="11"/>
  <c r="E389" i="7"/>
  <c r="E388" i="25"/>
  <c r="E388" i="24"/>
  <c r="E388" i="4"/>
  <c r="E389" i="4"/>
  <c r="E389" i="25"/>
  <c r="E390" i="7"/>
  <c r="E389" i="11"/>
  <c r="E389" i="24"/>
  <c r="E389" i="5"/>
  <c r="E390" i="5"/>
  <c r="E390" i="11"/>
  <c r="E390" i="4"/>
  <c r="E390" i="24"/>
  <c r="E390" i="25"/>
  <c r="E391" i="7"/>
  <c r="E8" i="24" l="1"/>
  <c r="E392" i="7"/>
  <c r="E391" i="25"/>
  <c r="E391" i="5"/>
  <c r="E391" i="4"/>
  <c r="E391" i="11"/>
  <c r="E8" i="25" l="1"/>
  <c r="E4" i="24"/>
  <c r="F15" i="24" s="1"/>
  <c r="D15" i="24"/>
  <c r="E392" i="11"/>
  <c r="E392" i="5"/>
  <c r="E392" i="4"/>
  <c r="E393" i="7"/>
  <c r="D15" i="25" l="1"/>
  <c r="E4" i="25"/>
  <c r="F15" i="25" s="1"/>
  <c r="E394" i="7"/>
  <c r="E393" i="5"/>
  <c r="E393" i="4"/>
  <c r="E393" i="11"/>
  <c r="E394" i="11"/>
  <c r="E394" i="5"/>
  <c r="E394" i="4"/>
  <c r="E395" i="7"/>
  <c r="E396" i="7"/>
  <c r="E395" i="4"/>
  <c r="E395" i="11"/>
  <c r="E395" i="5"/>
  <c r="E396" i="5"/>
  <c r="E396" i="4"/>
  <c r="E397" i="7"/>
  <c r="E396" i="11"/>
  <c r="E397" i="11"/>
  <c r="E397" i="4"/>
  <c r="E397" i="5"/>
  <c r="E398" i="7"/>
  <c r="E399" i="7"/>
  <c r="E398" i="4"/>
  <c r="E398" i="11"/>
  <c r="E398" i="5"/>
  <c r="E399" i="5"/>
  <c r="E399" i="11"/>
  <c r="E400" i="7"/>
  <c r="E399" i="4"/>
  <c r="E400" i="4"/>
  <c r="E401" i="7"/>
  <c r="E400" i="5"/>
  <c r="E400" i="11"/>
  <c r="E401" i="11"/>
  <c r="E401" i="5"/>
  <c r="E401" i="4"/>
  <c r="E402" i="7"/>
  <c r="E403" i="7"/>
  <c r="E402" i="5"/>
  <c r="E402" i="11"/>
  <c r="E402" i="4"/>
  <c r="E403" i="4"/>
  <c r="E403" i="5"/>
  <c r="E404" i="7"/>
  <c r="E403" i="11"/>
  <c r="E8" i="11" l="1"/>
  <c r="E405" i="7"/>
  <c r="E404" i="4"/>
  <c r="E404" i="5"/>
  <c r="E4" i="11" l="1"/>
  <c r="F15" i="11" s="1"/>
  <c r="D15" i="11"/>
  <c r="E405" i="5"/>
  <c r="E406" i="7"/>
  <c r="E405" i="4"/>
  <c r="E406" i="4"/>
  <c r="E406" i="5"/>
  <c r="E407" i="7"/>
  <c r="E408" i="7"/>
  <c r="E407" i="4"/>
  <c r="E407" i="5"/>
  <c r="E408" i="5"/>
  <c r="E408" i="4"/>
  <c r="E409" i="7"/>
  <c r="E410" i="7"/>
  <c r="E409" i="5"/>
  <c r="E409" i="4"/>
  <c r="E410" i="4"/>
  <c r="E411" i="7"/>
  <c r="E410" i="5"/>
  <c r="E411" i="5"/>
  <c r="E411" i="4"/>
  <c r="E412" i="7"/>
  <c r="E413" i="7"/>
  <c r="E412" i="5"/>
  <c r="E412" i="4"/>
  <c r="E413" i="4"/>
  <c r="E414" i="7"/>
  <c r="E413" i="5"/>
  <c r="E414" i="5"/>
  <c r="E414" i="4"/>
  <c r="E415" i="7"/>
  <c r="E416" i="7"/>
  <c r="E415" i="5"/>
  <c r="E415" i="4"/>
  <c r="E416" i="4"/>
  <c r="E417" i="7"/>
  <c r="E416" i="5"/>
  <c r="E417" i="5"/>
  <c r="E417" i="4"/>
  <c r="E418" i="7"/>
  <c r="E419" i="7"/>
  <c r="E418" i="5"/>
  <c r="E418" i="4"/>
  <c r="E419" i="4"/>
  <c r="E420" i="7"/>
  <c r="E419" i="5"/>
  <c r="E420" i="5"/>
  <c r="E421" i="7"/>
  <c r="E420" i="4"/>
  <c r="E421" i="4"/>
  <c r="E421" i="5"/>
  <c r="E422" i="7"/>
  <c r="E423" i="7"/>
  <c r="E422" i="4"/>
  <c r="E422" i="5"/>
  <c r="E423" i="5"/>
  <c r="E424" i="7"/>
  <c r="E423" i="4"/>
  <c r="E424" i="4"/>
  <c r="E424" i="5"/>
  <c r="E425" i="7"/>
  <c r="E426" i="7"/>
  <c r="E425" i="4"/>
  <c r="E425" i="5"/>
  <c r="E426" i="5"/>
  <c r="E426" i="4"/>
  <c r="E427" i="7"/>
  <c r="E428" i="7"/>
  <c r="E427" i="5"/>
  <c r="E427" i="4"/>
  <c r="E428" i="4"/>
  <c r="E428" i="5"/>
  <c r="E429" i="7"/>
  <c r="E430" i="7"/>
  <c r="E429" i="4"/>
  <c r="E429" i="5"/>
  <c r="E430" i="5"/>
  <c r="E431" i="7"/>
  <c r="E430" i="4"/>
  <c r="E431" i="4"/>
  <c r="E431" i="5"/>
  <c r="E432" i="7"/>
  <c r="E433" i="7"/>
  <c r="E432" i="4"/>
  <c r="E432" i="5"/>
  <c r="E433" i="5"/>
  <c r="E434" i="7"/>
  <c r="E433" i="4"/>
  <c r="E434" i="4"/>
  <c r="E434" i="5"/>
  <c r="E435" i="7"/>
  <c r="E436" i="7"/>
  <c r="E435" i="4"/>
  <c r="E435" i="5"/>
  <c r="E8" i="7" l="1"/>
  <c r="E436" i="5"/>
  <c r="E436" i="4"/>
  <c r="D15" i="7" l="1"/>
  <c r="E4" i="7"/>
  <c r="F15" i="7" s="1"/>
  <c r="E437" i="4"/>
  <c r="E437" i="5"/>
  <c r="E438" i="5"/>
  <c r="E438" i="4"/>
  <c r="E8" i="5" l="1"/>
  <c r="E439" i="4"/>
  <c r="E8" i="4" l="1"/>
  <c r="E4" i="5"/>
  <c r="F15" i="5" s="1"/>
  <c r="D15" i="5"/>
  <c r="D15" i="4" l="1"/>
  <c r="E4" i="4"/>
  <c r="F1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7" authorId="0" shapeId="0" xr:uid="{00000000-0006-0000-1D00-000001000000}">
      <text>
        <r>
          <rPr>
            <b/>
            <sz val="9"/>
            <rFont val="宋体"/>
            <family val="3"/>
            <charset val="134"/>
          </rPr>
          <t>Sharon:</t>
        </r>
        <r>
          <rPr>
            <sz val="9"/>
            <rFont val="宋体"/>
            <family val="3"/>
            <charset val="134"/>
          </rPr>
          <t xml:space="preserve">
冻结拆分窗格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7" authorId="0" shapeId="0" xr:uid="{00000000-0006-0000-1E00-000001000000}">
      <text>
        <r>
          <rPr>
            <b/>
            <sz val="9"/>
            <color indexed="81"/>
            <rFont val="宋体"/>
            <family val="3"/>
            <charset val="134"/>
          </rPr>
          <t>Sharon:</t>
        </r>
        <r>
          <rPr>
            <sz val="9"/>
            <color indexed="81"/>
            <rFont val="宋体"/>
            <family val="3"/>
            <charset val="134"/>
          </rPr>
          <t xml:space="preserve">
冻结拆分窗格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115" authorId="0" shapeId="0" xr:uid="{00000000-0006-0000-2600-000001000000}">
      <text>
        <r>
          <rPr>
            <b/>
            <sz val="9"/>
            <color indexed="81"/>
            <rFont val="宋体"/>
            <family val="3"/>
            <charset val="134"/>
          </rPr>
          <t>user:</t>
        </r>
        <r>
          <rPr>
            <sz val="9"/>
            <color indexed="81"/>
            <rFont val="宋体"/>
            <family val="3"/>
            <charset val="134"/>
          </rPr>
          <t xml:space="preserve">
赎回380万份</t>
        </r>
      </text>
    </comment>
  </commentList>
</comments>
</file>

<file path=xl/sharedStrings.xml><?xml version="1.0" encoding="utf-8"?>
<sst xmlns="http://schemas.openxmlformats.org/spreadsheetml/2006/main" count="1655" uniqueCount="114">
  <si>
    <t>交易日</t>
    <phoneticPr fontId="25" type="noConversion"/>
  </si>
  <si>
    <t>综合指标</t>
    <phoneticPr fontId="25" type="noConversion"/>
  </si>
  <si>
    <t>注：</t>
    <phoneticPr fontId="27" type="noConversion"/>
  </si>
  <si>
    <t>累计收益率中的最后一个净值为</t>
    <phoneticPr fontId="27" type="noConversion"/>
  </si>
  <si>
    <t>正收益日</t>
    <phoneticPr fontId="25" type="noConversion"/>
  </si>
  <si>
    <t>Sharpe Ratio</t>
    <phoneticPr fontId="25" type="noConversion"/>
  </si>
  <si>
    <t>负收益日</t>
    <phoneticPr fontId="25" type="noConversion"/>
  </si>
  <si>
    <t>Calmar Ratio</t>
    <phoneticPr fontId="25" type="noConversion"/>
  </si>
  <si>
    <t>零收益日</t>
    <phoneticPr fontId="25" type="noConversion"/>
  </si>
  <si>
    <t>Sortino Ratio</t>
    <phoneticPr fontId="25" type="noConversion"/>
  </si>
  <si>
    <t>收益指标</t>
    <phoneticPr fontId="25" type="noConversion"/>
  </si>
  <si>
    <t>风险指标</t>
    <phoneticPr fontId="25" type="noConversion"/>
  </si>
  <si>
    <t>累计收益率</t>
    <phoneticPr fontId="25" type="noConversion"/>
  </si>
  <si>
    <t>最大回撤</t>
    <phoneticPr fontId="25" type="noConversion"/>
  </si>
  <si>
    <t>年化收益率</t>
    <phoneticPr fontId="25" type="noConversion"/>
  </si>
  <si>
    <t>下侧波动率</t>
    <phoneticPr fontId="25" type="noConversion"/>
  </si>
  <si>
    <t>日均收益率</t>
    <phoneticPr fontId="25" type="noConversion"/>
  </si>
  <si>
    <t>标准差</t>
    <phoneticPr fontId="25" type="noConversion"/>
  </si>
  <si>
    <t>胜率</t>
    <phoneticPr fontId="25" type="noConversion"/>
  </si>
  <si>
    <t>年化波动率</t>
    <phoneticPr fontId="25" type="noConversion"/>
  </si>
  <si>
    <t>盈亏比</t>
    <phoneticPr fontId="25" type="noConversion"/>
  </si>
  <si>
    <t>交易日</t>
    <phoneticPr fontId="27" type="noConversion"/>
  </si>
  <si>
    <t>源数据</t>
    <phoneticPr fontId="27" type="noConversion"/>
  </si>
  <si>
    <t>日期</t>
    <phoneticPr fontId="24" type="noConversion"/>
  </si>
  <si>
    <t>累计净值</t>
    <phoneticPr fontId="24" type="noConversion"/>
  </si>
  <si>
    <t>每日盈亏</t>
    <phoneticPr fontId="24" type="noConversion"/>
  </si>
  <si>
    <t>下跌幅度</t>
    <phoneticPr fontId="29" type="noConversion"/>
  </si>
  <si>
    <t>最大回撤</t>
    <phoneticPr fontId="29" type="noConversion"/>
  </si>
  <si>
    <t>单位净值</t>
    <phoneticPr fontId="24" type="noConversion"/>
  </si>
  <si>
    <t>持有涨跌幅</t>
    <phoneticPr fontId="24" type="noConversion"/>
  </si>
  <si>
    <t>申购日</t>
    <phoneticPr fontId="24" type="noConversion"/>
  </si>
  <si>
    <t>、</t>
    <phoneticPr fontId="24" type="noConversion"/>
  </si>
  <si>
    <t xml:space="preserve">  </t>
    <phoneticPr fontId="24" type="noConversion"/>
  </si>
  <si>
    <t xml:space="preserve">   </t>
    <phoneticPr fontId="24" type="noConversion"/>
  </si>
  <si>
    <t>申购日</t>
    <phoneticPr fontId="24" type="noConversion"/>
  </si>
  <si>
    <t>持有涨跌幅2</t>
    <phoneticPr fontId="24" type="noConversion"/>
  </si>
  <si>
    <t>持有涨跌幅2</t>
    <phoneticPr fontId="24" type="noConversion"/>
  </si>
  <si>
    <t>申购日</t>
    <phoneticPr fontId="24" type="noConversion"/>
  </si>
  <si>
    <t xml:space="preserve">       </t>
    <phoneticPr fontId="24" type="noConversion"/>
  </si>
  <si>
    <t>列1</t>
    <phoneticPr fontId="24" type="noConversion"/>
  </si>
  <si>
    <t xml:space="preserve">  </t>
    <phoneticPr fontId="24" type="noConversion"/>
  </si>
  <si>
    <t xml:space="preserve">  </t>
    <phoneticPr fontId="24" type="noConversion"/>
  </si>
  <si>
    <t xml:space="preserve">         </t>
    <phoneticPr fontId="24" type="noConversion"/>
  </si>
  <si>
    <t xml:space="preserve">  </t>
    <phoneticPr fontId="24" type="noConversion"/>
  </si>
  <si>
    <t xml:space="preserve"> </t>
    <phoneticPr fontId="24" type="noConversion"/>
  </si>
  <si>
    <t xml:space="preserve">  </t>
    <phoneticPr fontId="24" type="noConversion"/>
  </si>
  <si>
    <t xml:space="preserve"> </t>
    <phoneticPr fontId="24" type="noConversion"/>
  </si>
  <si>
    <r>
      <t xml:space="preserve"> </t>
    </r>
    <r>
      <rPr>
        <sz val="11"/>
        <color theme="1"/>
        <rFont val="等线"/>
        <family val="2"/>
        <charset val="134"/>
        <scheme val="minor"/>
      </rPr>
      <t xml:space="preserve"> </t>
    </r>
    <phoneticPr fontId="24" type="noConversion"/>
  </si>
  <si>
    <r>
      <t xml:space="preserve"> </t>
    </r>
    <r>
      <rPr>
        <sz val="11"/>
        <color theme="1"/>
        <rFont val="等线"/>
        <family val="2"/>
        <charset val="134"/>
        <scheme val="minor"/>
      </rPr>
      <t xml:space="preserve"> </t>
    </r>
    <phoneticPr fontId="24" type="noConversion"/>
  </si>
  <si>
    <t>申购日</t>
    <phoneticPr fontId="24" type="noConversion"/>
  </si>
  <si>
    <r>
      <t xml:space="preserve"> </t>
    </r>
    <r>
      <rPr>
        <sz val="11"/>
        <color theme="1"/>
        <rFont val="等线"/>
        <family val="2"/>
        <charset val="134"/>
        <scheme val="minor"/>
      </rPr>
      <t xml:space="preserve"> </t>
    </r>
    <phoneticPr fontId="24" type="noConversion"/>
  </si>
  <si>
    <t xml:space="preserve"> </t>
    <phoneticPr fontId="24" type="noConversion"/>
  </si>
  <si>
    <t>负收益日</t>
    <phoneticPr fontId="25" type="noConversion"/>
  </si>
  <si>
    <t>零收益日</t>
    <phoneticPr fontId="25" type="noConversion"/>
  </si>
  <si>
    <t>Sortino Ratio</t>
    <phoneticPr fontId="25" type="noConversion"/>
  </si>
  <si>
    <t>累计收益率</t>
    <phoneticPr fontId="25" type="noConversion"/>
  </si>
  <si>
    <t>年化收益率</t>
    <phoneticPr fontId="25" type="noConversion"/>
  </si>
  <si>
    <t>下侧波动率</t>
    <phoneticPr fontId="25" type="noConversion"/>
  </si>
  <si>
    <t>日均收益率</t>
    <phoneticPr fontId="25" type="noConversion"/>
  </si>
  <si>
    <t>标准差</t>
    <phoneticPr fontId="25" type="noConversion"/>
  </si>
  <si>
    <t>胜率</t>
    <phoneticPr fontId="25" type="noConversion"/>
  </si>
  <si>
    <t>年化波动率</t>
    <phoneticPr fontId="25" type="noConversion"/>
  </si>
  <si>
    <t>最大回撤</t>
    <phoneticPr fontId="25" type="noConversion"/>
  </si>
  <si>
    <t>源数据</t>
    <phoneticPr fontId="27" type="noConversion"/>
  </si>
  <si>
    <t>日期</t>
    <phoneticPr fontId="24" type="noConversion"/>
  </si>
  <si>
    <t>单位净值</t>
    <phoneticPr fontId="24" type="noConversion"/>
  </si>
  <si>
    <t>持有涨跌幅</t>
    <phoneticPr fontId="24" type="noConversion"/>
  </si>
  <si>
    <r>
      <t xml:space="preserve"> </t>
    </r>
    <r>
      <rPr>
        <sz val="11"/>
        <color theme="1"/>
        <rFont val="等线"/>
        <family val="2"/>
        <charset val="134"/>
        <scheme val="minor"/>
      </rPr>
      <t xml:space="preserve">  </t>
    </r>
    <phoneticPr fontId="24" type="noConversion"/>
  </si>
  <si>
    <t>交易周</t>
  </si>
  <si>
    <t>综合指标</t>
  </si>
  <si>
    <t>注：</t>
  </si>
  <si>
    <t>累计收益率公式中的最后一个净值</t>
  </si>
  <si>
    <t>正收益周</t>
  </si>
  <si>
    <t>Sharpe Ratio</t>
  </si>
  <si>
    <t>负收益周</t>
  </si>
  <si>
    <t>Calmar Ratio</t>
  </si>
  <si>
    <t>零收益日</t>
  </si>
  <si>
    <t>Sortino Ratio</t>
  </si>
  <si>
    <t>收益指标</t>
  </si>
  <si>
    <t>风险指标</t>
  </si>
  <si>
    <t>累计收益率</t>
  </si>
  <si>
    <t>最大回撤</t>
  </si>
  <si>
    <t>年化收益率</t>
  </si>
  <si>
    <t>下侧波动率</t>
  </si>
  <si>
    <t>周均收益率</t>
  </si>
  <si>
    <t>标准差</t>
  </si>
  <si>
    <t>胜率</t>
  </si>
  <si>
    <t>年化波动率</t>
  </si>
  <si>
    <t>盈亏比</t>
  </si>
  <si>
    <t>累积收益率</t>
  </si>
  <si>
    <t>本周收益</t>
  </si>
  <si>
    <t>近一个月年化收益</t>
  </si>
  <si>
    <t>源数据</t>
  </si>
  <si>
    <t>日期</t>
  </si>
  <si>
    <t>累计净值</t>
  </si>
  <si>
    <t>每周盈亏</t>
  </si>
  <si>
    <t>下跌幅度</t>
  </si>
  <si>
    <t>交易周</t>
    <phoneticPr fontId="25" type="noConversion"/>
  </si>
  <si>
    <t>累计收益率公式中的最后一个净值</t>
    <phoneticPr fontId="27" type="noConversion"/>
  </si>
  <si>
    <t>正收益周</t>
    <phoneticPr fontId="25" type="noConversion"/>
  </si>
  <si>
    <t>负收益周</t>
    <phoneticPr fontId="25" type="noConversion"/>
  </si>
  <si>
    <t>周均收益率</t>
    <phoneticPr fontId="25" type="noConversion"/>
  </si>
  <si>
    <t>胜率</t>
    <phoneticPr fontId="25" type="noConversion"/>
  </si>
  <si>
    <t>交易周</t>
    <phoneticPr fontId="27" type="noConversion"/>
  </si>
  <si>
    <t>累积收益率</t>
    <phoneticPr fontId="25" type="noConversion"/>
  </si>
  <si>
    <t>源数据</t>
    <phoneticPr fontId="27" type="noConversion"/>
  </si>
  <si>
    <t>日期</t>
    <phoneticPr fontId="27" type="noConversion"/>
  </si>
  <si>
    <t>累计净值</t>
    <phoneticPr fontId="27" type="noConversion"/>
  </si>
  <si>
    <t>每周盈亏</t>
    <phoneticPr fontId="24" type="noConversion"/>
  </si>
  <si>
    <t>下跌幅度</t>
    <phoneticPr fontId="29" type="noConversion"/>
  </si>
  <si>
    <t>单位净值</t>
    <phoneticPr fontId="24" type="noConversion"/>
  </si>
  <si>
    <t>持有收益</t>
    <phoneticPr fontId="24" type="noConversion"/>
  </si>
  <si>
    <r>
      <t xml:space="preserve"> </t>
    </r>
    <r>
      <rPr>
        <sz val="11"/>
        <color theme="1"/>
        <rFont val="等线"/>
        <family val="2"/>
        <charset val="134"/>
        <scheme val="minor"/>
      </rPr>
      <t xml:space="preserve"> </t>
    </r>
    <phoneticPr fontId="24" type="noConversion"/>
  </si>
  <si>
    <t>列1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</si>
</sst>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_ "/>
    <numFmt numFmtId="177" formatCode="0.00_ "/>
    <numFmt numFmtId="178" formatCode="0.0000%"/>
    <numFmt numFmtId="179" formatCode="0_);[Red]\(0\)"/>
    <numFmt numFmtId="180" formatCode="0.0000_ "/>
    <numFmt numFmtId="181" formatCode="yyyy\-mm\-dd"/>
    <numFmt numFmtId="182" formatCode="#,##0.0000_ ;\-#,##0.0000\ "/>
    <numFmt numFmtId="183" formatCode="0.00_);[Red]\(0.00\)"/>
    <numFmt numFmtId="184" formatCode="0.0%"/>
    <numFmt numFmtId="185" formatCode="0.0000_);[Red]\(0.0000\)"/>
  </numFmts>
  <fonts count="48">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sz val="11"/>
      <color theme="1"/>
      <name val="等线"/>
      <family val="2"/>
      <charset val="134"/>
      <scheme val="minor"/>
    </font>
    <font>
      <sz val="9"/>
      <name val="等线"/>
      <family val="3"/>
      <charset val="134"/>
      <scheme val="minor"/>
    </font>
    <font>
      <sz val="9"/>
      <name val="宋体"/>
      <family val="3"/>
      <charset val="134"/>
    </font>
    <font>
      <b/>
      <sz val="12"/>
      <color indexed="10"/>
      <name val="宋体"/>
      <family val="3"/>
      <charset val="134"/>
    </font>
    <font>
      <sz val="9"/>
      <name val="等线"/>
      <family val="2"/>
      <charset val="134"/>
      <scheme val="minor"/>
    </font>
    <font>
      <sz val="12"/>
      <name val="宋体"/>
      <family val="3"/>
      <charset val="134"/>
    </font>
    <font>
      <sz val="9"/>
      <name val="宋体"/>
      <family val="2"/>
      <charset val="134"/>
    </font>
    <font>
      <sz val="12"/>
      <name val="等线"/>
      <family val="3"/>
      <charset val="134"/>
      <scheme val="minor"/>
    </font>
    <font>
      <sz val="12"/>
      <color theme="1"/>
      <name val="宋体"/>
      <family val="3"/>
      <charset val="134"/>
    </font>
    <font>
      <b/>
      <sz val="12"/>
      <color theme="1"/>
      <name val="宋体"/>
      <family val="3"/>
      <charset val="134"/>
    </font>
    <font>
      <b/>
      <sz val="12"/>
      <color rgb="FFFF0000"/>
      <name val="宋体"/>
      <family val="3"/>
      <charset val="134"/>
    </font>
    <font>
      <sz val="11"/>
      <color theme="1"/>
      <name val="等线"/>
      <family val="3"/>
      <charset val="134"/>
      <scheme val="minor"/>
    </font>
    <font>
      <sz val="11"/>
      <color rgb="FF000000"/>
      <name val="等线"/>
      <family val="3"/>
      <charset val="134"/>
      <scheme val="minor"/>
    </font>
    <font>
      <b/>
      <sz val="11"/>
      <color rgb="FFFF0000"/>
      <name val="等线"/>
      <family val="3"/>
      <charset val="134"/>
      <scheme val="minor"/>
    </font>
    <font>
      <sz val="11"/>
      <color theme="1"/>
      <name val="等线"/>
      <family val="3"/>
      <charset val="134"/>
      <scheme val="minor"/>
    </font>
    <font>
      <sz val="11"/>
      <color rgb="FF000000"/>
      <name val="等线"/>
      <family val="3"/>
      <charset val="134"/>
      <scheme val="minor"/>
    </font>
    <font>
      <b/>
      <sz val="11"/>
      <color theme="1"/>
      <name val="等线"/>
      <family val="3"/>
      <charset val="134"/>
      <scheme val="minor"/>
    </font>
    <font>
      <sz val="10"/>
      <name val="Arial"/>
      <family val="2"/>
    </font>
    <font>
      <sz val="9"/>
      <color indexed="81"/>
      <name val="宋体"/>
      <family val="3"/>
      <charset val="134"/>
    </font>
    <font>
      <b/>
      <sz val="9"/>
      <color indexed="81"/>
      <name val="宋体"/>
      <family val="3"/>
      <charset val="134"/>
    </font>
    <font>
      <sz val="11"/>
      <color rgb="FF000000"/>
      <name val="等线"/>
      <family val="2"/>
      <scheme val="minor"/>
    </font>
    <font>
      <b/>
      <sz val="12"/>
      <color theme="1"/>
      <name val="等线"/>
      <family val="3"/>
      <charset val="134"/>
      <scheme val="minor"/>
    </font>
    <font>
      <b/>
      <sz val="12"/>
      <color rgb="FFFF0000"/>
      <name val="等线"/>
      <family val="3"/>
      <charset val="134"/>
      <scheme val="minor"/>
    </font>
    <font>
      <sz val="12"/>
      <color theme="1"/>
      <name val="等线"/>
      <family val="3"/>
      <charset val="134"/>
      <scheme val="minor"/>
    </font>
    <font>
      <b/>
      <sz val="9"/>
      <name val="宋体"/>
      <family val="3"/>
      <charset val="134"/>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E0E0E0"/>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FFFFF"/>
        <bgColor indexed="64"/>
      </patternFill>
    </fill>
    <fill>
      <patternFill patternType="solid">
        <fgColor theme="6" tint="0.59999389629810485"/>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auto="1"/>
      </top>
      <bottom/>
      <diagonal/>
    </border>
    <border>
      <left style="medium">
        <color indexed="64"/>
      </left>
      <right style="medium">
        <color indexed="64"/>
      </right>
      <top style="medium">
        <color indexed="64"/>
      </top>
      <bottom style="medium">
        <color indexed="64"/>
      </bottom>
      <diagonal/>
    </border>
    <border>
      <left/>
      <right style="medium">
        <color auto="1"/>
      </right>
      <top style="medium">
        <color auto="1"/>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top/>
      <bottom/>
      <diagonal/>
    </border>
    <border>
      <left/>
      <right style="medium">
        <color indexed="64"/>
      </right>
      <top/>
      <bottom/>
      <diagonal/>
    </border>
    <border>
      <left style="medium">
        <color auto="1"/>
      </left>
      <right style="thin">
        <color auto="1"/>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13">
    <xf numFmtId="0" fontId="0" fillId="0" borderId="0"/>
    <xf numFmtId="9" fontId="22" fillId="0" borderId="0" applyFont="0" applyFill="0" applyBorder="0" applyAlignment="0" applyProtection="0">
      <alignment vertical="center"/>
    </xf>
    <xf numFmtId="0" fontId="23" fillId="0" borderId="0">
      <alignment vertical="center"/>
    </xf>
    <xf numFmtId="9" fontId="23" fillId="0" borderId="0" applyFont="0" applyFill="0" applyBorder="0" applyAlignment="0" applyProtection="0">
      <alignment vertical="center"/>
    </xf>
    <xf numFmtId="0" fontId="40" fillId="0" borderId="0" applyNumberFormat="0" applyFont="0" applyFill="0" applyBorder="0" applyAlignment="0" applyProtection="0"/>
    <xf numFmtId="0" fontId="40" fillId="0" borderId="0"/>
    <xf numFmtId="0" fontId="19" fillId="0" borderId="0">
      <alignment vertical="center"/>
    </xf>
    <xf numFmtId="9" fontId="19" fillId="0" borderId="0" applyFont="0" applyFill="0" applyBorder="0" applyAlignment="0" applyProtection="0">
      <alignment vertical="center"/>
    </xf>
    <xf numFmtId="0" fontId="7" fillId="0" borderId="0">
      <alignment vertical="center"/>
    </xf>
    <xf numFmtId="0" fontId="34" fillId="0" borderId="0">
      <alignment vertical="center"/>
    </xf>
    <xf numFmtId="9" fontId="3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cellStyleXfs>
  <cellXfs count="403">
    <xf numFmtId="0" fontId="0" fillId="0" borderId="0" xfId="0"/>
    <xf numFmtId="0" fontId="23" fillId="0" borderId="0" xfId="2">
      <alignment vertical="center"/>
    </xf>
    <xf numFmtId="0" fontId="23" fillId="0" borderId="0" xfId="2" applyAlignment="1">
      <alignment horizontal="center" vertical="center"/>
    </xf>
    <xf numFmtId="10" fontId="26" fillId="0" borderId="4" xfId="2" applyNumberFormat="1" applyFont="1" applyBorder="1">
      <alignment vertical="center"/>
    </xf>
    <xf numFmtId="177" fontId="28" fillId="0" borderId="9" xfId="2" applyNumberFormat="1" applyFont="1" applyBorder="1" applyAlignment="1">
      <alignment horizontal="right" vertical="center"/>
    </xf>
    <xf numFmtId="14" fontId="26" fillId="0" borderId="4" xfId="2" applyNumberFormat="1" applyFont="1" applyBorder="1">
      <alignment vertical="center"/>
    </xf>
    <xf numFmtId="10" fontId="28" fillId="0" borderId="9" xfId="2" applyNumberFormat="1" applyFont="1" applyBorder="1" applyAlignment="1">
      <alignment horizontal="right" vertical="center"/>
    </xf>
    <xf numFmtId="14" fontId="28" fillId="0" borderId="6" xfId="2" applyNumberFormat="1" applyFont="1" applyBorder="1">
      <alignment vertical="center"/>
    </xf>
    <xf numFmtId="0" fontId="23" fillId="3" borderId="0" xfId="2" applyFill="1">
      <alignment vertical="center"/>
    </xf>
    <xf numFmtId="14" fontId="0" fillId="2" borderId="7" xfId="0" applyNumberFormat="1" applyFill="1" applyBorder="1" applyAlignment="1">
      <alignment horizontal="left" vertical="center"/>
    </xf>
    <xf numFmtId="180" fontId="23" fillId="2" borderId="7" xfId="2" applyNumberFormat="1" applyFill="1" applyBorder="1" applyAlignment="1">
      <alignment horizontal="center" vertical="center"/>
    </xf>
    <xf numFmtId="10" fontId="0" fillId="2" borderId="7" xfId="3" applyNumberFormat="1" applyFont="1" applyFill="1" applyBorder="1" applyAlignment="1">
      <alignment horizontal="center" vertical="center"/>
    </xf>
    <xf numFmtId="10" fontId="23" fillId="2" borderId="7" xfId="2" applyNumberFormat="1" applyFill="1" applyBorder="1" applyAlignment="1">
      <alignment horizontal="center" vertical="center"/>
    </xf>
    <xf numFmtId="180" fontId="0" fillId="2" borderId="7" xfId="0" applyNumberFormat="1" applyFill="1" applyBorder="1" applyAlignment="1">
      <alignment horizontal="center" vertical="center"/>
    </xf>
    <xf numFmtId="0" fontId="23" fillId="2" borderId="7" xfId="2" applyFill="1" applyBorder="1" applyAlignment="1">
      <alignment horizontal="center" vertical="center"/>
    </xf>
    <xf numFmtId="14" fontId="0" fillId="0" borderId="7" xfId="0" applyNumberFormat="1" applyBorder="1" applyAlignment="1">
      <alignment horizontal="left" vertical="center"/>
    </xf>
    <xf numFmtId="180" fontId="23" fillId="0" borderId="7" xfId="2" applyNumberFormat="1" applyBorder="1" applyAlignment="1">
      <alignment horizontal="center" vertical="center"/>
    </xf>
    <xf numFmtId="10" fontId="0" fillId="0" borderId="7" xfId="3" applyNumberFormat="1" applyFont="1" applyBorder="1" applyAlignment="1">
      <alignment horizontal="center" vertical="center"/>
    </xf>
    <xf numFmtId="10" fontId="23" fillId="0" borderId="7" xfId="2" applyNumberFormat="1" applyBorder="1" applyAlignment="1">
      <alignment horizontal="center" vertical="center"/>
    </xf>
    <xf numFmtId="180" fontId="0" fillId="0" borderId="7" xfId="0" applyNumberFormat="1" applyBorder="1" applyAlignment="1">
      <alignment horizontal="center" vertical="center"/>
    </xf>
    <xf numFmtId="10" fontId="23" fillId="0" borderId="7" xfId="1" applyNumberFormat="1" applyFont="1" applyBorder="1" applyAlignment="1">
      <alignment horizontal="center" vertical="center"/>
    </xf>
    <xf numFmtId="180" fontId="0" fillId="0" borderId="7" xfId="0" applyNumberFormat="1" applyFill="1" applyBorder="1" applyAlignment="1">
      <alignment horizontal="center" vertical="center"/>
    </xf>
    <xf numFmtId="0" fontId="30" fillId="4" borderId="0" xfId="2" applyFont="1" applyFill="1" applyAlignment="1">
      <alignment horizontal="center" vertical="center"/>
    </xf>
    <xf numFmtId="14" fontId="31" fillId="0" borderId="1" xfId="2" applyNumberFormat="1" applyFont="1" applyBorder="1">
      <alignment vertical="center"/>
    </xf>
    <xf numFmtId="176" fontId="31" fillId="0" borderId="2" xfId="2" applyNumberFormat="1" applyFont="1" applyBorder="1">
      <alignment vertical="center"/>
    </xf>
    <xf numFmtId="14" fontId="31" fillId="0" borderId="6" xfId="2" applyNumberFormat="1" applyFont="1" applyBorder="1">
      <alignment vertical="center"/>
    </xf>
    <xf numFmtId="176" fontId="31" fillId="0" borderId="7" xfId="2" applyNumberFormat="1" applyFont="1" applyBorder="1">
      <alignment vertical="center"/>
    </xf>
    <xf numFmtId="176" fontId="31" fillId="0" borderId="3" xfId="2" applyNumberFormat="1" applyFont="1" applyBorder="1">
      <alignment vertical="center"/>
    </xf>
    <xf numFmtId="10" fontId="31" fillId="0" borderId="5" xfId="2" applyNumberFormat="1" applyFont="1" applyBorder="1">
      <alignment vertical="center"/>
    </xf>
    <xf numFmtId="176" fontId="31" fillId="0" borderId="0" xfId="2" applyNumberFormat="1" applyFont="1">
      <alignment vertical="center"/>
    </xf>
    <xf numFmtId="10" fontId="31" fillId="0" borderId="8" xfId="2" applyNumberFormat="1" applyFont="1" applyBorder="1">
      <alignment vertical="center"/>
    </xf>
    <xf numFmtId="177" fontId="31" fillId="0" borderId="9" xfId="2" applyNumberFormat="1" applyFont="1" applyBorder="1">
      <alignment vertical="center"/>
    </xf>
    <xf numFmtId="10" fontId="31" fillId="0" borderId="7" xfId="2" applyNumberFormat="1" applyFont="1" applyBorder="1">
      <alignment vertical="center"/>
    </xf>
    <xf numFmtId="0" fontId="31" fillId="0" borderId="7" xfId="2" applyFont="1" applyBorder="1">
      <alignment vertical="center"/>
    </xf>
    <xf numFmtId="0" fontId="31" fillId="0" borderId="10" xfId="2" applyFont="1" applyBorder="1">
      <alignment vertical="center"/>
    </xf>
    <xf numFmtId="0" fontId="31" fillId="0" borderId="0" xfId="2" applyFont="1">
      <alignment vertical="center"/>
    </xf>
    <xf numFmtId="0" fontId="31" fillId="0" borderId="11" xfId="2" applyFont="1" applyBorder="1">
      <alignment vertical="center"/>
    </xf>
    <xf numFmtId="11" fontId="31" fillId="0" borderId="11" xfId="2" applyNumberFormat="1" applyFont="1" applyBorder="1">
      <alignment vertical="center"/>
    </xf>
    <xf numFmtId="14" fontId="31" fillId="2" borderId="12" xfId="2" applyNumberFormat="1" applyFont="1" applyFill="1" applyBorder="1">
      <alignment vertical="center"/>
    </xf>
    <xf numFmtId="10" fontId="31" fillId="2" borderId="7" xfId="2" applyNumberFormat="1" applyFont="1" applyFill="1" applyBorder="1">
      <alignment vertical="center"/>
    </xf>
    <xf numFmtId="10" fontId="31" fillId="0" borderId="0" xfId="2" applyNumberFormat="1" applyFont="1">
      <alignment vertical="center"/>
    </xf>
    <xf numFmtId="10" fontId="31" fillId="0" borderId="9" xfId="2" applyNumberFormat="1" applyFont="1" applyBorder="1">
      <alignment vertical="center"/>
    </xf>
    <xf numFmtId="10" fontId="31" fillId="0" borderId="6" xfId="2" applyNumberFormat="1" applyFont="1" applyBorder="1">
      <alignment vertical="center"/>
    </xf>
    <xf numFmtId="178" fontId="31" fillId="0" borderId="7" xfId="2" applyNumberFormat="1" applyFont="1" applyBorder="1">
      <alignment vertical="center"/>
    </xf>
    <xf numFmtId="178" fontId="31" fillId="0" borderId="0" xfId="2" applyNumberFormat="1" applyFont="1">
      <alignment vertical="center"/>
    </xf>
    <xf numFmtId="14" fontId="31" fillId="0" borderId="13" xfId="2" applyNumberFormat="1" applyFont="1" applyBorder="1">
      <alignment vertical="center"/>
    </xf>
    <xf numFmtId="10" fontId="31" fillId="0" borderId="14" xfId="2" applyNumberFormat="1" applyFont="1" applyBorder="1">
      <alignment vertical="center"/>
    </xf>
    <xf numFmtId="10" fontId="31" fillId="0" borderId="15" xfId="2" applyNumberFormat="1" applyFont="1" applyBorder="1">
      <alignment vertical="center"/>
    </xf>
    <xf numFmtId="0" fontId="31" fillId="0" borderId="14" xfId="2" applyFont="1" applyBorder="1">
      <alignment vertical="center"/>
    </xf>
    <xf numFmtId="0" fontId="31" fillId="0" borderId="16" xfId="2" applyFont="1" applyBorder="1">
      <alignment vertical="center"/>
    </xf>
    <xf numFmtId="14" fontId="32" fillId="4" borderId="7" xfId="2" applyNumberFormat="1" applyFont="1" applyFill="1" applyBorder="1" applyAlignment="1">
      <alignment horizontal="center" vertical="center" wrapText="1"/>
    </xf>
    <xf numFmtId="10" fontId="32" fillId="4" borderId="7" xfId="2" applyNumberFormat="1" applyFont="1" applyFill="1" applyBorder="1" applyAlignment="1">
      <alignment horizontal="center" vertical="center" wrapText="1"/>
    </xf>
    <xf numFmtId="179" fontId="32" fillId="0" borderId="7" xfId="2" applyNumberFormat="1" applyFont="1" applyFill="1" applyBorder="1" applyAlignment="1">
      <alignment horizontal="center" vertical="center" wrapText="1"/>
    </xf>
    <xf numFmtId="10" fontId="33" fillId="0" borderId="7" xfId="2" applyNumberFormat="1" applyFont="1" applyBorder="1" applyAlignment="1">
      <alignment horizontal="center" vertical="center" wrapText="1"/>
    </xf>
    <xf numFmtId="177" fontId="33" fillId="0" borderId="7" xfId="2" applyNumberFormat="1" applyFont="1" applyBorder="1" applyAlignment="1">
      <alignment horizontal="center" vertical="center" wrapText="1"/>
    </xf>
    <xf numFmtId="14" fontId="0" fillId="0" borderId="7" xfId="0" applyNumberFormat="1" applyFill="1" applyBorder="1" applyAlignment="1">
      <alignment horizontal="left" vertical="center"/>
    </xf>
    <xf numFmtId="180" fontId="23" fillId="0" borderId="7" xfId="2" applyNumberFormat="1" applyFill="1" applyBorder="1" applyAlignment="1">
      <alignment horizontal="center" vertical="center"/>
    </xf>
    <xf numFmtId="10" fontId="0" fillId="0" borderId="7" xfId="3" applyNumberFormat="1" applyFont="1" applyFill="1" applyBorder="1" applyAlignment="1">
      <alignment horizontal="center" vertical="center"/>
    </xf>
    <xf numFmtId="10" fontId="23" fillId="0" borderId="7" xfId="2" applyNumberFormat="1" applyFill="1" applyBorder="1" applyAlignment="1">
      <alignment horizontal="center" vertical="center"/>
    </xf>
    <xf numFmtId="0" fontId="23" fillId="0" borderId="7" xfId="2" applyFill="1" applyBorder="1" applyAlignment="1">
      <alignment horizontal="center" vertical="center"/>
    </xf>
    <xf numFmtId="180" fontId="23" fillId="0" borderId="0" xfId="2" applyNumberFormat="1">
      <alignment vertical="center"/>
    </xf>
    <xf numFmtId="10" fontId="34" fillId="0" borderId="7" xfId="3" applyNumberFormat="1" applyFont="1" applyBorder="1" applyAlignment="1">
      <alignment horizontal="center" vertical="center"/>
    </xf>
    <xf numFmtId="180" fontId="35" fillId="5" borderId="7" xfId="2" applyNumberFormat="1" applyFont="1" applyFill="1" applyBorder="1" applyAlignment="1">
      <alignment horizontal="center" vertical="center"/>
    </xf>
    <xf numFmtId="180" fontId="23" fillId="0" borderId="17" xfId="2" applyNumberFormat="1" applyBorder="1" applyAlignment="1">
      <alignment horizontal="center" vertical="center"/>
    </xf>
    <xf numFmtId="10" fontId="34" fillId="0" borderId="17" xfId="2" applyNumberFormat="1" applyFont="1" applyBorder="1" applyAlignment="1">
      <alignment horizontal="center" vertical="center"/>
    </xf>
    <xf numFmtId="10" fontId="23" fillId="0" borderId="17" xfId="2" applyNumberFormat="1" applyBorder="1" applyAlignment="1">
      <alignment horizontal="center" vertical="center"/>
    </xf>
    <xf numFmtId="180" fontId="35" fillId="5" borderId="17" xfId="2" applyNumberFormat="1" applyFont="1" applyFill="1" applyBorder="1" applyAlignment="1">
      <alignment horizontal="center" vertical="center"/>
    </xf>
    <xf numFmtId="0" fontId="23" fillId="0" borderId="0" xfId="2" applyNumberFormat="1" applyAlignment="1">
      <alignment horizontal="right" vertical="center"/>
    </xf>
    <xf numFmtId="0" fontId="36" fillId="0" borderId="0" xfId="2" applyNumberFormat="1" applyFont="1" applyAlignment="1">
      <alignment horizontal="right" vertical="center"/>
    </xf>
    <xf numFmtId="181" fontId="23" fillId="0" borderId="0" xfId="2" applyNumberFormat="1" applyAlignment="1">
      <alignment horizontal="right" vertical="center"/>
    </xf>
    <xf numFmtId="182" fontId="23" fillId="0" borderId="0" xfId="2" applyNumberFormat="1" applyAlignment="1">
      <alignment horizontal="right" vertical="center"/>
    </xf>
    <xf numFmtId="10" fontId="37" fillId="0" borderId="17" xfId="2" applyNumberFormat="1" applyFont="1" applyBorder="1" applyAlignment="1">
      <alignment horizontal="center" vertical="center"/>
    </xf>
    <xf numFmtId="180" fontId="38" fillId="5" borderId="17" xfId="2" applyNumberFormat="1" applyFont="1" applyFill="1" applyBorder="1" applyAlignment="1">
      <alignment horizontal="center" vertical="center"/>
    </xf>
    <xf numFmtId="10" fontId="34" fillId="0" borderId="7" xfId="2" applyNumberFormat="1" applyFont="1" applyBorder="1" applyAlignment="1">
      <alignment horizontal="center" vertical="center"/>
    </xf>
    <xf numFmtId="180" fontId="35" fillId="0" borderId="7" xfId="2" applyNumberFormat="1" applyFont="1" applyFill="1" applyBorder="1" applyAlignment="1">
      <alignment horizontal="center" vertical="center"/>
    </xf>
    <xf numFmtId="180" fontId="35" fillId="0" borderId="17" xfId="2" applyNumberFormat="1" applyFont="1" applyFill="1" applyBorder="1" applyAlignment="1">
      <alignment horizontal="center" vertical="center"/>
    </xf>
    <xf numFmtId="180" fontId="39" fillId="6" borderId="7" xfId="2" applyNumberFormat="1" applyFont="1" applyFill="1" applyBorder="1" applyAlignment="1">
      <alignment horizontal="center" vertical="center"/>
    </xf>
    <xf numFmtId="14" fontId="39" fillId="6" borderId="7" xfId="0" applyNumberFormat="1" applyFont="1" applyFill="1" applyBorder="1" applyAlignment="1">
      <alignment horizontal="left" vertical="center"/>
    </xf>
    <xf numFmtId="179" fontId="32" fillId="0" borderId="7" xfId="2" applyNumberFormat="1" applyFont="1" applyBorder="1" applyAlignment="1">
      <alignment horizontal="center" vertical="center" wrapText="1"/>
    </xf>
    <xf numFmtId="180" fontId="39" fillId="7" borderId="7" xfId="2" applyNumberFormat="1" applyFont="1" applyFill="1" applyBorder="1" applyAlignment="1">
      <alignment horizontal="center" vertical="center"/>
    </xf>
    <xf numFmtId="10" fontId="34" fillId="2" borderId="7" xfId="2" applyNumberFormat="1" applyFont="1" applyFill="1" applyBorder="1" applyAlignment="1">
      <alignment horizontal="center" vertical="center"/>
    </xf>
    <xf numFmtId="180" fontId="35" fillId="2" borderId="7" xfId="2" applyNumberFormat="1" applyFont="1" applyFill="1" applyBorder="1" applyAlignment="1">
      <alignment horizontal="center" vertical="center"/>
    </xf>
    <xf numFmtId="10" fontId="23" fillId="2" borderId="7" xfId="1" applyNumberFormat="1" applyFont="1" applyFill="1" applyBorder="1" applyAlignment="1">
      <alignment horizontal="center" vertical="center"/>
    </xf>
    <xf numFmtId="14" fontId="0" fillId="8" borderId="7" xfId="0" applyNumberFormat="1" applyFill="1" applyBorder="1" applyAlignment="1">
      <alignment horizontal="left" vertical="center"/>
    </xf>
    <xf numFmtId="180" fontId="23" fillId="8" borderId="7" xfId="2" applyNumberFormat="1" applyFill="1" applyBorder="1" applyAlignment="1">
      <alignment horizontal="center" vertical="center"/>
    </xf>
    <xf numFmtId="10" fontId="34" fillId="8" borderId="7" xfId="2" applyNumberFormat="1" applyFont="1" applyFill="1" applyBorder="1" applyAlignment="1">
      <alignment horizontal="center" vertical="center"/>
    </xf>
    <xf numFmtId="10" fontId="23" fillId="8" borderId="7" xfId="2" applyNumberFormat="1" applyFill="1" applyBorder="1" applyAlignment="1">
      <alignment horizontal="center" vertical="center"/>
    </xf>
    <xf numFmtId="180" fontId="35" fillId="8" borderId="7" xfId="2" applyNumberFormat="1" applyFont="1" applyFill="1" applyBorder="1" applyAlignment="1">
      <alignment horizontal="center" vertical="center"/>
    </xf>
    <xf numFmtId="10" fontId="23" fillId="8" borderId="7" xfId="1" applyNumberFormat="1" applyFont="1" applyFill="1" applyBorder="1" applyAlignment="1">
      <alignment horizontal="center" vertical="center"/>
    </xf>
    <xf numFmtId="180" fontId="21" fillId="0" borderId="7" xfId="2" applyNumberFormat="1" applyFont="1" applyBorder="1" applyAlignment="1">
      <alignment horizontal="center" vertical="center"/>
    </xf>
    <xf numFmtId="180" fontId="20" fillId="0" borderId="7" xfId="2" applyNumberFormat="1" applyFont="1" applyBorder="1" applyAlignment="1">
      <alignment horizontal="center" vertical="center"/>
    </xf>
    <xf numFmtId="180" fontId="19" fillId="0" borderId="7" xfId="2" applyNumberFormat="1" applyFont="1" applyBorder="1" applyAlignment="1">
      <alignment horizontal="center" vertical="center"/>
    </xf>
    <xf numFmtId="0" fontId="19" fillId="2" borderId="0" xfId="2" applyFont="1" applyFill="1">
      <alignment vertical="center"/>
    </xf>
    <xf numFmtId="180" fontId="20" fillId="2" borderId="7" xfId="2" applyNumberFormat="1" applyFont="1" applyFill="1" applyBorder="1" applyAlignment="1">
      <alignment horizontal="center" vertical="center"/>
    </xf>
    <xf numFmtId="10" fontId="34" fillId="0" borderId="18" xfId="2" applyNumberFormat="1" applyFont="1" applyBorder="1" applyAlignment="1">
      <alignment horizontal="center" vertical="center"/>
    </xf>
    <xf numFmtId="10" fontId="23" fillId="0" borderId="18" xfId="2" applyNumberFormat="1" applyBorder="1" applyAlignment="1">
      <alignment horizontal="center" vertical="center"/>
    </xf>
    <xf numFmtId="180" fontId="23" fillId="0" borderId="18" xfId="2" applyNumberFormat="1" applyBorder="1" applyAlignment="1">
      <alignment horizontal="center" vertical="center"/>
    </xf>
    <xf numFmtId="180" fontId="35" fillId="5" borderId="18" xfId="2" applyNumberFormat="1" applyFont="1" applyFill="1" applyBorder="1" applyAlignment="1">
      <alignment horizontal="center" vertical="center"/>
    </xf>
    <xf numFmtId="180" fontId="21" fillId="0" borderId="18" xfId="2" applyNumberFormat="1" applyFont="1" applyBorder="1" applyAlignment="1">
      <alignment horizontal="center" vertical="center"/>
    </xf>
    <xf numFmtId="180" fontId="19" fillId="0" borderId="18" xfId="2" applyNumberFormat="1" applyFont="1" applyBorder="1" applyAlignment="1">
      <alignment horizontal="center" vertical="center"/>
    </xf>
    <xf numFmtId="180" fontId="19" fillId="0" borderId="19" xfId="2" applyNumberFormat="1" applyFont="1" applyBorder="1" applyAlignment="1">
      <alignment horizontal="center" vertical="center"/>
    </xf>
    <xf numFmtId="10" fontId="34" fillId="0" borderId="19" xfId="2" applyNumberFormat="1" applyFont="1" applyBorder="1" applyAlignment="1">
      <alignment horizontal="center" vertical="center"/>
    </xf>
    <xf numFmtId="10" fontId="23" fillId="0" borderId="19" xfId="2" applyNumberFormat="1" applyBorder="1" applyAlignment="1">
      <alignment horizontal="center" vertical="center"/>
    </xf>
    <xf numFmtId="180" fontId="35" fillId="5" borderId="19" xfId="2" applyNumberFormat="1" applyFont="1" applyFill="1" applyBorder="1" applyAlignment="1">
      <alignment horizontal="center" vertical="center"/>
    </xf>
    <xf numFmtId="180" fontId="23" fillId="0" borderId="19" xfId="2" applyNumberFormat="1" applyBorder="1" applyAlignment="1">
      <alignment horizontal="center" vertical="center"/>
    </xf>
    <xf numFmtId="14" fontId="31" fillId="0" borderId="12" xfId="2" applyNumberFormat="1" applyFont="1" applyFill="1" applyBorder="1">
      <alignment vertical="center"/>
    </xf>
    <xf numFmtId="10" fontId="31" fillId="0" borderId="7" xfId="2" applyNumberFormat="1" applyFont="1" applyFill="1" applyBorder="1">
      <alignment vertical="center"/>
    </xf>
    <xf numFmtId="180" fontId="39" fillId="6" borderId="18" xfId="2" applyNumberFormat="1" applyFont="1" applyFill="1" applyBorder="1" applyAlignment="1">
      <alignment horizontal="center" vertical="center"/>
    </xf>
    <xf numFmtId="10" fontId="34" fillId="0" borderId="20" xfId="2" applyNumberFormat="1" applyFont="1" applyBorder="1" applyAlignment="1">
      <alignment horizontal="center" vertical="center"/>
    </xf>
    <xf numFmtId="10" fontId="23" fillId="0" borderId="20" xfId="2" applyNumberFormat="1" applyBorder="1" applyAlignment="1">
      <alignment horizontal="center" vertical="center"/>
    </xf>
    <xf numFmtId="180" fontId="35" fillId="5" borderId="20" xfId="2" applyNumberFormat="1" applyFont="1" applyFill="1" applyBorder="1" applyAlignment="1">
      <alignment horizontal="center" vertical="center"/>
    </xf>
    <xf numFmtId="180" fontId="39" fillId="6" borderId="19" xfId="2" applyNumberFormat="1" applyFont="1" applyFill="1" applyBorder="1" applyAlignment="1">
      <alignment horizontal="center" vertical="center"/>
    </xf>
    <xf numFmtId="180" fontId="23" fillId="0" borderId="20" xfId="2" applyNumberFormat="1" applyBorder="1" applyAlignment="1">
      <alignment horizontal="center" vertical="center"/>
    </xf>
    <xf numFmtId="180" fontId="19" fillId="0" borderId="20" xfId="2" applyNumberFormat="1" applyFont="1" applyBorder="1" applyAlignment="1">
      <alignment horizontal="center" vertical="center"/>
    </xf>
    <xf numFmtId="180" fontId="23" fillId="2" borderId="18" xfId="2" applyNumberFormat="1" applyFill="1" applyBorder="1" applyAlignment="1">
      <alignment horizontal="center" vertical="center"/>
    </xf>
    <xf numFmtId="10" fontId="34" fillId="2" borderId="18" xfId="2" applyNumberFormat="1" applyFont="1" applyFill="1" applyBorder="1" applyAlignment="1">
      <alignment horizontal="center" vertical="center"/>
    </xf>
    <xf numFmtId="10" fontId="23" fillId="2" borderId="18" xfId="2" applyNumberFormat="1" applyFill="1" applyBorder="1" applyAlignment="1">
      <alignment horizontal="center" vertical="center"/>
    </xf>
    <xf numFmtId="180" fontId="39" fillId="6" borderId="20" xfId="2" applyNumberFormat="1" applyFont="1" applyFill="1" applyBorder="1" applyAlignment="1">
      <alignment horizontal="center" vertical="center"/>
    </xf>
    <xf numFmtId="0" fontId="23" fillId="0" borderId="20" xfId="2" applyFill="1" applyBorder="1" applyAlignment="1">
      <alignment horizontal="center" vertical="center"/>
    </xf>
    <xf numFmtId="0" fontId="23" fillId="0" borderId="8" xfId="2" applyFill="1" applyBorder="1" applyAlignment="1">
      <alignment horizontal="center" vertical="center"/>
    </xf>
    <xf numFmtId="0" fontId="19" fillId="0" borderId="0" xfId="6">
      <alignment vertical="center"/>
    </xf>
    <xf numFmtId="0" fontId="19" fillId="0" borderId="0" xfId="6" applyAlignment="1">
      <alignment horizontal="center" vertical="center"/>
    </xf>
    <xf numFmtId="14" fontId="31" fillId="0" borderId="1" xfId="6" applyNumberFormat="1" applyFont="1" applyBorder="1">
      <alignment vertical="center"/>
    </xf>
    <xf numFmtId="176" fontId="31" fillId="0" borderId="2" xfId="6" applyNumberFormat="1" applyFont="1" applyBorder="1">
      <alignment vertical="center"/>
    </xf>
    <xf numFmtId="176" fontId="31" fillId="0" borderId="3" xfId="6" applyNumberFormat="1" applyFont="1" applyBorder="1">
      <alignment vertical="center"/>
    </xf>
    <xf numFmtId="10" fontId="26" fillId="0" borderId="4" xfId="6" applyNumberFormat="1" applyFont="1" applyBorder="1">
      <alignment vertical="center"/>
    </xf>
    <xf numFmtId="10" fontId="31" fillId="0" borderId="5" xfId="6" applyNumberFormat="1" applyFont="1" applyBorder="1">
      <alignment vertical="center"/>
    </xf>
    <xf numFmtId="14" fontId="31" fillId="0" borderId="6" xfId="6" applyNumberFormat="1" applyFont="1" applyBorder="1">
      <alignment vertical="center"/>
    </xf>
    <xf numFmtId="176" fontId="31" fillId="0" borderId="20" xfId="6" applyNumberFormat="1" applyFont="1" applyBorder="1">
      <alignment vertical="center"/>
    </xf>
    <xf numFmtId="176" fontId="31" fillId="0" borderId="0" xfId="6" applyNumberFormat="1" applyFont="1">
      <alignment vertical="center"/>
    </xf>
    <xf numFmtId="10" fontId="31" fillId="0" borderId="8" xfId="6" applyNumberFormat="1" applyFont="1" applyBorder="1">
      <alignment vertical="center"/>
    </xf>
    <xf numFmtId="177" fontId="31" fillId="0" borderId="9" xfId="6" applyNumberFormat="1" applyFont="1" applyBorder="1">
      <alignment vertical="center"/>
    </xf>
    <xf numFmtId="10" fontId="31" fillId="0" borderId="20" xfId="6" applyNumberFormat="1" applyFont="1" applyBorder="1">
      <alignment vertical="center"/>
    </xf>
    <xf numFmtId="0" fontId="31" fillId="0" borderId="20" xfId="6" applyFont="1" applyBorder="1">
      <alignment vertical="center"/>
    </xf>
    <xf numFmtId="177" fontId="28" fillId="0" borderId="9" xfId="6" applyNumberFormat="1" applyFont="1" applyBorder="1" applyAlignment="1">
      <alignment horizontal="right" vertical="center"/>
    </xf>
    <xf numFmtId="0" fontId="31" fillId="0" borderId="10" xfId="6" applyFont="1" applyBorder="1">
      <alignment vertical="center"/>
    </xf>
    <xf numFmtId="0" fontId="31" fillId="0" borderId="0" xfId="6" applyFont="1">
      <alignment vertical="center"/>
    </xf>
    <xf numFmtId="0" fontId="31" fillId="0" borderId="11" xfId="6" applyFont="1" applyBorder="1">
      <alignment vertical="center"/>
    </xf>
    <xf numFmtId="14" fontId="26" fillId="0" borderId="4" xfId="6" applyNumberFormat="1" applyFont="1" applyBorder="1">
      <alignment vertical="center"/>
    </xf>
    <xf numFmtId="11" fontId="31" fillId="0" borderId="11" xfId="6" applyNumberFormat="1" applyFont="1" applyBorder="1">
      <alignment vertical="center"/>
    </xf>
    <xf numFmtId="14" fontId="31" fillId="2" borderId="12" xfId="6" applyNumberFormat="1" applyFont="1" applyFill="1" applyBorder="1">
      <alignment vertical="center"/>
    </xf>
    <xf numFmtId="10" fontId="31" fillId="2" borderId="20" xfId="6" applyNumberFormat="1" applyFont="1" applyFill="1" applyBorder="1">
      <alignment vertical="center"/>
    </xf>
    <xf numFmtId="10" fontId="31" fillId="0" borderId="0" xfId="6" applyNumberFormat="1" applyFont="1">
      <alignment vertical="center"/>
    </xf>
    <xf numFmtId="10" fontId="31" fillId="0" borderId="9" xfId="6" applyNumberFormat="1" applyFont="1" applyBorder="1">
      <alignment vertical="center"/>
    </xf>
    <xf numFmtId="10" fontId="28" fillId="0" borderId="9" xfId="6" applyNumberFormat="1" applyFont="1" applyBorder="1" applyAlignment="1">
      <alignment horizontal="right" vertical="center"/>
    </xf>
    <xf numFmtId="10" fontId="31" fillId="0" borderId="6" xfId="6" applyNumberFormat="1" applyFont="1" applyBorder="1">
      <alignment vertical="center"/>
    </xf>
    <xf numFmtId="178" fontId="31" fillId="0" borderId="20" xfId="6" applyNumberFormat="1" applyFont="1" applyBorder="1">
      <alignment vertical="center"/>
    </xf>
    <xf numFmtId="178" fontId="31" fillId="0" borderId="0" xfId="6" applyNumberFormat="1" applyFont="1">
      <alignment vertical="center"/>
    </xf>
    <xf numFmtId="14" fontId="28" fillId="0" borderId="6" xfId="6" applyNumberFormat="1" applyFont="1" applyBorder="1">
      <alignment vertical="center"/>
    </xf>
    <xf numFmtId="14" fontId="31" fillId="0" borderId="13" xfId="6" applyNumberFormat="1" applyFont="1" applyBorder="1">
      <alignment vertical="center"/>
    </xf>
    <xf numFmtId="10" fontId="31" fillId="0" borderId="14" xfId="6" applyNumberFormat="1" applyFont="1" applyBorder="1">
      <alignment vertical="center"/>
    </xf>
    <xf numFmtId="10" fontId="31" fillId="0" borderId="15" xfId="6" applyNumberFormat="1" applyFont="1" applyBorder="1">
      <alignment vertical="center"/>
    </xf>
    <xf numFmtId="0" fontId="31" fillId="0" borderId="14" xfId="6" applyFont="1" applyBorder="1">
      <alignment vertical="center"/>
    </xf>
    <xf numFmtId="0" fontId="31" fillId="0" borderId="16" xfId="6" applyFont="1" applyBorder="1">
      <alignment vertical="center"/>
    </xf>
    <xf numFmtId="14" fontId="32" fillId="4" borderId="20" xfId="6" applyNumberFormat="1" applyFont="1" applyFill="1" applyBorder="1" applyAlignment="1">
      <alignment horizontal="center" vertical="center" wrapText="1"/>
    </xf>
    <xf numFmtId="10" fontId="32" fillId="4" borderId="20" xfId="6" applyNumberFormat="1" applyFont="1" applyFill="1" applyBorder="1" applyAlignment="1">
      <alignment horizontal="center" vertical="center" wrapText="1"/>
    </xf>
    <xf numFmtId="179" fontId="32" fillId="0" borderId="20" xfId="6" applyNumberFormat="1" applyFont="1" applyBorder="1" applyAlignment="1">
      <alignment horizontal="center" vertical="center" wrapText="1"/>
    </xf>
    <xf numFmtId="10" fontId="33" fillId="0" borderId="20" xfId="6" applyNumberFormat="1" applyFont="1" applyBorder="1" applyAlignment="1">
      <alignment horizontal="center" vertical="center" wrapText="1"/>
    </xf>
    <xf numFmtId="177" fontId="33" fillId="0" borderId="20" xfId="6" applyNumberFormat="1" applyFont="1" applyBorder="1" applyAlignment="1">
      <alignment horizontal="center" vertical="center" wrapText="1"/>
    </xf>
    <xf numFmtId="0" fontId="19" fillId="3" borderId="0" xfId="6" applyFill="1">
      <alignment vertical="center"/>
    </xf>
    <xf numFmtId="0" fontId="30" fillId="4" borderId="0" xfId="6" applyFont="1" applyFill="1" applyAlignment="1">
      <alignment horizontal="center" vertical="center"/>
    </xf>
    <xf numFmtId="14" fontId="0" fillId="0" borderId="20" xfId="0" applyNumberFormat="1" applyBorder="1" applyAlignment="1">
      <alignment horizontal="left" vertical="center"/>
    </xf>
    <xf numFmtId="180" fontId="19" fillId="0" borderId="20" xfId="6" applyNumberFormat="1" applyBorder="1" applyAlignment="1">
      <alignment horizontal="center" vertical="center"/>
    </xf>
    <xf numFmtId="10" fontId="0" fillId="2" borderId="20" xfId="7" applyNumberFormat="1" applyFont="1" applyFill="1" applyBorder="1" applyAlignment="1">
      <alignment horizontal="center" vertical="center"/>
    </xf>
    <xf numFmtId="10" fontId="19" fillId="2" borderId="20" xfId="6" applyNumberFormat="1" applyFill="1" applyBorder="1" applyAlignment="1">
      <alignment horizontal="center" vertical="center"/>
    </xf>
    <xf numFmtId="180" fontId="0" fillId="2" borderId="20" xfId="0" applyNumberFormat="1" applyFill="1" applyBorder="1" applyAlignment="1">
      <alignment horizontal="center" vertical="center"/>
    </xf>
    <xf numFmtId="0" fontId="19" fillId="2" borderId="20" xfId="6" applyFill="1" applyBorder="1" applyAlignment="1">
      <alignment horizontal="center" vertical="center"/>
    </xf>
    <xf numFmtId="10" fontId="0" fillId="0" borderId="20" xfId="7" applyNumberFormat="1" applyFont="1" applyBorder="1" applyAlignment="1">
      <alignment horizontal="center" vertical="center"/>
    </xf>
    <xf numFmtId="10" fontId="19" fillId="0" borderId="20" xfId="6" applyNumberFormat="1" applyBorder="1" applyAlignment="1">
      <alignment horizontal="center" vertical="center"/>
    </xf>
    <xf numFmtId="180" fontId="0" fillId="0" borderId="20" xfId="0" applyNumberFormat="1" applyBorder="1" applyAlignment="1">
      <alignment horizontal="center" vertical="center"/>
    </xf>
    <xf numFmtId="10" fontId="19" fillId="0" borderId="20" xfId="1" applyNumberFormat="1" applyFont="1" applyBorder="1" applyAlignment="1">
      <alignment horizontal="center" vertical="center"/>
    </xf>
    <xf numFmtId="10" fontId="34" fillId="0" borderId="20" xfId="6" applyNumberFormat="1" applyFont="1" applyBorder="1" applyAlignment="1">
      <alignment horizontal="center" vertical="center"/>
    </xf>
    <xf numFmtId="180" fontId="35" fillId="5" borderId="20" xfId="6" applyNumberFormat="1" applyFont="1" applyFill="1" applyBorder="1" applyAlignment="1">
      <alignment horizontal="center" vertical="center"/>
    </xf>
    <xf numFmtId="14" fontId="0" fillId="2" borderId="20" xfId="0" applyNumberFormat="1" applyFill="1" applyBorder="1" applyAlignment="1">
      <alignment horizontal="left" vertical="center"/>
    </xf>
    <xf numFmtId="180" fontId="19" fillId="2" borderId="20" xfId="6" applyNumberFormat="1" applyFill="1" applyBorder="1" applyAlignment="1">
      <alignment horizontal="center" vertical="center"/>
    </xf>
    <xf numFmtId="10" fontId="34" fillId="2" borderId="20" xfId="6" applyNumberFormat="1" applyFont="1" applyFill="1" applyBorder="1" applyAlignment="1">
      <alignment horizontal="center" vertical="center"/>
    </xf>
    <xf numFmtId="180" fontId="35" fillId="2" borderId="20" xfId="6" applyNumberFormat="1" applyFont="1" applyFill="1" applyBorder="1" applyAlignment="1">
      <alignment horizontal="center" vertical="center"/>
    </xf>
    <xf numFmtId="0" fontId="19" fillId="2" borderId="0" xfId="6" applyFill="1" applyAlignment="1">
      <alignment horizontal="center" vertical="center"/>
    </xf>
    <xf numFmtId="180" fontId="39" fillId="6" borderId="20" xfId="6" applyNumberFormat="1" applyFont="1" applyFill="1" applyBorder="1" applyAlignment="1">
      <alignment horizontal="center" vertical="center"/>
    </xf>
    <xf numFmtId="10" fontId="0" fillId="0" borderId="20" xfId="7" applyNumberFormat="1" applyFont="1" applyFill="1" applyBorder="1" applyAlignment="1">
      <alignment horizontal="center" vertical="center"/>
    </xf>
    <xf numFmtId="10" fontId="19" fillId="0" borderId="20" xfId="1" applyNumberFormat="1" applyFont="1" applyFill="1" applyBorder="1" applyAlignment="1">
      <alignment horizontal="center" vertical="center"/>
    </xf>
    <xf numFmtId="180" fontId="19" fillId="0" borderId="17" xfId="6" applyNumberFormat="1" applyBorder="1" applyAlignment="1">
      <alignment horizontal="center" vertical="center"/>
    </xf>
    <xf numFmtId="10" fontId="34" fillId="0" borderId="17" xfId="6" applyNumberFormat="1" applyFont="1" applyBorder="1" applyAlignment="1">
      <alignment horizontal="center" vertical="center"/>
    </xf>
    <xf numFmtId="10" fontId="19" fillId="0" borderId="17" xfId="6" applyNumberFormat="1" applyBorder="1" applyAlignment="1">
      <alignment horizontal="center" vertical="center"/>
    </xf>
    <xf numFmtId="10" fontId="19" fillId="2" borderId="20" xfId="1" applyNumberFormat="1" applyFont="1" applyFill="1" applyBorder="1" applyAlignment="1">
      <alignment horizontal="center" vertical="center"/>
    </xf>
    <xf numFmtId="0" fontId="19" fillId="2" borderId="0" xfId="6" applyFill="1">
      <alignment vertical="center"/>
    </xf>
    <xf numFmtId="10" fontId="34" fillId="0" borderId="20" xfId="7" applyNumberFormat="1" applyFont="1" applyBorder="1" applyAlignment="1">
      <alignment horizontal="center" vertical="center"/>
    </xf>
    <xf numFmtId="181" fontId="19" fillId="0" borderId="0" xfId="6" applyNumberFormat="1" applyAlignment="1">
      <alignment horizontal="right" vertical="center"/>
    </xf>
    <xf numFmtId="182" fontId="19" fillId="0" borderId="0" xfId="6" applyNumberFormat="1" applyAlignment="1">
      <alignment horizontal="right" vertical="center"/>
    </xf>
    <xf numFmtId="180" fontId="19" fillId="0" borderId="20" xfId="6" applyNumberFormat="1" applyBorder="1" applyAlignment="1">
      <alignment horizontal="center" vertical="center" wrapText="1"/>
    </xf>
    <xf numFmtId="180" fontId="23" fillId="2" borderId="20" xfId="2" applyNumberFormat="1" applyFill="1" applyBorder="1" applyAlignment="1">
      <alignment horizontal="center" vertical="center"/>
    </xf>
    <xf numFmtId="10" fontId="34" fillId="2" borderId="20" xfId="2" applyNumberFormat="1" applyFont="1" applyFill="1" applyBorder="1" applyAlignment="1">
      <alignment horizontal="center" vertical="center"/>
    </xf>
    <xf numFmtId="10" fontId="23" fillId="2" borderId="20" xfId="2" applyNumberFormat="1" applyFill="1" applyBorder="1" applyAlignment="1">
      <alignment horizontal="center" vertical="center"/>
    </xf>
    <xf numFmtId="180" fontId="35" fillId="2" borderId="20" xfId="2" applyNumberFormat="1" applyFont="1" applyFill="1" applyBorder="1" applyAlignment="1">
      <alignment horizontal="center" vertical="center"/>
    </xf>
    <xf numFmtId="0" fontId="19" fillId="2" borderId="7" xfId="2" applyFont="1" applyFill="1" applyBorder="1" applyAlignment="1">
      <alignment horizontal="center" vertical="center"/>
    </xf>
    <xf numFmtId="10" fontId="19" fillId="0" borderId="0" xfId="1" applyNumberFormat="1" applyFont="1">
      <alignment vertical="center"/>
    </xf>
    <xf numFmtId="0" fontId="19" fillId="0" borderId="0" xfId="2" applyFont="1">
      <alignment vertical="center"/>
    </xf>
    <xf numFmtId="0" fontId="23" fillId="0" borderId="0" xfId="2" applyFill="1">
      <alignment vertical="center"/>
    </xf>
    <xf numFmtId="10" fontId="23" fillId="0" borderId="0" xfId="2" applyNumberFormat="1">
      <alignment vertical="center"/>
    </xf>
    <xf numFmtId="0" fontId="23" fillId="2" borderId="0" xfId="2" applyFill="1">
      <alignment vertical="center"/>
    </xf>
    <xf numFmtId="14" fontId="32" fillId="9" borderId="20" xfId="6" applyNumberFormat="1" applyFont="1" applyFill="1" applyBorder="1" applyAlignment="1">
      <alignment horizontal="center" vertical="center" wrapText="1"/>
    </xf>
    <xf numFmtId="10" fontId="32" fillId="9" borderId="20" xfId="6" applyNumberFormat="1" applyFont="1" applyFill="1" applyBorder="1" applyAlignment="1">
      <alignment horizontal="center" vertical="center" wrapText="1"/>
    </xf>
    <xf numFmtId="14" fontId="32" fillId="9" borderId="7" xfId="2" applyNumberFormat="1" applyFont="1" applyFill="1" applyBorder="1" applyAlignment="1">
      <alignment horizontal="center" vertical="center" wrapText="1"/>
    </xf>
    <xf numFmtId="10" fontId="32" fillId="9" borderId="7" xfId="2" applyNumberFormat="1" applyFont="1" applyFill="1" applyBorder="1" applyAlignment="1">
      <alignment horizontal="center" vertical="center" wrapText="1"/>
    </xf>
    <xf numFmtId="180" fontId="23" fillId="0" borderId="20" xfId="2" applyNumberFormat="1" applyFill="1" applyBorder="1" applyAlignment="1">
      <alignment horizontal="center" vertical="center"/>
    </xf>
    <xf numFmtId="0" fontId="19" fillId="0" borderId="7" xfId="2" applyFont="1" applyFill="1" applyBorder="1" applyAlignment="1">
      <alignment horizontal="center" vertical="center"/>
    </xf>
    <xf numFmtId="180" fontId="39" fillId="7" borderId="20" xfId="2" applyNumberFormat="1" applyFont="1" applyFill="1" applyBorder="1" applyAlignment="1">
      <alignment horizontal="center" vertical="center"/>
    </xf>
    <xf numFmtId="183" fontId="19" fillId="0" borderId="0" xfId="6" applyNumberFormat="1">
      <alignment vertical="center"/>
    </xf>
    <xf numFmtId="180" fontId="18" fillId="0" borderId="20" xfId="2" applyNumberFormat="1" applyFont="1" applyBorder="1" applyAlignment="1">
      <alignment horizontal="center" vertical="center"/>
    </xf>
    <xf numFmtId="0" fontId="17" fillId="0" borderId="0" xfId="2" applyFont="1">
      <alignment vertical="center"/>
    </xf>
    <xf numFmtId="0" fontId="16" fillId="0" borderId="0" xfId="2" applyFont="1">
      <alignment vertical="center"/>
    </xf>
    <xf numFmtId="0" fontId="15" fillId="0" borderId="0" xfId="2" applyFont="1">
      <alignment vertical="center"/>
    </xf>
    <xf numFmtId="181" fontId="34" fillId="0" borderId="20" xfId="0" applyNumberFormat="1" applyFont="1" applyFill="1" applyBorder="1" applyAlignment="1">
      <alignment horizontal="right" vertical="center"/>
    </xf>
    <xf numFmtId="181" fontId="0" fillId="0" borderId="20" xfId="0" applyNumberFormat="1" applyFill="1" applyBorder="1" applyAlignment="1">
      <alignment horizontal="right" vertical="center"/>
    </xf>
    <xf numFmtId="181" fontId="0" fillId="0" borderId="20" xfId="0" applyNumberFormat="1" applyBorder="1" applyAlignment="1">
      <alignment horizontal="right" vertical="center"/>
    </xf>
    <xf numFmtId="180" fontId="39" fillId="6" borderId="20" xfId="0" applyNumberFormat="1" applyFont="1" applyFill="1" applyBorder="1" applyAlignment="1">
      <alignment horizontal="center" vertical="center"/>
    </xf>
    <xf numFmtId="180" fontId="13" fillId="0" borderId="20" xfId="6" applyNumberFormat="1" applyFont="1" applyBorder="1" applyAlignment="1">
      <alignment horizontal="center" vertical="center"/>
    </xf>
    <xf numFmtId="10" fontId="14" fillId="2" borderId="7" xfId="1" applyNumberFormat="1" applyFont="1" applyFill="1" applyBorder="1" applyAlignment="1">
      <alignment horizontal="center" vertical="center"/>
    </xf>
    <xf numFmtId="0" fontId="12" fillId="0" borderId="0" xfId="2" applyFont="1">
      <alignment vertical="center"/>
    </xf>
    <xf numFmtId="0" fontId="11" fillId="0" borderId="0" xfId="2" applyFont="1">
      <alignment vertical="center"/>
    </xf>
    <xf numFmtId="183" fontId="23" fillId="0" borderId="0" xfId="2" applyNumberFormat="1">
      <alignment vertical="center"/>
    </xf>
    <xf numFmtId="184" fontId="23" fillId="0" borderId="0" xfId="1" applyNumberFormat="1" applyFont="1">
      <alignment vertical="center"/>
    </xf>
    <xf numFmtId="181" fontId="0" fillId="2" borderId="20" xfId="0" applyNumberFormat="1" applyFill="1" applyBorder="1" applyAlignment="1">
      <alignment horizontal="right" vertical="center"/>
    </xf>
    <xf numFmtId="0" fontId="10" fillId="0" borderId="0" xfId="2" applyFont="1">
      <alignment vertical="center"/>
    </xf>
    <xf numFmtId="181" fontId="43" fillId="0" borderId="20" xfId="0" applyNumberFormat="1" applyFont="1" applyFill="1" applyBorder="1" applyAlignment="1">
      <alignment horizontal="right" vertical="center"/>
    </xf>
    <xf numFmtId="181" fontId="43" fillId="0" borderId="17" xfId="0" applyNumberFormat="1" applyFont="1" applyFill="1" applyBorder="1" applyAlignment="1">
      <alignment horizontal="right" vertical="center"/>
    </xf>
    <xf numFmtId="180" fontId="9" fillId="0" borderId="20" xfId="2" applyNumberFormat="1" applyFont="1" applyBorder="1" applyAlignment="1">
      <alignment horizontal="center" vertical="center" wrapText="1"/>
    </xf>
    <xf numFmtId="180" fontId="8" fillId="0" borderId="20" xfId="2" applyNumberFormat="1" applyFont="1" applyBorder="1" applyAlignment="1">
      <alignment horizontal="center" vertical="center" wrapText="1"/>
    </xf>
    <xf numFmtId="180" fontId="7" fillId="0" borderId="20" xfId="2" applyNumberFormat="1" applyFont="1" applyBorder="1" applyAlignment="1">
      <alignment horizontal="center" vertical="center"/>
    </xf>
    <xf numFmtId="0" fontId="23" fillId="0" borderId="17" xfId="2" applyFill="1" applyBorder="1" applyAlignment="1">
      <alignment horizontal="center" vertical="center"/>
    </xf>
    <xf numFmtId="0" fontId="7" fillId="0" borderId="0" xfId="8">
      <alignment vertical="center"/>
    </xf>
    <xf numFmtId="0" fontId="7" fillId="0" borderId="0" xfId="8" applyAlignment="1">
      <alignment horizontal="center" vertical="center"/>
    </xf>
    <xf numFmtId="14" fontId="31" fillId="0" borderId="1" xfId="8" applyNumberFormat="1" applyFont="1" applyBorder="1">
      <alignment vertical="center"/>
    </xf>
    <xf numFmtId="176" fontId="31" fillId="0" borderId="2" xfId="8" applyNumberFormat="1" applyFont="1" applyBorder="1">
      <alignment vertical="center"/>
    </xf>
    <xf numFmtId="176" fontId="31" fillId="0" borderId="3" xfId="8" applyNumberFormat="1" applyFont="1" applyBorder="1">
      <alignment vertical="center"/>
    </xf>
    <xf numFmtId="10" fontId="26" fillId="0" borderId="4" xfId="8" applyNumberFormat="1" applyFont="1" applyBorder="1">
      <alignment vertical="center"/>
    </xf>
    <xf numFmtId="10" fontId="31" fillId="0" borderId="5" xfId="8" applyNumberFormat="1" applyFont="1" applyBorder="1">
      <alignment vertical="center"/>
    </xf>
    <xf numFmtId="14" fontId="31" fillId="0" borderId="6" xfId="8" applyNumberFormat="1" applyFont="1" applyBorder="1">
      <alignment vertical="center"/>
    </xf>
    <xf numFmtId="176" fontId="31" fillId="0" borderId="20" xfId="8" applyNumberFormat="1" applyFont="1" applyBorder="1">
      <alignment vertical="center"/>
    </xf>
    <xf numFmtId="176" fontId="31" fillId="0" borderId="0" xfId="8" applyNumberFormat="1" applyFont="1">
      <alignment vertical="center"/>
    </xf>
    <xf numFmtId="10" fontId="31" fillId="0" borderId="8" xfId="8" applyNumberFormat="1" applyFont="1" applyBorder="1">
      <alignment vertical="center"/>
    </xf>
    <xf numFmtId="177" fontId="31" fillId="0" borderId="9" xfId="8" applyNumberFormat="1" applyFont="1" applyBorder="1">
      <alignment vertical="center"/>
    </xf>
    <xf numFmtId="10" fontId="31" fillId="0" borderId="20" xfId="8" applyNumberFormat="1" applyFont="1" applyBorder="1">
      <alignment vertical="center"/>
    </xf>
    <xf numFmtId="0" fontId="31" fillId="0" borderId="20" xfId="8" applyFont="1" applyBorder="1">
      <alignment vertical="center"/>
    </xf>
    <xf numFmtId="177" fontId="28" fillId="0" borderId="9" xfId="8" applyNumberFormat="1" applyFont="1" applyBorder="1" applyAlignment="1">
      <alignment horizontal="right" vertical="center"/>
    </xf>
    <xf numFmtId="0" fontId="31" fillId="0" borderId="10" xfId="8" applyFont="1" applyBorder="1">
      <alignment vertical="center"/>
    </xf>
    <xf numFmtId="0" fontId="31" fillId="0" borderId="0" xfId="8" applyFont="1">
      <alignment vertical="center"/>
    </xf>
    <xf numFmtId="0" fontId="31" fillId="0" borderId="11" xfId="8" applyFont="1" applyBorder="1">
      <alignment vertical="center"/>
    </xf>
    <xf numFmtId="14" fontId="26" fillId="0" borderId="4" xfId="8" applyNumberFormat="1" applyFont="1" applyBorder="1">
      <alignment vertical="center"/>
    </xf>
    <xf numFmtId="11" fontId="31" fillId="0" borderId="11" xfId="8" applyNumberFormat="1" applyFont="1" applyBorder="1">
      <alignment vertical="center"/>
    </xf>
    <xf numFmtId="14" fontId="31" fillId="2" borderId="12" xfId="8" applyNumberFormat="1" applyFont="1" applyFill="1" applyBorder="1">
      <alignment vertical="center"/>
    </xf>
    <xf numFmtId="10" fontId="31" fillId="2" borderId="20" xfId="8" applyNumberFormat="1" applyFont="1" applyFill="1" applyBorder="1">
      <alignment vertical="center"/>
    </xf>
    <xf numFmtId="10" fontId="31" fillId="0" borderId="0" xfId="8" applyNumberFormat="1" applyFont="1">
      <alignment vertical="center"/>
    </xf>
    <xf numFmtId="10" fontId="31" fillId="0" borderId="9" xfId="8" applyNumberFormat="1" applyFont="1" applyBorder="1">
      <alignment vertical="center"/>
    </xf>
    <xf numFmtId="10" fontId="28" fillId="0" borderId="9" xfId="8" applyNumberFormat="1" applyFont="1" applyBorder="1" applyAlignment="1">
      <alignment horizontal="right" vertical="center"/>
    </xf>
    <xf numFmtId="10" fontId="31" fillId="0" borderId="6" xfId="8" applyNumberFormat="1" applyFont="1" applyBorder="1">
      <alignment vertical="center"/>
    </xf>
    <xf numFmtId="178" fontId="31" fillId="0" borderId="20" xfId="8" applyNumberFormat="1" applyFont="1" applyBorder="1">
      <alignment vertical="center"/>
    </xf>
    <xf numFmtId="178" fontId="31" fillId="0" borderId="0" xfId="8" applyNumberFormat="1" applyFont="1">
      <alignment vertical="center"/>
    </xf>
    <xf numFmtId="14" fontId="28" fillId="0" borderId="6" xfId="8" applyNumberFormat="1" applyFont="1" applyBorder="1">
      <alignment vertical="center"/>
    </xf>
    <xf numFmtId="14" fontId="31" fillId="0" borderId="13" xfId="8" applyNumberFormat="1" applyFont="1" applyBorder="1">
      <alignment vertical="center"/>
    </xf>
    <xf numFmtId="10" fontId="31" fillId="0" borderId="14" xfId="8" applyNumberFormat="1" applyFont="1" applyBorder="1">
      <alignment vertical="center"/>
    </xf>
    <xf numFmtId="10" fontId="31" fillId="0" borderId="15" xfId="8" applyNumberFormat="1" applyFont="1" applyBorder="1">
      <alignment vertical="center"/>
    </xf>
    <xf numFmtId="0" fontId="31" fillId="0" borderId="14" xfId="8" applyFont="1" applyBorder="1">
      <alignment vertical="center"/>
    </xf>
    <xf numFmtId="0" fontId="31" fillId="0" borderId="16" xfId="8" applyFont="1" applyBorder="1">
      <alignment vertical="center"/>
    </xf>
    <xf numFmtId="14" fontId="32" fillId="4" borderId="20" xfId="8" applyNumberFormat="1" applyFont="1" applyFill="1" applyBorder="1" applyAlignment="1">
      <alignment horizontal="center" vertical="center" wrapText="1"/>
    </xf>
    <xf numFmtId="10" fontId="32" fillId="4" borderId="20" xfId="8" applyNumberFormat="1" applyFont="1" applyFill="1" applyBorder="1" applyAlignment="1">
      <alignment horizontal="center" vertical="center" wrapText="1"/>
    </xf>
    <xf numFmtId="179" fontId="32" fillId="0" borderId="20" xfId="8" applyNumberFormat="1" applyFont="1" applyBorder="1" applyAlignment="1">
      <alignment horizontal="center" vertical="center" wrapText="1"/>
    </xf>
    <xf numFmtId="10" fontId="33" fillId="0" borderId="20" xfId="8" applyNumberFormat="1" applyFont="1" applyBorder="1" applyAlignment="1">
      <alignment horizontal="center" vertical="center" wrapText="1"/>
    </xf>
    <xf numFmtId="177" fontId="33" fillId="0" borderId="20" xfId="8" applyNumberFormat="1" applyFont="1" applyBorder="1" applyAlignment="1">
      <alignment horizontal="center" vertical="center" wrapText="1"/>
    </xf>
    <xf numFmtId="0" fontId="7" fillId="3" borderId="0" xfId="8" applyFill="1">
      <alignment vertical="center"/>
    </xf>
    <xf numFmtId="0" fontId="30" fillId="4" borderId="0" xfId="8" applyFont="1" applyFill="1" applyAlignment="1">
      <alignment horizontal="center" vertical="center"/>
    </xf>
    <xf numFmtId="14" fontId="0" fillId="0" borderId="20" xfId="0" applyNumberFormat="1" applyFill="1" applyBorder="1" applyAlignment="1">
      <alignment horizontal="left" vertical="center"/>
    </xf>
    <xf numFmtId="180" fontId="7" fillId="0" borderId="20" xfId="8" applyNumberFormat="1" applyBorder="1" applyAlignment="1">
      <alignment horizontal="center" vertical="center"/>
    </xf>
    <xf numFmtId="10" fontId="34" fillId="0" borderId="20" xfId="8" applyNumberFormat="1" applyFont="1" applyBorder="1" applyAlignment="1">
      <alignment horizontal="center" vertical="center"/>
    </xf>
    <xf numFmtId="10" fontId="7" fillId="0" borderId="20" xfId="8" applyNumberFormat="1" applyBorder="1" applyAlignment="1">
      <alignment horizontal="center" vertical="center"/>
    </xf>
    <xf numFmtId="180" fontId="35" fillId="5" borderId="20" xfId="8" applyNumberFormat="1" applyFont="1" applyFill="1" applyBorder="1" applyAlignment="1">
      <alignment horizontal="center" vertical="center"/>
    </xf>
    <xf numFmtId="0" fontId="7" fillId="2" borderId="20" xfId="8" applyFill="1" applyBorder="1" applyAlignment="1">
      <alignment horizontal="center" vertical="center"/>
    </xf>
    <xf numFmtId="0" fontId="7" fillId="0" borderId="0" xfId="2" applyFont="1">
      <alignment vertical="center"/>
    </xf>
    <xf numFmtId="180" fontId="6" fillId="0" borderId="20" xfId="2" applyNumberFormat="1" applyFont="1" applyBorder="1" applyAlignment="1">
      <alignment horizontal="center" vertical="center"/>
    </xf>
    <xf numFmtId="179" fontId="33" fillId="0" borderId="7" xfId="2" applyNumberFormat="1" applyFont="1" applyFill="1" applyBorder="1" applyAlignment="1">
      <alignment horizontal="center" vertical="center" wrapText="1"/>
    </xf>
    <xf numFmtId="14" fontId="43" fillId="10" borderId="20" xfId="0" applyNumberFormat="1" applyFont="1" applyFill="1" applyBorder="1" applyAlignment="1">
      <alignment horizontal="center" vertical="center"/>
    </xf>
    <xf numFmtId="10" fontId="23" fillId="0" borderId="20" xfId="2" applyNumberFormat="1" applyFill="1" applyBorder="1" applyAlignment="1">
      <alignment horizontal="center" vertical="center"/>
    </xf>
    <xf numFmtId="180" fontId="35" fillId="0" borderId="20" xfId="2" applyNumberFormat="1" applyFont="1" applyFill="1" applyBorder="1" applyAlignment="1">
      <alignment horizontal="center" vertical="center"/>
    </xf>
    <xf numFmtId="0" fontId="5" fillId="0" borderId="0" xfId="8" applyFont="1">
      <alignment vertical="center"/>
    </xf>
    <xf numFmtId="14" fontId="34" fillId="0" borderId="1" xfId="9" applyNumberFormat="1" applyFill="1" applyBorder="1">
      <alignment vertical="center"/>
    </xf>
    <xf numFmtId="176" fontId="34" fillId="0" borderId="2" xfId="9" applyNumberFormat="1" applyFill="1" applyBorder="1">
      <alignment vertical="center"/>
    </xf>
    <xf numFmtId="176" fontId="34" fillId="0" borderId="3" xfId="9" applyNumberFormat="1" applyFill="1" applyBorder="1">
      <alignment vertical="center"/>
    </xf>
    <xf numFmtId="10" fontId="26" fillId="0" borderId="4" xfId="9" applyNumberFormat="1" applyFont="1" applyFill="1" applyBorder="1">
      <alignment vertical="center"/>
    </xf>
    <xf numFmtId="10" fontId="34" fillId="0" borderId="5" xfId="9" applyNumberFormat="1" applyFill="1" applyBorder="1">
      <alignment vertical="center"/>
    </xf>
    <xf numFmtId="0" fontId="34" fillId="0" borderId="0" xfId="9">
      <alignment vertical="center"/>
    </xf>
    <xf numFmtId="14" fontId="34" fillId="0" borderId="6" xfId="9" applyNumberFormat="1" applyFill="1" applyBorder="1">
      <alignment vertical="center"/>
    </xf>
    <xf numFmtId="176" fontId="34" fillId="0" borderId="20" xfId="9" applyNumberFormat="1" applyFill="1" applyBorder="1">
      <alignment vertical="center"/>
    </xf>
    <xf numFmtId="176" fontId="34" fillId="0" borderId="0" xfId="9" applyNumberFormat="1" applyFill="1" applyBorder="1">
      <alignment vertical="center"/>
    </xf>
    <xf numFmtId="10" fontId="34" fillId="0" borderId="8" xfId="9" applyNumberFormat="1" applyFill="1" applyBorder="1">
      <alignment vertical="center"/>
    </xf>
    <xf numFmtId="177" fontId="34" fillId="0" borderId="9" xfId="9" applyNumberFormat="1" applyFill="1" applyBorder="1">
      <alignment vertical="center"/>
    </xf>
    <xf numFmtId="180" fontId="34" fillId="0" borderId="0" xfId="9" applyNumberFormat="1">
      <alignment vertical="center"/>
    </xf>
    <xf numFmtId="10" fontId="34" fillId="0" borderId="20" xfId="9" applyNumberFormat="1" applyFill="1" applyBorder="1">
      <alignment vertical="center"/>
    </xf>
    <xf numFmtId="0" fontId="34" fillId="0" borderId="20" xfId="9" applyFill="1" applyBorder="1">
      <alignment vertical="center"/>
    </xf>
    <xf numFmtId="177" fontId="28" fillId="0" borderId="9" xfId="9" applyNumberFormat="1" applyFont="1" applyFill="1" applyBorder="1" applyAlignment="1">
      <alignment horizontal="right" vertical="center"/>
    </xf>
    <xf numFmtId="0" fontId="34" fillId="0" borderId="10" xfId="9" applyBorder="1">
      <alignment vertical="center"/>
    </xf>
    <xf numFmtId="0" fontId="34" fillId="0" borderId="0" xfId="9" applyBorder="1">
      <alignment vertical="center"/>
    </xf>
    <xf numFmtId="0" fontId="34" fillId="0" borderId="11" xfId="9" applyBorder="1">
      <alignment vertical="center"/>
    </xf>
    <xf numFmtId="14" fontId="26" fillId="0" borderId="4" xfId="9" applyNumberFormat="1" applyFont="1" applyFill="1" applyBorder="1">
      <alignment vertical="center"/>
    </xf>
    <xf numFmtId="0" fontId="34" fillId="0" borderId="0" xfId="9" applyFill="1" applyBorder="1" applyAlignment="1">
      <alignment vertical="center"/>
    </xf>
    <xf numFmtId="11" fontId="34" fillId="0" borderId="11" xfId="9" applyNumberFormat="1" applyFill="1" applyBorder="1" applyAlignment="1">
      <alignment vertical="center"/>
    </xf>
    <xf numFmtId="14" fontId="34" fillId="2" borderId="12" xfId="9" applyNumberFormat="1" applyFill="1" applyBorder="1">
      <alignment vertical="center"/>
    </xf>
    <xf numFmtId="10" fontId="34" fillId="2" borderId="20" xfId="9" applyNumberFormat="1" applyFill="1" applyBorder="1">
      <alignment vertical="center"/>
    </xf>
    <xf numFmtId="10" fontId="34" fillId="0" borderId="0" xfId="9" applyNumberFormat="1" applyFill="1" applyBorder="1">
      <alignment vertical="center"/>
    </xf>
    <xf numFmtId="10" fontId="34" fillId="0" borderId="9" xfId="9" applyNumberFormat="1" applyFill="1" applyBorder="1">
      <alignment vertical="center"/>
    </xf>
    <xf numFmtId="10" fontId="34" fillId="0" borderId="9" xfId="9" applyNumberFormat="1" applyFont="1" applyFill="1" applyBorder="1" applyAlignment="1">
      <alignment horizontal="right" vertical="center"/>
    </xf>
    <xf numFmtId="10" fontId="34" fillId="0" borderId="6" xfId="9" applyNumberFormat="1" applyFill="1" applyBorder="1">
      <alignment vertical="center"/>
    </xf>
    <xf numFmtId="178" fontId="34" fillId="0" borderId="20" xfId="9" applyNumberFormat="1" applyFill="1" applyBorder="1">
      <alignment vertical="center"/>
    </xf>
    <xf numFmtId="178" fontId="34" fillId="0" borderId="0" xfId="9" applyNumberFormat="1" applyFill="1" applyBorder="1">
      <alignment vertical="center"/>
    </xf>
    <xf numFmtId="14" fontId="28" fillId="0" borderId="6" xfId="9" applyNumberFormat="1" applyFont="1" applyFill="1" applyBorder="1">
      <alignment vertical="center"/>
    </xf>
    <xf numFmtId="14" fontId="34" fillId="0" borderId="13" xfId="9" applyNumberFormat="1" applyFill="1" applyBorder="1">
      <alignment vertical="center"/>
    </xf>
    <xf numFmtId="10" fontId="34" fillId="0" borderId="14" xfId="9" applyNumberFormat="1" applyFill="1" applyBorder="1">
      <alignment vertical="center"/>
    </xf>
    <xf numFmtId="10" fontId="34" fillId="0" borderId="15" xfId="9" applyNumberFormat="1" applyFill="1" applyBorder="1">
      <alignment vertical="center"/>
    </xf>
    <xf numFmtId="0" fontId="34" fillId="0" borderId="14" xfId="9" applyBorder="1">
      <alignment vertical="center"/>
    </xf>
    <xf numFmtId="0" fontId="34" fillId="0" borderId="16" xfId="9" applyBorder="1">
      <alignment vertical="center"/>
    </xf>
    <xf numFmtId="14" fontId="44" fillId="11" borderId="20" xfId="9" applyNumberFormat="1" applyFont="1" applyFill="1" applyBorder="1" applyAlignment="1">
      <alignment horizontal="center" vertical="center" wrapText="1"/>
    </xf>
    <xf numFmtId="14" fontId="44" fillId="0" borderId="20" xfId="9" applyNumberFormat="1" applyFont="1" applyFill="1" applyBorder="1" applyAlignment="1">
      <alignment horizontal="center" vertical="center" wrapText="1"/>
    </xf>
    <xf numFmtId="10" fontId="44" fillId="0" borderId="20" xfId="9" applyNumberFormat="1" applyFont="1" applyFill="1" applyBorder="1" applyAlignment="1">
      <alignment horizontal="center" vertical="center" wrapText="1"/>
    </xf>
    <xf numFmtId="10" fontId="44" fillId="0" borderId="21" xfId="9" applyNumberFormat="1" applyFont="1" applyFill="1" applyBorder="1" applyAlignment="1">
      <alignment horizontal="center" vertical="center" wrapText="1"/>
    </xf>
    <xf numFmtId="179" fontId="44" fillId="11" borderId="20" xfId="9" applyNumberFormat="1" applyFont="1" applyFill="1" applyBorder="1" applyAlignment="1">
      <alignment horizontal="center" vertical="center" wrapText="1"/>
    </xf>
    <xf numFmtId="10" fontId="45" fillId="0" borderId="20" xfId="9" applyNumberFormat="1" applyFont="1" applyFill="1" applyBorder="1" applyAlignment="1">
      <alignment horizontal="center" vertical="center" wrapText="1"/>
    </xf>
    <xf numFmtId="177" fontId="45" fillId="0" borderId="20" xfId="9" applyNumberFormat="1" applyFont="1" applyFill="1" applyBorder="1" applyAlignment="1">
      <alignment horizontal="center" vertical="center" wrapText="1"/>
    </xf>
    <xf numFmtId="10" fontId="34" fillId="2" borderId="0" xfId="9" applyNumberFormat="1" applyFill="1">
      <alignment vertical="center"/>
    </xf>
    <xf numFmtId="0" fontId="34" fillId="3" borderId="0" xfId="9" applyFill="1">
      <alignment vertical="center"/>
    </xf>
    <xf numFmtId="185" fontId="34" fillId="0" borderId="20" xfId="9" applyNumberFormat="1" applyBorder="1" applyAlignment="1">
      <alignment horizontal="center" vertical="center"/>
    </xf>
    <xf numFmtId="10" fontId="0" fillId="0" borderId="20" xfId="10" applyNumberFormat="1" applyFont="1" applyBorder="1" applyAlignment="1">
      <alignment horizontal="center" vertical="center"/>
    </xf>
    <xf numFmtId="10" fontId="34" fillId="0" borderId="20" xfId="9" applyNumberFormat="1" applyBorder="1" applyAlignment="1">
      <alignment horizontal="center" vertical="center"/>
    </xf>
    <xf numFmtId="181" fontId="34" fillId="0" borderId="20" xfId="9" applyNumberFormat="1" applyFill="1" applyBorder="1" applyAlignment="1">
      <alignment horizontal="center" vertical="center"/>
    </xf>
    <xf numFmtId="180" fontId="34" fillId="0" borderId="20" xfId="9" applyNumberFormat="1" applyBorder="1" applyAlignment="1">
      <alignment horizontal="center" vertical="center"/>
    </xf>
    <xf numFmtId="0" fontId="34" fillId="0" borderId="20" xfId="9" applyBorder="1" applyAlignment="1">
      <alignment horizontal="center" vertical="center"/>
    </xf>
    <xf numFmtId="0" fontId="46" fillId="0" borderId="20" xfId="9" applyFont="1" applyBorder="1" applyAlignment="1">
      <alignment horizontal="center" vertical="center"/>
    </xf>
    <xf numFmtId="14" fontId="4" fillId="0" borderId="1" xfId="11" applyNumberFormat="1" applyFill="1" applyBorder="1">
      <alignment vertical="center"/>
    </xf>
    <xf numFmtId="176" fontId="4" fillId="0" borderId="2" xfId="11" applyNumberFormat="1" applyFill="1" applyBorder="1">
      <alignment vertical="center"/>
    </xf>
    <xf numFmtId="176" fontId="4" fillId="0" borderId="3" xfId="11" applyNumberFormat="1" applyFill="1" applyBorder="1">
      <alignment vertical="center"/>
    </xf>
    <xf numFmtId="10" fontId="26" fillId="0" borderId="4" xfId="11" applyNumberFormat="1" applyFont="1" applyFill="1" applyBorder="1">
      <alignment vertical="center"/>
    </xf>
    <xf numFmtId="10" fontId="4" fillId="0" borderId="5" xfId="11" applyNumberFormat="1" applyFill="1" applyBorder="1">
      <alignment vertical="center"/>
    </xf>
    <xf numFmtId="0" fontId="4" fillId="0" borderId="0" xfId="11">
      <alignment vertical="center"/>
    </xf>
    <xf numFmtId="14" fontId="4" fillId="0" borderId="6" xfId="11" applyNumberFormat="1" applyFill="1" applyBorder="1">
      <alignment vertical="center"/>
    </xf>
    <xf numFmtId="176" fontId="4" fillId="0" borderId="20" xfId="11" applyNumberFormat="1" applyFill="1" applyBorder="1">
      <alignment vertical="center"/>
    </xf>
    <xf numFmtId="176" fontId="4" fillId="0" borderId="0" xfId="11" applyNumberFormat="1" applyFill="1" applyBorder="1">
      <alignment vertical="center"/>
    </xf>
    <xf numFmtId="10" fontId="4" fillId="0" borderId="8" xfId="11" applyNumberFormat="1" applyFill="1" applyBorder="1">
      <alignment vertical="center"/>
    </xf>
    <xf numFmtId="177" fontId="4" fillId="0" borderId="9" xfId="11" applyNumberFormat="1" applyFill="1" applyBorder="1">
      <alignment vertical="center"/>
    </xf>
    <xf numFmtId="180" fontId="4" fillId="0" borderId="0" xfId="11" applyNumberFormat="1">
      <alignment vertical="center"/>
    </xf>
    <xf numFmtId="10" fontId="4" fillId="0" borderId="20" xfId="11" applyNumberFormat="1" applyFill="1" applyBorder="1">
      <alignment vertical="center"/>
    </xf>
    <xf numFmtId="0" fontId="4" fillId="0" borderId="20" xfId="11" applyFill="1" applyBorder="1">
      <alignment vertical="center"/>
    </xf>
    <xf numFmtId="177" fontId="28" fillId="0" borderId="9" xfId="11" applyNumberFormat="1" applyFont="1" applyFill="1" applyBorder="1" applyAlignment="1">
      <alignment horizontal="right" vertical="center"/>
    </xf>
    <xf numFmtId="0" fontId="4" fillId="0" borderId="10" xfId="11" applyBorder="1">
      <alignment vertical="center"/>
    </xf>
    <xf numFmtId="0" fontId="4" fillId="0" borderId="0" xfId="11" applyBorder="1">
      <alignment vertical="center"/>
    </xf>
    <xf numFmtId="0" fontId="4" fillId="0" borderId="11" xfId="11" applyBorder="1">
      <alignment vertical="center"/>
    </xf>
    <xf numFmtId="14" fontId="26" fillId="0" borderId="4" xfId="11" applyNumberFormat="1" applyFont="1" applyFill="1" applyBorder="1">
      <alignment vertical="center"/>
    </xf>
    <xf numFmtId="0" fontId="4" fillId="0" borderId="0" xfId="11" applyFill="1" applyBorder="1" applyAlignment="1">
      <alignment vertical="center"/>
    </xf>
    <xf numFmtId="11" fontId="4" fillId="0" borderId="11" xfId="11" applyNumberFormat="1" applyFill="1" applyBorder="1" applyAlignment="1">
      <alignment vertical="center"/>
    </xf>
    <xf numFmtId="14" fontId="4" fillId="2" borderId="12" xfId="11" applyNumberFormat="1" applyFill="1" applyBorder="1">
      <alignment vertical="center"/>
    </xf>
    <xf numFmtId="10" fontId="4" fillId="2" borderId="20" xfId="11" applyNumberFormat="1" applyFill="1" applyBorder="1">
      <alignment vertical="center"/>
    </xf>
    <xf numFmtId="10" fontId="4" fillId="0" borderId="0" xfId="11" applyNumberFormat="1" applyFill="1" applyBorder="1">
      <alignment vertical="center"/>
    </xf>
    <xf numFmtId="10" fontId="4" fillId="0" borderId="9" xfId="11" applyNumberFormat="1" applyFill="1" applyBorder="1">
      <alignment vertical="center"/>
    </xf>
    <xf numFmtId="10" fontId="4" fillId="0" borderId="9" xfId="11" applyNumberFormat="1" applyFont="1" applyFill="1" applyBorder="1" applyAlignment="1">
      <alignment horizontal="right" vertical="center"/>
    </xf>
    <xf numFmtId="10" fontId="4" fillId="0" borderId="6" xfId="11" applyNumberFormat="1" applyFill="1" applyBorder="1">
      <alignment vertical="center"/>
    </xf>
    <xf numFmtId="178" fontId="4" fillId="0" borderId="20" xfId="11" applyNumberFormat="1" applyFill="1" applyBorder="1">
      <alignment vertical="center"/>
    </xf>
    <xf numFmtId="178" fontId="4" fillId="0" borderId="0" xfId="11" applyNumberFormat="1" applyFill="1" applyBorder="1">
      <alignment vertical="center"/>
    </xf>
    <xf numFmtId="14" fontId="28" fillId="0" borderId="6" xfId="11" applyNumberFormat="1" applyFont="1" applyFill="1" applyBorder="1">
      <alignment vertical="center"/>
    </xf>
    <xf numFmtId="14" fontId="4" fillId="0" borderId="13" xfId="11" applyNumberFormat="1" applyFill="1" applyBorder="1">
      <alignment vertical="center"/>
    </xf>
    <xf numFmtId="10" fontId="4" fillId="0" borderId="14" xfId="11" applyNumberFormat="1" applyFill="1" applyBorder="1">
      <alignment vertical="center"/>
    </xf>
    <xf numFmtId="10" fontId="4" fillId="0" borderId="15" xfId="11" applyNumberFormat="1" applyFill="1" applyBorder="1">
      <alignment vertical="center"/>
    </xf>
    <xf numFmtId="0" fontId="4" fillId="0" borderId="14" xfId="11" applyBorder="1">
      <alignment vertical="center"/>
    </xf>
    <xf numFmtId="0" fontId="4" fillId="0" borderId="16" xfId="11" applyBorder="1">
      <alignment vertical="center"/>
    </xf>
    <xf numFmtId="14" fontId="44" fillId="11" borderId="20" xfId="11" applyNumberFormat="1" applyFont="1" applyFill="1" applyBorder="1" applyAlignment="1">
      <alignment horizontal="center" vertical="center" wrapText="1"/>
    </xf>
    <xf numFmtId="14" fontId="44" fillId="0" borderId="20" xfId="11" applyNumberFormat="1" applyFont="1" applyFill="1" applyBorder="1" applyAlignment="1">
      <alignment horizontal="center" vertical="center" wrapText="1"/>
    </xf>
    <xf numFmtId="10" fontId="44" fillId="0" borderId="20" xfId="11" applyNumberFormat="1" applyFont="1" applyFill="1" applyBorder="1" applyAlignment="1">
      <alignment horizontal="center" vertical="center" wrapText="1"/>
    </xf>
    <xf numFmtId="179" fontId="44" fillId="11" borderId="20" xfId="11" applyNumberFormat="1" applyFont="1" applyFill="1" applyBorder="1" applyAlignment="1">
      <alignment horizontal="center" vertical="center" wrapText="1"/>
    </xf>
    <xf numFmtId="10" fontId="45" fillId="0" borderId="20" xfId="11" applyNumberFormat="1" applyFont="1" applyFill="1" applyBorder="1" applyAlignment="1">
      <alignment horizontal="center" vertical="center" wrapText="1"/>
    </xf>
    <xf numFmtId="177" fontId="45" fillId="0" borderId="20" xfId="11" applyNumberFormat="1" applyFont="1" applyFill="1" applyBorder="1" applyAlignment="1">
      <alignment horizontal="center" vertical="center" wrapText="1"/>
    </xf>
    <xf numFmtId="0" fontId="4" fillId="3" borderId="0" xfId="11" applyFill="1">
      <alignment vertical="center"/>
    </xf>
    <xf numFmtId="0" fontId="4" fillId="6" borderId="0" xfId="11" applyFill="1">
      <alignment vertical="center"/>
    </xf>
    <xf numFmtId="0" fontId="46" fillId="6" borderId="0" xfId="11" applyFont="1" applyFill="1" applyAlignment="1">
      <alignment horizontal="center" vertical="center"/>
    </xf>
    <xf numFmtId="181" fontId="4" fillId="2" borderId="20" xfId="11" applyNumberFormat="1" applyFill="1" applyBorder="1" applyAlignment="1">
      <alignment horizontal="right" vertical="center"/>
    </xf>
    <xf numFmtId="180" fontId="4" fillId="2" borderId="0" xfId="11" applyNumberFormat="1" applyFill="1">
      <alignment vertical="center"/>
    </xf>
    <xf numFmtId="10" fontId="0" fillId="2" borderId="0" xfId="12" applyNumberFormat="1" applyFont="1" applyFill="1" applyAlignment="1">
      <alignment horizontal="center" vertical="center"/>
    </xf>
    <xf numFmtId="10" fontId="4" fillId="2" borderId="0" xfId="11" applyNumberFormat="1" applyFill="1" applyAlignment="1">
      <alignment horizontal="center" vertical="center"/>
    </xf>
    <xf numFmtId="0" fontId="4" fillId="2" borderId="0" xfId="11" applyFill="1">
      <alignment vertical="center"/>
    </xf>
    <xf numFmtId="10" fontId="4" fillId="2" borderId="0" xfId="1" applyNumberFormat="1" applyFont="1" applyFill="1">
      <alignment vertical="center"/>
    </xf>
    <xf numFmtId="181" fontId="4" fillId="0" borderId="20" xfId="11" applyNumberFormat="1" applyBorder="1" applyAlignment="1">
      <alignment horizontal="right" vertical="center"/>
    </xf>
    <xf numFmtId="10" fontId="0" fillId="0" borderId="0" xfId="12" applyNumberFormat="1" applyFont="1" applyAlignment="1">
      <alignment horizontal="center" vertical="center"/>
    </xf>
    <xf numFmtId="10" fontId="4" fillId="0" borderId="0" xfId="11" applyNumberFormat="1" applyAlignment="1">
      <alignment horizontal="center" vertical="center"/>
    </xf>
    <xf numFmtId="10" fontId="4" fillId="0" borderId="0" xfId="1" applyNumberFormat="1" applyFont="1">
      <alignment vertical="center"/>
    </xf>
    <xf numFmtId="10" fontId="34" fillId="0" borderId="0" xfId="12" applyNumberFormat="1" applyFont="1" applyAlignment="1">
      <alignment horizontal="center" vertical="center"/>
    </xf>
    <xf numFmtId="0" fontId="4" fillId="0" borderId="0" xfId="11" applyNumberFormat="1" applyFill="1">
      <alignment vertical="center"/>
    </xf>
    <xf numFmtId="180" fontId="4" fillId="0" borderId="20" xfId="2" applyNumberFormat="1" applyFont="1" applyBorder="1" applyAlignment="1">
      <alignment horizontal="center" vertical="center"/>
    </xf>
    <xf numFmtId="180" fontId="3" fillId="0" borderId="20" xfId="2" applyNumberFormat="1" applyFont="1" applyBorder="1" applyAlignment="1">
      <alignment horizontal="center" vertical="center"/>
    </xf>
    <xf numFmtId="0" fontId="2" fillId="0" borderId="0" xfId="8" applyFont="1">
      <alignment vertical="center"/>
    </xf>
    <xf numFmtId="176" fontId="31" fillId="0" borderId="0" xfId="2" applyNumberFormat="1" applyFont="1" applyBorder="1">
      <alignment vertical="center"/>
    </xf>
    <xf numFmtId="10" fontId="31" fillId="2" borderId="0" xfId="2" applyNumberFormat="1" applyFont="1" applyFill="1" applyBorder="1">
      <alignment vertical="center"/>
    </xf>
    <xf numFmtId="10" fontId="31" fillId="0" borderId="0" xfId="2" applyNumberFormat="1" applyFont="1" applyBorder="1">
      <alignment vertical="center"/>
    </xf>
    <xf numFmtId="178" fontId="31" fillId="0" borderId="0" xfId="2" applyNumberFormat="1" applyFont="1" applyBorder="1">
      <alignment vertical="center"/>
    </xf>
    <xf numFmtId="14" fontId="32" fillId="4" borderId="20" xfId="2" applyNumberFormat="1" applyFont="1" applyFill="1" applyBorder="1" applyAlignment="1">
      <alignment horizontal="center" vertical="center" wrapText="1"/>
    </xf>
    <xf numFmtId="10" fontId="33" fillId="0" borderId="20" xfId="2" applyNumberFormat="1" applyFont="1" applyBorder="1" applyAlignment="1">
      <alignment horizontal="center" vertical="center" wrapText="1"/>
    </xf>
    <xf numFmtId="0" fontId="23" fillId="0" borderId="0" xfId="2" applyAlignment="1">
      <alignment horizontal="center" vertical="center" wrapText="1"/>
    </xf>
    <xf numFmtId="0" fontId="19" fillId="0" borderId="0" xfId="6" applyAlignment="1">
      <alignment horizontal="center" vertical="center" wrapText="1"/>
    </xf>
    <xf numFmtId="0" fontId="7" fillId="0" borderId="0" xfId="8" applyAlignment="1">
      <alignment horizontal="center" vertical="center" wrapText="1"/>
    </xf>
  </cellXfs>
  <cellStyles count="13">
    <cellStyle name="百分比" xfId="1" builtinId="5"/>
    <cellStyle name="百分比 2" xfId="3" xr:uid="{00000000-0005-0000-0000-000001000000}"/>
    <cellStyle name="百分比 2 2" xfId="7" xr:uid="{00000000-0005-0000-0000-000002000000}"/>
    <cellStyle name="百分比 2 3" xfId="12" xr:uid="{00000000-0005-0000-0000-000003000000}"/>
    <cellStyle name="百分比 3" xfId="10" xr:uid="{00000000-0005-0000-0000-000004000000}"/>
    <cellStyle name="常规" xfId="0" builtinId="0"/>
    <cellStyle name="常规 2" xfId="2" xr:uid="{00000000-0005-0000-0000-000006000000}"/>
    <cellStyle name="常规 2 2" xfId="6" xr:uid="{00000000-0005-0000-0000-000007000000}"/>
    <cellStyle name="常规 2 3" xfId="8" xr:uid="{00000000-0005-0000-0000-000008000000}"/>
    <cellStyle name="常规 2 4" xfId="11" xr:uid="{00000000-0005-0000-0000-000009000000}"/>
    <cellStyle name="常规 3" xfId="4" xr:uid="{00000000-0005-0000-0000-00000A000000}"/>
    <cellStyle name="常规 4" xfId="9" xr:uid="{00000000-0005-0000-0000-00000B000000}"/>
    <cellStyle name="常规 5" xfId="5" xr:uid="{00000000-0005-0000-0000-00000C000000}"/>
  </cellStyles>
  <dxfs count="366">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4" formatCode="0.00%"/>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numFmt numFmtId="14" formatCode="0.00%"/>
    </dxf>
    <dxf>
      <numFmt numFmtId="0" formatCode="General"/>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dxf>
    <dxf>
      <numFmt numFmtId="180" formatCode="0.0000_ "/>
    </dxf>
    <dxf>
      <numFmt numFmtId="19" formatCode="yyyy/m/d"/>
    </dxf>
    <dxf>
      <font>
        <b val="0"/>
        <i val="0"/>
        <strike val="0"/>
        <condense val="0"/>
        <extend val="0"/>
        <outline val="0"/>
        <shadow val="0"/>
        <u val="none"/>
        <vertAlign val="baseline"/>
        <sz val="12"/>
        <color theme="1"/>
        <name val="等线"/>
        <scheme val="minor"/>
      </font>
      <fill>
        <patternFill patternType="solid">
          <fgColor indexed="64"/>
          <bgColor theme="4"/>
        </patternFill>
      </fill>
      <alignment horizontal="center" vertical="center" textRotation="0" wrapText="0" indent="0" justifyLastLine="0" shrinkToFit="0" readingOrder="0"/>
    </dxf>
    <dxf>
      <numFmt numFmtId="14" formatCode="0.00%"/>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theme="1"/>
        <name val="宋体"/>
        <scheme val="none"/>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yyyy/m/d"/>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rgb="FF000000"/>
      </font>
      <numFmt numFmtId="181" formatCode="yyyy\-mm\-dd"/>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numFmt numFmtId="0" formatCode="General"/>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等线"/>
        <scheme val="minor"/>
      </font>
      <numFmt numFmtId="180" formatCode="0.0000_ "/>
      <fill>
        <patternFill patternType="solid">
          <fgColor indexed="64"/>
          <bgColor rgb="FFE0E0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80" formatCode="0.0000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30" formatCode="@"/>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等线"/>
        <scheme val="minor"/>
      </font>
      <fill>
        <patternFill patternType="solid">
          <fgColor indexed="64"/>
          <bgColor theme="4"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400"/>
              <a:t>爱凡哲六号</a:t>
            </a:r>
            <a:endParaRPr lang="en-US" altLang="zh-CN" sz="1400"/>
          </a:p>
        </c:rich>
      </c:tx>
      <c:overlay val="0"/>
    </c:title>
    <c:autoTitleDeleted val="0"/>
    <c:plotArea>
      <c:layout/>
      <c:lineChart>
        <c:grouping val="standard"/>
        <c:varyColors val="0"/>
        <c:ser>
          <c:idx val="0"/>
          <c:order val="0"/>
          <c:tx>
            <c:strRef>
              <c:f>爱凡哲六号!$B$20</c:f>
              <c:strCache>
                <c:ptCount val="1"/>
                <c:pt idx="0">
                  <c:v>累计净值</c:v>
                </c:pt>
              </c:strCache>
            </c:strRef>
          </c:tx>
          <c:marker>
            <c:symbol val="none"/>
          </c:marker>
          <c:cat>
            <c:numRef>
              <c:f>爱凡哲六号!$A$21:$A$439</c:f>
              <c:numCache>
                <c:formatCode>m/d/yy</c:formatCode>
                <c:ptCount val="419"/>
                <c:pt idx="0">
                  <c:v>43698</c:v>
                </c:pt>
                <c:pt idx="1">
                  <c:v>43699</c:v>
                </c:pt>
                <c:pt idx="2">
                  <c:v>43700</c:v>
                </c:pt>
                <c:pt idx="3">
                  <c:v>43703</c:v>
                </c:pt>
                <c:pt idx="4">
                  <c:v>43704</c:v>
                </c:pt>
                <c:pt idx="5">
                  <c:v>43705</c:v>
                </c:pt>
                <c:pt idx="6">
                  <c:v>43706</c:v>
                </c:pt>
                <c:pt idx="7">
                  <c:v>43707</c:v>
                </c:pt>
                <c:pt idx="8">
                  <c:v>43710</c:v>
                </c:pt>
                <c:pt idx="9">
                  <c:v>43711</c:v>
                </c:pt>
                <c:pt idx="10">
                  <c:v>43712</c:v>
                </c:pt>
                <c:pt idx="11">
                  <c:v>43713</c:v>
                </c:pt>
                <c:pt idx="12">
                  <c:v>43714</c:v>
                </c:pt>
                <c:pt idx="13">
                  <c:v>43717</c:v>
                </c:pt>
                <c:pt idx="14">
                  <c:v>43718</c:v>
                </c:pt>
                <c:pt idx="15">
                  <c:v>43719</c:v>
                </c:pt>
                <c:pt idx="16">
                  <c:v>43720</c:v>
                </c:pt>
                <c:pt idx="17">
                  <c:v>43724</c:v>
                </c:pt>
                <c:pt idx="18">
                  <c:v>43725</c:v>
                </c:pt>
                <c:pt idx="19">
                  <c:v>43726</c:v>
                </c:pt>
                <c:pt idx="20">
                  <c:v>43727</c:v>
                </c:pt>
                <c:pt idx="21">
                  <c:v>43728</c:v>
                </c:pt>
                <c:pt idx="22">
                  <c:v>43731</c:v>
                </c:pt>
                <c:pt idx="23">
                  <c:v>43732</c:v>
                </c:pt>
                <c:pt idx="24">
                  <c:v>43733</c:v>
                </c:pt>
                <c:pt idx="25">
                  <c:v>43734</c:v>
                </c:pt>
                <c:pt idx="26">
                  <c:v>43735</c:v>
                </c:pt>
                <c:pt idx="27">
                  <c:v>43738</c:v>
                </c:pt>
                <c:pt idx="28">
                  <c:v>43746</c:v>
                </c:pt>
                <c:pt idx="29">
                  <c:v>43747</c:v>
                </c:pt>
                <c:pt idx="30">
                  <c:v>43748</c:v>
                </c:pt>
                <c:pt idx="31">
                  <c:v>43749</c:v>
                </c:pt>
                <c:pt idx="32">
                  <c:v>43752</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43780</c:v>
                </c:pt>
                <c:pt idx="53">
                  <c:v>43781</c:v>
                </c:pt>
                <c:pt idx="54">
                  <c:v>43782</c:v>
                </c:pt>
                <c:pt idx="55">
                  <c:v>43783</c:v>
                </c:pt>
                <c:pt idx="56">
                  <c:v>43784</c:v>
                </c:pt>
                <c:pt idx="57">
                  <c:v>43787</c:v>
                </c:pt>
                <c:pt idx="58">
                  <c:v>43788</c:v>
                </c:pt>
                <c:pt idx="59">
                  <c:v>43789</c:v>
                </c:pt>
                <c:pt idx="60">
                  <c:v>43790</c:v>
                </c:pt>
                <c:pt idx="61">
                  <c:v>43791</c:v>
                </c:pt>
                <c:pt idx="62">
                  <c:v>43794</c:v>
                </c:pt>
                <c:pt idx="63">
                  <c:v>43795</c:v>
                </c:pt>
                <c:pt idx="64">
                  <c:v>43796</c:v>
                </c:pt>
                <c:pt idx="65">
                  <c:v>43797</c:v>
                </c:pt>
                <c:pt idx="66">
                  <c:v>43798</c:v>
                </c:pt>
                <c:pt idx="67">
                  <c:v>43801</c:v>
                </c:pt>
                <c:pt idx="68">
                  <c:v>43802</c:v>
                </c:pt>
                <c:pt idx="69">
                  <c:v>43803</c:v>
                </c:pt>
                <c:pt idx="70">
                  <c:v>43804</c:v>
                </c:pt>
                <c:pt idx="71">
                  <c:v>43805</c:v>
                </c:pt>
                <c:pt idx="72">
                  <c:v>43808</c:v>
                </c:pt>
                <c:pt idx="73">
                  <c:v>43809</c:v>
                </c:pt>
                <c:pt idx="74">
                  <c:v>43810</c:v>
                </c:pt>
                <c:pt idx="75">
                  <c:v>43811</c:v>
                </c:pt>
                <c:pt idx="76">
                  <c:v>43812</c:v>
                </c:pt>
                <c:pt idx="77">
                  <c:v>43815</c:v>
                </c:pt>
                <c:pt idx="78">
                  <c:v>43816</c:v>
                </c:pt>
                <c:pt idx="79">
                  <c:v>43817</c:v>
                </c:pt>
                <c:pt idx="80">
                  <c:v>43818</c:v>
                </c:pt>
                <c:pt idx="81">
                  <c:v>43819</c:v>
                </c:pt>
                <c:pt idx="82">
                  <c:v>43822</c:v>
                </c:pt>
                <c:pt idx="83">
                  <c:v>43823</c:v>
                </c:pt>
                <c:pt idx="84">
                  <c:v>43824</c:v>
                </c:pt>
                <c:pt idx="85">
                  <c:v>43825</c:v>
                </c:pt>
                <c:pt idx="86">
                  <c:v>43826</c:v>
                </c:pt>
                <c:pt idx="87">
                  <c:v>43829</c:v>
                </c:pt>
                <c:pt idx="88">
                  <c:v>43830</c:v>
                </c:pt>
                <c:pt idx="89">
                  <c:v>43832</c:v>
                </c:pt>
                <c:pt idx="90">
                  <c:v>43833</c:v>
                </c:pt>
                <c:pt idx="91">
                  <c:v>43836</c:v>
                </c:pt>
                <c:pt idx="92">
                  <c:v>43837</c:v>
                </c:pt>
                <c:pt idx="93">
                  <c:v>43838</c:v>
                </c:pt>
                <c:pt idx="94">
                  <c:v>43839</c:v>
                </c:pt>
                <c:pt idx="95">
                  <c:v>43840</c:v>
                </c:pt>
                <c:pt idx="96">
                  <c:v>43843</c:v>
                </c:pt>
                <c:pt idx="97">
                  <c:v>43844</c:v>
                </c:pt>
                <c:pt idx="98">
                  <c:v>43845</c:v>
                </c:pt>
                <c:pt idx="99">
                  <c:v>43846</c:v>
                </c:pt>
                <c:pt idx="100">
                  <c:v>43847</c:v>
                </c:pt>
                <c:pt idx="101">
                  <c:v>43850</c:v>
                </c:pt>
                <c:pt idx="102">
                  <c:v>43851</c:v>
                </c:pt>
                <c:pt idx="103">
                  <c:v>43852</c:v>
                </c:pt>
                <c:pt idx="104">
                  <c:v>43853</c:v>
                </c:pt>
                <c:pt idx="105">
                  <c:v>43864</c:v>
                </c:pt>
                <c:pt idx="106">
                  <c:v>43865</c:v>
                </c:pt>
                <c:pt idx="107">
                  <c:v>43866</c:v>
                </c:pt>
                <c:pt idx="108">
                  <c:v>43867</c:v>
                </c:pt>
                <c:pt idx="109">
                  <c:v>43868</c:v>
                </c:pt>
                <c:pt idx="110">
                  <c:v>43871</c:v>
                </c:pt>
                <c:pt idx="111">
                  <c:v>43872</c:v>
                </c:pt>
                <c:pt idx="112">
                  <c:v>43873</c:v>
                </c:pt>
                <c:pt idx="113">
                  <c:v>43874</c:v>
                </c:pt>
                <c:pt idx="114">
                  <c:v>43875</c:v>
                </c:pt>
                <c:pt idx="115">
                  <c:v>43878</c:v>
                </c:pt>
                <c:pt idx="116">
                  <c:v>43879</c:v>
                </c:pt>
                <c:pt idx="117">
                  <c:v>43880</c:v>
                </c:pt>
                <c:pt idx="118">
                  <c:v>43881</c:v>
                </c:pt>
                <c:pt idx="119">
                  <c:v>43882</c:v>
                </c:pt>
                <c:pt idx="120">
                  <c:v>43885</c:v>
                </c:pt>
                <c:pt idx="121">
                  <c:v>43886</c:v>
                </c:pt>
                <c:pt idx="122">
                  <c:v>43887</c:v>
                </c:pt>
                <c:pt idx="123">
                  <c:v>43888</c:v>
                </c:pt>
                <c:pt idx="124">
                  <c:v>43889</c:v>
                </c:pt>
                <c:pt idx="125">
                  <c:v>43892</c:v>
                </c:pt>
                <c:pt idx="126">
                  <c:v>43893</c:v>
                </c:pt>
                <c:pt idx="127">
                  <c:v>43894</c:v>
                </c:pt>
                <c:pt idx="128">
                  <c:v>43895</c:v>
                </c:pt>
                <c:pt idx="129">
                  <c:v>43896</c:v>
                </c:pt>
                <c:pt idx="130">
                  <c:v>43899</c:v>
                </c:pt>
                <c:pt idx="131">
                  <c:v>43900</c:v>
                </c:pt>
                <c:pt idx="132">
                  <c:v>43901</c:v>
                </c:pt>
                <c:pt idx="133">
                  <c:v>43902</c:v>
                </c:pt>
                <c:pt idx="134">
                  <c:v>43903</c:v>
                </c:pt>
                <c:pt idx="135">
                  <c:v>43906</c:v>
                </c:pt>
                <c:pt idx="136">
                  <c:v>43907</c:v>
                </c:pt>
                <c:pt idx="137">
                  <c:v>43908</c:v>
                </c:pt>
                <c:pt idx="138">
                  <c:v>43909</c:v>
                </c:pt>
                <c:pt idx="139">
                  <c:v>43910</c:v>
                </c:pt>
                <c:pt idx="140">
                  <c:v>43913</c:v>
                </c:pt>
                <c:pt idx="141">
                  <c:v>43914</c:v>
                </c:pt>
                <c:pt idx="142">
                  <c:v>43915</c:v>
                </c:pt>
                <c:pt idx="143">
                  <c:v>43916</c:v>
                </c:pt>
                <c:pt idx="144">
                  <c:v>43917</c:v>
                </c:pt>
                <c:pt idx="145">
                  <c:v>43920</c:v>
                </c:pt>
                <c:pt idx="146">
                  <c:v>43921</c:v>
                </c:pt>
                <c:pt idx="147">
                  <c:v>43922</c:v>
                </c:pt>
                <c:pt idx="148">
                  <c:v>43923</c:v>
                </c:pt>
                <c:pt idx="149">
                  <c:v>43924</c:v>
                </c:pt>
                <c:pt idx="150">
                  <c:v>43928</c:v>
                </c:pt>
                <c:pt idx="151">
                  <c:v>43929</c:v>
                </c:pt>
                <c:pt idx="152">
                  <c:v>43930</c:v>
                </c:pt>
                <c:pt idx="153">
                  <c:v>43931</c:v>
                </c:pt>
                <c:pt idx="154">
                  <c:v>43934</c:v>
                </c:pt>
                <c:pt idx="155">
                  <c:v>43935</c:v>
                </c:pt>
                <c:pt idx="156">
                  <c:v>43936</c:v>
                </c:pt>
                <c:pt idx="157">
                  <c:v>43937</c:v>
                </c:pt>
                <c:pt idx="158">
                  <c:v>43938</c:v>
                </c:pt>
                <c:pt idx="159">
                  <c:v>43941</c:v>
                </c:pt>
                <c:pt idx="160">
                  <c:v>43942</c:v>
                </c:pt>
                <c:pt idx="161">
                  <c:v>43943</c:v>
                </c:pt>
                <c:pt idx="162">
                  <c:v>43944</c:v>
                </c:pt>
                <c:pt idx="163">
                  <c:v>43945</c:v>
                </c:pt>
                <c:pt idx="164">
                  <c:v>43948</c:v>
                </c:pt>
                <c:pt idx="165">
                  <c:v>43949</c:v>
                </c:pt>
                <c:pt idx="166">
                  <c:v>43950</c:v>
                </c:pt>
                <c:pt idx="167">
                  <c:v>43951</c:v>
                </c:pt>
                <c:pt idx="168">
                  <c:v>43957</c:v>
                </c:pt>
                <c:pt idx="169">
                  <c:v>43958</c:v>
                </c:pt>
                <c:pt idx="170">
                  <c:v>43959</c:v>
                </c:pt>
                <c:pt idx="171">
                  <c:v>43962</c:v>
                </c:pt>
                <c:pt idx="172">
                  <c:v>43963</c:v>
                </c:pt>
                <c:pt idx="173">
                  <c:v>43964</c:v>
                </c:pt>
                <c:pt idx="174">
                  <c:v>43965</c:v>
                </c:pt>
                <c:pt idx="175">
                  <c:v>43966</c:v>
                </c:pt>
                <c:pt idx="176">
                  <c:v>43969</c:v>
                </c:pt>
                <c:pt idx="177">
                  <c:v>43970</c:v>
                </c:pt>
                <c:pt idx="178">
                  <c:v>43971</c:v>
                </c:pt>
                <c:pt idx="179">
                  <c:v>43972</c:v>
                </c:pt>
                <c:pt idx="180">
                  <c:v>43973</c:v>
                </c:pt>
                <c:pt idx="181">
                  <c:v>43976</c:v>
                </c:pt>
                <c:pt idx="182">
                  <c:v>43977</c:v>
                </c:pt>
                <c:pt idx="183">
                  <c:v>43978</c:v>
                </c:pt>
                <c:pt idx="184">
                  <c:v>43979</c:v>
                </c:pt>
                <c:pt idx="185">
                  <c:v>43980</c:v>
                </c:pt>
                <c:pt idx="186">
                  <c:v>43983</c:v>
                </c:pt>
                <c:pt idx="187">
                  <c:v>43984</c:v>
                </c:pt>
                <c:pt idx="188">
                  <c:v>43985</c:v>
                </c:pt>
                <c:pt idx="189">
                  <c:v>43986</c:v>
                </c:pt>
                <c:pt idx="190">
                  <c:v>43987</c:v>
                </c:pt>
                <c:pt idx="191">
                  <c:v>43990</c:v>
                </c:pt>
                <c:pt idx="192">
                  <c:v>43991</c:v>
                </c:pt>
                <c:pt idx="193">
                  <c:v>43992</c:v>
                </c:pt>
                <c:pt idx="194">
                  <c:v>43993</c:v>
                </c:pt>
                <c:pt idx="195">
                  <c:v>43994</c:v>
                </c:pt>
                <c:pt idx="196">
                  <c:v>43997</c:v>
                </c:pt>
                <c:pt idx="197">
                  <c:v>43998</c:v>
                </c:pt>
                <c:pt idx="198">
                  <c:v>43999</c:v>
                </c:pt>
                <c:pt idx="199">
                  <c:v>44000</c:v>
                </c:pt>
                <c:pt idx="200">
                  <c:v>44001</c:v>
                </c:pt>
                <c:pt idx="201">
                  <c:v>44004</c:v>
                </c:pt>
                <c:pt idx="202">
                  <c:v>44005</c:v>
                </c:pt>
                <c:pt idx="203">
                  <c:v>44006</c:v>
                </c:pt>
                <c:pt idx="204">
                  <c:v>44011</c:v>
                </c:pt>
                <c:pt idx="205">
                  <c:v>44012</c:v>
                </c:pt>
                <c:pt idx="206">
                  <c:v>44013</c:v>
                </c:pt>
                <c:pt idx="207">
                  <c:v>44014</c:v>
                </c:pt>
                <c:pt idx="208">
                  <c:v>44015</c:v>
                </c:pt>
                <c:pt idx="209">
                  <c:v>44018</c:v>
                </c:pt>
                <c:pt idx="210">
                  <c:v>44019</c:v>
                </c:pt>
                <c:pt idx="211">
                  <c:v>44020</c:v>
                </c:pt>
                <c:pt idx="212">
                  <c:v>44021</c:v>
                </c:pt>
                <c:pt idx="213">
                  <c:v>44022</c:v>
                </c:pt>
                <c:pt idx="214">
                  <c:v>44025</c:v>
                </c:pt>
                <c:pt idx="215">
                  <c:v>44026</c:v>
                </c:pt>
                <c:pt idx="216">
                  <c:v>44027</c:v>
                </c:pt>
                <c:pt idx="217">
                  <c:v>44028</c:v>
                </c:pt>
                <c:pt idx="218">
                  <c:v>44029</c:v>
                </c:pt>
                <c:pt idx="219">
                  <c:v>44032</c:v>
                </c:pt>
                <c:pt idx="220">
                  <c:v>44033</c:v>
                </c:pt>
                <c:pt idx="221">
                  <c:v>44034</c:v>
                </c:pt>
                <c:pt idx="222">
                  <c:v>44035</c:v>
                </c:pt>
                <c:pt idx="223">
                  <c:v>44036</c:v>
                </c:pt>
                <c:pt idx="224">
                  <c:v>44039</c:v>
                </c:pt>
                <c:pt idx="225">
                  <c:v>44040</c:v>
                </c:pt>
                <c:pt idx="226">
                  <c:v>44041</c:v>
                </c:pt>
                <c:pt idx="227">
                  <c:v>44042</c:v>
                </c:pt>
                <c:pt idx="228">
                  <c:v>44043</c:v>
                </c:pt>
                <c:pt idx="229">
                  <c:v>44046</c:v>
                </c:pt>
                <c:pt idx="230">
                  <c:v>44047</c:v>
                </c:pt>
                <c:pt idx="231">
                  <c:v>44048</c:v>
                </c:pt>
                <c:pt idx="232">
                  <c:v>44049</c:v>
                </c:pt>
                <c:pt idx="233">
                  <c:v>44050</c:v>
                </c:pt>
                <c:pt idx="234">
                  <c:v>44053</c:v>
                </c:pt>
                <c:pt idx="235">
                  <c:v>44054</c:v>
                </c:pt>
                <c:pt idx="236">
                  <c:v>44055</c:v>
                </c:pt>
                <c:pt idx="237">
                  <c:v>44056</c:v>
                </c:pt>
                <c:pt idx="238">
                  <c:v>44057</c:v>
                </c:pt>
                <c:pt idx="239">
                  <c:v>44060</c:v>
                </c:pt>
                <c:pt idx="240">
                  <c:v>44061</c:v>
                </c:pt>
                <c:pt idx="241">
                  <c:v>44062</c:v>
                </c:pt>
                <c:pt idx="242">
                  <c:v>44063</c:v>
                </c:pt>
                <c:pt idx="243">
                  <c:v>44064</c:v>
                </c:pt>
                <c:pt idx="244">
                  <c:v>44067</c:v>
                </c:pt>
                <c:pt idx="245">
                  <c:v>44068</c:v>
                </c:pt>
                <c:pt idx="246">
                  <c:v>44069</c:v>
                </c:pt>
                <c:pt idx="247">
                  <c:v>44070</c:v>
                </c:pt>
                <c:pt idx="248">
                  <c:v>44071</c:v>
                </c:pt>
                <c:pt idx="249">
                  <c:v>44074</c:v>
                </c:pt>
                <c:pt idx="250">
                  <c:v>44075</c:v>
                </c:pt>
                <c:pt idx="251">
                  <c:v>44076</c:v>
                </c:pt>
                <c:pt idx="252">
                  <c:v>44077</c:v>
                </c:pt>
                <c:pt idx="253">
                  <c:v>44078</c:v>
                </c:pt>
                <c:pt idx="254">
                  <c:v>44081</c:v>
                </c:pt>
                <c:pt idx="255">
                  <c:v>44082</c:v>
                </c:pt>
                <c:pt idx="256">
                  <c:v>44083</c:v>
                </c:pt>
                <c:pt idx="257">
                  <c:v>44084</c:v>
                </c:pt>
                <c:pt idx="258">
                  <c:v>44085</c:v>
                </c:pt>
                <c:pt idx="259">
                  <c:v>44088</c:v>
                </c:pt>
                <c:pt idx="260">
                  <c:v>44089</c:v>
                </c:pt>
                <c:pt idx="261">
                  <c:v>44090</c:v>
                </c:pt>
                <c:pt idx="262">
                  <c:v>44091</c:v>
                </c:pt>
                <c:pt idx="263">
                  <c:v>44092</c:v>
                </c:pt>
                <c:pt idx="264">
                  <c:v>44095</c:v>
                </c:pt>
                <c:pt idx="265">
                  <c:v>44096</c:v>
                </c:pt>
                <c:pt idx="266">
                  <c:v>44097</c:v>
                </c:pt>
                <c:pt idx="267">
                  <c:v>44098</c:v>
                </c:pt>
                <c:pt idx="268">
                  <c:v>44099</c:v>
                </c:pt>
                <c:pt idx="269">
                  <c:v>44102</c:v>
                </c:pt>
                <c:pt idx="270">
                  <c:v>44103</c:v>
                </c:pt>
                <c:pt idx="271">
                  <c:v>44104</c:v>
                </c:pt>
                <c:pt idx="272">
                  <c:v>44113</c:v>
                </c:pt>
                <c:pt idx="273">
                  <c:v>44116</c:v>
                </c:pt>
                <c:pt idx="274">
                  <c:v>44117</c:v>
                </c:pt>
                <c:pt idx="275">
                  <c:v>44118</c:v>
                </c:pt>
                <c:pt idx="276">
                  <c:v>44119</c:v>
                </c:pt>
                <c:pt idx="277">
                  <c:v>44120</c:v>
                </c:pt>
                <c:pt idx="278">
                  <c:v>44123</c:v>
                </c:pt>
                <c:pt idx="279">
                  <c:v>44124</c:v>
                </c:pt>
                <c:pt idx="280">
                  <c:v>44125</c:v>
                </c:pt>
                <c:pt idx="281">
                  <c:v>44126</c:v>
                </c:pt>
                <c:pt idx="282">
                  <c:v>44127</c:v>
                </c:pt>
                <c:pt idx="283">
                  <c:v>44130</c:v>
                </c:pt>
                <c:pt idx="284">
                  <c:v>44131</c:v>
                </c:pt>
                <c:pt idx="285">
                  <c:v>44132</c:v>
                </c:pt>
                <c:pt idx="286">
                  <c:v>44133</c:v>
                </c:pt>
                <c:pt idx="287">
                  <c:v>44134</c:v>
                </c:pt>
                <c:pt idx="288">
                  <c:v>44137</c:v>
                </c:pt>
                <c:pt idx="289">
                  <c:v>44138</c:v>
                </c:pt>
                <c:pt idx="290">
                  <c:v>44139</c:v>
                </c:pt>
                <c:pt idx="291">
                  <c:v>44140</c:v>
                </c:pt>
                <c:pt idx="292">
                  <c:v>44141</c:v>
                </c:pt>
                <c:pt idx="293">
                  <c:v>44144</c:v>
                </c:pt>
                <c:pt idx="294">
                  <c:v>44145</c:v>
                </c:pt>
                <c:pt idx="295">
                  <c:v>44146</c:v>
                </c:pt>
                <c:pt idx="296">
                  <c:v>44147</c:v>
                </c:pt>
                <c:pt idx="297">
                  <c:v>44148</c:v>
                </c:pt>
                <c:pt idx="298">
                  <c:v>44151</c:v>
                </c:pt>
                <c:pt idx="299">
                  <c:v>44152</c:v>
                </c:pt>
                <c:pt idx="300">
                  <c:v>44153</c:v>
                </c:pt>
                <c:pt idx="301">
                  <c:v>44154</c:v>
                </c:pt>
                <c:pt idx="302">
                  <c:v>44155</c:v>
                </c:pt>
                <c:pt idx="303">
                  <c:v>44158</c:v>
                </c:pt>
                <c:pt idx="304">
                  <c:v>44159</c:v>
                </c:pt>
                <c:pt idx="305">
                  <c:v>44160</c:v>
                </c:pt>
                <c:pt idx="306">
                  <c:v>44161</c:v>
                </c:pt>
                <c:pt idx="307">
                  <c:v>44162</c:v>
                </c:pt>
                <c:pt idx="308">
                  <c:v>44165</c:v>
                </c:pt>
                <c:pt idx="309">
                  <c:v>44166</c:v>
                </c:pt>
                <c:pt idx="310">
                  <c:v>44167</c:v>
                </c:pt>
                <c:pt idx="311">
                  <c:v>44168</c:v>
                </c:pt>
                <c:pt idx="312">
                  <c:v>44169</c:v>
                </c:pt>
                <c:pt idx="313">
                  <c:v>44172</c:v>
                </c:pt>
                <c:pt idx="314">
                  <c:v>44173</c:v>
                </c:pt>
                <c:pt idx="315">
                  <c:v>44174</c:v>
                </c:pt>
                <c:pt idx="316">
                  <c:v>44175</c:v>
                </c:pt>
                <c:pt idx="317">
                  <c:v>44176</c:v>
                </c:pt>
                <c:pt idx="318">
                  <c:v>44179</c:v>
                </c:pt>
                <c:pt idx="319">
                  <c:v>44180</c:v>
                </c:pt>
                <c:pt idx="320">
                  <c:v>44181</c:v>
                </c:pt>
                <c:pt idx="321">
                  <c:v>44182</c:v>
                </c:pt>
                <c:pt idx="322">
                  <c:v>44183</c:v>
                </c:pt>
                <c:pt idx="323">
                  <c:v>44186</c:v>
                </c:pt>
                <c:pt idx="324">
                  <c:v>44187</c:v>
                </c:pt>
                <c:pt idx="325">
                  <c:v>44188</c:v>
                </c:pt>
                <c:pt idx="326">
                  <c:v>44189</c:v>
                </c:pt>
                <c:pt idx="327">
                  <c:v>44190</c:v>
                </c:pt>
                <c:pt idx="328">
                  <c:v>44193</c:v>
                </c:pt>
                <c:pt idx="329">
                  <c:v>44194</c:v>
                </c:pt>
                <c:pt idx="330">
                  <c:v>44195</c:v>
                </c:pt>
                <c:pt idx="331">
                  <c:v>44196</c:v>
                </c:pt>
                <c:pt idx="332">
                  <c:v>44200</c:v>
                </c:pt>
                <c:pt idx="333">
                  <c:v>44201</c:v>
                </c:pt>
                <c:pt idx="334">
                  <c:v>44202</c:v>
                </c:pt>
                <c:pt idx="335">
                  <c:v>44203</c:v>
                </c:pt>
                <c:pt idx="336">
                  <c:v>44204</c:v>
                </c:pt>
                <c:pt idx="337">
                  <c:v>44207</c:v>
                </c:pt>
                <c:pt idx="338">
                  <c:v>44208</c:v>
                </c:pt>
                <c:pt idx="339">
                  <c:v>44209</c:v>
                </c:pt>
                <c:pt idx="340">
                  <c:v>44210</c:v>
                </c:pt>
                <c:pt idx="341">
                  <c:v>44211</c:v>
                </c:pt>
                <c:pt idx="342">
                  <c:v>44214</c:v>
                </c:pt>
                <c:pt idx="343">
                  <c:v>44215</c:v>
                </c:pt>
                <c:pt idx="344">
                  <c:v>44216</c:v>
                </c:pt>
                <c:pt idx="345">
                  <c:v>44217</c:v>
                </c:pt>
                <c:pt idx="346">
                  <c:v>44218</c:v>
                </c:pt>
                <c:pt idx="347">
                  <c:v>44221</c:v>
                </c:pt>
                <c:pt idx="348">
                  <c:v>44222</c:v>
                </c:pt>
                <c:pt idx="349">
                  <c:v>44223</c:v>
                </c:pt>
                <c:pt idx="350">
                  <c:v>44224</c:v>
                </c:pt>
                <c:pt idx="351">
                  <c:v>44225</c:v>
                </c:pt>
                <c:pt idx="352">
                  <c:v>44228</c:v>
                </c:pt>
                <c:pt idx="353">
                  <c:v>44229</c:v>
                </c:pt>
                <c:pt idx="354">
                  <c:v>44230</c:v>
                </c:pt>
                <c:pt idx="355">
                  <c:v>44231</c:v>
                </c:pt>
                <c:pt idx="356">
                  <c:v>44232</c:v>
                </c:pt>
                <c:pt idx="357">
                  <c:v>44235</c:v>
                </c:pt>
                <c:pt idx="358">
                  <c:v>44236</c:v>
                </c:pt>
                <c:pt idx="359">
                  <c:v>44237</c:v>
                </c:pt>
                <c:pt idx="360">
                  <c:v>44245</c:v>
                </c:pt>
                <c:pt idx="361">
                  <c:v>44246</c:v>
                </c:pt>
                <c:pt idx="362">
                  <c:v>44249</c:v>
                </c:pt>
                <c:pt idx="363">
                  <c:v>44250</c:v>
                </c:pt>
                <c:pt idx="364">
                  <c:v>44251</c:v>
                </c:pt>
                <c:pt idx="365">
                  <c:v>44252</c:v>
                </c:pt>
                <c:pt idx="366">
                  <c:v>44253</c:v>
                </c:pt>
                <c:pt idx="367">
                  <c:v>44256</c:v>
                </c:pt>
                <c:pt idx="368">
                  <c:v>44257</c:v>
                </c:pt>
                <c:pt idx="369">
                  <c:v>44258</c:v>
                </c:pt>
                <c:pt idx="370">
                  <c:v>44259</c:v>
                </c:pt>
                <c:pt idx="371">
                  <c:v>44260</c:v>
                </c:pt>
                <c:pt idx="372">
                  <c:v>44263</c:v>
                </c:pt>
                <c:pt idx="373">
                  <c:v>44264</c:v>
                </c:pt>
                <c:pt idx="374">
                  <c:v>44265</c:v>
                </c:pt>
                <c:pt idx="375">
                  <c:v>44266</c:v>
                </c:pt>
                <c:pt idx="376">
                  <c:v>44267</c:v>
                </c:pt>
                <c:pt idx="377">
                  <c:v>44270</c:v>
                </c:pt>
                <c:pt idx="378">
                  <c:v>44271</c:v>
                </c:pt>
                <c:pt idx="379">
                  <c:v>44272</c:v>
                </c:pt>
                <c:pt idx="380">
                  <c:v>44273</c:v>
                </c:pt>
                <c:pt idx="381">
                  <c:v>44274</c:v>
                </c:pt>
                <c:pt idx="382">
                  <c:v>44277</c:v>
                </c:pt>
                <c:pt idx="383">
                  <c:v>44278</c:v>
                </c:pt>
                <c:pt idx="384">
                  <c:v>44279</c:v>
                </c:pt>
                <c:pt idx="385">
                  <c:v>44280</c:v>
                </c:pt>
                <c:pt idx="386">
                  <c:v>44281</c:v>
                </c:pt>
                <c:pt idx="387">
                  <c:v>44284</c:v>
                </c:pt>
                <c:pt idx="388">
                  <c:v>44285</c:v>
                </c:pt>
                <c:pt idx="389">
                  <c:v>44286</c:v>
                </c:pt>
                <c:pt idx="390">
                  <c:v>44287</c:v>
                </c:pt>
                <c:pt idx="391">
                  <c:v>44288</c:v>
                </c:pt>
                <c:pt idx="392">
                  <c:v>44292</c:v>
                </c:pt>
                <c:pt idx="393">
                  <c:v>44293</c:v>
                </c:pt>
                <c:pt idx="394">
                  <c:v>44294</c:v>
                </c:pt>
                <c:pt idx="395">
                  <c:v>44295</c:v>
                </c:pt>
                <c:pt idx="396">
                  <c:v>44298</c:v>
                </c:pt>
                <c:pt idx="397">
                  <c:v>44299</c:v>
                </c:pt>
                <c:pt idx="398">
                  <c:v>44300</c:v>
                </c:pt>
                <c:pt idx="399">
                  <c:v>44301</c:v>
                </c:pt>
                <c:pt idx="400">
                  <c:v>44302</c:v>
                </c:pt>
                <c:pt idx="401">
                  <c:v>44305</c:v>
                </c:pt>
                <c:pt idx="402">
                  <c:v>44306</c:v>
                </c:pt>
                <c:pt idx="403">
                  <c:v>44307</c:v>
                </c:pt>
                <c:pt idx="404">
                  <c:v>44308</c:v>
                </c:pt>
                <c:pt idx="405">
                  <c:v>44309</c:v>
                </c:pt>
                <c:pt idx="406">
                  <c:v>44312</c:v>
                </c:pt>
                <c:pt idx="407">
                  <c:v>44313</c:v>
                </c:pt>
                <c:pt idx="408">
                  <c:v>44314</c:v>
                </c:pt>
                <c:pt idx="409">
                  <c:v>44315</c:v>
                </c:pt>
                <c:pt idx="410">
                  <c:v>44316</c:v>
                </c:pt>
                <c:pt idx="411">
                  <c:v>44322</c:v>
                </c:pt>
                <c:pt idx="412">
                  <c:v>44323</c:v>
                </c:pt>
                <c:pt idx="413">
                  <c:v>44326</c:v>
                </c:pt>
                <c:pt idx="414">
                  <c:v>44327</c:v>
                </c:pt>
                <c:pt idx="415">
                  <c:v>44328</c:v>
                </c:pt>
                <c:pt idx="416">
                  <c:v>44329</c:v>
                </c:pt>
                <c:pt idx="417">
                  <c:v>44330</c:v>
                </c:pt>
                <c:pt idx="418">
                  <c:v>44333</c:v>
                </c:pt>
              </c:numCache>
            </c:numRef>
          </c:cat>
          <c:val>
            <c:numRef>
              <c:f>爱凡哲六号!$B$21:$B$439</c:f>
              <c:numCache>
                <c:formatCode>0.0000_ </c:formatCode>
                <c:ptCount val="419"/>
                <c:pt idx="0">
                  <c:v>1</c:v>
                </c:pt>
                <c:pt idx="1">
                  <c:v>1</c:v>
                </c:pt>
                <c:pt idx="2">
                  <c:v>1</c:v>
                </c:pt>
                <c:pt idx="3">
                  <c:v>1</c:v>
                </c:pt>
                <c:pt idx="4">
                  <c:v>1.0009999999999999</c:v>
                </c:pt>
                <c:pt idx="5">
                  <c:v>1.002</c:v>
                </c:pt>
                <c:pt idx="6">
                  <c:v>1.0029999999999999</c:v>
                </c:pt>
                <c:pt idx="7">
                  <c:v>1.002</c:v>
                </c:pt>
                <c:pt idx="8">
                  <c:v>1.0009999999999999</c:v>
                </c:pt>
                <c:pt idx="9">
                  <c:v>1.0069999999999999</c:v>
                </c:pt>
                <c:pt idx="10">
                  <c:v>1.008</c:v>
                </c:pt>
                <c:pt idx="11">
                  <c:v>1.0049999999999999</c:v>
                </c:pt>
                <c:pt idx="12">
                  <c:v>1.006</c:v>
                </c:pt>
                <c:pt idx="13">
                  <c:v>1.006</c:v>
                </c:pt>
                <c:pt idx="14">
                  <c:v>1.0069999999999999</c:v>
                </c:pt>
                <c:pt idx="15">
                  <c:v>1.006</c:v>
                </c:pt>
                <c:pt idx="16">
                  <c:v>1.0069999999999999</c:v>
                </c:pt>
                <c:pt idx="17">
                  <c:v>1.008</c:v>
                </c:pt>
                <c:pt idx="18">
                  <c:v>1.0069999999999999</c:v>
                </c:pt>
                <c:pt idx="19">
                  <c:v>1.0089999999999999</c:v>
                </c:pt>
                <c:pt idx="20">
                  <c:v>1.008</c:v>
                </c:pt>
                <c:pt idx="21">
                  <c:v>1.008</c:v>
                </c:pt>
                <c:pt idx="22">
                  <c:v>1.008</c:v>
                </c:pt>
                <c:pt idx="23">
                  <c:v>1.01</c:v>
                </c:pt>
                <c:pt idx="24">
                  <c:v>1.0129999999999999</c:v>
                </c:pt>
                <c:pt idx="25">
                  <c:v>1.01</c:v>
                </c:pt>
                <c:pt idx="26">
                  <c:v>1.0109999999999999</c:v>
                </c:pt>
                <c:pt idx="27">
                  <c:v>1.0109999999999999</c:v>
                </c:pt>
                <c:pt idx="28">
                  <c:v>1.0129999999999999</c:v>
                </c:pt>
                <c:pt idx="29">
                  <c:v>1.016</c:v>
                </c:pt>
                <c:pt idx="30">
                  <c:v>1.016</c:v>
                </c:pt>
                <c:pt idx="31">
                  <c:v>1.014</c:v>
                </c:pt>
                <c:pt idx="32">
                  <c:v>1.018</c:v>
                </c:pt>
                <c:pt idx="33">
                  <c:v>1.0249999999999999</c:v>
                </c:pt>
                <c:pt idx="34">
                  <c:v>1.022</c:v>
                </c:pt>
                <c:pt idx="35">
                  <c:v>1.0189999999999999</c:v>
                </c:pt>
                <c:pt idx="36">
                  <c:v>1.0209999999999999</c:v>
                </c:pt>
                <c:pt idx="37">
                  <c:v>1.0209999999999999</c:v>
                </c:pt>
                <c:pt idx="38">
                  <c:v>1.0169999999999999</c:v>
                </c:pt>
                <c:pt idx="39">
                  <c:v>1.0149999999999999</c:v>
                </c:pt>
                <c:pt idx="40">
                  <c:v>1.024</c:v>
                </c:pt>
                <c:pt idx="41">
                  <c:v>1.0229999999999999</c:v>
                </c:pt>
                <c:pt idx="42">
                  <c:v>1.028</c:v>
                </c:pt>
                <c:pt idx="43">
                  <c:v>1.0209999999999999</c:v>
                </c:pt>
                <c:pt idx="44">
                  <c:v>1.0289999999999999</c:v>
                </c:pt>
                <c:pt idx="45">
                  <c:v>1.0309999999999999</c:v>
                </c:pt>
                <c:pt idx="46">
                  <c:v>1.0249999999999999</c:v>
                </c:pt>
                <c:pt idx="47">
                  <c:v>1.026</c:v>
                </c:pt>
                <c:pt idx="48">
                  <c:v>1.0289999999999999</c:v>
                </c:pt>
                <c:pt idx="49">
                  <c:v>1.0269999999999999</c:v>
                </c:pt>
                <c:pt idx="50">
                  <c:v>1.0249999999999999</c:v>
                </c:pt>
                <c:pt idx="51">
                  <c:v>1.0309999999999999</c:v>
                </c:pt>
                <c:pt idx="52">
                  <c:v>1.03</c:v>
                </c:pt>
                <c:pt idx="53">
                  <c:v>1.024</c:v>
                </c:pt>
                <c:pt idx="54">
                  <c:v>1.026</c:v>
                </c:pt>
                <c:pt idx="55">
                  <c:v>1.024</c:v>
                </c:pt>
                <c:pt idx="56">
                  <c:v>1.0269999999999999</c:v>
                </c:pt>
                <c:pt idx="57">
                  <c:v>1.03</c:v>
                </c:pt>
                <c:pt idx="58">
                  <c:v>1.03</c:v>
                </c:pt>
                <c:pt idx="59">
                  <c:v>1.0309999999999999</c:v>
                </c:pt>
                <c:pt idx="60">
                  <c:v>1.0309999999999999</c:v>
                </c:pt>
                <c:pt idx="61">
                  <c:v>1.0389999999999999</c:v>
                </c:pt>
                <c:pt idx="62">
                  <c:v>1.04</c:v>
                </c:pt>
                <c:pt idx="63">
                  <c:v>1.0389999999999999</c:v>
                </c:pt>
                <c:pt idx="64">
                  <c:v>1.0409999999999999</c:v>
                </c:pt>
                <c:pt idx="65">
                  <c:v>1.042</c:v>
                </c:pt>
                <c:pt idx="66">
                  <c:v>1.0429999999999999</c:v>
                </c:pt>
                <c:pt idx="67">
                  <c:v>1.044</c:v>
                </c:pt>
                <c:pt idx="68">
                  <c:v>1.046</c:v>
                </c:pt>
                <c:pt idx="69">
                  <c:v>1.0469999999999999</c:v>
                </c:pt>
                <c:pt idx="70">
                  <c:v>1.046</c:v>
                </c:pt>
                <c:pt idx="71">
                  <c:v>1.048</c:v>
                </c:pt>
                <c:pt idx="72">
                  <c:v>1.042</c:v>
                </c:pt>
                <c:pt idx="73">
                  <c:v>1.0449999999999999</c:v>
                </c:pt>
                <c:pt idx="74">
                  <c:v>1.0469999999999999</c:v>
                </c:pt>
                <c:pt idx="75">
                  <c:v>1.05</c:v>
                </c:pt>
                <c:pt idx="76">
                  <c:v>1.05</c:v>
                </c:pt>
                <c:pt idx="77">
                  <c:v>1.05</c:v>
                </c:pt>
                <c:pt idx="78">
                  <c:v>1.05</c:v>
                </c:pt>
                <c:pt idx="79">
                  <c:v>1.0489999999999999</c:v>
                </c:pt>
                <c:pt idx="80">
                  <c:v>1.052</c:v>
                </c:pt>
                <c:pt idx="81">
                  <c:v>1.0509999999999999</c:v>
                </c:pt>
                <c:pt idx="82">
                  <c:v>1.05</c:v>
                </c:pt>
                <c:pt idx="83">
                  <c:v>1.0549999999999999</c:v>
                </c:pt>
                <c:pt idx="84">
                  <c:v>1.0549999999999999</c:v>
                </c:pt>
                <c:pt idx="85">
                  <c:v>1.056</c:v>
                </c:pt>
                <c:pt idx="86">
                  <c:v>1.0549999999999999</c:v>
                </c:pt>
                <c:pt idx="87">
                  <c:v>1.0529999999999999</c:v>
                </c:pt>
                <c:pt idx="88">
                  <c:v>1.0529999999999999</c:v>
                </c:pt>
                <c:pt idx="89">
                  <c:v>1.0549999999999999</c:v>
                </c:pt>
                <c:pt idx="90">
                  <c:v>1.056</c:v>
                </c:pt>
                <c:pt idx="91">
                  <c:v>1.0569999999999999</c:v>
                </c:pt>
                <c:pt idx="92">
                  <c:v>1.0580000000000001</c:v>
                </c:pt>
                <c:pt idx="93">
                  <c:v>1.06</c:v>
                </c:pt>
                <c:pt idx="94">
                  <c:v>1.056</c:v>
                </c:pt>
                <c:pt idx="95">
                  <c:v>1.0569999999999999</c:v>
                </c:pt>
                <c:pt idx="96">
                  <c:v>1.0589999999999999</c:v>
                </c:pt>
                <c:pt idx="97">
                  <c:v>1.06</c:v>
                </c:pt>
                <c:pt idx="98">
                  <c:v>1.0589999999999999</c:v>
                </c:pt>
                <c:pt idx="99">
                  <c:v>1.0609999999999999</c:v>
                </c:pt>
                <c:pt idx="100">
                  <c:v>1.0609999999999999</c:v>
                </c:pt>
                <c:pt idx="101">
                  <c:v>1.0649999999999999</c:v>
                </c:pt>
                <c:pt idx="102">
                  <c:v>1.0649999999999999</c:v>
                </c:pt>
                <c:pt idx="103">
                  <c:v>1.0649999999999999</c:v>
                </c:pt>
                <c:pt idx="104">
                  <c:v>1.0649999999999999</c:v>
                </c:pt>
                <c:pt idx="105">
                  <c:v>1.0649999999999999</c:v>
                </c:pt>
                <c:pt idx="106">
                  <c:v>1.0649999999999999</c:v>
                </c:pt>
                <c:pt idx="107">
                  <c:v>1.0649999999999999</c:v>
                </c:pt>
                <c:pt idx="108">
                  <c:v>1.0649999999999999</c:v>
                </c:pt>
                <c:pt idx="109">
                  <c:v>1.0649999999999999</c:v>
                </c:pt>
                <c:pt idx="110">
                  <c:v>1.0649999999999999</c:v>
                </c:pt>
                <c:pt idx="111">
                  <c:v>1.0660000000000001</c:v>
                </c:pt>
                <c:pt idx="112">
                  <c:v>1.0680000000000001</c:v>
                </c:pt>
                <c:pt idx="113">
                  <c:v>1.0680000000000001</c:v>
                </c:pt>
                <c:pt idx="114">
                  <c:v>1.0669999999999999</c:v>
                </c:pt>
                <c:pt idx="115">
                  <c:v>1.0669999999999999</c:v>
                </c:pt>
                <c:pt idx="116">
                  <c:v>1.0669999999999999</c:v>
                </c:pt>
                <c:pt idx="117">
                  <c:v>1.069</c:v>
                </c:pt>
                <c:pt idx="118">
                  <c:v>1.07</c:v>
                </c:pt>
                <c:pt idx="119">
                  <c:v>1.0720000000000001</c:v>
                </c:pt>
                <c:pt idx="120">
                  <c:v>1.073</c:v>
                </c:pt>
                <c:pt idx="121">
                  <c:v>1.075</c:v>
                </c:pt>
                <c:pt idx="122">
                  <c:v>1.0760000000000001</c:v>
                </c:pt>
                <c:pt idx="123">
                  <c:v>1.073</c:v>
                </c:pt>
                <c:pt idx="124">
                  <c:v>1.0720000000000001</c:v>
                </c:pt>
                <c:pt idx="125">
                  <c:v>1.069</c:v>
                </c:pt>
                <c:pt idx="126">
                  <c:v>1.069</c:v>
                </c:pt>
                <c:pt idx="127">
                  <c:v>1.069</c:v>
                </c:pt>
                <c:pt idx="128">
                  <c:v>1.0720000000000001</c:v>
                </c:pt>
                <c:pt idx="129">
                  <c:v>1.0740000000000001</c:v>
                </c:pt>
                <c:pt idx="130">
                  <c:v>1.0740000000000001</c:v>
                </c:pt>
                <c:pt idx="131">
                  <c:v>1.0760000000000001</c:v>
                </c:pt>
                <c:pt idx="132">
                  <c:v>1.0840000000000001</c:v>
                </c:pt>
                <c:pt idx="133">
                  <c:v>1.0820000000000001</c:v>
                </c:pt>
                <c:pt idx="134">
                  <c:v>1.0880000000000001</c:v>
                </c:pt>
                <c:pt idx="135">
                  <c:v>1.0840000000000001</c:v>
                </c:pt>
                <c:pt idx="136">
                  <c:v>1.0880000000000001</c:v>
                </c:pt>
                <c:pt idx="137">
                  <c:v>1.0940000000000001</c:v>
                </c:pt>
                <c:pt idx="138">
                  <c:v>1.101</c:v>
                </c:pt>
                <c:pt idx="139">
                  <c:v>1.107</c:v>
                </c:pt>
                <c:pt idx="140">
                  <c:v>1.103</c:v>
                </c:pt>
                <c:pt idx="141">
                  <c:v>1.1060000000000001</c:v>
                </c:pt>
                <c:pt idx="142">
                  <c:v>1.1080000000000001</c:v>
                </c:pt>
                <c:pt idx="143">
                  <c:v>1.101</c:v>
                </c:pt>
                <c:pt idx="144">
                  <c:v>1.1060000000000001</c:v>
                </c:pt>
                <c:pt idx="145">
                  <c:v>1.1100000000000001</c:v>
                </c:pt>
                <c:pt idx="146">
                  <c:v>1.1120000000000001</c:v>
                </c:pt>
                <c:pt idx="147">
                  <c:v>1.115</c:v>
                </c:pt>
                <c:pt idx="148">
                  <c:v>1.119</c:v>
                </c:pt>
                <c:pt idx="149">
                  <c:v>1.1200000000000001</c:v>
                </c:pt>
                <c:pt idx="150">
                  <c:v>1.1220000000000001</c:v>
                </c:pt>
                <c:pt idx="151">
                  <c:v>1.1240000000000001</c:v>
                </c:pt>
                <c:pt idx="152">
                  <c:v>1.121</c:v>
                </c:pt>
                <c:pt idx="153">
                  <c:v>1.121</c:v>
                </c:pt>
                <c:pt idx="154">
                  <c:v>1.1200000000000001</c:v>
                </c:pt>
                <c:pt idx="155">
                  <c:v>1.1220000000000001</c:v>
                </c:pt>
                <c:pt idx="156">
                  <c:v>1.127</c:v>
                </c:pt>
                <c:pt idx="157">
                  <c:v>1.135</c:v>
                </c:pt>
                <c:pt idx="158">
                  <c:v>1.1399999999999999</c:v>
                </c:pt>
                <c:pt idx="159">
                  <c:v>1.1439999999999999</c:v>
                </c:pt>
                <c:pt idx="160">
                  <c:v>1.151</c:v>
                </c:pt>
                <c:pt idx="161">
                  <c:v>1.151</c:v>
                </c:pt>
                <c:pt idx="162">
                  <c:v>1.153</c:v>
                </c:pt>
                <c:pt idx="163">
                  <c:v>1.153</c:v>
                </c:pt>
                <c:pt idx="164">
                  <c:v>1.1539999999999999</c:v>
                </c:pt>
                <c:pt idx="165">
                  <c:v>1.1499999999999999</c:v>
                </c:pt>
                <c:pt idx="166">
                  <c:v>1.1519999999999999</c:v>
                </c:pt>
                <c:pt idx="167">
                  <c:v>1.145</c:v>
                </c:pt>
                <c:pt idx="168">
                  <c:v>1.159</c:v>
                </c:pt>
                <c:pt idx="169">
                  <c:v>1.1619999999999999</c:v>
                </c:pt>
                <c:pt idx="170">
                  <c:v>1.161</c:v>
                </c:pt>
                <c:pt idx="171">
                  <c:v>1.163</c:v>
                </c:pt>
                <c:pt idx="172">
                  <c:v>1.1639999999999999</c:v>
                </c:pt>
                <c:pt idx="173">
                  <c:v>1.163</c:v>
                </c:pt>
                <c:pt idx="174">
                  <c:v>1.165</c:v>
                </c:pt>
                <c:pt idx="175">
                  <c:v>1.167</c:v>
                </c:pt>
                <c:pt idx="176">
                  <c:v>1.17</c:v>
                </c:pt>
                <c:pt idx="177">
                  <c:v>1.17</c:v>
                </c:pt>
                <c:pt idx="178">
                  <c:v>1.173</c:v>
                </c:pt>
                <c:pt idx="179">
                  <c:v>1.173</c:v>
                </c:pt>
                <c:pt idx="180">
                  <c:v>1.177</c:v>
                </c:pt>
                <c:pt idx="181">
                  <c:v>1.1779999999999999</c:v>
                </c:pt>
                <c:pt idx="182">
                  <c:v>1.1850000000000001</c:v>
                </c:pt>
                <c:pt idx="183">
                  <c:v>1.1850000000000001</c:v>
                </c:pt>
                <c:pt idx="184">
                  <c:v>1.1879999999999999</c:v>
                </c:pt>
                <c:pt idx="185">
                  <c:v>1.1859999999999999</c:v>
                </c:pt>
                <c:pt idx="186">
                  <c:v>1.19</c:v>
                </c:pt>
                <c:pt idx="187">
                  <c:v>1.1879999999999999</c:v>
                </c:pt>
                <c:pt idx="188">
                  <c:v>1.1850000000000001</c:v>
                </c:pt>
                <c:pt idx="189">
                  <c:v>1.1819999999999999</c:v>
                </c:pt>
                <c:pt idx="190">
                  <c:v>1.1850000000000001</c:v>
                </c:pt>
                <c:pt idx="191">
                  <c:v>1.1879999999999999</c:v>
                </c:pt>
                <c:pt idx="192">
                  <c:v>1.1890000000000001</c:v>
                </c:pt>
                <c:pt idx="193">
                  <c:v>1.1879999999999999</c:v>
                </c:pt>
                <c:pt idx="194">
                  <c:v>1.1890000000000001</c:v>
                </c:pt>
                <c:pt idx="195">
                  <c:v>1.1890000000000001</c:v>
                </c:pt>
                <c:pt idx="196">
                  <c:v>1.1910000000000001</c:v>
                </c:pt>
                <c:pt idx="197">
                  <c:v>1.1950000000000001</c:v>
                </c:pt>
                <c:pt idx="198">
                  <c:v>1.196</c:v>
                </c:pt>
                <c:pt idx="199">
                  <c:v>1.1950000000000001</c:v>
                </c:pt>
                <c:pt idx="200">
                  <c:v>1.19</c:v>
                </c:pt>
                <c:pt idx="201">
                  <c:v>1.1910000000000001</c:v>
                </c:pt>
                <c:pt idx="202">
                  <c:v>1.198</c:v>
                </c:pt>
                <c:pt idx="203">
                  <c:v>1.202</c:v>
                </c:pt>
                <c:pt idx="204">
                  <c:v>1.204</c:v>
                </c:pt>
                <c:pt idx="205">
                  <c:v>1.204</c:v>
                </c:pt>
                <c:pt idx="206">
                  <c:v>1.2050000000000001</c:v>
                </c:pt>
                <c:pt idx="207">
                  <c:v>1.202</c:v>
                </c:pt>
                <c:pt idx="208">
                  <c:v>1.204</c:v>
                </c:pt>
                <c:pt idx="209">
                  <c:v>1.2050000000000001</c:v>
                </c:pt>
                <c:pt idx="210">
                  <c:v>1.216</c:v>
                </c:pt>
                <c:pt idx="211">
                  <c:v>1.222</c:v>
                </c:pt>
                <c:pt idx="212">
                  <c:v>1.224</c:v>
                </c:pt>
                <c:pt idx="213">
                  <c:v>1.23</c:v>
                </c:pt>
                <c:pt idx="214">
                  <c:v>1.23</c:v>
                </c:pt>
                <c:pt idx="215">
                  <c:v>1.2310000000000001</c:v>
                </c:pt>
                <c:pt idx="216">
                  <c:v>1.2330000000000001</c:v>
                </c:pt>
                <c:pt idx="217">
                  <c:v>1.2430000000000001</c:v>
                </c:pt>
                <c:pt idx="218">
                  <c:v>1.2490000000000001</c:v>
                </c:pt>
                <c:pt idx="219">
                  <c:v>1.2529999999999999</c:v>
                </c:pt>
                <c:pt idx="220">
                  <c:v>1.254</c:v>
                </c:pt>
                <c:pt idx="221">
                  <c:v>1.258</c:v>
                </c:pt>
                <c:pt idx="222">
                  <c:v>1.2609999999999999</c:v>
                </c:pt>
                <c:pt idx="223">
                  <c:v>1.2629999999999999</c:v>
                </c:pt>
                <c:pt idx="224">
                  <c:v>1.2649999999999999</c:v>
                </c:pt>
                <c:pt idx="225">
                  <c:v>1.264</c:v>
                </c:pt>
                <c:pt idx="226">
                  <c:v>1.2629999999999999</c:v>
                </c:pt>
                <c:pt idx="227">
                  <c:v>1.264</c:v>
                </c:pt>
                <c:pt idx="228">
                  <c:v>1.266</c:v>
                </c:pt>
                <c:pt idx="229">
                  <c:v>1.266</c:v>
                </c:pt>
                <c:pt idx="230">
                  <c:v>1.2669999999999999</c:v>
                </c:pt>
                <c:pt idx="231">
                  <c:v>1.268</c:v>
                </c:pt>
                <c:pt idx="232">
                  <c:v>1.272</c:v>
                </c:pt>
                <c:pt idx="233">
                  <c:v>1.2709999999999999</c:v>
                </c:pt>
                <c:pt idx="234">
                  <c:v>1.2729999999999999</c:v>
                </c:pt>
                <c:pt idx="235">
                  <c:v>1.2729999999999999</c:v>
                </c:pt>
                <c:pt idx="236">
                  <c:v>1.276</c:v>
                </c:pt>
                <c:pt idx="237">
                  <c:v>1.2749999999999999</c:v>
                </c:pt>
                <c:pt idx="238">
                  <c:v>1.2769999999999999</c:v>
                </c:pt>
                <c:pt idx="239">
                  <c:v>1.2729999999999999</c:v>
                </c:pt>
                <c:pt idx="240">
                  <c:v>1.27</c:v>
                </c:pt>
                <c:pt idx="241">
                  <c:v>1.272</c:v>
                </c:pt>
                <c:pt idx="242">
                  <c:v>1.2709999999999999</c:v>
                </c:pt>
                <c:pt idx="243">
                  <c:v>1.2709999999999999</c:v>
                </c:pt>
                <c:pt idx="244">
                  <c:v>1.2729999999999999</c:v>
                </c:pt>
                <c:pt idx="245">
                  <c:v>1.274</c:v>
                </c:pt>
                <c:pt idx="246">
                  <c:v>1.272</c:v>
                </c:pt>
                <c:pt idx="247">
                  <c:v>1.2729999999999999</c:v>
                </c:pt>
                <c:pt idx="248">
                  <c:v>1.274</c:v>
                </c:pt>
                <c:pt idx="249">
                  <c:v>1.2729999999999999</c:v>
                </c:pt>
                <c:pt idx="250">
                  <c:v>1.2729999999999999</c:v>
                </c:pt>
                <c:pt idx="251">
                  <c:v>1.2729999999999999</c:v>
                </c:pt>
                <c:pt idx="252">
                  <c:v>1.276</c:v>
                </c:pt>
                <c:pt idx="253">
                  <c:v>1.2749999999999999</c:v>
                </c:pt>
                <c:pt idx="254">
                  <c:v>1.278</c:v>
                </c:pt>
                <c:pt idx="255">
                  <c:v>1.2769999999999999</c:v>
                </c:pt>
                <c:pt idx="256">
                  <c:v>1.28</c:v>
                </c:pt>
                <c:pt idx="257">
                  <c:v>1.2789999999999999</c:v>
                </c:pt>
                <c:pt idx="258">
                  <c:v>1.2809999999999999</c:v>
                </c:pt>
                <c:pt idx="259">
                  <c:v>1.2829999999999999</c:v>
                </c:pt>
                <c:pt idx="260">
                  <c:v>1.284</c:v>
                </c:pt>
                <c:pt idx="261">
                  <c:v>1.2849999999999999</c:v>
                </c:pt>
                <c:pt idx="262">
                  <c:v>1.286</c:v>
                </c:pt>
                <c:pt idx="263">
                  <c:v>1.2829999999999999</c:v>
                </c:pt>
                <c:pt idx="264">
                  <c:v>1.28</c:v>
                </c:pt>
                <c:pt idx="265">
                  <c:v>1.286</c:v>
                </c:pt>
                <c:pt idx="266">
                  <c:v>1.2849999999999999</c:v>
                </c:pt>
                <c:pt idx="267">
                  <c:v>1.2809999999999999</c:v>
                </c:pt>
                <c:pt idx="268">
                  <c:v>1.276</c:v>
                </c:pt>
                <c:pt idx="269">
                  <c:v>1.2749999999999999</c:v>
                </c:pt>
                <c:pt idx="270">
                  <c:v>1.276</c:v>
                </c:pt>
                <c:pt idx="271">
                  <c:v>1.276</c:v>
                </c:pt>
                <c:pt idx="272">
                  <c:v>1.2789999999999999</c:v>
                </c:pt>
                <c:pt idx="273">
                  <c:v>1.2789999999999999</c:v>
                </c:pt>
                <c:pt idx="274">
                  <c:v>1.28</c:v>
                </c:pt>
                <c:pt idx="275">
                  <c:v>1.2809999999999999</c:v>
                </c:pt>
                <c:pt idx="276">
                  <c:v>1.28</c:v>
                </c:pt>
                <c:pt idx="277">
                  <c:v>1.2829999999999999</c:v>
                </c:pt>
                <c:pt idx="278">
                  <c:v>1.284</c:v>
                </c:pt>
                <c:pt idx="279">
                  <c:v>1.284</c:v>
                </c:pt>
                <c:pt idx="280">
                  <c:v>1.2849999999999999</c:v>
                </c:pt>
                <c:pt idx="281">
                  <c:v>1.2849999999999999</c:v>
                </c:pt>
                <c:pt idx="282">
                  <c:v>1.2829999999999999</c:v>
                </c:pt>
                <c:pt idx="283">
                  <c:v>1.2849999999999999</c:v>
                </c:pt>
                <c:pt idx="284">
                  <c:v>1.2849999999999999</c:v>
                </c:pt>
                <c:pt idx="285">
                  <c:v>1.286</c:v>
                </c:pt>
                <c:pt idx="286">
                  <c:v>1.288</c:v>
                </c:pt>
                <c:pt idx="287">
                  <c:v>1.2929999999999999</c:v>
                </c:pt>
                <c:pt idx="288">
                  <c:v>1.294</c:v>
                </c:pt>
                <c:pt idx="289">
                  <c:v>1.2969999999999999</c:v>
                </c:pt>
                <c:pt idx="290">
                  <c:v>1.298</c:v>
                </c:pt>
                <c:pt idx="291">
                  <c:v>1.2989999999999999</c:v>
                </c:pt>
                <c:pt idx="292">
                  <c:v>1.3</c:v>
                </c:pt>
                <c:pt idx="293">
                  <c:v>1.3029999999999999</c:v>
                </c:pt>
                <c:pt idx="294">
                  <c:v>1.3080000000000001</c:v>
                </c:pt>
                <c:pt idx="295">
                  <c:v>1.3129999999999999</c:v>
                </c:pt>
                <c:pt idx="296">
                  <c:v>1.31</c:v>
                </c:pt>
                <c:pt idx="297">
                  <c:v>1.3140000000000001</c:v>
                </c:pt>
                <c:pt idx="298">
                  <c:v>1.3169999999999999</c:v>
                </c:pt>
                <c:pt idx="299">
                  <c:v>1.3169999999999999</c:v>
                </c:pt>
                <c:pt idx="300">
                  <c:v>1.3169999999999999</c:v>
                </c:pt>
                <c:pt idx="301">
                  <c:v>1.3169999999999999</c:v>
                </c:pt>
                <c:pt idx="302">
                  <c:v>1.3160000000000001</c:v>
                </c:pt>
                <c:pt idx="303">
                  <c:v>1.3120000000000001</c:v>
                </c:pt>
                <c:pt idx="304">
                  <c:v>1.306</c:v>
                </c:pt>
                <c:pt idx="305">
                  <c:v>1.306</c:v>
                </c:pt>
                <c:pt idx="306">
                  <c:v>1.3140000000000001</c:v>
                </c:pt>
                <c:pt idx="307">
                  <c:v>1.3149999999999999</c:v>
                </c:pt>
                <c:pt idx="308">
                  <c:v>1.319</c:v>
                </c:pt>
                <c:pt idx="309">
                  <c:v>1.3129999999999999</c:v>
                </c:pt>
                <c:pt idx="310">
                  <c:v>1.302</c:v>
                </c:pt>
                <c:pt idx="311">
                  <c:v>1.3009999999999999</c:v>
                </c:pt>
                <c:pt idx="312">
                  <c:v>1.3009999999999999</c:v>
                </c:pt>
                <c:pt idx="313">
                  <c:v>1.3009999999999999</c:v>
                </c:pt>
                <c:pt idx="314">
                  <c:v>1.304</c:v>
                </c:pt>
                <c:pt idx="315">
                  <c:v>1.3069999999999999</c:v>
                </c:pt>
                <c:pt idx="316">
                  <c:v>1.3080000000000001</c:v>
                </c:pt>
                <c:pt idx="317">
                  <c:v>1.3120000000000001</c:v>
                </c:pt>
                <c:pt idx="318">
                  <c:v>1.3120000000000001</c:v>
                </c:pt>
                <c:pt idx="319">
                  <c:v>1.3140000000000001</c:v>
                </c:pt>
                <c:pt idx="320">
                  <c:v>1.3149999999999999</c:v>
                </c:pt>
                <c:pt idx="321">
                  <c:v>1.3160000000000001</c:v>
                </c:pt>
                <c:pt idx="322">
                  <c:v>1.3169999999999999</c:v>
                </c:pt>
                <c:pt idx="323">
                  <c:v>1.3140000000000001</c:v>
                </c:pt>
                <c:pt idx="324">
                  <c:v>1.3169999999999999</c:v>
                </c:pt>
                <c:pt idx="325">
                  <c:v>1.327</c:v>
                </c:pt>
                <c:pt idx="326">
                  <c:v>1.325</c:v>
                </c:pt>
                <c:pt idx="327">
                  <c:v>1.3149999999999999</c:v>
                </c:pt>
                <c:pt idx="328">
                  <c:v>1.3140000000000001</c:v>
                </c:pt>
                <c:pt idx="329">
                  <c:v>1.3129999999999999</c:v>
                </c:pt>
                <c:pt idx="330">
                  <c:v>1.3169999999999999</c:v>
                </c:pt>
                <c:pt idx="331">
                  <c:v>1.3149999999999999</c:v>
                </c:pt>
                <c:pt idx="332">
                  <c:v>1.3129999999999999</c:v>
                </c:pt>
                <c:pt idx="333">
                  <c:v>1.3120000000000001</c:v>
                </c:pt>
                <c:pt idx="334">
                  <c:v>1.3140000000000001</c:v>
                </c:pt>
                <c:pt idx="335">
                  <c:v>1.3089999999999999</c:v>
                </c:pt>
                <c:pt idx="336">
                  <c:v>1.3009999999999999</c:v>
                </c:pt>
                <c:pt idx="337">
                  <c:v>1.3089999999999999</c:v>
                </c:pt>
                <c:pt idx="338">
                  <c:v>1.3120000000000001</c:v>
                </c:pt>
                <c:pt idx="339">
                  <c:v>1.3120000000000001</c:v>
                </c:pt>
                <c:pt idx="340">
                  <c:v>1.3160000000000001</c:v>
                </c:pt>
                <c:pt idx="341">
                  <c:v>1.325</c:v>
                </c:pt>
                <c:pt idx="342">
                  <c:v>1.32</c:v>
                </c:pt>
                <c:pt idx="343">
                  <c:v>1.319</c:v>
                </c:pt>
                <c:pt idx="344">
                  <c:v>1.3180000000000001</c:v>
                </c:pt>
                <c:pt idx="345">
                  <c:v>1.32</c:v>
                </c:pt>
                <c:pt idx="346">
                  <c:v>1.319</c:v>
                </c:pt>
                <c:pt idx="347">
                  <c:v>1.3260000000000001</c:v>
                </c:pt>
                <c:pt idx="348">
                  <c:v>1.327</c:v>
                </c:pt>
                <c:pt idx="349">
                  <c:v>1.329</c:v>
                </c:pt>
                <c:pt idx="350">
                  <c:v>1.329</c:v>
                </c:pt>
                <c:pt idx="351">
                  <c:v>1.331</c:v>
                </c:pt>
                <c:pt idx="352">
                  <c:v>1.3320000000000001</c:v>
                </c:pt>
                <c:pt idx="353">
                  <c:v>1.3360000000000001</c:v>
                </c:pt>
                <c:pt idx="354">
                  <c:v>1.335</c:v>
                </c:pt>
                <c:pt idx="355">
                  <c:v>1.3360000000000001</c:v>
                </c:pt>
                <c:pt idx="356">
                  <c:v>1.3340000000000001</c:v>
                </c:pt>
                <c:pt idx="357">
                  <c:v>1.335</c:v>
                </c:pt>
                <c:pt idx="358">
                  <c:v>1.337</c:v>
                </c:pt>
                <c:pt idx="359">
                  <c:v>1.3360000000000001</c:v>
                </c:pt>
                <c:pt idx="360">
                  <c:v>1.337</c:v>
                </c:pt>
                <c:pt idx="361">
                  <c:v>1.34</c:v>
                </c:pt>
                <c:pt idx="362">
                  <c:v>1.341</c:v>
                </c:pt>
                <c:pt idx="363">
                  <c:v>1.341</c:v>
                </c:pt>
                <c:pt idx="364">
                  <c:v>1.3420000000000001</c:v>
                </c:pt>
                <c:pt idx="365">
                  <c:v>1.341</c:v>
                </c:pt>
                <c:pt idx="366">
                  <c:v>1.345</c:v>
                </c:pt>
                <c:pt idx="367">
                  <c:v>1.3460000000000001</c:v>
                </c:pt>
                <c:pt idx="368">
                  <c:v>1.347</c:v>
                </c:pt>
                <c:pt idx="369">
                  <c:v>1.347</c:v>
                </c:pt>
                <c:pt idx="370">
                  <c:v>1.35</c:v>
                </c:pt>
                <c:pt idx="371">
                  <c:v>1.347</c:v>
                </c:pt>
                <c:pt idx="372">
                  <c:v>1.3520000000000001</c:v>
                </c:pt>
                <c:pt idx="373">
                  <c:v>1.355</c:v>
                </c:pt>
                <c:pt idx="374">
                  <c:v>1.357</c:v>
                </c:pt>
                <c:pt idx="375">
                  <c:v>1.3580000000000001</c:v>
                </c:pt>
                <c:pt idx="376">
                  <c:v>1.36</c:v>
                </c:pt>
                <c:pt idx="377">
                  <c:v>1.3660000000000001</c:v>
                </c:pt>
                <c:pt idx="378">
                  <c:v>1.3660000000000001</c:v>
                </c:pt>
                <c:pt idx="379">
                  <c:v>1.3680000000000001</c:v>
                </c:pt>
                <c:pt idx="380">
                  <c:v>1.367</c:v>
                </c:pt>
                <c:pt idx="381">
                  <c:v>1.371</c:v>
                </c:pt>
                <c:pt idx="382">
                  <c:v>1.3720000000000001</c:v>
                </c:pt>
                <c:pt idx="383">
                  <c:v>1.369</c:v>
                </c:pt>
                <c:pt idx="384">
                  <c:v>1.37</c:v>
                </c:pt>
                <c:pt idx="385">
                  <c:v>1.3740000000000001</c:v>
                </c:pt>
                <c:pt idx="386">
                  <c:v>1.3759999999999999</c:v>
                </c:pt>
                <c:pt idx="387">
                  <c:v>1.379</c:v>
                </c:pt>
                <c:pt idx="388">
                  <c:v>1.3819999999999999</c:v>
                </c:pt>
                <c:pt idx="389">
                  <c:v>1.379</c:v>
                </c:pt>
                <c:pt idx="390">
                  <c:v>1.38</c:v>
                </c:pt>
                <c:pt idx="391">
                  <c:v>1.3839999999999999</c:v>
                </c:pt>
                <c:pt idx="392">
                  <c:v>1.383</c:v>
                </c:pt>
                <c:pt idx="393">
                  <c:v>1.381</c:v>
                </c:pt>
                <c:pt idx="394">
                  <c:v>1.3819999999999999</c:v>
                </c:pt>
                <c:pt idx="395">
                  <c:v>1.3819999999999999</c:v>
                </c:pt>
                <c:pt idx="396">
                  <c:v>1.381</c:v>
                </c:pt>
                <c:pt idx="397">
                  <c:v>1.3819999999999999</c:v>
                </c:pt>
                <c:pt idx="398">
                  <c:v>1.3759999999999999</c:v>
                </c:pt>
                <c:pt idx="399">
                  <c:v>1.385</c:v>
                </c:pt>
                <c:pt idx="400">
                  <c:v>1.3859999999999999</c:v>
                </c:pt>
                <c:pt idx="401">
                  <c:v>1.39</c:v>
                </c:pt>
                <c:pt idx="402">
                  <c:v>1.39</c:v>
                </c:pt>
                <c:pt idx="403">
                  <c:v>1.389</c:v>
                </c:pt>
                <c:pt idx="404">
                  <c:v>1.3879999999999999</c:v>
                </c:pt>
                <c:pt idx="405">
                  <c:v>1.389</c:v>
                </c:pt>
                <c:pt idx="406">
                  <c:v>1.391</c:v>
                </c:pt>
                <c:pt idx="407">
                  <c:v>1.39</c:v>
                </c:pt>
                <c:pt idx="408">
                  <c:v>1.391</c:v>
                </c:pt>
                <c:pt idx="409">
                  <c:v>1.3919999999999999</c:v>
                </c:pt>
                <c:pt idx="410">
                  <c:v>1.389</c:v>
                </c:pt>
                <c:pt idx="411">
                  <c:v>1.3879999999999999</c:v>
                </c:pt>
                <c:pt idx="412">
                  <c:v>1.3879999999999999</c:v>
                </c:pt>
                <c:pt idx="413">
                  <c:v>1.389</c:v>
                </c:pt>
                <c:pt idx="414">
                  <c:v>1.389</c:v>
                </c:pt>
                <c:pt idx="415">
                  <c:v>1.3919999999999999</c:v>
                </c:pt>
                <c:pt idx="416">
                  <c:v>1.3939999999999999</c:v>
                </c:pt>
                <c:pt idx="417">
                  <c:v>1.397</c:v>
                </c:pt>
                <c:pt idx="418">
                  <c:v>1.3979999999999999</c:v>
                </c:pt>
              </c:numCache>
            </c:numRef>
          </c:val>
          <c:smooth val="0"/>
          <c:extLst>
            <c:ext xmlns:c16="http://schemas.microsoft.com/office/drawing/2014/chart" uri="{C3380CC4-5D6E-409C-BE32-E72D297353CC}">
              <c16:uniqueId val="{00000000-3B8F-49D9-BCFB-C3C9CF2CAA5A}"/>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琅玡一号</a:t>
            </a:r>
            <a:endParaRPr lang="en-US" altLang="zh-CN" sz="1600"/>
          </a:p>
        </c:rich>
      </c:tx>
      <c:overlay val="0"/>
    </c:title>
    <c:autoTitleDeleted val="0"/>
    <c:plotArea>
      <c:layout/>
      <c:lineChart>
        <c:grouping val="standard"/>
        <c:varyColors val="0"/>
        <c:ser>
          <c:idx val="0"/>
          <c:order val="0"/>
          <c:tx>
            <c:strRef>
              <c:f>琅琊一号!$B$20</c:f>
              <c:strCache>
                <c:ptCount val="1"/>
                <c:pt idx="0">
                  <c:v>累计净值</c:v>
                </c:pt>
              </c:strCache>
            </c:strRef>
          </c:tx>
          <c:marker>
            <c:symbol val="none"/>
          </c:marker>
          <c:cat>
            <c:numRef>
              <c:f>琅琊一号!$A$21:$A$263</c:f>
              <c:numCache>
                <c:formatCode>m/d/yy</c:formatCode>
                <c:ptCount val="243"/>
                <c:pt idx="0">
                  <c:v>43966</c:v>
                </c:pt>
                <c:pt idx="1">
                  <c:v>43969</c:v>
                </c:pt>
                <c:pt idx="2">
                  <c:v>43970</c:v>
                </c:pt>
                <c:pt idx="3">
                  <c:v>43971</c:v>
                </c:pt>
                <c:pt idx="4">
                  <c:v>43972</c:v>
                </c:pt>
                <c:pt idx="5">
                  <c:v>43973</c:v>
                </c:pt>
                <c:pt idx="6">
                  <c:v>43976</c:v>
                </c:pt>
                <c:pt idx="7">
                  <c:v>43977</c:v>
                </c:pt>
                <c:pt idx="8">
                  <c:v>43978</c:v>
                </c:pt>
                <c:pt idx="9">
                  <c:v>43979</c:v>
                </c:pt>
                <c:pt idx="10">
                  <c:v>43980</c:v>
                </c:pt>
                <c:pt idx="11">
                  <c:v>43983</c:v>
                </c:pt>
                <c:pt idx="12">
                  <c:v>43984</c:v>
                </c:pt>
                <c:pt idx="13">
                  <c:v>43985</c:v>
                </c:pt>
                <c:pt idx="14">
                  <c:v>43986</c:v>
                </c:pt>
                <c:pt idx="15">
                  <c:v>43987</c:v>
                </c:pt>
                <c:pt idx="16">
                  <c:v>43990</c:v>
                </c:pt>
                <c:pt idx="17">
                  <c:v>43991</c:v>
                </c:pt>
                <c:pt idx="18">
                  <c:v>43992</c:v>
                </c:pt>
                <c:pt idx="19">
                  <c:v>43993</c:v>
                </c:pt>
                <c:pt idx="20">
                  <c:v>43994</c:v>
                </c:pt>
                <c:pt idx="21">
                  <c:v>43997</c:v>
                </c:pt>
                <c:pt idx="22">
                  <c:v>43998</c:v>
                </c:pt>
                <c:pt idx="23">
                  <c:v>43999</c:v>
                </c:pt>
                <c:pt idx="24">
                  <c:v>44000</c:v>
                </c:pt>
                <c:pt idx="25">
                  <c:v>44001</c:v>
                </c:pt>
                <c:pt idx="26">
                  <c:v>44004</c:v>
                </c:pt>
                <c:pt idx="27">
                  <c:v>44005</c:v>
                </c:pt>
                <c:pt idx="28">
                  <c:v>44006</c:v>
                </c:pt>
                <c:pt idx="29">
                  <c:v>44011</c:v>
                </c:pt>
                <c:pt idx="30">
                  <c:v>44012</c:v>
                </c:pt>
                <c:pt idx="31">
                  <c:v>44013</c:v>
                </c:pt>
                <c:pt idx="32">
                  <c:v>44014</c:v>
                </c:pt>
                <c:pt idx="33">
                  <c:v>44015</c:v>
                </c:pt>
                <c:pt idx="34">
                  <c:v>44018</c:v>
                </c:pt>
                <c:pt idx="35">
                  <c:v>44019</c:v>
                </c:pt>
                <c:pt idx="36">
                  <c:v>44020</c:v>
                </c:pt>
                <c:pt idx="37">
                  <c:v>44021</c:v>
                </c:pt>
                <c:pt idx="38">
                  <c:v>44022</c:v>
                </c:pt>
                <c:pt idx="39">
                  <c:v>44025</c:v>
                </c:pt>
                <c:pt idx="40">
                  <c:v>44026</c:v>
                </c:pt>
                <c:pt idx="41">
                  <c:v>44027</c:v>
                </c:pt>
                <c:pt idx="42">
                  <c:v>44028</c:v>
                </c:pt>
                <c:pt idx="43">
                  <c:v>44029</c:v>
                </c:pt>
                <c:pt idx="44">
                  <c:v>44032</c:v>
                </c:pt>
                <c:pt idx="45">
                  <c:v>44033</c:v>
                </c:pt>
                <c:pt idx="46">
                  <c:v>44034</c:v>
                </c:pt>
                <c:pt idx="47">
                  <c:v>44035</c:v>
                </c:pt>
                <c:pt idx="48">
                  <c:v>44036</c:v>
                </c:pt>
                <c:pt idx="49">
                  <c:v>44039</c:v>
                </c:pt>
                <c:pt idx="50">
                  <c:v>44040</c:v>
                </c:pt>
                <c:pt idx="51">
                  <c:v>44041</c:v>
                </c:pt>
                <c:pt idx="52">
                  <c:v>44042</c:v>
                </c:pt>
                <c:pt idx="53">
                  <c:v>44043</c:v>
                </c:pt>
                <c:pt idx="54">
                  <c:v>44046</c:v>
                </c:pt>
                <c:pt idx="55">
                  <c:v>44047</c:v>
                </c:pt>
                <c:pt idx="56">
                  <c:v>44048</c:v>
                </c:pt>
                <c:pt idx="57">
                  <c:v>44049</c:v>
                </c:pt>
                <c:pt idx="58">
                  <c:v>44050</c:v>
                </c:pt>
                <c:pt idx="59">
                  <c:v>44053</c:v>
                </c:pt>
                <c:pt idx="60">
                  <c:v>44054</c:v>
                </c:pt>
                <c:pt idx="61">
                  <c:v>44055</c:v>
                </c:pt>
                <c:pt idx="62">
                  <c:v>44056</c:v>
                </c:pt>
                <c:pt idx="63">
                  <c:v>44057</c:v>
                </c:pt>
                <c:pt idx="64">
                  <c:v>44060</c:v>
                </c:pt>
                <c:pt idx="65">
                  <c:v>44061</c:v>
                </c:pt>
                <c:pt idx="66">
                  <c:v>44062</c:v>
                </c:pt>
                <c:pt idx="67">
                  <c:v>44063</c:v>
                </c:pt>
                <c:pt idx="68">
                  <c:v>44064</c:v>
                </c:pt>
                <c:pt idx="69">
                  <c:v>44067</c:v>
                </c:pt>
                <c:pt idx="70">
                  <c:v>44068</c:v>
                </c:pt>
                <c:pt idx="71">
                  <c:v>44069</c:v>
                </c:pt>
                <c:pt idx="72">
                  <c:v>44070</c:v>
                </c:pt>
                <c:pt idx="73">
                  <c:v>44071</c:v>
                </c:pt>
                <c:pt idx="74">
                  <c:v>44074</c:v>
                </c:pt>
                <c:pt idx="75">
                  <c:v>44075</c:v>
                </c:pt>
                <c:pt idx="76">
                  <c:v>44076</c:v>
                </c:pt>
                <c:pt idx="77">
                  <c:v>44077</c:v>
                </c:pt>
                <c:pt idx="78">
                  <c:v>44078</c:v>
                </c:pt>
                <c:pt idx="79">
                  <c:v>44081</c:v>
                </c:pt>
                <c:pt idx="80">
                  <c:v>44082</c:v>
                </c:pt>
                <c:pt idx="81">
                  <c:v>44083</c:v>
                </c:pt>
                <c:pt idx="82">
                  <c:v>44084</c:v>
                </c:pt>
                <c:pt idx="83">
                  <c:v>44085</c:v>
                </c:pt>
                <c:pt idx="84">
                  <c:v>44088</c:v>
                </c:pt>
                <c:pt idx="85">
                  <c:v>44089</c:v>
                </c:pt>
                <c:pt idx="86">
                  <c:v>44090</c:v>
                </c:pt>
                <c:pt idx="87">
                  <c:v>44091</c:v>
                </c:pt>
                <c:pt idx="88">
                  <c:v>44092</c:v>
                </c:pt>
                <c:pt idx="89">
                  <c:v>44095</c:v>
                </c:pt>
                <c:pt idx="90">
                  <c:v>44096</c:v>
                </c:pt>
                <c:pt idx="91">
                  <c:v>44097</c:v>
                </c:pt>
                <c:pt idx="92">
                  <c:v>44098</c:v>
                </c:pt>
                <c:pt idx="93">
                  <c:v>44099</c:v>
                </c:pt>
                <c:pt idx="94">
                  <c:v>44102</c:v>
                </c:pt>
                <c:pt idx="95">
                  <c:v>44103</c:v>
                </c:pt>
                <c:pt idx="96">
                  <c:v>44104</c:v>
                </c:pt>
                <c:pt idx="97">
                  <c:v>44113</c:v>
                </c:pt>
                <c:pt idx="98">
                  <c:v>44116</c:v>
                </c:pt>
                <c:pt idx="99">
                  <c:v>44117</c:v>
                </c:pt>
                <c:pt idx="100">
                  <c:v>44118</c:v>
                </c:pt>
                <c:pt idx="101">
                  <c:v>44119</c:v>
                </c:pt>
                <c:pt idx="102">
                  <c:v>44120</c:v>
                </c:pt>
                <c:pt idx="103">
                  <c:v>44123</c:v>
                </c:pt>
                <c:pt idx="104">
                  <c:v>44124</c:v>
                </c:pt>
                <c:pt idx="105">
                  <c:v>44125</c:v>
                </c:pt>
                <c:pt idx="106">
                  <c:v>44126</c:v>
                </c:pt>
                <c:pt idx="107">
                  <c:v>44127</c:v>
                </c:pt>
                <c:pt idx="108">
                  <c:v>44130</c:v>
                </c:pt>
                <c:pt idx="109">
                  <c:v>44131</c:v>
                </c:pt>
                <c:pt idx="110">
                  <c:v>44132</c:v>
                </c:pt>
                <c:pt idx="111">
                  <c:v>44133</c:v>
                </c:pt>
                <c:pt idx="112">
                  <c:v>44134</c:v>
                </c:pt>
                <c:pt idx="113">
                  <c:v>44137</c:v>
                </c:pt>
                <c:pt idx="114">
                  <c:v>44138</c:v>
                </c:pt>
                <c:pt idx="115">
                  <c:v>44139</c:v>
                </c:pt>
                <c:pt idx="116">
                  <c:v>44140</c:v>
                </c:pt>
                <c:pt idx="117">
                  <c:v>44141</c:v>
                </c:pt>
                <c:pt idx="118">
                  <c:v>44144</c:v>
                </c:pt>
                <c:pt idx="119">
                  <c:v>44145</c:v>
                </c:pt>
                <c:pt idx="120">
                  <c:v>44146</c:v>
                </c:pt>
                <c:pt idx="121">
                  <c:v>44147</c:v>
                </c:pt>
                <c:pt idx="122">
                  <c:v>44148</c:v>
                </c:pt>
                <c:pt idx="123">
                  <c:v>44151</c:v>
                </c:pt>
                <c:pt idx="124">
                  <c:v>44152</c:v>
                </c:pt>
                <c:pt idx="125">
                  <c:v>44153</c:v>
                </c:pt>
                <c:pt idx="126">
                  <c:v>44154</c:v>
                </c:pt>
                <c:pt idx="127">
                  <c:v>44155</c:v>
                </c:pt>
                <c:pt idx="128">
                  <c:v>44158</c:v>
                </c:pt>
                <c:pt idx="129">
                  <c:v>44159</c:v>
                </c:pt>
                <c:pt idx="130">
                  <c:v>44160</c:v>
                </c:pt>
                <c:pt idx="131">
                  <c:v>44161</c:v>
                </c:pt>
                <c:pt idx="132">
                  <c:v>44162</c:v>
                </c:pt>
                <c:pt idx="133">
                  <c:v>44165</c:v>
                </c:pt>
                <c:pt idx="134">
                  <c:v>44166</c:v>
                </c:pt>
                <c:pt idx="135">
                  <c:v>44167</c:v>
                </c:pt>
                <c:pt idx="136">
                  <c:v>44168</c:v>
                </c:pt>
                <c:pt idx="137">
                  <c:v>44169</c:v>
                </c:pt>
                <c:pt idx="138">
                  <c:v>44172</c:v>
                </c:pt>
                <c:pt idx="139">
                  <c:v>44173</c:v>
                </c:pt>
                <c:pt idx="140">
                  <c:v>44174</c:v>
                </c:pt>
                <c:pt idx="141">
                  <c:v>44175</c:v>
                </c:pt>
                <c:pt idx="142">
                  <c:v>44176</c:v>
                </c:pt>
                <c:pt idx="143">
                  <c:v>44179</c:v>
                </c:pt>
                <c:pt idx="144">
                  <c:v>44180</c:v>
                </c:pt>
                <c:pt idx="145">
                  <c:v>44181</c:v>
                </c:pt>
                <c:pt idx="146">
                  <c:v>44182</c:v>
                </c:pt>
                <c:pt idx="147">
                  <c:v>44183</c:v>
                </c:pt>
                <c:pt idx="148">
                  <c:v>44186</c:v>
                </c:pt>
                <c:pt idx="149">
                  <c:v>44187</c:v>
                </c:pt>
                <c:pt idx="150">
                  <c:v>44188</c:v>
                </c:pt>
                <c:pt idx="151">
                  <c:v>44189</c:v>
                </c:pt>
                <c:pt idx="152">
                  <c:v>44190</c:v>
                </c:pt>
                <c:pt idx="153">
                  <c:v>44193</c:v>
                </c:pt>
                <c:pt idx="154">
                  <c:v>44194</c:v>
                </c:pt>
                <c:pt idx="155">
                  <c:v>44195</c:v>
                </c:pt>
                <c:pt idx="156">
                  <c:v>44196</c:v>
                </c:pt>
                <c:pt idx="157">
                  <c:v>44200</c:v>
                </c:pt>
                <c:pt idx="158">
                  <c:v>44201</c:v>
                </c:pt>
                <c:pt idx="159">
                  <c:v>44202</c:v>
                </c:pt>
                <c:pt idx="160">
                  <c:v>44203</c:v>
                </c:pt>
                <c:pt idx="161">
                  <c:v>44204</c:v>
                </c:pt>
                <c:pt idx="162">
                  <c:v>44207</c:v>
                </c:pt>
                <c:pt idx="163">
                  <c:v>44208</c:v>
                </c:pt>
                <c:pt idx="164">
                  <c:v>44209</c:v>
                </c:pt>
                <c:pt idx="165">
                  <c:v>44210</c:v>
                </c:pt>
                <c:pt idx="166">
                  <c:v>44211</c:v>
                </c:pt>
                <c:pt idx="167">
                  <c:v>44214</c:v>
                </c:pt>
                <c:pt idx="168">
                  <c:v>44215</c:v>
                </c:pt>
                <c:pt idx="169">
                  <c:v>44216</c:v>
                </c:pt>
                <c:pt idx="170">
                  <c:v>44217</c:v>
                </c:pt>
                <c:pt idx="171">
                  <c:v>44218</c:v>
                </c:pt>
                <c:pt idx="172">
                  <c:v>44221</c:v>
                </c:pt>
                <c:pt idx="173">
                  <c:v>44222</c:v>
                </c:pt>
                <c:pt idx="174">
                  <c:v>44223</c:v>
                </c:pt>
                <c:pt idx="175">
                  <c:v>44224</c:v>
                </c:pt>
                <c:pt idx="176">
                  <c:v>44225</c:v>
                </c:pt>
                <c:pt idx="177">
                  <c:v>44228</c:v>
                </c:pt>
                <c:pt idx="178">
                  <c:v>44229</c:v>
                </c:pt>
                <c:pt idx="179">
                  <c:v>44230</c:v>
                </c:pt>
                <c:pt idx="180">
                  <c:v>44231</c:v>
                </c:pt>
                <c:pt idx="181">
                  <c:v>44232</c:v>
                </c:pt>
                <c:pt idx="182">
                  <c:v>44235</c:v>
                </c:pt>
                <c:pt idx="183">
                  <c:v>44236</c:v>
                </c:pt>
                <c:pt idx="184">
                  <c:v>44237</c:v>
                </c:pt>
                <c:pt idx="185">
                  <c:v>44245</c:v>
                </c:pt>
                <c:pt idx="186">
                  <c:v>44246</c:v>
                </c:pt>
                <c:pt idx="187">
                  <c:v>44249</c:v>
                </c:pt>
                <c:pt idx="188">
                  <c:v>44250</c:v>
                </c:pt>
                <c:pt idx="189">
                  <c:v>44251</c:v>
                </c:pt>
                <c:pt idx="190">
                  <c:v>44252</c:v>
                </c:pt>
                <c:pt idx="191">
                  <c:v>44253</c:v>
                </c:pt>
                <c:pt idx="192">
                  <c:v>44256</c:v>
                </c:pt>
                <c:pt idx="193">
                  <c:v>44257</c:v>
                </c:pt>
                <c:pt idx="194">
                  <c:v>44258</c:v>
                </c:pt>
                <c:pt idx="195">
                  <c:v>44259</c:v>
                </c:pt>
                <c:pt idx="196">
                  <c:v>44260</c:v>
                </c:pt>
                <c:pt idx="197">
                  <c:v>44263</c:v>
                </c:pt>
                <c:pt idx="198">
                  <c:v>44264</c:v>
                </c:pt>
                <c:pt idx="199">
                  <c:v>44265</c:v>
                </c:pt>
                <c:pt idx="200">
                  <c:v>44266</c:v>
                </c:pt>
                <c:pt idx="201">
                  <c:v>44267</c:v>
                </c:pt>
                <c:pt idx="202">
                  <c:v>44270</c:v>
                </c:pt>
                <c:pt idx="203">
                  <c:v>44271</c:v>
                </c:pt>
                <c:pt idx="204">
                  <c:v>44272</c:v>
                </c:pt>
                <c:pt idx="205">
                  <c:v>44273</c:v>
                </c:pt>
                <c:pt idx="206">
                  <c:v>44274</c:v>
                </c:pt>
                <c:pt idx="207">
                  <c:v>44277</c:v>
                </c:pt>
                <c:pt idx="208">
                  <c:v>44278</c:v>
                </c:pt>
                <c:pt idx="209">
                  <c:v>44279</c:v>
                </c:pt>
                <c:pt idx="210">
                  <c:v>44280</c:v>
                </c:pt>
                <c:pt idx="211">
                  <c:v>44281</c:v>
                </c:pt>
                <c:pt idx="212">
                  <c:v>44284</c:v>
                </c:pt>
                <c:pt idx="213">
                  <c:v>44285</c:v>
                </c:pt>
                <c:pt idx="214">
                  <c:v>44286</c:v>
                </c:pt>
                <c:pt idx="215">
                  <c:v>44287</c:v>
                </c:pt>
                <c:pt idx="216">
                  <c:v>44288</c:v>
                </c:pt>
                <c:pt idx="217">
                  <c:v>44292</c:v>
                </c:pt>
                <c:pt idx="218">
                  <c:v>44293</c:v>
                </c:pt>
                <c:pt idx="219">
                  <c:v>44294</c:v>
                </c:pt>
                <c:pt idx="220">
                  <c:v>44295</c:v>
                </c:pt>
                <c:pt idx="221">
                  <c:v>44298</c:v>
                </c:pt>
                <c:pt idx="222">
                  <c:v>44299</c:v>
                </c:pt>
                <c:pt idx="223">
                  <c:v>44300</c:v>
                </c:pt>
                <c:pt idx="224">
                  <c:v>44301</c:v>
                </c:pt>
                <c:pt idx="225">
                  <c:v>44302</c:v>
                </c:pt>
                <c:pt idx="226">
                  <c:v>44305</c:v>
                </c:pt>
                <c:pt idx="227">
                  <c:v>44306</c:v>
                </c:pt>
                <c:pt idx="228">
                  <c:v>44307</c:v>
                </c:pt>
                <c:pt idx="229">
                  <c:v>44308</c:v>
                </c:pt>
                <c:pt idx="230">
                  <c:v>44309</c:v>
                </c:pt>
                <c:pt idx="231">
                  <c:v>44312</c:v>
                </c:pt>
                <c:pt idx="232">
                  <c:v>44313</c:v>
                </c:pt>
                <c:pt idx="233">
                  <c:v>44314</c:v>
                </c:pt>
                <c:pt idx="234">
                  <c:v>44315</c:v>
                </c:pt>
                <c:pt idx="235">
                  <c:v>44316</c:v>
                </c:pt>
                <c:pt idx="236">
                  <c:v>44322</c:v>
                </c:pt>
                <c:pt idx="237">
                  <c:v>44323</c:v>
                </c:pt>
                <c:pt idx="238">
                  <c:v>44326</c:v>
                </c:pt>
                <c:pt idx="239">
                  <c:v>44327</c:v>
                </c:pt>
                <c:pt idx="240">
                  <c:v>44328</c:v>
                </c:pt>
                <c:pt idx="241">
                  <c:v>44329</c:v>
                </c:pt>
                <c:pt idx="242">
                  <c:v>44330</c:v>
                </c:pt>
              </c:numCache>
            </c:numRef>
          </c:cat>
          <c:val>
            <c:numRef>
              <c:f>琅琊一号!$B$21:$B$263</c:f>
              <c:numCache>
                <c:formatCode>0.0000_ </c:formatCode>
                <c:ptCount val="243"/>
                <c:pt idx="0">
                  <c:v>1.0680000000000001</c:v>
                </c:pt>
                <c:pt idx="1">
                  <c:v>1.07</c:v>
                </c:pt>
                <c:pt idx="2">
                  <c:v>1.073</c:v>
                </c:pt>
                <c:pt idx="3">
                  <c:v>1.0780000000000001</c:v>
                </c:pt>
                <c:pt idx="4">
                  <c:v>1.075</c:v>
                </c:pt>
                <c:pt idx="5">
                  <c:v>1.0649999999999999</c:v>
                </c:pt>
                <c:pt idx="6">
                  <c:v>1.077</c:v>
                </c:pt>
                <c:pt idx="7">
                  <c:v>1.083</c:v>
                </c:pt>
                <c:pt idx="8">
                  <c:v>1.081</c:v>
                </c:pt>
                <c:pt idx="9">
                  <c:v>1.081</c:v>
                </c:pt>
                <c:pt idx="10">
                  <c:v>1.087</c:v>
                </c:pt>
                <c:pt idx="11">
                  <c:v>1.093</c:v>
                </c:pt>
                <c:pt idx="12">
                  <c:v>1.087</c:v>
                </c:pt>
                <c:pt idx="13">
                  <c:v>1.091</c:v>
                </c:pt>
                <c:pt idx="14">
                  <c:v>1.0940000000000001</c:v>
                </c:pt>
                <c:pt idx="15">
                  <c:v>1.0920000000000001</c:v>
                </c:pt>
                <c:pt idx="16">
                  <c:v>1.0900000000000001</c:v>
                </c:pt>
                <c:pt idx="17">
                  <c:v>1.0900000000000001</c:v>
                </c:pt>
                <c:pt idx="18">
                  <c:v>1.093</c:v>
                </c:pt>
                <c:pt idx="19">
                  <c:v>1.0940000000000001</c:v>
                </c:pt>
                <c:pt idx="20">
                  <c:v>1.095</c:v>
                </c:pt>
                <c:pt idx="21">
                  <c:v>1.091</c:v>
                </c:pt>
                <c:pt idx="22">
                  <c:v>1.0980000000000001</c:v>
                </c:pt>
                <c:pt idx="23">
                  <c:v>1.0980000000000001</c:v>
                </c:pt>
                <c:pt idx="24">
                  <c:v>1.095</c:v>
                </c:pt>
                <c:pt idx="25">
                  <c:v>1.089</c:v>
                </c:pt>
                <c:pt idx="26">
                  <c:v>1.0860000000000001</c:v>
                </c:pt>
                <c:pt idx="27">
                  <c:v>1.097</c:v>
                </c:pt>
                <c:pt idx="28">
                  <c:v>1.093</c:v>
                </c:pt>
                <c:pt idx="29">
                  <c:v>1.0940000000000001</c:v>
                </c:pt>
                <c:pt idx="30">
                  <c:v>1.095</c:v>
                </c:pt>
                <c:pt idx="31">
                  <c:v>1.0920000000000001</c:v>
                </c:pt>
                <c:pt idx="32">
                  <c:v>1.089</c:v>
                </c:pt>
                <c:pt idx="33">
                  <c:v>1.0920000000000001</c:v>
                </c:pt>
                <c:pt idx="34">
                  <c:v>1.0760000000000001</c:v>
                </c:pt>
                <c:pt idx="35">
                  <c:v>1.073</c:v>
                </c:pt>
                <c:pt idx="36">
                  <c:v>1.0860000000000001</c:v>
                </c:pt>
                <c:pt idx="37">
                  <c:v>1.093</c:v>
                </c:pt>
                <c:pt idx="38">
                  <c:v>1.087</c:v>
                </c:pt>
                <c:pt idx="39">
                  <c:v>1.0880000000000001</c:v>
                </c:pt>
                <c:pt idx="40">
                  <c:v>1.0860000000000001</c:v>
                </c:pt>
                <c:pt idx="41">
                  <c:v>1.093</c:v>
                </c:pt>
                <c:pt idx="42">
                  <c:v>1.0900000000000001</c:v>
                </c:pt>
                <c:pt idx="43">
                  <c:v>1.1000000000000001</c:v>
                </c:pt>
                <c:pt idx="44">
                  <c:v>1.1000000000000001</c:v>
                </c:pt>
                <c:pt idx="45">
                  <c:v>1.1040000000000001</c:v>
                </c:pt>
                <c:pt idx="46">
                  <c:v>1.0980000000000001</c:v>
                </c:pt>
                <c:pt idx="47">
                  <c:v>1.1040000000000001</c:v>
                </c:pt>
                <c:pt idx="48">
                  <c:v>1.1040000000000001</c:v>
                </c:pt>
                <c:pt idx="49">
                  <c:v>1.101</c:v>
                </c:pt>
                <c:pt idx="50">
                  <c:v>1.107</c:v>
                </c:pt>
                <c:pt idx="51">
                  <c:v>1.1000000000000001</c:v>
                </c:pt>
                <c:pt idx="52">
                  <c:v>1.1020000000000001</c:v>
                </c:pt>
                <c:pt idx="53">
                  <c:v>1.1020000000000001</c:v>
                </c:pt>
                <c:pt idx="54">
                  <c:v>1.1060000000000001</c:v>
                </c:pt>
                <c:pt idx="55">
                  <c:v>1.1080000000000001</c:v>
                </c:pt>
                <c:pt idx="56">
                  <c:v>1.1100000000000001</c:v>
                </c:pt>
                <c:pt idx="57">
                  <c:v>1.109</c:v>
                </c:pt>
                <c:pt idx="58">
                  <c:v>1.107</c:v>
                </c:pt>
                <c:pt idx="59">
                  <c:v>1.105</c:v>
                </c:pt>
                <c:pt idx="60">
                  <c:v>1.1080000000000001</c:v>
                </c:pt>
                <c:pt idx="61">
                  <c:v>1.1080000000000001</c:v>
                </c:pt>
                <c:pt idx="62">
                  <c:v>1.1080000000000001</c:v>
                </c:pt>
                <c:pt idx="63">
                  <c:v>1.109</c:v>
                </c:pt>
                <c:pt idx="64">
                  <c:v>1.101</c:v>
                </c:pt>
                <c:pt idx="65">
                  <c:v>1.103</c:v>
                </c:pt>
                <c:pt idx="66">
                  <c:v>1.1040000000000001</c:v>
                </c:pt>
                <c:pt idx="67">
                  <c:v>1.1060000000000001</c:v>
                </c:pt>
                <c:pt idx="68">
                  <c:v>1.109</c:v>
                </c:pt>
                <c:pt idx="69">
                  <c:v>1.115</c:v>
                </c:pt>
                <c:pt idx="70">
                  <c:v>1.1180000000000001</c:v>
                </c:pt>
                <c:pt idx="71">
                  <c:v>1.123</c:v>
                </c:pt>
                <c:pt idx="72">
                  <c:v>1.1240000000000001</c:v>
                </c:pt>
                <c:pt idx="73">
                  <c:v>1.1160000000000001</c:v>
                </c:pt>
                <c:pt idx="74">
                  <c:v>1.111</c:v>
                </c:pt>
                <c:pt idx="75">
                  <c:v>1.1160000000000001</c:v>
                </c:pt>
                <c:pt idx="76">
                  <c:v>1.1220000000000001</c:v>
                </c:pt>
                <c:pt idx="77">
                  <c:v>1.1180000000000001</c:v>
                </c:pt>
                <c:pt idx="78">
                  <c:v>1.1160000000000001</c:v>
                </c:pt>
                <c:pt idx="79">
                  <c:v>1.117</c:v>
                </c:pt>
                <c:pt idx="80">
                  <c:v>1.1120000000000001</c:v>
                </c:pt>
                <c:pt idx="81">
                  <c:v>1.1160000000000001</c:v>
                </c:pt>
                <c:pt idx="82">
                  <c:v>1.115</c:v>
                </c:pt>
                <c:pt idx="83">
                  <c:v>1.119</c:v>
                </c:pt>
                <c:pt idx="84">
                  <c:v>1.1200000000000001</c:v>
                </c:pt>
                <c:pt idx="85">
                  <c:v>1.121</c:v>
                </c:pt>
                <c:pt idx="86">
                  <c:v>1.1240000000000001</c:v>
                </c:pt>
                <c:pt idx="87">
                  <c:v>1.123</c:v>
                </c:pt>
                <c:pt idx="88">
                  <c:v>1.119</c:v>
                </c:pt>
                <c:pt idx="89">
                  <c:v>1.115</c:v>
                </c:pt>
                <c:pt idx="90">
                  <c:v>1.1200000000000001</c:v>
                </c:pt>
                <c:pt idx="91">
                  <c:v>1.1220000000000001</c:v>
                </c:pt>
                <c:pt idx="92">
                  <c:v>1.119</c:v>
                </c:pt>
                <c:pt idx="93">
                  <c:v>1.117</c:v>
                </c:pt>
                <c:pt idx="94">
                  <c:v>1.1220000000000001</c:v>
                </c:pt>
                <c:pt idx="95">
                  <c:v>1.119</c:v>
                </c:pt>
                <c:pt idx="96">
                  <c:v>1.123</c:v>
                </c:pt>
                <c:pt idx="97">
                  <c:v>1.1279999999999999</c:v>
                </c:pt>
                <c:pt idx="98">
                  <c:v>1.1259999999999999</c:v>
                </c:pt>
                <c:pt idx="99">
                  <c:v>1.1259999999999999</c:v>
                </c:pt>
                <c:pt idx="100">
                  <c:v>1.131</c:v>
                </c:pt>
                <c:pt idx="101">
                  <c:v>1.1259999999999999</c:v>
                </c:pt>
                <c:pt idx="102">
                  <c:v>1.129</c:v>
                </c:pt>
                <c:pt idx="103">
                  <c:v>1.127</c:v>
                </c:pt>
                <c:pt idx="104">
                  <c:v>1.1279999999999999</c:v>
                </c:pt>
                <c:pt idx="105">
                  <c:v>1.1279999999999999</c:v>
                </c:pt>
                <c:pt idx="106">
                  <c:v>1.1279999999999999</c:v>
                </c:pt>
                <c:pt idx="107">
                  <c:v>1.1279999999999999</c:v>
                </c:pt>
                <c:pt idx="108">
                  <c:v>1.127</c:v>
                </c:pt>
                <c:pt idx="109">
                  <c:v>1.1259999999999999</c:v>
                </c:pt>
                <c:pt idx="110">
                  <c:v>1.1259999999999999</c:v>
                </c:pt>
                <c:pt idx="111">
                  <c:v>1.1279999999999999</c:v>
                </c:pt>
                <c:pt idx="112">
                  <c:v>1.127</c:v>
                </c:pt>
                <c:pt idx="113">
                  <c:v>1.1259999999999999</c:v>
                </c:pt>
                <c:pt idx="114">
                  <c:v>1.1279999999999999</c:v>
                </c:pt>
                <c:pt idx="115">
                  <c:v>1.1279999999999999</c:v>
                </c:pt>
                <c:pt idx="116">
                  <c:v>1.1319999999999999</c:v>
                </c:pt>
                <c:pt idx="117">
                  <c:v>1.1279999999999999</c:v>
                </c:pt>
                <c:pt idx="118">
                  <c:v>1.129</c:v>
                </c:pt>
                <c:pt idx="119">
                  <c:v>1.1259999999999999</c:v>
                </c:pt>
                <c:pt idx="120">
                  <c:v>1.121</c:v>
                </c:pt>
                <c:pt idx="121">
                  <c:v>1.1259999999999999</c:v>
                </c:pt>
                <c:pt idx="122">
                  <c:v>1.131</c:v>
                </c:pt>
                <c:pt idx="123">
                  <c:v>1.1319999999999999</c:v>
                </c:pt>
                <c:pt idx="124">
                  <c:v>1.131</c:v>
                </c:pt>
                <c:pt idx="125">
                  <c:v>1.1319999999999999</c:v>
                </c:pt>
                <c:pt idx="126">
                  <c:v>1.1279999999999999</c:v>
                </c:pt>
                <c:pt idx="127">
                  <c:v>1.1299999999999999</c:v>
                </c:pt>
                <c:pt idx="128">
                  <c:v>1.1279999999999999</c:v>
                </c:pt>
                <c:pt idx="129">
                  <c:v>1.125</c:v>
                </c:pt>
                <c:pt idx="130">
                  <c:v>1.1220000000000001</c:v>
                </c:pt>
                <c:pt idx="131">
                  <c:v>1.133</c:v>
                </c:pt>
                <c:pt idx="132">
                  <c:v>1.1299999999999999</c:v>
                </c:pt>
                <c:pt idx="133">
                  <c:v>1.1299999999999999</c:v>
                </c:pt>
                <c:pt idx="134">
                  <c:v>1.127</c:v>
                </c:pt>
                <c:pt idx="135">
                  <c:v>1.125</c:v>
                </c:pt>
                <c:pt idx="136">
                  <c:v>1.1279999999999999</c:v>
                </c:pt>
                <c:pt idx="137">
                  <c:v>1.129</c:v>
                </c:pt>
                <c:pt idx="138">
                  <c:v>1.1299999999999999</c:v>
                </c:pt>
                <c:pt idx="139">
                  <c:v>1.133</c:v>
                </c:pt>
                <c:pt idx="140">
                  <c:v>1.1339999999999999</c:v>
                </c:pt>
                <c:pt idx="141">
                  <c:v>1.1339999999999999</c:v>
                </c:pt>
                <c:pt idx="142">
                  <c:v>1.139</c:v>
                </c:pt>
                <c:pt idx="143">
                  <c:v>1.135</c:v>
                </c:pt>
                <c:pt idx="144">
                  <c:v>1.131</c:v>
                </c:pt>
                <c:pt idx="145">
                  <c:v>1.133</c:v>
                </c:pt>
                <c:pt idx="146">
                  <c:v>1.1319999999999999</c:v>
                </c:pt>
                <c:pt idx="147">
                  <c:v>1.1279999999999999</c:v>
                </c:pt>
                <c:pt idx="148">
                  <c:v>1.1259999999999999</c:v>
                </c:pt>
                <c:pt idx="149">
                  <c:v>1.1319999999999999</c:v>
                </c:pt>
                <c:pt idx="150">
                  <c:v>1.131</c:v>
                </c:pt>
                <c:pt idx="151">
                  <c:v>1.1279999999999999</c:v>
                </c:pt>
                <c:pt idx="152">
                  <c:v>1.125</c:v>
                </c:pt>
                <c:pt idx="153">
                  <c:v>1.121</c:v>
                </c:pt>
                <c:pt idx="154">
                  <c:v>1.125</c:v>
                </c:pt>
                <c:pt idx="155">
                  <c:v>1.1279999999999999</c:v>
                </c:pt>
                <c:pt idx="156">
                  <c:v>1.129</c:v>
                </c:pt>
                <c:pt idx="157">
                  <c:v>1.1240000000000001</c:v>
                </c:pt>
                <c:pt idx="158">
                  <c:v>1.121</c:v>
                </c:pt>
                <c:pt idx="159">
                  <c:v>1.1220000000000001</c:v>
                </c:pt>
                <c:pt idx="160">
                  <c:v>1.1160000000000001</c:v>
                </c:pt>
                <c:pt idx="161">
                  <c:v>1.1140000000000001</c:v>
                </c:pt>
                <c:pt idx="162">
                  <c:v>1.1200000000000001</c:v>
                </c:pt>
                <c:pt idx="163">
                  <c:v>1.121</c:v>
                </c:pt>
                <c:pt idx="164">
                  <c:v>1.1180000000000001</c:v>
                </c:pt>
                <c:pt idx="165">
                  <c:v>1.125</c:v>
                </c:pt>
                <c:pt idx="166">
                  <c:v>1.1259999999999999</c:v>
                </c:pt>
                <c:pt idx="167">
                  <c:v>1.1259999999999999</c:v>
                </c:pt>
                <c:pt idx="168">
                  <c:v>1.1319999999999999</c:v>
                </c:pt>
                <c:pt idx="169">
                  <c:v>1.137</c:v>
                </c:pt>
                <c:pt idx="170">
                  <c:v>1.1299999999999999</c:v>
                </c:pt>
                <c:pt idx="171">
                  <c:v>1.1339999999999999</c:v>
                </c:pt>
                <c:pt idx="172">
                  <c:v>1.1479999999999999</c:v>
                </c:pt>
                <c:pt idx="173">
                  <c:v>1.1439999999999999</c:v>
                </c:pt>
                <c:pt idx="174">
                  <c:v>1.1379999999999999</c:v>
                </c:pt>
                <c:pt idx="175">
                  <c:v>1.1419999999999999</c:v>
                </c:pt>
                <c:pt idx="176">
                  <c:v>1.1419999999999999</c:v>
                </c:pt>
                <c:pt idx="177">
                  <c:v>1.149</c:v>
                </c:pt>
                <c:pt idx="178">
                  <c:v>1.1499999999999999</c:v>
                </c:pt>
                <c:pt idx="179">
                  <c:v>1.155</c:v>
                </c:pt>
                <c:pt idx="180">
                  <c:v>1.1619999999999999</c:v>
                </c:pt>
                <c:pt idx="181">
                  <c:v>1.161</c:v>
                </c:pt>
                <c:pt idx="182">
                  <c:v>1.1619999999999999</c:v>
                </c:pt>
                <c:pt idx="183">
                  <c:v>1.1539999999999999</c:v>
                </c:pt>
                <c:pt idx="184">
                  <c:v>1.157</c:v>
                </c:pt>
                <c:pt idx="185">
                  <c:v>1.157</c:v>
                </c:pt>
                <c:pt idx="186">
                  <c:v>1.163</c:v>
                </c:pt>
                <c:pt idx="187">
                  <c:v>1.1539999999999999</c:v>
                </c:pt>
                <c:pt idx="188">
                  <c:v>1.1579999999999999</c:v>
                </c:pt>
                <c:pt idx="189">
                  <c:v>1.157</c:v>
                </c:pt>
                <c:pt idx="190">
                  <c:v>1.1579999999999999</c:v>
                </c:pt>
                <c:pt idx="191">
                  <c:v>1.1559999999999999</c:v>
                </c:pt>
                <c:pt idx="192">
                  <c:v>1.161</c:v>
                </c:pt>
                <c:pt idx="193">
                  <c:v>1.1599999999999999</c:v>
                </c:pt>
                <c:pt idx="194">
                  <c:v>1.165</c:v>
                </c:pt>
                <c:pt idx="195">
                  <c:v>1.1619999999999999</c:v>
                </c:pt>
                <c:pt idx="196">
                  <c:v>1.159</c:v>
                </c:pt>
                <c:pt idx="197">
                  <c:v>1.1619999999999999</c:v>
                </c:pt>
                <c:pt idx="198">
                  <c:v>1.1719999999999999</c:v>
                </c:pt>
                <c:pt idx="199">
                  <c:v>1.173</c:v>
                </c:pt>
                <c:pt idx="200">
                  <c:v>1.1759999999999999</c:v>
                </c:pt>
                <c:pt idx="201">
                  <c:v>1.169</c:v>
                </c:pt>
                <c:pt idx="202">
                  <c:v>1.17</c:v>
                </c:pt>
                <c:pt idx="203">
                  <c:v>1.175</c:v>
                </c:pt>
                <c:pt idx="204">
                  <c:v>1.1739999999999999</c:v>
                </c:pt>
                <c:pt idx="205">
                  <c:v>1.177</c:v>
                </c:pt>
                <c:pt idx="206">
                  <c:v>1.18</c:v>
                </c:pt>
                <c:pt idx="207">
                  <c:v>1.18</c:v>
                </c:pt>
                <c:pt idx="208">
                  <c:v>1.175</c:v>
                </c:pt>
                <c:pt idx="209">
                  <c:v>1.175</c:v>
                </c:pt>
                <c:pt idx="210">
                  <c:v>1.17</c:v>
                </c:pt>
                <c:pt idx="211">
                  <c:v>1.17</c:v>
                </c:pt>
                <c:pt idx="212">
                  <c:v>1.167</c:v>
                </c:pt>
                <c:pt idx="213">
                  <c:v>1.17</c:v>
                </c:pt>
                <c:pt idx="214">
                  <c:v>1.169</c:v>
                </c:pt>
                <c:pt idx="215">
                  <c:v>1.1759999999999999</c:v>
                </c:pt>
                <c:pt idx="216">
                  <c:v>1.1779999999999999</c:v>
                </c:pt>
                <c:pt idx="217">
                  <c:v>1.1779999999999999</c:v>
                </c:pt>
                <c:pt idx="218">
                  <c:v>1.17</c:v>
                </c:pt>
                <c:pt idx="219">
                  <c:v>1.169</c:v>
                </c:pt>
                <c:pt idx="220">
                  <c:v>1.1679999999999999</c:v>
                </c:pt>
                <c:pt idx="221">
                  <c:v>1.1719999999999999</c:v>
                </c:pt>
                <c:pt idx="222">
                  <c:v>1.1659999999999999</c:v>
                </c:pt>
                <c:pt idx="223">
                  <c:v>1.17</c:v>
                </c:pt>
                <c:pt idx="224">
                  <c:v>1.17</c:v>
                </c:pt>
                <c:pt idx="225">
                  <c:v>1.173</c:v>
                </c:pt>
                <c:pt idx="226">
                  <c:v>1.167</c:v>
                </c:pt>
                <c:pt idx="227">
                  <c:v>1.167</c:v>
                </c:pt>
                <c:pt idx="228">
                  <c:v>1.159</c:v>
                </c:pt>
                <c:pt idx="229">
                  <c:v>1.1619999999999999</c:v>
                </c:pt>
                <c:pt idx="230">
                  <c:v>1.1619999999999999</c:v>
                </c:pt>
                <c:pt idx="231">
                  <c:v>1.161</c:v>
                </c:pt>
                <c:pt idx="232">
                  <c:v>1.1599999999999999</c:v>
                </c:pt>
                <c:pt idx="233">
                  <c:v>1.157</c:v>
                </c:pt>
                <c:pt idx="234">
                  <c:v>1.155</c:v>
                </c:pt>
                <c:pt idx="235">
                  <c:v>1.1519999999999999</c:v>
                </c:pt>
                <c:pt idx="236">
                  <c:v>1.1499999999999999</c:v>
                </c:pt>
                <c:pt idx="237">
                  <c:v>1.1499999999999999</c:v>
                </c:pt>
                <c:pt idx="238">
                  <c:v>1.147</c:v>
                </c:pt>
                <c:pt idx="239">
                  <c:v>1.147</c:v>
                </c:pt>
                <c:pt idx="240">
                  <c:v>1.1479999999999999</c:v>
                </c:pt>
                <c:pt idx="241">
                  <c:v>1.147</c:v>
                </c:pt>
                <c:pt idx="242">
                  <c:v>1.1419999999999999</c:v>
                </c:pt>
              </c:numCache>
            </c:numRef>
          </c:val>
          <c:smooth val="0"/>
          <c:extLst>
            <c:ext xmlns:c16="http://schemas.microsoft.com/office/drawing/2014/chart" uri="{C3380CC4-5D6E-409C-BE32-E72D297353CC}">
              <c16:uniqueId val="{00000000-BB27-4A66-9609-25DADF80CD47}"/>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06"/>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琅琊二号</a:t>
            </a:r>
            <a:endParaRPr lang="en-US" altLang="zh-CN" sz="1600"/>
          </a:p>
        </c:rich>
      </c:tx>
      <c:overlay val="0"/>
    </c:title>
    <c:autoTitleDeleted val="0"/>
    <c:plotArea>
      <c:layout/>
      <c:lineChart>
        <c:grouping val="standard"/>
        <c:varyColors val="0"/>
        <c:ser>
          <c:idx val="0"/>
          <c:order val="0"/>
          <c:tx>
            <c:strRef>
              <c:f>琅琊二号!$B$20</c:f>
              <c:strCache>
                <c:ptCount val="1"/>
                <c:pt idx="0">
                  <c:v>累计净值</c:v>
                </c:pt>
              </c:strCache>
            </c:strRef>
          </c:tx>
          <c:marker>
            <c:symbol val="none"/>
          </c:marker>
          <c:cat>
            <c:numRef>
              <c:f>琅琊二号!$A$21:$A$324</c:f>
              <c:numCache>
                <c:formatCode>m/d/yy</c:formatCode>
                <c:ptCount val="304"/>
                <c:pt idx="0">
                  <c:v>43878</c:v>
                </c:pt>
                <c:pt idx="1">
                  <c:v>43879</c:v>
                </c:pt>
                <c:pt idx="2">
                  <c:v>43880</c:v>
                </c:pt>
                <c:pt idx="3">
                  <c:v>43881</c:v>
                </c:pt>
                <c:pt idx="4">
                  <c:v>43882</c:v>
                </c:pt>
                <c:pt idx="5">
                  <c:v>43885</c:v>
                </c:pt>
                <c:pt idx="6">
                  <c:v>43886</c:v>
                </c:pt>
                <c:pt idx="7">
                  <c:v>43887</c:v>
                </c:pt>
                <c:pt idx="8">
                  <c:v>43888</c:v>
                </c:pt>
                <c:pt idx="9">
                  <c:v>43889</c:v>
                </c:pt>
                <c:pt idx="10">
                  <c:v>43892</c:v>
                </c:pt>
                <c:pt idx="11">
                  <c:v>43893</c:v>
                </c:pt>
                <c:pt idx="12">
                  <c:v>43894</c:v>
                </c:pt>
                <c:pt idx="13">
                  <c:v>43895</c:v>
                </c:pt>
                <c:pt idx="14">
                  <c:v>43896</c:v>
                </c:pt>
                <c:pt idx="15">
                  <c:v>43899</c:v>
                </c:pt>
                <c:pt idx="16">
                  <c:v>43900</c:v>
                </c:pt>
                <c:pt idx="17">
                  <c:v>43901</c:v>
                </c:pt>
                <c:pt idx="18">
                  <c:v>43902</c:v>
                </c:pt>
                <c:pt idx="19">
                  <c:v>43903</c:v>
                </c:pt>
                <c:pt idx="20">
                  <c:v>43906</c:v>
                </c:pt>
                <c:pt idx="21">
                  <c:v>43907</c:v>
                </c:pt>
                <c:pt idx="22">
                  <c:v>43908</c:v>
                </c:pt>
                <c:pt idx="23">
                  <c:v>43909</c:v>
                </c:pt>
                <c:pt idx="24">
                  <c:v>43910</c:v>
                </c:pt>
                <c:pt idx="25">
                  <c:v>43913</c:v>
                </c:pt>
                <c:pt idx="26">
                  <c:v>43914</c:v>
                </c:pt>
                <c:pt idx="27">
                  <c:v>43915</c:v>
                </c:pt>
                <c:pt idx="28">
                  <c:v>43916</c:v>
                </c:pt>
                <c:pt idx="29">
                  <c:v>43917</c:v>
                </c:pt>
                <c:pt idx="30">
                  <c:v>43920</c:v>
                </c:pt>
                <c:pt idx="31">
                  <c:v>43921</c:v>
                </c:pt>
                <c:pt idx="32">
                  <c:v>43922</c:v>
                </c:pt>
                <c:pt idx="33">
                  <c:v>43923</c:v>
                </c:pt>
                <c:pt idx="34">
                  <c:v>43924</c:v>
                </c:pt>
                <c:pt idx="35">
                  <c:v>43928</c:v>
                </c:pt>
                <c:pt idx="36">
                  <c:v>43929</c:v>
                </c:pt>
                <c:pt idx="37">
                  <c:v>43930</c:v>
                </c:pt>
                <c:pt idx="38">
                  <c:v>43931</c:v>
                </c:pt>
                <c:pt idx="39">
                  <c:v>43934</c:v>
                </c:pt>
                <c:pt idx="40">
                  <c:v>43935</c:v>
                </c:pt>
                <c:pt idx="41">
                  <c:v>43936</c:v>
                </c:pt>
                <c:pt idx="42">
                  <c:v>43937</c:v>
                </c:pt>
                <c:pt idx="43">
                  <c:v>43938</c:v>
                </c:pt>
                <c:pt idx="44">
                  <c:v>43941</c:v>
                </c:pt>
                <c:pt idx="45">
                  <c:v>43942</c:v>
                </c:pt>
                <c:pt idx="46">
                  <c:v>43943</c:v>
                </c:pt>
                <c:pt idx="47">
                  <c:v>43944</c:v>
                </c:pt>
                <c:pt idx="48">
                  <c:v>43945</c:v>
                </c:pt>
                <c:pt idx="49">
                  <c:v>43948</c:v>
                </c:pt>
                <c:pt idx="50">
                  <c:v>43949</c:v>
                </c:pt>
                <c:pt idx="51">
                  <c:v>43950</c:v>
                </c:pt>
                <c:pt idx="52">
                  <c:v>43951</c:v>
                </c:pt>
                <c:pt idx="53">
                  <c:v>43957</c:v>
                </c:pt>
                <c:pt idx="54">
                  <c:v>43958</c:v>
                </c:pt>
                <c:pt idx="55">
                  <c:v>43959</c:v>
                </c:pt>
                <c:pt idx="56">
                  <c:v>43962</c:v>
                </c:pt>
                <c:pt idx="57">
                  <c:v>43963</c:v>
                </c:pt>
                <c:pt idx="58">
                  <c:v>43964</c:v>
                </c:pt>
                <c:pt idx="59">
                  <c:v>43965</c:v>
                </c:pt>
                <c:pt idx="60">
                  <c:v>43966</c:v>
                </c:pt>
                <c:pt idx="61">
                  <c:v>43969</c:v>
                </c:pt>
                <c:pt idx="62">
                  <c:v>43970</c:v>
                </c:pt>
                <c:pt idx="63">
                  <c:v>43971</c:v>
                </c:pt>
                <c:pt idx="64">
                  <c:v>43972</c:v>
                </c:pt>
                <c:pt idx="65">
                  <c:v>43973</c:v>
                </c:pt>
                <c:pt idx="66">
                  <c:v>43976</c:v>
                </c:pt>
                <c:pt idx="67">
                  <c:v>43977</c:v>
                </c:pt>
                <c:pt idx="68">
                  <c:v>43978</c:v>
                </c:pt>
                <c:pt idx="69">
                  <c:v>43979</c:v>
                </c:pt>
                <c:pt idx="70">
                  <c:v>43980</c:v>
                </c:pt>
                <c:pt idx="71">
                  <c:v>43983</c:v>
                </c:pt>
                <c:pt idx="72">
                  <c:v>43984</c:v>
                </c:pt>
                <c:pt idx="73">
                  <c:v>43985</c:v>
                </c:pt>
                <c:pt idx="74">
                  <c:v>43986</c:v>
                </c:pt>
                <c:pt idx="75">
                  <c:v>43987</c:v>
                </c:pt>
                <c:pt idx="76">
                  <c:v>43990</c:v>
                </c:pt>
                <c:pt idx="77">
                  <c:v>43991</c:v>
                </c:pt>
                <c:pt idx="78">
                  <c:v>43992</c:v>
                </c:pt>
                <c:pt idx="79">
                  <c:v>43993</c:v>
                </c:pt>
                <c:pt idx="80">
                  <c:v>43994</c:v>
                </c:pt>
                <c:pt idx="81">
                  <c:v>43997</c:v>
                </c:pt>
                <c:pt idx="82">
                  <c:v>43998</c:v>
                </c:pt>
                <c:pt idx="83">
                  <c:v>43999</c:v>
                </c:pt>
                <c:pt idx="84">
                  <c:v>44000</c:v>
                </c:pt>
                <c:pt idx="85">
                  <c:v>44001</c:v>
                </c:pt>
                <c:pt idx="86">
                  <c:v>44004</c:v>
                </c:pt>
                <c:pt idx="87">
                  <c:v>44005</c:v>
                </c:pt>
                <c:pt idx="88">
                  <c:v>44006</c:v>
                </c:pt>
                <c:pt idx="89">
                  <c:v>44011</c:v>
                </c:pt>
                <c:pt idx="90">
                  <c:v>44012</c:v>
                </c:pt>
                <c:pt idx="91">
                  <c:v>44013</c:v>
                </c:pt>
                <c:pt idx="92">
                  <c:v>44014</c:v>
                </c:pt>
                <c:pt idx="93">
                  <c:v>44015</c:v>
                </c:pt>
                <c:pt idx="94">
                  <c:v>44018</c:v>
                </c:pt>
                <c:pt idx="95">
                  <c:v>44019</c:v>
                </c:pt>
                <c:pt idx="96">
                  <c:v>44020</c:v>
                </c:pt>
                <c:pt idx="97">
                  <c:v>44021</c:v>
                </c:pt>
                <c:pt idx="98">
                  <c:v>44022</c:v>
                </c:pt>
                <c:pt idx="99">
                  <c:v>44025</c:v>
                </c:pt>
                <c:pt idx="100">
                  <c:v>44026</c:v>
                </c:pt>
                <c:pt idx="101">
                  <c:v>44027</c:v>
                </c:pt>
                <c:pt idx="102">
                  <c:v>44028</c:v>
                </c:pt>
                <c:pt idx="103">
                  <c:v>44029</c:v>
                </c:pt>
                <c:pt idx="104">
                  <c:v>44032</c:v>
                </c:pt>
                <c:pt idx="105">
                  <c:v>44033</c:v>
                </c:pt>
                <c:pt idx="106">
                  <c:v>44034</c:v>
                </c:pt>
                <c:pt idx="107">
                  <c:v>44035</c:v>
                </c:pt>
                <c:pt idx="108">
                  <c:v>44036</c:v>
                </c:pt>
                <c:pt idx="109">
                  <c:v>44039</c:v>
                </c:pt>
                <c:pt idx="110">
                  <c:v>44040</c:v>
                </c:pt>
                <c:pt idx="111">
                  <c:v>44041</c:v>
                </c:pt>
                <c:pt idx="112">
                  <c:v>44042</c:v>
                </c:pt>
                <c:pt idx="113">
                  <c:v>44043</c:v>
                </c:pt>
                <c:pt idx="114">
                  <c:v>44046</c:v>
                </c:pt>
                <c:pt idx="115">
                  <c:v>44047</c:v>
                </c:pt>
                <c:pt idx="116">
                  <c:v>44048</c:v>
                </c:pt>
                <c:pt idx="117">
                  <c:v>44049</c:v>
                </c:pt>
                <c:pt idx="118">
                  <c:v>44050</c:v>
                </c:pt>
                <c:pt idx="119">
                  <c:v>44053</c:v>
                </c:pt>
                <c:pt idx="120">
                  <c:v>44054</c:v>
                </c:pt>
                <c:pt idx="121">
                  <c:v>44055</c:v>
                </c:pt>
                <c:pt idx="122">
                  <c:v>44056</c:v>
                </c:pt>
                <c:pt idx="123">
                  <c:v>44057</c:v>
                </c:pt>
                <c:pt idx="124">
                  <c:v>44060</c:v>
                </c:pt>
                <c:pt idx="125">
                  <c:v>44061</c:v>
                </c:pt>
                <c:pt idx="126">
                  <c:v>44062</c:v>
                </c:pt>
                <c:pt idx="127">
                  <c:v>44063</c:v>
                </c:pt>
                <c:pt idx="128">
                  <c:v>44064</c:v>
                </c:pt>
                <c:pt idx="129">
                  <c:v>44067</c:v>
                </c:pt>
                <c:pt idx="130">
                  <c:v>44068</c:v>
                </c:pt>
                <c:pt idx="131">
                  <c:v>44069</c:v>
                </c:pt>
                <c:pt idx="132">
                  <c:v>44070</c:v>
                </c:pt>
                <c:pt idx="133">
                  <c:v>44071</c:v>
                </c:pt>
                <c:pt idx="134">
                  <c:v>44074</c:v>
                </c:pt>
                <c:pt idx="135">
                  <c:v>44075</c:v>
                </c:pt>
                <c:pt idx="136">
                  <c:v>44076</c:v>
                </c:pt>
                <c:pt idx="137">
                  <c:v>44077</c:v>
                </c:pt>
                <c:pt idx="138">
                  <c:v>44078</c:v>
                </c:pt>
                <c:pt idx="139">
                  <c:v>44081</c:v>
                </c:pt>
                <c:pt idx="140">
                  <c:v>44082</c:v>
                </c:pt>
                <c:pt idx="141">
                  <c:v>44083</c:v>
                </c:pt>
                <c:pt idx="142">
                  <c:v>44084</c:v>
                </c:pt>
                <c:pt idx="143">
                  <c:v>44085</c:v>
                </c:pt>
                <c:pt idx="144">
                  <c:v>44088</c:v>
                </c:pt>
                <c:pt idx="145">
                  <c:v>44089</c:v>
                </c:pt>
                <c:pt idx="146">
                  <c:v>44090</c:v>
                </c:pt>
                <c:pt idx="147">
                  <c:v>44091</c:v>
                </c:pt>
                <c:pt idx="148">
                  <c:v>44092</c:v>
                </c:pt>
                <c:pt idx="149">
                  <c:v>44095</c:v>
                </c:pt>
                <c:pt idx="150">
                  <c:v>44096</c:v>
                </c:pt>
                <c:pt idx="151">
                  <c:v>44097</c:v>
                </c:pt>
                <c:pt idx="152">
                  <c:v>44098</c:v>
                </c:pt>
                <c:pt idx="153">
                  <c:v>44099</c:v>
                </c:pt>
                <c:pt idx="154">
                  <c:v>44102</c:v>
                </c:pt>
                <c:pt idx="155">
                  <c:v>44103</c:v>
                </c:pt>
                <c:pt idx="156">
                  <c:v>44104</c:v>
                </c:pt>
                <c:pt idx="157">
                  <c:v>44113</c:v>
                </c:pt>
                <c:pt idx="158">
                  <c:v>44116</c:v>
                </c:pt>
                <c:pt idx="159">
                  <c:v>44117</c:v>
                </c:pt>
                <c:pt idx="160">
                  <c:v>44118</c:v>
                </c:pt>
                <c:pt idx="161">
                  <c:v>44119</c:v>
                </c:pt>
                <c:pt idx="162">
                  <c:v>44120</c:v>
                </c:pt>
                <c:pt idx="163">
                  <c:v>44123</c:v>
                </c:pt>
                <c:pt idx="164">
                  <c:v>44124</c:v>
                </c:pt>
                <c:pt idx="165">
                  <c:v>44125</c:v>
                </c:pt>
                <c:pt idx="166">
                  <c:v>44126</c:v>
                </c:pt>
                <c:pt idx="167">
                  <c:v>44127</c:v>
                </c:pt>
                <c:pt idx="168">
                  <c:v>44130</c:v>
                </c:pt>
                <c:pt idx="169">
                  <c:v>44131</c:v>
                </c:pt>
                <c:pt idx="170">
                  <c:v>44132</c:v>
                </c:pt>
                <c:pt idx="171">
                  <c:v>44133</c:v>
                </c:pt>
                <c:pt idx="172">
                  <c:v>44134</c:v>
                </c:pt>
                <c:pt idx="173">
                  <c:v>44137</c:v>
                </c:pt>
                <c:pt idx="174">
                  <c:v>44138</c:v>
                </c:pt>
                <c:pt idx="175">
                  <c:v>44139</c:v>
                </c:pt>
                <c:pt idx="176">
                  <c:v>44140</c:v>
                </c:pt>
                <c:pt idx="177">
                  <c:v>44141</c:v>
                </c:pt>
                <c:pt idx="178">
                  <c:v>44144</c:v>
                </c:pt>
                <c:pt idx="179">
                  <c:v>44145</c:v>
                </c:pt>
                <c:pt idx="180">
                  <c:v>44146</c:v>
                </c:pt>
                <c:pt idx="181">
                  <c:v>44147</c:v>
                </c:pt>
                <c:pt idx="182">
                  <c:v>44148</c:v>
                </c:pt>
                <c:pt idx="183">
                  <c:v>44151</c:v>
                </c:pt>
                <c:pt idx="184">
                  <c:v>44152</c:v>
                </c:pt>
                <c:pt idx="185">
                  <c:v>44153</c:v>
                </c:pt>
                <c:pt idx="186">
                  <c:v>44154</c:v>
                </c:pt>
                <c:pt idx="187">
                  <c:v>44155</c:v>
                </c:pt>
                <c:pt idx="188">
                  <c:v>44158</c:v>
                </c:pt>
                <c:pt idx="189">
                  <c:v>44159</c:v>
                </c:pt>
                <c:pt idx="190">
                  <c:v>44160</c:v>
                </c:pt>
                <c:pt idx="191">
                  <c:v>44161</c:v>
                </c:pt>
                <c:pt idx="192">
                  <c:v>44162</c:v>
                </c:pt>
                <c:pt idx="193">
                  <c:v>44165</c:v>
                </c:pt>
                <c:pt idx="194">
                  <c:v>44166</c:v>
                </c:pt>
                <c:pt idx="195">
                  <c:v>44167</c:v>
                </c:pt>
                <c:pt idx="196">
                  <c:v>44168</c:v>
                </c:pt>
                <c:pt idx="197">
                  <c:v>44169</c:v>
                </c:pt>
                <c:pt idx="198">
                  <c:v>44172</c:v>
                </c:pt>
                <c:pt idx="199">
                  <c:v>44173</c:v>
                </c:pt>
                <c:pt idx="200">
                  <c:v>44174</c:v>
                </c:pt>
                <c:pt idx="201">
                  <c:v>44175</c:v>
                </c:pt>
                <c:pt idx="202">
                  <c:v>44176</c:v>
                </c:pt>
                <c:pt idx="203">
                  <c:v>44179</c:v>
                </c:pt>
                <c:pt idx="204">
                  <c:v>44180</c:v>
                </c:pt>
                <c:pt idx="205">
                  <c:v>44181</c:v>
                </c:pt>
                <c:pt idx="206">
                  <c:v>44182</c:v>
                </c:pt>
                <c:pt idx="207">
                  <c:v>44183</c:v>
                </c:pt>
                <c:pt idx="208">
                  <c:v>44186</c:v>
                </c:pt>
                <c:pt idx="209">
                  <c:v>44187</c:v>
                </c:pt>
                <c:pt idx="210">
                  <c:v>44188</c:v>
                </c:pt>
                <c:pt idx="211">
                  <c:v>44189</c:v>
                </c:pt>
                <c:pt idx="212">
                  <c:v>44190</c:v>
                </c:pt>
                <c:pt idx="213">
                  <c:v>44193</c:v>
                </c:pt>
                <c:pt idx="214">
                  <c:v>44194</c:v>
                </c:pt>
                <c:pt idx="215">
                  <c:v>44195</c:v>
                </c:pt>
                <c:pt idx="216">
                  <c:v>44196</c:v>
                </c:pt>
                <c:pt idx="217">
                  <c:v>44200</c:v>
                </c:pt>
                <c:pt idx="218">
                  <c:v>44201</c:v>
                </c:pt>
                <c:pt idx="219">
                  <c:v>44202</c:v>
                </c:pt>
                <c:pt idx="220">
                  <c:v>44203</c:v>
                </c:pt>
                <c:pt idx="221">
                  <c:v>44204</c:v>
                </c:pt>
                <c:pt idx="222">
                  <c:v>44207</c:v>
                </c:pt>
                <c:pt idx="223">
                  <c:v>44208</c:v>
                </c:pt>
                <c:pt idx="224">
                  <c:v>44209</c:v>
                </c:pt>
                <c:pt idx="225">
                  <c:v>44210</c:v>
                </c:pt>
                <c:pt idx="226">
                  <c:v>44211</c:v>
                </c:pt>
                <c:pt idx="227">
                  <c:v>44214</c:v>
                </c:pt>
                <c:pt idx="228">
                  <c:v>44215</c:v>
                </c:pt>
                <c:pt idx="229">
                  <c:v>44216</c:v>
                </c:pt>
                <c:pt idx="230">
                  <c:v>44217</c:v>
                </c:pt>
                <c:pt idx="231">
                  <c:v>44218</c:v>
                </c:pt>
                <c:pt idx="232">
                  <c:v>44221</c:v>
                </c:pt>
                <c:pt idx="233">
                  <c:v>44222</c:v>
                </c:pt>
                <c:pt idx="234">
                  <c:v>44223</c:v>
                </c:pt>
                <c:pt idx="235">
                  <c:v>44224</c:v>
                </c:pt>
                <c:pt idx="236">
                  <c:v>44225</c:v>
                </c:pt>
                <c:pt idx="237">
                  <c:v>44228</c:v>
                </c:pt>
                <c:pt idx="238">
                  <c:v>44229</c:v>
                </c:pt>
                <c:pt idx="239">
                  <c:v>44230</c:v>
                </c:pt>
                <c:pt idx="240">
                  <c:v>44231</c:v>
                </c:pt>
                <c:pt idx="241">
                  <c:v>44232</c:v>
                </c:pt>
                <c:pt idx="242">
                  <c:v>44235</c:v>
                </c:pt>
                <c:pt idx="243">
                  <c:v>44236</c:v>
                </c:pt>
                <c:pt idx="244">
                  <c:v>44237</c:v>
                </c:pt>
                <c:pt idx="245">
                  <c:v>44245</c:v>
                </c:pt>
                <c:pt idx="246">
                  <c:v>44246</c:v>
                </c:pt>
                <c:pt idx="247">
                  <c:v>44249</c:v>
                </c:pt>
                <c:pt idx="248">
                  <c:v>44250</c:v>
                </c:pt>
                <c:pt idx="249">
                  <c:v>44251</c:v>
                </c:pt>
                <c:pt idx="250">
                  <c:v>44252</c:v>
                </c:pt>
                <c:pt idx="251">
                  <c:v>44253</c:v>
                </c:pt>
                <c:pt idx="252">
                  <c:v>44256</c:v>
                </c:pt>
                <c:pt idx="253">
                  <c:v>44257</c:v>
                </c:pt>
                <c:pt idx="254">
                  <c:v>44258</c:v>
                </c:pt>
                <c:pt idx="255">
                  <c:v>44259</c:v>
                </c:pt>
                <c:pt idx="256">
                  <c:v>44260</c:v>
                </c:pt>
                <c:pt idx="257">
                  <c:v>44263</c:v>
                </c:pt>
                <c:pt idx="258">
                  <c:v>44264</c:v>
                </c:pt>
                <c:pt idx="259">
                  <c:v>44265</c:v>
                </c:pt>
                <c:pt idx="260">
                  <c:v>44266</c:v>
                </c:pt>
                <c:pt idx="261">
                  <c:v>44267</c:v>
                </c:pt>
                <c:pt idx="262">
                  <c:v>44270</c:v>
                </c:pt>
                <c:pt idx="263">
                  <c:v>44271</c:v>
                </c:pt>
                <c:pt idx="264">
                  <c:v>44272</c:v>
                </c:pt>
                <c:pt idx="265">
                  <c:v>44273</c:v>
                </c:pt>
                <c:pt idx="266">
                  <c:v>44274</c:v>
                </c:pt>
                <c:pt idx="267">
                  <c:v>44277</c:v>
                </c:pt>
                <c:pt idx="268">
                  <c:v>44278</c:v>
                </c:pt>
                <c:pt idx="269">
                  <c:v>44279</c:v>
                </c:pt>
                <c:pt idx="270">
                  <c:v>44280</c:v>
                </c:pt>
                <c:pt idx="271">
                  <c:v>44281</c:v>
                </c:pt>
                <c:pt idx="272">
                  <c:v>44284</c:v>
                </c:pt>
                <c:pt idx="273">
                  <c:v>44285</c:v>
                </c:pt>
                <c:pt idx="274">
                  <c:v>44286</c:v>
                </c:pt>
                <c:pt idx="275">
                  <c:v>44287</c:v>
                </c:pt>
                <c:pt idx="276">
                  <c:v>44288</c:v>
                </c:pt>
                <c:pt idx="277">
                  <c:v>44292</c:v>
                </c:pt>
                <c:pt idx="278">
                  <c:v>44293</c:v>
                </c:pt>
                <c:pt idx="279">
                  <c:v>44294</c:v>
                </c:pt>
                <c:pt idx="280">
                  <c:v>44295</c:v>
                </c:pt>
                <c:pt idx="281">
                  <c:v>44298</c:v>
                </c:pt>
                <c:pt idx="282">
                  <c:v>44299</c:v>
                </c:pt>
                <c:pt idx="283">
                  <c:v>44300</c:v>
                </c:pt>
                <c:pt idx="284">
                  <c:v>44301</c:v>
                </c:pt>
                <c:pt idx="285">
                  <c:v>44302</c:v>
                </c:pt>
                <c:pt idx="286">
                  <c:v>44305</c:v>
                </c:pt>
                <c:pt idx="287">
                  <c:v>44306</c:v>
                </c:pt>
                <c:pt idx="288">
                  <c:v>44307</c:v>
                </c:pt>
                <c:pt idx="289">
                  <c:v>44308</c:v>
                </c:pt>
                <c:pt idx="290">
                  <c:v>44309</c:v>
                </c:pt>
                <c:pt idx="291">
                  <c:v>44312</c:v>
                </c:pt>
                <c:pt idx="292">
                  <c:v>44313</c:v>
                </c:pt>
                <c:pt idx="293">
                  <c:v>44314</c:v>
                </c:pt>
                <c:pt idx="294">
                  <c:v>44315</c:v>
                </c:pt>
                <c:pt idx="295">
                  <c:v>44316</c:v>
                </c:pt>
                <c:pt idx="296">
                  <c:v>44322</c:v>
                </c:pt>
                <c:pt idx="297">
                  <c:v>44323</c:v>
                </c:pt>
                <c:pt idx="298">
                  <c:v>44326</c:v>
                </c:pt>
                <c:pt idx="299">
                  <c:v>44327</c:v>
                </c:pt>
                <c:pt idx="300">
                  <c:v>44328</c:v>
                </c:pt>
                <c:pt idx="301">
                  <c:v>44329</c:v>
                </c:pt>
                <c:pt idx="302">
                  <c:v>44330</c:v>
                </c:pt>
                <c:pt idx="303">
                  <c:v>44333</c:v>
                </c:pt>
              </c:numCache>
            </c:numRef>
          </c:cat>
          <c:val>
            <c:numRef>
              <c:f>琅琊二号!$B$21:$B$324</c:f>
              <c:numCache>
                <c:formatCode>0.0000_ </c:formatCode>
                <c:ptCount val="304"/>
                <c:pt idx="0">
                  <c:v>1.0029999999999999</c:v>
                </c:pt>
                <c:pt idx="1">
                  <c:v>1.004</c:v>
                </c:pt>
                <c:pt idx="2">
                  <c:v>1.004</c:v>
                </c:pt>
                <c:pt idx="3">
                  <c:v>1.0049999999999999</c:v>
                </c:pt>
                <c:pt idx="4">
                  <c:v>1.0069999999999999</c:v>
                </c:pt>
                <c:pt idx="5">
                  <c:v>1.006</c:v>
                </c:pt>
                <c:pt idx="6">
                  <c:v>1.008</c:v>
                </c:pt>
                <c:pt idx="7">
                  <c:v>1.008</c:v>
                </c:pt>
                <c:pt idx="8">
                  <c:v>1.008</c:v>
                </c:pt>
                <c:pt idx="9">
                  <c:v>1.01</c:v>
                </c:pt>
                <c:pt idx="10">
                  <c:v>1.0089999999999999</c:v>
                </c:pt>
                <c:pt idx="11">
                  <c:v>1.01</c:v>
                </c:pt>
                <c:pt idx="12">
                  <c:v>1.01</c:v>
                </c:pt>
                <c:pt idx="13">
                  <c:v>1.01</c:v>
                </c:pt>
                <c:pt idx="14">
                  <c:v>1.0109999999999999</c:v>
                </c:pt>
                <c:pt idx="15">
                  <c:v>1.012</c:v>
                </c:pt>
                <c:pt idx="16">
                  <c:v>1.01</c:v>
                </c:pt>
                <c:pt idx="17">
                  <c:v>1.014</c:v>
                </c:pt>
                <c:pt idx="18">
                  <c:v>1.014</c:v>
                </c:pt>
                <c:pt idx="19">
                  <c:v>1.016</c:v>
                </c:pt>
                <c:pt idx="20">
                  <c:v>1.0169999999999999</c:v>
                </c:pt>
                <c:pt idx="21">
                  <c:v>1.018</c:v>
                </c:pt>
                <c:pt idx="22">
                  <c:v>1.0189999999999999</c:v>
                </c:pt>
                <c:pt idx="23">
                  <c:v>1.0209999999999999</c:v>
                </c:pt>
                <c:pt idx="24">
                  <c:v>1.0209999999999999</c:v>
                </c:pt>
                <c:pt idx="25">
                  <c:v>1.0229999999999999</c:v>
                </c:pt>
                <c:pt idx="26">
                  <c:v>1.022</c:v>
                </c:pt>
                <c:pt idx="27">
                  <c:v>1.0229999999999999</c:v>
                </c:pt>
                <c:pt idx="28">
                  <c:v>1.0229999999999999</c:v>
                </c:pt>
                <c:pt idx="29">
                  <c:v>1.022</c:v>
                </c:pt>
                <c:pt idx="30">
                  <c:v>1.022</c:v>
                </c:pt>
                <c:pt idx="31">
                  <c:v>1.022</c:v>
                </c:pt>
                <c:pt idx="32">
                  <c:v>1.022</c:v>
                </c:pt>
                <c:pt idx="33">
                  <c:v>1.024</c:v>
                </c:pt>
                <c:pt idx="34">
                  <c:v>1.0229999999999999</c:v>
                </c:pt>
                <c:pt idx="35">
                  <c:v>1.0249999999999999</c:v>
                </c:pt>
                <c:pt idx="36">
                  <c:v>1.026</c:v>
                </c:pt>
                <c:pt idx="37">
                  <c:v>1.026</c:v>
                </c:pt>
                <c:pt idx="38">
                  <c:v>1.0269999999999999</c:v>
                </c:pt>
                <c:pt idx="39">
                  <c:v>1.0269999999999999</c:v>
                </c:pt>
                <c:pt idx="40">
                  <c:v>1.028</c:v>
                </c:pt>
                <c:pt idx="41">
                  <c:v>1.0289999999999999</c:v>
                </c:pt>
                <c:pt idx="42">
                  <c:v>1.03</c:v>
                </c:pt>
                <c:pt idx="43">
                  <c:v>1.03</c:v>
                </c:pt>
                <c:pt idx="44">
                  <c:v>1.0309999999999999</c:v>
                </c:pt>
                <c:pt idx="45">
                  <c:v>1.032</c:v>
                </c:pt>
                <c:pt idx="46">
                  <c:v>1.03</c:v>
                </c:pt>
                <c:pt idx="47">
                  <c:v>1.032</c:v>
                </c:pt>
                <c:pt idx="48">
                  <c:v>1.032</c:v>
                </c:pt>
                <c:pt idx="49">
                  <c:v>1.032</c:v>
                </c:pt>
                <c:pt idx="50">
                  <c:v>1.0329999999999999</c:v>
                </c:pt>
                <c:pt idx="51">
                  <c:v>1.0329999999999999</c:v>
                </c:pt>
                <c:pt idx="52">
                  <c:v>1.03</c:v>
                </c:pt>
                <c:pt idx="53">
                  <c:v>1.03</c:v>
                </c:pt>
                <c:pt idx="54">
                  <c:v>1.032</c:v>
                </c:pt>
                <c:pt idx="55">
                  <c:v>1.0329999999999999</c:v>
                </c:pt>
                <c:pt idx="56">
                  <c:v>1.0329999999999999</c:v>
                </c:pt>
                <c:pt idx="57">
                  <c:v>1.0349999999999999</c:v>
                </c:pt>
                <c:pt idx="58">
                  <c:v>1.0349999999999999</c:v>
                </c:pt>
                <c:pt idx="59">
                  <c:v>1.0349999999999999</c:v>
                </c:pt>
                <c:pt idx="60">
                  <c:v>1.032</c:v>
                </c:pt>
                <c:pt idx="61">
                  <c:v>1.0309999999999999</c:v>
                </c:pt>
                <c:pt idx="62">
                  <c:v>1.0329999999999999</c:v>
                </c:pt>
                <c:pt idx="63">
                  <c:v>1.0349999999999999</c:v>
                </c:pt>
                <c:pt idx="64">
                  <c:v>1.0329999999999999</c:v>
                </c:pt>
                <c:pt idx="65">
                  <c:v>1.03</c:v>
                </c:pt>
                <c:pt idx="66">
                  <c:v>1.0369999999999999</c:v>
                </c:pt>
                <c:pt idx="67">
                  <c:v>1.0369999999999999</c:v>
                </c:pt>
                <c:pt idx="68">
                  <c:v>1.0349999999999999</c:v>
                </c:pt>
                <c:pt idx="69">
                  <c:v>1.0329999999999999</c:v>
                </c:pt>
                <c:pt idx="70">
                  <c:v>1.0309999999999999</c:v>
                </c:pt>
                <c:pt idx="71">
                  <c:v>1.0349999999999999</c:v>
                </c:pt>
                <c:pt idx="72">
                  <c:v>1.0329999999999999</c:v>
                </c:pt>
                <c:pt idx="73">
                  <c:v>1.0349999999999999</c:v>
                </c:pt>
                <c:pt idx="74">
                  <c:v>1.0349999999999999</c:v>
                </c:pt>
                <c:pt idx="75">
                  <c:v>1.0349999999999999</c:v>
                </c:pt>
                <c:pt idx="76">
                  <c:v>1.0349999999999999</c:v>
                </c:pt>
                <c:pt idx="77">
                  <c:v>1.038</c:v>
                </c:pt>
                <c:pt idx="78">
                  <c:v>1.036</c:v>
                </c:pt>
                <c:pt idx="79">
                  <c:v>1.0369999999999999</c:v>
                </c:pt>
                <c:pt idx="80">
                  <c:v>1.0329999999999999</c:v>
                </c:pt>
                <c:pt idx="81">
                  <c:v>1.036</c:v>
                </c:pt>
                <c:pt idx="82">
                  <c:v>1.0409999999999999</c:v>
                </c:pt>
                <c:pt idx="83">
                  <c:v>1.0409999999999999</c:v>
                </c:pt>
                <c:pt idx="84">
                  <c:v>1.04</c:v>
                </c:pt>
                <c:pt idx="85">
                  <c:v>1.0369999999999999</c:v>
                </c:pt>
                <c:pt idx="86">
                  <c:v>1.0389999999999999</c:v>
                </c:pt>
                <c:pt idx="87">
                  <c:v>1.038</c:v>
                </c:pt>
                <c:pt idx="88">
                  <c:v>1.0389999999999999</c:v>
                </c:pt>
                <c:pt idx="89">
                  <c:v>1.038</c:v>
                </c:pt>
                <c:pt idx="90">
                  <c:v>1.0389999999999999</c:v>
                </c:pt>
                <c:pt idx="91">
                  <c:v>1.038</c:v>
                </c:pt>
                <c:pt idx="92">
                  <c:v>1.036</c:v>
                </c:pt>
                <c:pt idx="93">
                  <c:v>1.036</c:v>
                </c:pt>
                <c:pt idx="94">
                  <c:v>1.0409999999999999</c:v>
                </c:pt>
                <c:pt idx="95">
                  <c:v>1.048</c:v>
                </c:pt>
                <c:pt idx="96">
                  <c:v>1.0509999999999999</c:v>
                </c:pt>
                <c:pt idx="97">
                  <c:v>1.052</c:v>
                </c:pt>
                <c:pt idx="98">
                  <c:v>1.0549999999999999</c:v>
                </c:pt>
                <c:pt idx="99">
                  <c:v>1.056</c:v>
                </c:pt>
                <c:pt idx="100">
                  <c:v>1.0549999999999999</c:v>
                </c:pt>
                <c:pt idx="101">
                  <c:v>1.0549999999999999</c:v>
                </c:pt>
                <c:pt idx="102">
                  <c:v>1.0660000000000001</c:v>
                </c:pt>
                <c:pt idx="103">
                  <c:v>1.0680000000000001</c:v>
                </c:pt>
                <c:pt idx="104">
                  <c:v>1.07</c:v>
                </c:pt>
                <c:pt idx="105">
                  <c:v>1.071</c:v>
                </c:pt>
                <c:pt idx="106">
                  <c:v>1.071</c:v>
                </c:pt>
                <c:pt idx="107">
                  <c:v>1.0720000000000001</c:v>
                </c:pt>
                <c:pt idx="108">
                  <c:v>1.0720000000000001</c:v>
                </c:pt>
                <c:pt idx="109">
                  <c:v>1.075</c:v>
                </c:pt>
                <c:pt idx="110">
                  <c:v>1.073</c:v>
                </c:pt>
                <c:pt idx="111">
                  <c:v>1.073</c:v>
                </c:pt>
                <c:pt idx="112">
                  <c:v>1.073</c:v>
                </c:pt>
                <c:pt idx="113">
                  <c:v>1.075</c:v>
                </c:pt>
                <c:pt idx="114">
                  <c:v>1.0760000000000001</c:v>
                </c:pt>
                <c:pt idx="115">
                  <c:v>1.073</c:v>
                </c:pt>
                <c:pt idx="116">
                  <c:v>1.075</c:v>
                </c:pt>
                <c:pt idx="117">
                  <c:v>1.075</c:v>
                </c:pt>
                <c:pt idx="118">
                  <c:v>1.0740000000000001</c:v>
                </c:pt>
                <c:pt idx="119">
                  <c:v>1.0740000000000001</c:v>
                </c:pt>
                <c:pt idx="120">
                  <c:v>1.073</c:v>
                </c:pt>
                <c:pt idx="121">
                  <c:v>1.079</c:v>
                </c:pt>
                <c:pt idx="122">
                  <c:v>1.08</c:v>
                </c:pt>
                <c:pt idx="123">
                  <c:v>1.081</c:v>
                </c:pt>
                <c:pt idx="124">
                  <c:v>1.0740000000000001</c:v>
                </c:pt>
                <c:pt idx="125">
                  <c:v>1.069</c:v>
                </c:pt>
                <c:pt idx="126">
                  <c:v>1.0669999999999999</c:v>
                </c:pt>
                <c:pt idx="127">
                  <c:v>1.0669999999999999</c:v>
                </c:pt>
                <c:pt idx="128">
                  <c:v>1.0669999999999999</c:v>
                </c:pt>
                <c:pt idx="129">
                  <c:v>1.071</c:v>
                </c:pt>
                <c:pt idx="130">
                  <c:v>1.071</c:v>
                </c:pt>
                <c:pt idx="131">
                  <c:v>1.069</c:v>
                </c:pt>
                <c:pt idx="132">
                  <c:v>1.07</c:v>
                </c:pt>
                <c:pt idx="133">
                  <c:v>1.071</c:v>
                </c:pt>
                <c:pt idx="134">
                  <c:v>1.071</c:v>
                </c:pt>
                <c:pt idx="135">
                  <c:v>1.0720000000000001</c:v>
                </c:pt>
                <c:pt idx="136">
                  <c:v>1.071</c:v>
                </c:pt>
                <c:pt idx="137">
                  <c:v>1.0720000000000001</c:v>
                </c:pt>
                <c:pt idx="138">
                  <c:v>1.075</c:v>
                </c:pt>
                <c:pt idx="139">
                  <c:v>1.075</c:v>
                </c:pt>
                <c:pt idx="140">
                  <c:v>1.0740000000000001</c:v>
                </c:pt>
                <c:pt idx="141">
                  <c:v>1.0760000000000001</c:v>
                </c:pt>
                <c:pt idx="142">
                  <c:v>1.0740000000000001</c:v>
                </c:pt>
                <c:pt idx="143">
                  <c:v>1.077</c:v>
                </c:pt>
                <c:pt idx="144">
                  <c:v>1.0760000000000001</c:v>
                </c:pt>
                <c:pt idx="145">
                  <c:v>1.077</c:v>
                </c:pt>
                <c:pt idx="146">
                  <c:v>1.077</c:v>
                </c:pt>
                <c:pt idx="147">
                  <c:v>1.0780000000000001</c:v>
                </c:pt>
                <c:pt idx="148">
                  <c:v>1.0760000000000001</c:v>
                </c:pt>
                <c:pt idx="149">
                  <c:v>1.0780000000000001</c:v>
                </c:pt>
                <c:pt idx="150">
                  <c:v>1.0780000000000001</c:v>
                </c:pt>
                <c:pt idx="151">
                  <c:v>1.077</c:v>
                </c:pt>
                <c:pt idx="152">
                  <c:v>1.077</c:v>
                </c:pt>
                <c:pt idx="153">
                  <c:v>1.0760000000000001</c:v>
                </c:pt>
                <c:pt idx="154">
                  <c:v>1.075</c:v>
                </c:pt>
                <c:pt idx="155">
                  <c:v>1.0760000000000001</c:v>
                </c:pt>
                <c:pt idx="156">
                  <c:v>1.0760000000000001</c:v>
                </c:pt>
                <c:pt idx="157">
                  <c:v>1.077</c:v>
                </c:pt>
                <c:pt idx="158">
                  <c:v>1.079</c:v>
                </c:pt>
                <c:pt idx="159">
                  <c:v>1.079</c:v>
                </c:pt>
                <c:pt idx="160">
                  <c:v>1.0780000000000001</c:v>
                </c:pt>
                <c:pt idx="161">
                  <c:v>1.0820000000000001</c:v>
                </c:pt>
                <c:pt idx="162">
                  <c:v>1.08</c:v>
                </c:pt>
                <c:pt idx="163">
                  <c:v>1.08</c:v>
                </c:pt>
                <c:pt idx="164">
                  <c:v>1.081</c:v>
                </c:pt>
                <c:pt idx="165">
                  <c:v>1.081</c:v>
                </c:pt>
                <c:pt idx="166">
                  <c:v>1.083</c:v>
                </c:pt>
                <c:pt idx="167">
                  <c:v>1.0820000000000001</c:v>
                </c:pt>
                <c:pt idx="168">
                  <c:v>1.081</c:v>
                </c:pt>
                <c:pt idx="169">
                  <c:v>1.081</c:v>
                </c:pt>
                <c:pt idx="170">
                  <c:v>1.08</c:v>
                </c:pt>
                <c:pt idx="171">
                  <c:v>1.0820000000000001</c:v>
                </c:pt>
                <c:pt idx="172">
                  <c:v>1.081</c:v>
                </c:pt>
                <c:pt idx="173">
                  <c:v>1.0820000000000001</c:v>
                </c:pt>
                <c:pt idx="174">
                  <c:v>1.0820000000000001</c:v>
                </c:pt>
                <c:pt idx="175">
                  <c:v>1.0820000000000001</c:v>
                </c:pt>
                <c:pt idx="176">
                  <c:v>1.0840000000000001</c:v>
                </c:pt>
                <c:pt idx="177">
                  <c:v>1.0840000000000001</c:v>
                </c:pt>
                <c:pt idx="178">
                  <c:v>1.085</c:v>
                </c:pt>
                <c:pt idx="179">
                  <c:v>1.0900000000000001</c:v>
                </c:pt>
                <c:pt idx="180">
                  <c:v>1.0900000000000001</c:v>
                </c:pt>
                <c:pt idx="181">
                  <c:v>1.091</c:v>
                </c:pt>
                <c:pt idx="182">
                  <c:v>1.0920000000000001</c:v>
                </c:pt>
                <c:pt idx="183">
                  <c:v>1.093</c:v>
                </c:pt>
                <c:pt idx="184">
                  <c:v>1.097</c:v>
                </c:pt>
                <c:pt idx="185">
                  <c:v>1.097</c:v>
                </c:pt>
                <c:pt idx="186">
                  <c:v>1.097</c:v>
                </c:pt>
                <c:pt idx="187">
                  <c:v>1.097</c:v>
                </c:pt>
                <c:pt idx="188">
                  <c:v>1.095</c:v>
                </c:pt>
                <c:pt idx="189">
                  <c:v>1.0960000000000001</c:v>
                </c:pt>
                <c:pt idx="190">
                  <c:v>1.0900000000000001</c:v>
                </c:pt>
                <c:pt idx="191">
                  <c:v>1.097</c:v>
                </c:pt>
                <c:pt idx="192">
                  <c:v>1.0980000000000001</c:v>
                </c:pt>
                <c:pt idx="193">
                  <c:v>1.105</c:v>
                </c:pt>
                <c:pt idx="194">
                  <c:v>1.101</c:v>
                </c:pt>
                <c:pt idx="195">
                  <c:v>1.103</c:v>
                </c:pt>
                <c:pt idx="196">
                  <c:v>1.105</c:v>
                </c:pt>
                <c:pt idx="197">
                  <c:v>1.1020000000000001</c:v>
                </c:pt>
                <c:pt idx="198">
                  <c:v>1.101</c:v>
                </c:pt>
                <c:pt idx="199">
                  <c:v>1.103</c:v>
                </c:pt>
                <c:pt idx="200">
                  <c:v>1.103</c:v>
                </c:pt>
                <c:pt idx="201">
                  <c:v>1.1080000000000001</c:v>
                </c:pt>
                <c:pt idx="202">
                  <c:v>1.1120000000000001</c:v>
                </c:pt>
                <c:pt idx="203">
                  <c:v>1.1100000000000001</c:v>
                </c:pt>
                <c:pt idx="204">
                  <c:v>1.1140000000000001</c:v>
                </c:pt>
                <c:pt idx="205">
                  <c:v>1.1140000000000001</c:v>
                </c:pt>
                <c:pt idx="206">
                  <c:v>1.1120000000000001</c:v>
                </c:pt>
                <c:pt idx="207">
                  <c:v>1.1140000000000001</c:v>
                </c:pt>
                <c:pt idx="208">
                  <c:v>1.117</c:v>
                </c:pt>
                <c:pt idx="209">
                  <c:v>1.1240000000000001</c:v>
                </c:pt>
                <c:pt idx="210">
                  <c:v>1.1220000000000001</c:v>
                </c:pt>
                <c:pt idx="211">
                  <c:v>1.1220000000000001</c:v>
                </c:pt>
                <c:pt idx="212">
                  <c:v>1.123</c:v>
                </c:pt>
                <c:pt idx="213">
                  <c:v>1.123</c:v>
                </c:pt>
                <c:pt idx="214">
                  <c:v>1.1220000000000001</c:v>
                </c:pt>
                <c:pt idx="215">
                  <c:v>1.121</c:v>
                </c:pt>
                <c:pt idx="216">
                  <c:v>1.1220000000000001</c:v>
                </c:pt>
                <c:pt idx="217">
                  <c:v>1.1220000000000001</c:v>
                </c:pt>
                <c:pt idx="218">
                  <c:v>1.1220000000000001</c:v>
                </c:pt>
                <c:pt idx="219">
                  <c:v>1.1220000000000001</c:v>
                </c:pt>
                <c:pt idx="220">
                  <c:v>1.1220000000000001</c:v>
                </c:pt>
                <c:pt idx="221">
                  <c:v>1.121</c:v>
                </c:pt>
                <c:pt idx="222">
                  <c:v>1.127</c:v>
                </c:pt>
                <c:pt idx="223">
                  <c:v>1.1259999999999999</c:v>
                </c:pt>
                <c:pt idx="224">
                  <c:v>1.1240000000000001</c:v>
                </c:pt>
                <c:pt idx="225">
                  <c:v>1.125</c:v>
                </c:pt>
                <c:pt idx="226">
                  <c:v>1.127</c:v>
                </c:pt>
                <c:pt idx="227">
                  <c:v>1.1279999999999999</c:v>
                </c:pt>
                <c:pt idx="228">
                  <c:v>1.1299999999999999</c:v>
                </c:pt>
                <c:pt idx="229">
                  <c:v>1.131</c:v>
                </c:pt>
                <c:pt idx="230">
                  <c:v>1.1319999999999999</c:v>
                </c:pt>
                <c:pt idx="231">
                  <c:v>1.1299999999999999</c:v>
                </c:pt>
                <c:pt idx="232">
                  <c:v>1.1319999999999999</c:v>
                </c:pt>
                <c:pt idx="233">
                  <c:v>1.133</c:v>
                </c:pt>
                <c:pt idx="234">
                  <c:v>1.133</c:v>
                </c:pt>
                <c:pt idx="235">
                  <c:v>1.133</c:v>
                </c:pt>
                <c:pt idx="236">
                  <c:v>1.133</c:v>
                </c:pt>
                <c:pt idx="237">
                  <c:v>1.1339999999999999</c:v>
                </c:pt>
                <c:pt idx="238">
                  <c:v>1.133</c:v>
                </c:pt>
                <c:pt idx="239">
                  <c:v>1.1339999999999999</c:v>
                </c:pt>
                <c:pt idx="240">
                  <c:v>1.1339999999999999</c:v>
                </c:pt>
                <c:pt idx="241">
                  <c:v>1.133</c:v>
                </c:pt>
                <c:pt idx="242">
                  <c:v>1.1319999999999999</c:v>
                </c:pt>
                <c:pt idx="243">
                  <c:v>1.131</c:v>
                </c:pt>
                <c:pt idx="244">
                  <c:v>1.1299999999999999</c:v>
                </c:pt>
                <c:pt idx="245">
                  <c:v>1.1299999999999999</c:v>
                </c:pt>
                <c:pt idx="246">
                  <c:v>1.131</c:v>
                </c:pt>
                <c:pt idx="247">
                  <c:v>1.131</c:v>
                </c:pt>
                <c:pt idx="248">
                  <c:v>1.1339999999999999</c:v>
                </c:pt>
                <c:pt idx="249">
                  <c:v>1.1339999999999999</c:v>
                </c:pt>
                <c:pt idx="250">
                  <c:v>1.135</c:v>
                </c:pt>
                <c:pt idx="251">
                  <c:v>1.137</c:v>
                </c:pt>
                <c:pt idx="252">
                  <c:v>1.137</c:v>
                </c:pt>
                <c:pt idx="253">
                  <c:v>1.137</c:v>
                </c:pt>
                <c:pt idx="254">
                  <c:v>1.135</c:v>
                </c:pt>
                <c:pt idx="255">
                  <c:v>1.1379999999999999</c:v>
                </c:pt>
                <c:pt idx="256">
                  <c:v>1.135</c:v>
                </c:pt>
                <c:pt idx="257">
                  <c:v>1.139</c:v>
                </c:pt>
                <c:pt idx="258">
                  <c:v>1.1419999999999999</c:v>
                </c:pt>
                <c:pt idx="259">
                  <c:v>1.143</c:v>
                </c:pt>
                <c:pt idx="260">
                  <c:v>1.1419999999999999</c:v>
                </c:pt>
                <c:pt idx="261">
                  <c:v>1.1439999999999999</c:v>
                </c:pt>
                <c:pt idx="262">
                  <c:v>1.149</c:v>
                </c:pt>
                <c:pt idx="263">
                  <c:v>1.147</c:v>
                </c:pt>
                <c:pt idx="264">
                  <c:v>1.1479999999999999</c:v>
                </c:pt>
                <c:pt idx="265">
                  <c:v>1.149</c:v>
                </c:pt>
                <c:pt idx="266">
                  <c:v>1.153</c:v>
                </c:pt>
                <c:pt idx="267">
                  <c:v>1.1499999999999999</c:v>
                </c:pt>
                <c:pt idx="268">
                  <c:v>1.1499999999999999</c:v>
                </c:pt>
                <c:pt idx="269">
                  <c:v>1.1479999999999999</c:v>
                </c:pt>
                <c:pt idx="270">
                  <c:v>1.151</c:v>
                </c:pt>
                <c:pt idx="271">
                  <c:v>1.151</c:v>
                </c:pt>
                <c:pt idx="272">
                  <c:v>1.1519999999999999</c:v>
                </c:pt>
                <c:pt idx="273">
                  <c:v>1.155</c:v>
                </c:pt>
                <c:pt idx="274">
                  <c:v>1.1539999999999999</c:v>
                </c:pt>
                <c:pt idx="275">
                  <c:v>1.157</c:v>
                </c:pt>
                <c:pt idx="276">
                  <c:v>1.157</c:v>
                </c:pt>
                <c:pt idx="277">
                  <c:v>1.157</c:v>
                </c:pt>
                <c:pt idx="278">
                  <c:v>1.1559999999999999</c:v>
                </c:pt>
                <c:pt idx="279">
                  <c:v>1.1559999999999999</c:v>
                </c:pt>
                <c:pt idx="280">
                  <c:v>1.1559999999999999</c:v>
                </c:pt>
                <c:pt idx="281">
                  <c:v>1.155</c:v>
                </c:pt>
                <c:pt idx="282">
                  <c:v>1.1559999999999999</c:v>
                </c:pt>
                <c:pt idx="283">
                  <c:v>1.157</c:v>
                </c:pt>
                <c:pt idx="284">
                  <c:v>1.1579999999999999</c:v>
                </c:pt>
                <c:pt idx="285">
                  <c:v>1.159</c:v>
                </c:pt>
                <c:pt idx="286">
                  <c:v>1.165</c:v>
                </c:pt>
                <c:pt idx="287">
                  <c:v>1.165</c:v>
                </c:pt>
                <c:pt idx="288">
                  <c:v>1.163</c:v>
                </c:pt>
                <c:pt idx="289">
                  <c:v>1.1659999999999999</c:v>
                </c:pt>
                <c:pt idx="290">
                  <c:v>1.165</c:v>
                </c:pt>
                <c:pt idx="291">
                  <c:v>1.167</c:v>
                </c:pt>
                <c:pt idx="292">
                  <c:v>1.1659999999999999</c:v>
                </c:pt>
                <c:pt idx="293">
                  <c:v>1.1659999999999999</c:v>
                </c:pt>
                <c:pt idx="294">
                  <c:v>1.1659999999999999</c:v>
                </c:pt>
                <c:pt idx="295">
                  <c:v>1.1639999999999999</c:v>
                </c:pt>
                <c:pt idx="296">
                  <c:v>1.163</c:v>
                </c:pt>
                <c:pt idx="297">
                  <c:v>1.165</c:v>
                </c:pt>
                <c:pt idx="298">
                  <c:v>1.165</c:v>
                </c:pt>
                <c:pt idx="299">
                  <c:v>1.1659999999999999</c:v>
                </c:pt>
                <c:pt idx="300">
                  <c:v>1.1679999999999999</c:v>
                </c:pt>
                <c:pt idx="301">
                  <c:v>1.1679999999999999</c:v>
                </c:pt>
                <c:pt idx="302">
                  <c:v>1.17</c:v>
                </c:pt>
                <c:pt idx="303">
                  <c:v>1.17</c:v>
                </c:pt>
              </c:numCache>
            </c:numRef>
          </c:val>
          <c:smooth val="0"/>
          <c:extLst>
            <c:ext xmlns:c16="http://schemas.microsoft.com/office/drawing/2014/chart" uri="{C3380CC4-5D6E-409C-BE32-E72D297353CC}">
              <c16:uniqueId val="{00000000-DC6D-430E-9173-B351145FB3D7}"/>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海纳一号</a:t>
            </a:r>
            <a:endParaRPr lang="en-US" altLang="zh-CN" sz="1600"/>
          </a:p>
        </c:rich>
      </c:tx>
      <c:overlay val="0"/>
    </c:title>
    <c:autoTitleDeleted val="0"/>
    <c:plotArea>
      <c:layout/>
      <c:lineChart>
        <c:grouping val="standard"/>
        <c:varyColors val="0"/>
        <c:ser>
          <c:idx val="0"/>
          <c:order val="0"/>
          <c:tx>
            <c:strRef>
              <c:f>海纳一号!$B$20</c:f>
              <c:strCache>
                <c:ptCount val="1"/>
                <c:pt idx="0">
                  <c:v>累计净值</c:v>
                </c:pt>
              </c:strCache>
            </c:strRef>
          </c:tx>
          <c:marker>
            <c:symbol val="none"/>
          </c:marker>
          <c:cat>
            <c:numRef>
              <c:f>海纳一号!$A$21:$A$340</c:f>
              <c:numCache>
                <c:formatCode>m/d/yy</c:formatCode>
                <c:ptCount val="320"/>
                <c:pt idx="0">
                  <c:v>43846</c:v>
                </c:pt>
                <c:pt idx="1">
                  <c:v>43847</c:v>
                </c:pt>
                <c:pt idx="2">
                  <c:v>43850</c:v>
                </c:pt>
                <c:pt idx="3">
                  <c:v>43851</c:v>
                </c:pt>
                <c:pt idx="4">
                  <c:v>43852</c:v>
                </c:pt>
                <c:pt idx="5">
                  <c:v>43853</c:v>
                </c:pt>
                <c:pt idx="6">
                  <c:v>43864</c:v>
                </c:pt>
                <c:pt idx="7">
                  <c:v>43865</c:v>
                </c:pt>
                <c:pt idx="8">
                  <c:v>43866</c:v>
                </c:pt>
                <c:pt idx="9">
                  <c:v>43867</c:v>
                </c:pt>
                <c:pt idx="10">
                  <c:v>43868</c:v>
                </c:pt>
                <c:pt idx="11">
                  <c:v>43871</c:v>
                </c:pt>
                <c:pt idx="12">
                  <c:v>43872</c:v>
                </c:pt>
                <c:pt idx="13">
                  <c:v>43873</c:v>
                </c:pt>
                <c:pt idx="14">
                  <c:v>43874</c:v>
                </c:pt>
                <c:pt idx="15">
                  <c:v>43875</c:v>
                </c:pt>
                <c:pt idx="16">
                  <c:v>43878</c:v>
                </c:pt>
                <c:pt idx="17">
                  <c:v>43879</c:v>
                </c:pt>
                <c:pt idx="18">
                  <c:v>43880</c:v>
                </c:pt>
                <c:pt idx="19">
                  <c:v>43881</c:v>
                </c:pt>
                <c:pt idx="20">
                  <c:v>43882</c:v>
                </c:pt>
                <c:pt idx="21">
                  <c:v>43885</c:v>
                </c:pt>
                <c:pt idx="22">
                  <c:v>43886</c:v>
                </c:pt>
                <c:pt idx="23">
                  <c:v>43887</c:v>
                </c:pt>
                <c:pt idx="24">
                  <c:v>43888</c:v>
                </c:pt>
                <c:pt idx="25">
                  <c:v>43889</c:v>
                </c:pt>
                <c:pt idx="26">
                  <c:v>43892</c:v>
                </c:pt>
                <c:pt idx="27">
                  <c:v>43893</c:v>
                </c:pt>
                <c:pt idx="28">
                  <c:v>43894</c:v>
                </c:pt>
                <c:pt idx="29">
                  <c:v>43895</c:v>
                </c:pt>
                <c:pt idx="30">
                  <c:v>43896</c:v>
                </c:pt>
                <c:pt idx="31">
                  <c:v>43899</c:v>
                </c:pt>
                <c:pt idx="32">
                  <c:v>43900</c:v>
                </c:pt>
                <c:pt idx="33">
                  <c:v>43901</c:v>
                </c:pt>
                <c:pt idx="34">
                  <c:v>43902</c:v>
                </c:pt>
                <c:pt idx="35">
                  <c:v>43903</c:v>
                </c:pt>
                <c:pt idx="36">
                  <c:v>43906</c:v>
                </c:pt>
                <c:pt idx="37">
                  <c:v>43907</c:v>
                </c:pt>
                <c:pt idx="38">
                  <c:v>43908</c:v>
                </c:pt>
                <c:pt idx="39">
                  <c:v>43909</c:v>
                </c:pt>
                <c:pt idx="40">
                  <c:v>43910</c:v>
                </c:pt>
                <c:pt idx="41">
                  <c:v>43913</c:v>
                </c:pt>
                <c:pt idx="42">
                  <c:v>43914</c:v>
                </c:pt>
                <c:pt idx="43">
                  <c:v>43915</c:v>
                </c:pt>
                <c:pt idx="44">
                  <c:v>43916</c:v>
                </c:pt>
                <c:pt idx="45">
                  <c:v>43917</c:v>
                </c:pt>
                <c:pt idx="46">
                  <c:v>43920</c:v>
                </c:pt>
                <c:pt idx="47">
                  <c:v>43921</c:v>
                </c:pt>
                <c:pt idx="48">
                  <c:v>43922</c:v>
                </c:pt>
                <c:pt idx="49">
                  <c:v>43923</c:v>
                </c:pt>
                <c:pt idx="50">
                  <c:v>43924</c:v>
                </c:pt>
                <c:pt idx="51">
                  <c:v>43928</c:v>
                </c:pt>
                <c:pt idx="52">
                  <c:v>43929</c:v>
                </c:pt>
                <c:pt idx="53">
                  <c:v>43930</c:v>
                </c:pt>
                <c:pt idx="54">
                  <c:v>43931</c:v>
                </c:pt>
                <c:pt idx="55">
                  <c:v>43934</c:v>
                </c:pt>
                <c:pt idx="56">
                  <c:v>43935</c:v>
                </c:pt>
                <c:pt idx="57">
                  <c:v>43936</c:v>
                </c:pt>
                <c:pt idx="58">
                  <c:v>43937</c:v>
                </c:pt>
                <c:pt idx="59">
                  <c:v>43938</c:v>
                </c:pt>
                <c:pt idx="60">
                  <c:v>43941</c:v>
                </c:pt>
                <c:pt idx="61">
                  <c:v>43942</c:v>
                </c:pt>
                <c:pt idx="62">
                  <c:v>43943</c:v>
                </c:pt>
                <c:pt idx="63">
                  <c:v>43944</c:v>
                </c:pt>
                <c:pt idx="64">
                  <c:v>43945</c:v>
                </c:pt>
                <c:pt idx="65">
                  <c:v>43948</c:v>
                </c:pt>
                <c:pt idx="66">
                  <c:v>43949</c:v>
                </c:pt>
                <c:pt idx="67">
                  <c:v>43950</c:v>
                </c:pt>
                <c:pt idx="68">
                  <c:v>43951</c:v>
                </c:pt>
                <c:pt idx="69">
                  <c:v>43957</c:v>
                </c:pt>
                <c:pt idx="70">
                  <c:v>43958</c:v>
                </c:pt>
                <c:pt idx="71">
                  <c:v>43959</c:v>
                </c:pt>
                <c:pt idx="72">
                  <c:v>43962</c:v>
                </c:pt>
                <c:pt idx="73">
                  <c:v>43963</c:v>
                </c:pt>
                <c:pt idx="74">
                  <c:v>43964</c:v>
                </c:pt>
                <c:pt idx="75">
                  <c:v>43965</c:v>
                </c:pt>
                <c:pt idx="76">
                  <c:v>43966</c:v>
                </c:pt>
                <c:pt idx="77">
                  <c:v>43969</c:v>
                </c:pt>
                <c:pt idx="78">
                  <c:v>43970</c:v>
                </c:pt>
                <c:pt idx="79">
                  <c:v>43971</c:v>
                </c:pt>
                <c:pt idx="80">
                  <c:v>43972</c:v>
                </c:pt>
                <c:pt idx="81">
                  <c:v>43973</c:v>
                </c:pt>
                <c:pt idx="82">
                  <c:v>43976</c:v>
                </c:pt>
                <c:pt idx="83">
                  <c:v>43977</c:v>
                </c:pt>
                <c:pt idx="84">
                  <c:v>43978</c:v>
                </c:pt>
                <c:pt idx="85">
                  <c:v>43979</c:v>
                </c:pt>
                <c:pt idx="86">
                  <c:v>43980</c:v>
                </c:pt>
                <c:pt idx="87">
                  <c:v>43983</c:v>
                </c:pt>
                <c:pt idx="88">
                  <c:v>43984</c:v>
                </c:pt>
                <c:pt idx="89">
                  <c:v>43985</c:v>
                </c:pt>
                <c:pt idx="90">
                  <c:v>43986</c:v>
                </c:pt>
                <c:pt idx="91">
                  <c:v>43987</c:v>
                </c:pt>
                <c:pt idx="92">
                  <c:v>43990</c:v>
                </c:pt>
                <c:pt idx="93">
                  <c:v>43991</c:v>
                </c:pt>
                <c:pt idx="94">
                  <c:v>43992</c:v>
                </c:pt>
                <c:pt idx="95">
                  <c:v>43993</c:v>
                </c:pt>
                <c:pt idx="96">
                  <c:v>43994</c:v>
                </c:pt>
                <c:pt idx="97">
                  <c:v>43997</c:v>
                </c:pt>
                <c:pt idx="98">
                  <c:v>43998</c:v>
                </c:pt>
                <c:pt idx="99">
                  <c:v>43999</c:v>
                </c:pt>
                <c:pt idx="100">
                  <c:v>44000</c:v>
                </c:pt>
                <c:pt idx="101">
                  <c:v>44001</c:v>
                </c:pt>
                <c:pt idx="102">
                  <c:v>44004</c:v>
                </c:pt>
                <c:pt idx="103">
                  <c:v>44005</c:v>
                </c:pt>
                <c:pt idx="104">
                  <c:v>44006</c:v>
                </c:pt>
                <c:pt idx="105">
                  <c:v>44011</c:v>
                </c:pt>
                <c:pt idx="106">
                  <c:v>44012</c:v>
                </c:pt>
                <c:pt idx="107">
                  <c:v>44013</c:v>
                </c:pt>
                <c:pt idx="108">
                  <c:v>44014</c:v>
                </c:pt>
                <c:pt idx="109">
                  <c:v>44015</c:v>
                </c:pt>
                <c:pt idx="110">
                  <c:v>44018</c:v>
                </c:pt>
                <c:pt idx="111">
                  <c:v>44019</c:v>
                </c:pt>
                <c:pt idx="112">
                  <c:v>44020</c:v>
                </c:pt>
                <c:pt idx="113">
                  <c:v>44021</c:v>
                </c:pt>
                <c:pt idx="114">
                  <c:v>44022</c:v>
                </c:pt>
                <c:pt idx="115">
                  <c:v>44025</c:v>
                </c:pt>
                <c:pt idx="116">
                  <c:v>44026</c:v>
                </c:pt>
                <c:pt idx="117">
                  <c:v>44027</c:v>
                </c:pt>
                <c:pt idx="118">
                  <c:v>44028</c:v>
                </c:pt>
                <c:pt idx="119">
                  <c:v>44029</c:v>
                </c:pt>
                <c:pt idx="120">
                  <c:v>44032</c:v>
                </c:pt>
                <c:pt idx="121">
                  <c:v>44033</c:v>
                </c:pt>
                <c:pt idx="122">
                  <c:v>44034</c:v>
                </c:pt>
                <c:pt idx="123">
                  <c:v>44035</c:v>
                </c:pt>
                <c:pt idx="124">
                  <c:v>44036</c:v>
                </c:pt>
                <c:pt idx="125">
                  <c:v>44039</c:v>
                </c:pt>
                <c:pt idx="126">
                  <c:v>44040</c:v>
                </c:pt>
                <c:pt idx="127">
                  <c:v>44041</c:v>
                </c:pt>
                <c:pt idx="128">
                  <c:v>44042</c:v>
                </c:pt>
                <c:pt idx="129">
                  <c:v>44043</c:v>
                </c:pt>
                <c:pt idx="130">
                  <c:v>44046</c:v>
                </c:pt>
                <c:pt idx="131">
                  <c:v>44047</c:v>
                </c:pt>
                <c:pt idx="132">
                  <c:v>44048</c:v>
                </c:pt>
                <c:pt idx="133">
                  <c:v>44049</c:v>
                </c:pt>
                <c:pt idx="134">
                  <c:v>44050</c:v>
                </c:pt>
                <c:pt idx="135">
                  <c:v>44053</c:v>
                </c:pt>
                <c:pt idx="136">
                  <c:v>44054</c:v>
                </c:pt>
                <c:pt idx="137">
                  <c:v>44055</c:v>
                </c:pt>
                <c:pt idx="138">
                  <c:v>44056</c:v>
                </c:pt>
                <c:pt idx="139">
                  <c:v>44057</c:v>
                </c:pt>
                <c:pt idx="140">
                  <c:v>44060</c:v>
                </c:pt>
                <c:pt idx="141">
                  <c:v>44061</c:v>
                </c:pt>
                <c:pt idx="142">
                  <c:v>44062</c:v>
                </c:pt>
                <c:pt idx="143">
                  <c:v>44063</c:v>
                </c:pt>
                <c:pt idx="144">
                  <c:v>44064</c:v>
                </c:pt>
                <c:pt idx="145">
                  <c:v>44067</c:v>
                </c:pt>
                <c:pt idx="146">
                  <c:v>44068</c:v>
                </c:pt>
                <c:pt idx="147">
                  <c:v>44069</c:v>
                </c:pt>
                <c:pt idx="148">
                  <c:v>44070</c:v>
                </c:pt>
                <c:pt idx="149">
                  <c:v>44071</c:v>
                </c:pt>
                <c:pt idx="150">
                  <c:v>44074</c:v>
                </c:pt>
                <c:pt idx="151">
                  <c:v>44075</c:v>
                </c:pt>
                <c:pt idx="152">
                  <c:v>44076</c:v>
                </c:pt>
                <c:pt idx="153">
                  <c:v>44077</c:v>
                </c:pt>
                <c:pt idx="154">
                  <c:v>44078</c:v>
                </c:pt>
                <c:pt idx="155">
                  <c:v>44081</c:v>
                </c:pt>
                <c:pt idx="156">
                  <c:v>44082</c:v>
                </c:pt>
                <c:pt idx="157">
                  <c:v>44083</c:v>
                </c:pt>
                <c:pt idx="158">
                  <c:v>44084</c:v>
                </c:pt>
                <c:pt idx="159">
                  <c:v>44085</c:v>
                </c:pt>
                <c:pt idx="160">
                  <c:v>44088</c:v>
                </c:pt>
                <c:pt idx="161">
                  <c:v>44089</c:v>
                </c:pt>
                <c:pt idx="162">
                  <c:v>44090</c:v>
                </c:pt>
                <c:pt idx="163">
                  <c:v>44091</c:v>
                </c:pt>
                <c:pt idx="164">
                  <c:v>44092</c:v>
                </c:pt>
                <c:pt idx="165">
                  <c:v>44095</c:v>
                </c:pt>
                <c:pt idx="166">
                  <c:v>44096</c:v>
                </c:pt>
                <c:pt idx="167">
                  <c:v>44097</c:v>
                </c:pt>
                <c:pt idx="168">
                  <c:v>44098</c:v>
                </c:pt>
                <c:pt idx="169">
                  <c:v>44099</c:v>
                </c:pt>
                <c:pt idx="170">
                  <c:v>44102</c:v>
                </c:pt>
                <c:pt idx="171">
                  <c:v>44103</c:v>
                </c:pt>
                <c:pt idx="172">
                  <c:v>44104</c:v>
                </c:pt>
                <c:pt idx="173">
                  <c:v>44113</c:v>
                </c:pt>
                <c:pt idx="174">
                  <c:v>44116</c:v>
                </c:pt>
                <c:pt idx="175">
                  <c:v>44117</c:v>
                </c:pt>
                <c:pt idx="176">
                  <c:v>44118</c:v>
                </c:pt>
                <c:pt idx="177">
                  <c:v>44119</c:v>
                </c:pt>
                <c:pt idx="178">
                  <c:v>44120</c:v>
                </c:pt>
                <c:pt idx="179">
                  <c:v>44123</c:v>
                </c:pt>
                <c:pt idx="180">
                  <c:v>44124</c:v>
                </c:pt>
                <c:pt idx="181">
                  <c:v>44125</c:v>
                </c:pt>
                <c:pt idx="182">
                  <c:v>44126</c:v>
                </c:pt>
                <c:pt idx="183">
                  <c:v>44127</c:v>
                </c:pt>
                <c:pt idx="184">
                  <c:v>44130</c:v>
                </c:pt>
                <c:pt idx="185">
                  <c:v>44131</c:v>
                </c:pt>
                <c:pt idx="186">
                  <c:v>44132</c:v>
                </c:pt>
                <c:pt idx="187">
                  <c:v>44133</c:v>
                </c:pt>
                <c:pt idx="188">
                  <c:v>44134</c:v>
                </c:pt>
                <c:pt idx="189">
                  <c:v>44137</c:v>
                </c:pt>
                <c:pt idx="190">
                  <c:v>44138</c:v>
                </c:pt>
                <c:pt idx="191">
                  <c:v>44139</c:v>
                </c:pt>
                <c:pt idx="192">
                  <c:v>44140</c:v>
                </c:pt>
                <c:pt idx="193">
                  <c:v>44141</c:v>
                </c:pt>
                <c:pt idx="194">
                  <c:v>44144</c:v>
                </c:pt>
                <c:pt idx="195">
                  <c:v>44145</c:v>
                </c:pt>
                <c:pt idx="196">
                  <c:v>44146</c:v>
                </c:pt>
                <c:pt idx="197">
                  <c:v>44147</c:v>
                </c:pt>
                <c:pt idx="198">
                  <c:v>44148</c:v>
                </c:pt>
                <c:pt idx="199">
                  <c:v>44151</c:v>
                </c:pt>
                <c:pt idx="200">
                  <c:v>44152</c:v>
                </c:pt>
                <c:pt idx="201">
                  <c:v>44153</c:v>
                </c:pt>
                <c:pt idx="202">
                  <c:v>44154</c:v>
                </c:pt>
                <c:pt idx="203">
                  <c:v>44155</c:v>
                </c:pt>
                <c:pt idx="204">
                  <c:v>44158</c:v>
                </c:pt>
                <c:pt idx="205">
                  <c:v>44159</c:v>
                </c:pt>
                <c:pt idx="206">
                  <c:v>44160</c:v>
                </c:pt>
                <c:pt idx="207">
                  <c:v>44161</c:v>
                </c:pt>
                <c:pt idx="208">
                  <c:v>44162</c:v>
                </c:pt>
                <c:pt idx="209">
                  <c:v>44165</c:v>
                </c:pt>
                <c:pt idx="210">
                  <c:v>44166</c:v>
                </c:pt>
                <c:pt idx="211">
                  <c:v>44167</c:v>
                </c:pt>
                <c:pt idx="212">
                  <c:v>44168</c:v>
                </c:pt>
                <c:pt idx="213">
                  <c:v>44169</c:v>
                </c:pt>
                <c:pt idx="214">
                  <c:v>44172</c:v>
                </c:pt>
                <c:pt idx="215">
                  <c:v>44173</c:v>
                </c:pt>
                <c:pt idx="216">
                  <c:v>44174</c:v>
                </c:pt>
                <c:pt idx="217">
                  <c:v>44175</c:v>
                </c:pt>
                <c:pt idx="218">
                  <c:v>44176</c:v>
                </c:pt>
                <c:pt idx="219">
                  <c:v>44179</c:v>
                </c:pt>
                <c:pt idx="220">
                  <c:v>44180</c:v>
                </c:pt>
                <c:pt idx="221">
                  <c:v>44181</c:v>
                </c:pt>
                <c:pt idx="222">
                  <c:v>44182</c:v>
                </c:pt>
                <c:pt idx="223">
                  <c:v>44183</c:v>
                </c:pt>
                <c:pt idx="224">
                  <c:v>44186</c:v>
                </c:pt>
                <c:pt idx="225">
                  <c:v>44187</c:v>
                </c:pt>
                <c:pt idx="226">
                  <c:v>44188</c:v>
                </c:pt>
                <c:pt idx="227">
                  <c:v>44189</c:v>
                </c:pt>
                <c:pt idx="228">
                  <c:v>44190</c:v>
                </c:pt>
                <c:pt idx="229">
                  <c:v>44193</c:v>
                </c:pt>
                <c:pt idx="230">
                  <c:v>44194</c:v>
                </c:pt>
                <c:pt idx="231">
                  <c:v>44195</c:v>
                </c:pt>
                <c:pt idx="232">
                  <c:v>44196</c:v>
                </c:pt>
                <c:pt idx="233">
                  <c:v>44200</c:v>
                </c:pt>
                <c:pt idx="234">
                  <c:v>44201</c:v>
                </c:pt>
                <c:pt idx="235">
                  <c:v>44202</c:v>
                </c:pt>
                <c:pt idx="236">
                  <c:v>44203</c:v>
                </c:pt>
                <c:pt idx="237">
                  <c:v>44204</c:v>
                </c:pt>
                <c:pt idx="238">
                  <c:v>44207</c:v>
                </c:pt>
                <c:pt idx="239">
                  <c:v>44208</c:v>
                </c:pt>
                <c:pt idx="240">
                  <c:v>44209</c:v>
                </c:pt>
                <c:pt idx="241">
                  <c:v>44210</c:v>
                </c:pt>
                <c:pt idx="242">
                  <c:v>44211</c:v>
                </c:pt>
                <c:pt idx="243">
                  <c:v>44214</c:v>
                </c:pt>
                <c:pt idx="244">
                  <c:v>44215</c:v>
                </c:pt>
                <c:pt idx="245">
                  <c:v>44216</c:v>
                </c:pt>
                <c:pt idx="246">
                  <c:v>44217</c:v>
                </c:pt>
                <c:pt idx="247">
                  <c:v>44218</c:v>
                </c:pt>
                <c:pt idx="248">
                  <c:v>44221</c:v>
                </c:pt>
                <c:pt idx="249">
                  <c:v>44222</c:v>
                </c:pt>
                <c:pt idx="250">
                  <c:v>44223</c:v>
                </c:pt>
                <c:pt idx="251">
                  <c:v>44224</c:v>
                </c:pt>
                <c:pt idx="252">
                  <c:v>44225</c:v>
                </c:pt>
                <c:pt idx="253">
                  <c:v>44228</c:v>
                </c:pt>
                <c:pt idx="254">
                  <c:v>44229</c:v>
                </c:pt>
                <c:pt idx="255">
                  <c:v>44230</c:v>
                </c:pt>
                <c:pt idx="256">
                  <c:v>44231</c:v>
                </c:pt>
                <c:pt idx="257">
                  <c:v>44232</c:v>
                </c:pt>
                <c:pt idx="258">
                  <c:v>44235</c:v>
                </c:pt>
                <c:pt idx="259">
                  <c:v>44236</c:v>
                </c:pt>
                <c:pt idx="260">
                  <c:v>44237</c:v>
                </c:pt>
                <c:pt idx="261">
                  <c:v>44245</c:v>
                </c:pt>
                <c:pt idx="262">
                  <c:v>44246</c:v>
                </c:pt>
                <c:pt idx="263">
                  <c:v>44249</c:v>
                </c:pt>
                <c:pt idx="264">
                  <c:v>44250</c:v>
                </c:pt>
                <c:pt idx="265">
                  <c:v>44251</c:v>
                </c:pt>
                <c:pt idx="266">
                  <c:v>44252</c:v>
                </c:pt>
                <c:pt idx="267">
                  <c:v>44253</c:v>
                </c:pt>
                <c:pt idx="268">
                  <c:v>44256</c:v>
                </c:pt>
                <c:pt idx="269">
                  <c:v>44257</c:v>
                </c:pt>
                <c:pt idx="270">
                  <c:v>44258</c:v>
                </c:pt>
                <c:pt idx="271">
                  <c:v>44259</c:v>
                </c:pt>
                <c:pt idx="272">
                  <c:v>44260</c:v>
                </c:pt>
                <c:pt idx="273">
                  <c:v>44263</c:v>
                </c:pt>
                <c:pt idx="274">
                  <c:v>44264</c:v>
                </c:pt>
                <c:pt idx="275">
                  <c:v>44265</c:v>
                </c:pt>
                <c:pt idx="276">
                  <c:v>44266</c:v>
                </c:pt>
                <c:pt idx="277">
                  <c:v>44267</c:v>
                </c:pt>
                <c:pt idx="278">
                  <c:v>44270</c:v>
                </c:pt>
                <c:pt idx="279">
                  <c:v>44271</c:v>
                </c:pt>
                <c:pt idx="280">
                  <c:v>44272</c:v>
                </c:pt>
                <c:pt idx="281">
                  <c:v>44273</c:v>
                </c:pt>
                <c:pt idx="282">
                  <c:v>44274</c:v>
                </c:pt>
                <c:pt idx="283">
                  <c:v>44277</c:v>
                </c:pt>
                <c:pt idx="284">
                  <c:v>44278</c:v>
                </c:pt>
                <c:pt idx="285">
                  <c:v>44279</c:v>
                </c:pt>
                <c:pt idx="286">
                  <c:v>44280</c:v>
                </c:pt>
                <c:pt idx="287">
                  <c:v>44281</c:v>
                </c:pt>
                <c:pt idx="288">
                  <c:v>44284</c:v>
                </c:pt>
                <c:pt idx="289">
                  <c:v>44285</c:v>
                </c:pt>
                <c:pt idx="290">
                  <c:v>44286</c:v>
                </c:pt>
                <c:pt idx="291">
                  <c:v>44287</c:v>
                </c:pt>
                <c:pt idx="292">
                  <c:v>44288</c:v>
                </c:pt>
                <c:pt idx="293">
                  <c:v>44292</c:v>
                </c:pt>
                <c:pt idx="294">
                  <c:v>44293</c:v>
                </c:pt>
                <c:pt idx="295">
                  <c:v>44294</c:v>
                </c:pt>
                <c:pt idx="296">
                  <c:v>44295</c:v>
                </c:pt>
                <c:pt idx="297">
                  <c:v>44298</c:v>
                </c:pt>
                <c:pt idx="298">
                  <c:v>44299</c:v>
                </c:pt>
                <c:pt idx="299">
                  <c:v>44300</c:v>
                </c:pt>
                <c:pt idx="300">
                  <c:v>44301</c:v>
                </c:pt>
                <c:pt idx="301">
                  <c:v>44302</c:v>
                </c:pt>
                <c:pt idx="302">
                  <c:v>44305</c:v>
                </c:pt>
                <c:pt idx="303">
                  <c:v>44306</c:v>
                </c:pt>
                <c:pt idx="304">
                  <c:v>44307</c:v>
                </c:pt>
                <c:pt idx="305">
                  <c:v>44308</c:v>
                </c:pt>
                <c:pt idx="306">
                  <c:v>44309</c:v>
                </c:pt>
                <c:pt idx="307">
                  <c:v>44312</c:v>
                </c:pt>
                <c:pt idx="308">
                  <c:v>44313</c:v>
                </c:pt>
                <c:pt idx="309">
                  <c:v>44314</c:v>
                </c:pt>
                <c:pt idx="310">
                  <c:v>44315</c:v>
                </c:pt>
                <c:pt idx="311">
                  <c:v>44316</c:v>
                </c:pt>
                <c:pt idx="312">
                  <c:v>44322</c:v>
                </c:pt>
                <c:pt idx="313">
                  <c:v>44323</c:v>
                </c:pt>
                <c:pt idx="314">
                  <c:v>44326</c:v>
                </c:pt>
                <c:pt idx="315">
                  <c:v>44327</c:v>
                </c:pt>
                <c:pt idx="316">
                  <c:v>44328</c:v>
                </c:pt>
                <c:pt idx="317">
                  <c:v>44329</c:v>
                </c:pt>
                <c:pt idx="318">
                  <c:v>44330</c:v>
                </c:pt>
                <c:pt idx="319">
                  <c:v>44333</c:v>
                </c:pt>
              </c:numCache>
            </c:numRef>
          </c:cat>
          <c:val>
            <c:numRef>
              <c:f>海纳一号!$B$21:$B$340</c:f>
              <c:numCache>
                <c:formatCode>0.0000_ </c:formatCode>
                <c:ptCount val="320"/>
                <c:pt idx="0">
                  <c:v>1.0609999999999999</c:v>
                </c:pt>
                <c:pt idx="1">
                  <c:v>1.0609999999999999</c:v>
                </c:pt>
                <c:pt idx="2">
                  <c:v>1.0609999999999999</c:v>
                </c:pt>
                <c:pt idx="3">
                  <c:v>1.06</c:v>
                </c:pt>
                <c:pt idx="4">
                  <c:v>1.0640000000000001</c:v>
                </c:pt>
                <c:pt idx="5">
                  <c:v>1.0660000000000001</c:v>
                </c:pt>
                <c:pt idx="6">
                  <c:v>1.0740000000000001</c:v>
                </c:pt>
                <c:pt idx="7">
                  <c:v>1.075</c:v>
                </c:pt>
                <c:pt idx="8">
                  <c:v>1.0780000000000001</c:v>
                </c:pt>
                <c:pt idx="9">
                  <c:v>1.079</c:v>
                </c:pt>
                <c:pt idx="10">
                  <c:v>1.081</c:v>
                </c:pt>
                <c:pt idx="11">
                  <c:v>1.081</c:v>
                </c:pt>
                <c:pt idx="12">
                  <c:v>1.0820000000000001</c:v>
                </c:pt>
                <c:pt idx="13">
                  <c:v>1.085</c:v>
                </c:pt>
                <c:pt idx="14">
                  <c:v>1.0840000000000001</c:v>
                </c:pt>
                <c:pt idx="15">
                  <c:v>1.085</c:v>
                </c:pt>
                <c:pt idx="16">
                  <c:v>1.085</c:v>
                </c:pt>
                <c:pt idx="17">
                  <c:v>1.0880000000000001</c:v>
                </c:pt>
                <c:pt idx="18">
                  <c:v>1.0860000000000001</c:v>
                </c:pt>
                <c:pt idx="19">
                  <c:v>1.0860000000000001</c:v>
                </c:pt>
                <c:pt idx="20">
                  <c:v>1.087</c:v>
                </c:pt>
                <c:pt idx="21">
                  <c:v>1.091</c:v>
                </c:pt>
                <c:pt idx="22">
                  <c:v>1.0920000000000001</c:v>
                </c:pt>
                <c:pt idx="23">
                  <c:v>1.087</c:v>
                </c:pt>
                <c:pt idx="24">
                  <c:v>1.0900000000000001</c:v>
                </c:pt>
                <c:pt idx="25">
                  <c:v>1.089</c:v>
                </c:pt>
                <c:pt idx="26">
                  <c:v>1.089</c:v>
                </c:pt>
                <c:pt idx="27">
                  <c:v>1.093</c:v>
                </c:pt>
                <c:pt idx="28">
                  <c:v>1.0940000000000001</c:v>
                </c:pt>
                <c:pt idx="29">
                  <c:v>1.095</c:v>
                </c:pt>
                <c:pt idx="30">
                  <c:v>1.095</c:v>
                </c:pt>
                <c:pt idx="31">
                  <c:v>1.089</c:v>
                </c:pt>
                <c:pt idx="32">
                  <c:v>1.0880000000000001</c:v>
                </c:pt>
                <c:pt idx="33">
                  <c:v>1.0900000000000001</c:v>
                </c:pt>
                <c:pt idx="34">
                  <c:v>1.085</c:v>
                </c:pt>
                <c:pt idx="35">
                  <c:v>1.0860000000000001</c:v>
                </c:pt>
                <c:pt idx="36">
                  <c:v>1.08</c:v>
                </c:pt>
                <c:pt idx="37">
                  <c:v>1.0840000000000001</c:v>
                </c:pt>
                <c:pt idx="38">
                  <c:v>1.0780000000000001</c:v>
                </c:pt>
                <c:pt idx="39">
                  <c:v>1.081</c:v>
                </c:pt>
                <c:pt idx="40">
                  <c:v>1.0900000000000001</c:v>
                </c:pt>
                <c:pt idx="41">
                  <c:v>1.083</c:v>
                </c:pt>
                <c:pt idx="42">
                  <c:v>1.0900000000000001</c:v>
                </c:pt>
                <c:pt idx="43">
                  <c:v>1.0960000000000001</c:v>
                </c:pt>
                <c:pt idx="44">
                  <c:v>1.099</c:v>
                </c:pt>
                <c:pt idx="45">
                  <c:v>1.097</c:v>
                </c:pt>
                <c:pt idx="46">
                  <c:v>1.093</c:v>
                </c:pt>
                <c:pt idx="47">
                  <c:v>1.097</c:v>
                </c:pt>
                <c:pt idx="48">
                  <c:v>1.095</c:v>
                </c:pt>
                <c:pt idx="49">
                  <c:v>1.0980000000000001</c:v>
                </c:pt>
                <c:pt idx="50">
                  <c:v>1.0960000000000001</c:v>
                </c:pt>
                <c:pt idx="51">
                  <c:v>1.099</c:v>
                </c:pt>
                <c:pt idx="52">
                  <c:v>1.0980000000000001</c:v>
                </c:pt>
                <c:pt idx="53">
                  <c:v>1.103</c:v>
                </c:pt>
                <c:pt idx="54">
                  <c:v>1.1040000000000001</c:v>
                </c:pt>
                <c:pt idx="55">
                  <c:v>1.105</c:v>
                </c:pt>
                <c:pt idx="56">
                  <c:v>1.107</c:v>
                </c:pt>
                <c:pt idx="57">
                  <c:v>1.1080000000000001</c:v>
                </c:pt>
                <c:pt idx="58">
                  <c:v>1.111</c:v>
                </c:pt>
                <c:pt idx="59">
                  <c:v>1.1140000000000001</c:v>
                </c:pt>
                <c:pt idx="60">
                  <c:v>1.119</c:v>
                </c:pt>
                <c:pt idx="61">
                  <c:v>1.1160000000000001</c:v>
                </c:pt>
                <c:pt idx="62">
                  <c:v>1.1220000000000001</c:v>
                </c:pt>
                <c:pt idx="63">
                  <c:v>1.1200000000000001</c:v>
                </c:pt>
                <c:pt idx="64">
                  <c:v>1.1160000000000001</c:v>
                </c:pt>
                <c:pt idx="65">
                  <c:v>1.1160000000000001</c:v>
                </c:pt>
                <c:pt idx="66">
                  <c:v>1.119</c:v>
                </c:pt>
                <c:pt idx="67">
                  <c:v>1.1180000000000001</c:v>
                </c:pt>
                <c:pt idx="68">
                  <c:v>1.1120000000000001</c:v>
                </c:pt>
                <c:pt idx="69">
                  <c:v>1.115</c:v>
                </c:pt>
                <c:pt idx="70">
                  <c:v>1.115</c:v>
                </c:pt>
                <c:pt idx="71">
                  <c:v>1.1200000000000001</c:v>
                </c:pt>
                <c:pt idx="72">
                  <c:v>1.1240000000000001</c:v>
                </c:pt>
                <c:pt idx="73">
                  <c:v>1.1279999999999999</c:v>
                </c:pt>
                <c:pt idx="74">
                  <c:v>1.1319999999999999</c:v>
                </c:pt>
                <c:pt idx="75">
                  <c:v>1.135</c:v>
                </c:pt>
                <c:pt idx="76">
                  <c:v>1.1319999999999999</c:v>
                </c:pt>
                <c:pt idx="77">
                  <c:v>1.135</c:v>
                </c:pt>
                <c:pt idx="78">
                  <c:v>1.1399999999999999</c:v>
                </c:pt>
                <c:pt idx="79">
                  <c:v>1.1419999999999999</c:v>
                </c:pt>
                <c:pt idx="80">
                  <c:v>1.1379999999999999</c:v>
                </c:pt>
                <c:pt idx="81">
                  <c:v>1.1279999999999999</c:v>
                </c:pt>
                <c:pt idx="82">
                  <c:v>1.1359999999999999</c:v>
                </c:pt>
                <c:pt idx="83">
                  <c:v>1.147</c:v>
                </c:pt>
                <c:pt idx="84">
                  <c:v>1.145</c:v>
                </c:pt>
                <c:pt idx="85">
                  <c:v>1.1439999999999999</c:v>
                </c:pt>
                <c:pt idx="86">
                  <c:v>1.151</c:v>
                </c:pt>
                <c:pt idx="87">
                  <c:v>1.151</c:v>
                </c:pt>
                <c:pt idx="88">
                  <c:v>1.1459999999999999</c:v>
                </c:pt>
                <c:pt idx="89">
                  <c:v>1.1499999999999999</c:v>
                </c:pt>
                <c:pt idx="90">
                  <c:v>1.157</c:v>
                </c:pt>
                <c:pt idx="91">
                  <c:v>1.1559999999999999</c:v>
                </c:pt>
                <c:pt idx="92">
                  <c:v>1.1539999999999999</c:v>
                </c:pt>
                <c:pt idx="93">
                  <c:v>1.153</c:v>
                </c:pt>
                <c:pt idx="94">
                  <c:v>1.1599999999999999</c:v>
                </c:pt>
                <c:pt idx="95">
                  <c:v>1.159</c:v>
                </c:pt>
                <c:pt idx="96">
                  <c:v>1.163</c:v>
                </c:pt>
                <c:pt idx="97">
                  <c:v>1.157</c:v>
                </c:pt>
                <c:pt idx="98">
                  <c:v>1.1659999999999999</c:v>
                </c:pt>
                <c:pt idx="99">
                  <c:v>1.165</c:v>
                </c:pt>
                <c:pt idx="100">
                  <c:v>1.159</c:v>
                </c:pt>
                <c:pt idx="101">
                  <c:v>1.1539999999999999</c:v>
                </c:pt>
                <c:pt idx="102">
                  <c:v>1.151</c:v>
                </c:pt>
                <c:pt idx="103">
                  <c:v>1.163</c:v>
                </c:pt>
                <c:pt idx="104">
                  <c:v>1.159</c:v>
                </c:pt>
                <c:pt idx="105">
                  <c:v>1.1619999999999999</c:v>
                </c:pt>
                <c:pt idx="106">
                  <c:v>1.1659999999999999</c:v>
                </c:pt>
                <c:pt idx="107">
                  <c:v>1.165</c:v>
                </c:pt>
                <c:pt idx="108">
                  <c:v>1.161</c:v>
                </c:pt>
                <c:pt idx="109">
                  <c:v>1.1639999999999999</c:v>
                </c:pt>
                <c:pt idx="110">
                  <c:v>1.1439999999999999</c:v>
                </c:pt>
                <c:pt idx="111">
                  <c:v>1.1419999999999999</c:v>
                </c:pt>
                <c:pt idx="112">
                  <c:v>1.1539999999999999</c:v>
                </c:pt>
                <c:pt idx="113">
                  <c:v>1.161</c:v>
                </c:pt>
                <c:pt idx="114">
                  <c:v>1.157</c:v>
                </c:pt>
                <c:pt idx="115">
                  <c:v>1.159</c:v>
                </c:pt>
                <c:pt idx="116">
                  <c:v>1.155</c:v>
                </c:pt>
                <c:pt idx="117">
                  <c:v>1.157</c:v>
                </c:pt>
                <c:pt idx="118">
                  <c:v>1.145</c:v>
                </c:pt>
                <c:pt idx="119">
                  <c:v>1.155</c:v>
                </c:pt>
                <c:pt idx="120">
                  <c:v>1.1579999999999999</c:v>
                </c:pt>
                <c:pt idx="121">
                  <c:v>1.1659999999999999</c:v>
                </c:pt>
                <c:pt idx="122">
                  <c:v>1.163</c:v>
                </c:pt>
                <c:pt idx="123">
                  <c:v>1.167</c:v>
                </c:pt>
                <c:pt idx="124">
                  <c:v>1.1619999999999999</c:v>
                </c:pt>
                <c:pt idx="125">
                  <c:v>1.1599999999999999</c:v>
                </c:pt>
                <c:pt idx="126">
                  <c:v>1.1659999999999999</c:v>
                </c:pt>
                <c:pt idx="127">
                  <c:v>1.161</c:v>
                </c:pt>
                <c:pt idx="128">
                  <c:v>1.161</c:v>
                </c:pt>
                <c:pt idx="129">
                  <c:v>1.163</c:v>
                </c:pt>
                <c:pt idx="130">
                  <c:v>1.1659999999999999</c:v>
                </c:pt>
                <c:pt idx="131">
                  <c:v>1.1659999999999999</c:v>
                </c:pt>
                <c:pt idx="132">
                  <c:v>1.1659999999999999</c:v>
                </c:pt>
                <c:pt idx="133">
                  <c:v>1.1619999999999999</c:v>
                </c:pt>
                <c:pt idx="134">
                  <c:v>1.1599999999999999</c:v>
                </c:pt>
                <c:pt idx="135">
                  <c:v>1.1579999999999999</c:v>
                </c:pt>
                <c:pt idx="136">
                  <c:v>1.159</c:v>
                </c:pt>
                <c:pt idx="137">
                  <c:v>1.157</c:v>
                </c:pt>
                <c:pt idx="138">
                  <c:v>1.157</c:v>
                </c:pt>
                <c:pt idx="139">
                  <c:v>1.159</c:v>
                </c:pt>
                <c:pt idx="140">
                  <c:v>1.1559999999999999</c:v>
                </c:pt>
                <c:pt idx="141">
                  <c:v>1.159</c:v>
                </c:pt>
                <c:pt idx="142">
                  <c:v>1.157</c:v>
                </c:pt>
                <c:pt idx="143">
                  <c:v>1.155</c:v>
                </c:pt>
                <c:pt idx="144">
                  <c:v>1.1579999999999999</c:v>
                </c:pt>
                <c:pt idx="145">
                  <c:v>1.1619999999999999</c:v>
                </c:pt>
                <c:pt idx="146">
                  <c:v>1.1639999999999999</c:v>
                </c:pt>
                <c:pt idx="147">
                  <c:v>1.1639999999999999</c:v>
                </c:pt>
                <c:pt idx="148">
                  <c:v>1.1659999999999999</c:v>
                </c:pt>
                <c:pt idx="149">
                  <c:v>1.163</c:v>
                </c:pt>
                <c:pt idx="150">
                  <c:v>1.1619999999999999</c:v>
                </c:pt>
                <c:pt idx="151">
                  <c:v>1.165</c:v>
                </c:pt>
                <c:pt idx="152">
                  <c:v>1.167</c:v>
                </c:pt>
                <c:pt idx="153">
                  <c:v>1.1639999999999999</c:v>
                </c:pt>
                <c:pt idx="154">
                  <c:v>1.165</c:v>
                </c:pt>
                <c:pt idx="155">
                  <c:v>1.163</c:v>
                </c:pt>
                <c:pt idx="156">
                  <c:v>1.1619999999999999</c:v>
                </c:pt>
                <c:pt idx="157">
                  <c:v>1.1619999999999999</c:v>
                </c:pt>
                <c:pt idx="158">
                  <c:v>1.161</c:v>
                </c:pt>
                <c:pt idx="159">
                  <c:v>1.1659999999999999</c:v>
                </c:pt>
                <c:pt idx="160">
                  <c:v>1.17</c:v>
                </c:pt>
                <c:pt idx="161">
                  <c:v>1.173</c:v>
                </c:pt>
                <c:pt idx="162">
                  <c:v>1.171</c:v>
                </c:pt>
                <c:pt idx="163">
                  <c:v>1.17</c:v>
                </c:pt>
                <c:pt idx="164">
                  <c:v>1.171</c:v>
                </c:pt>
                <c:pt idx="165">
                  <c:v>1.1679999999999999</c:v>
                </c:pt>
                <c:pt idx="166">
                  <c:v>1.17</c:v>
                </c:pt>
                <c:pt idx="167">
                  <c:v>1.1679999999999999</c:v>
                </c:pt>
                <c:pt idx="168">
                  <c:v>1.1659999999999999</c:v>
                </c:pt>
                <c:pt idx="169">
                  <c:v>1.1639999999999999</c:v>
                </c:pt>
                <c:pt idx="170">
                  <c:v>1.1659999999999999</c:v>
                </c:pt>
                <c:pt idx="171">
                  <c:v>1.1599999999999999</c:v>
                </c:pt>
                <c:pt idx="172">
                  <c:v>1.1639999999999999</c:v>
                </c:pt>
                <c:pt idx="173">
                  <c:v>1.169</c:v>
                </c:pt>
                <c:pt idx="174">
                  <c:v>1.167</c:v>
                </c:pt>
                <c:pt idx="175">
                  <c:v>1.167</c:v>
                </c:pt>
                <c:pt idx="176">
                  <c:v>1.171</c:v>
                </c:pt>
                <c:pt idx="177">
                  <c:v>1.167</c:v>
                </c:pt>
                <c:pt idx="178">
                  <c:v>1.167</c:v>
                </c:pt>
                <c:pt idx="179">
                  <c:v>1.165</c:v>
                </c:pt>
                <c:pt idx="180">
                  <c:v>1.1659999999999999</c:v>
                </c:pt>
                <c:pt idx="181">
                  <c:v>1.1679999999999999</c:v>
                </c:pt>
                <c:pt idx="182">
                  <c:v>1.17</c:v>
                </c:pt>
                <c:pt idx="183">
                  <c:v>1.173</c:v>
                </c:pt>
                <c:pt idx="184">
                  <c:v>1.167</c:v>
                </c:pt>
                <c:pt idx="185">
                  <c:v>1.163</c:v>
                </c:pt>
                <c:pt idx="186">
                  <c:v>1.163</c:v>
                </c:pt>
                <c:pt idx="187">
                  <c:v>1.1599999999999999</c:v>
                </c:pt>
                <c:pt idx="188">
                  <c:v>1.159</c:v>
                </c:pt>
                <c:pt idx="189">
                  <c:v>1.157</c:v>
                </c:pt>
                <c:pt idx="190">
                  <c:v>1.159</c:v>
                </c:pt>
                <c:pt idx="191">
                  <c:v>1.161</c:v>
                </c:pt>
                <c:pt idx="192">
                  <c:v>1.167</c:v>
                </c:pt>
                <c:pt idx="193">
                  <c:v>1.1639999999999999</c:v>
                </c:pt>
                <c:pt idx="194">
                  <c:v>1.165</c:v>
                </c:pt>
                <c:pt idx="195">
                  <c:v>1.163</c:v>
                </c:pt>
                <c:pt idx="196">
                  <c:v>1.159</c:v>
                </c:pt>
                <c:pt idx="197">
                  <c:v>1.165</c:v>
                </c:pt>
                <c:pt idx="198">
                  <c:v>1.1659999999999999</c:v>
                </c:pt>
                <c:pt idx="199">
                  <c:v>1.169</c:v>
                </c:pt>
                <c:pt idx="200">
                  <c:v>1.17</c:v>
                </c:pt>
                <c:pt idx="201">
                  <c:v>1.167</c:v>
                </c:pt>
                <c:pt idx="202">
                  <c:v>1.1639999999999999</c:v>
                </c:pt>
                <c:pt idx="203">
                  <c:v>1.165</c:v>
                </c:pt>
                <c:pt idx="204">
                  <c:v>1.163</c:v>
                </c:pt>
                <c:pt idx="205">
                  <c:v>1.155</c:v>
                </c:pt>
                <c:pt idx="206">
                  <c:v>1.1579999999999999</c:v>
                </c:pt>
                <c:pt idx="207">
                  <c:v>1.17</c:v>
                </c:pt>
                <c:pt idx="208">
                  <c:v>1.165</c:v>
                </c:pt>
                <c:pt idx="209">
                  <c:v>1.163</c:v>
                </c:pt>
                <c:pt idx="210">
                  <c:v>1.163</c:v>
                </c:pt>
                <c:pt idx="211">
                  <c:v>1.161</c:v>
                </c:pt>
                <c:pt idx="212">
                  <c:v>1.1639999999999999</c:v>
                </c:pt>
                <c:pt idx="213">
                  <c:v>1.165</c:v>
                </c:pt>
                <c:pt idx="214">
                  <c:v>1.17</c:v>
                </c:pt>
                <c:pt idx="215">
                  <c:v>1.1659999999999999</c:v>
                </c:pt>
                <c:pt idx="216">
                  <c:v>1.167</c:v>
                </c:pt>
                <c:pt idx="217">
                  <c:v>1.169</c:v>
                </c:pt>
                <c:pt idx="218">
                  <c:v>1.17</c:v>
                </c:pt>
                <c:pt idx="219">
                  <c:v>1.1679999999999999</c:v>
                </c:pt>
                <c:pt idx="220">
                  <c:v>1.169</c:v>
                </c:pt>
                <c:pt idx="221">
                  <c:v>1.1719999999999999</c:v>
                </c:pt>
                <c:pt idx="222">
                  <c:v>1.1719999999999999</c:v>
                </c:pt>
                <c:pt idx="223">
                  <c:v>1.175</c:v>
                </c:pt>
                <c:pt idx="224">
                  <c:v>1.1759999999999999</c:v>
                </c:pt>
                <c:pt idx="225">
                  <c:v>1.1819999999999999</c:v>
                </c:pt>
                <c:pt idx="226">
                  <c:v>1.1850000000000001</c:v>
                </c:pt>
                <c:pt idx="227">
                  <c:v>1.1850000000000001</c:v>
                </c:pt>
                <c:pt idx="228">
                  <c:v>1.181</c:v>
                </c:pt>
                <c:pt idx="229">
                  <c:v>1.175</c:v>
                </c:pt>
                <c:pt idx="230">
                  <c:v>1.177</c:v>
                </c:pt>
                <c:pt idx="231">
                  <c:v>1.1830000000000001</c:v>
                </c:pt>
                <c:pt idx="232">
                  <c:v>1.1819999999999999</c:v>
                </c:pt>
                <c:pt idx="233">
                  <c:v>1.1779999999999999</c:v>
                </c:pt>
                <c:pt idx="234">
                  <c:v>1.1759999999999999</c:v>
                </c:pt>
                <c:pt idx="235">
                  <c:v>1.177</c:v>
                </c:pt>
                <c:pt idx="236">
                  <c:v>1.1639999999999999</c:v>
                </c:pt>
                <c:pt idx="237">
                  <c:v>1.161</c:v>
                </c:pt>
                <c:pt idx="238">
                  <c:v>1.1719999999999999</c:v>
                </c:pt>
                <c:pt idx="239">
                  <c:v>1.1659999999999999</c:v>
                </c:pt>
                <c:pt idx="240">
                  <c:v>1.1639999999999999</c:v>
                </c:pt>
                <c:pt idx="241">
                  <c:v>1.1739999999999999</c:v>
                </c:pt>
                <c:pt idx="242">
                  <c:v>1.18</c:v>
                </c:pt>
                <c:pt idx="243">
                  <c:v>1.1830000000000001</c:v>
                </c:pt>
                <c:pt idx="244">
                  <c:v>1.1890000000000001</c:v>
                </c:pt>
                <c:pt idx="245">
                  <c:v>1.2010000000000001</c:v>
                </c:pt>
                <c:pt idx="246">
                  <c:v>1.1970000000000001</c:v>
                </c:pt>
                <c:pt idx="247">
                  <c:v>1.204</c:v>
                </c:pt>
                <c:pt idx="248">
                  <c:v>1.22</c:v>
                </c:pt>
                <c:pt idx="249">
                  <c:v>1.21</c:v>
                </c:pt>
                <c:pt idx="250">
                  <c:v>1.2030000000000001</c:v>
                </c:pt>
                <c:pt idx="251">
                  <c:v>1.202</c:v>
                </c:pt>
                <c:pt idx="252">
                  <c:v>1.208</c:v>
                </c:pt>
                <c:pt idx="253">
                  <c:v>1.2130000000000001</c:v>
                </c:pt>
                <c:pt idx="254">
                  <c:v>1.214</c:v>
                </c:pt>
                <c:pt idx="255">
                  <c:v>1.2190000000000001</c:v>
                </c:pt>
                <c:pt idx="256">
                  <c:v>1.224</c:v>
                </c:pt>
                <c:pt idx="257">
                  <c:v>1.2230000000000001</c:v>
                </c:pt>
                <c:pt idx="258">
                  <c:v>1.2250000000000001</c:v>
                </c:pt>
                <c:pt idx="259">
                  <c:v>1.2190000000000001</c:v>
                </c:pt>
                <c:pt idx="260">
                  <c:v>1.2230000000000001</c:v>
                </c:pt>
                <c:pt idx="261">
                  <c:v>1.2210000000000001</c:v>
                </c:pt>
                <c:pt idx="262">
                  <c:v>1.2230000000000001</c:v>
                </c:pt>
                <c:pt idx="263">
                  <c:v>1.2130000000000001</c:v>
                </c:pt>
                <c:pt idx="264">
                  <c:v>1.2190000000000001</c:v>
                </c:pt>
                <c:pt idx="265">
                  <c:v>1.2170000000000001</c:v>
                </c:pt>
                <c:pt idx="266">
                  <c:v>1.2190000000000001</c:v>
                </c:pt>
                <c:pt idx="267">
                  <c:v>1.214</c:v>
                </c:pt>
                <c:pt idx="268">
                  <c:v>1.222</c:v>
                </c:pt>
                <c:pt idx="269">
                  <c:v>1.222</c:v>
                </c:pt>
                <c:pt idx="270">
                  <c:v>1.2270000000000001</c:v>
                </c:pt>
                <c:pt idx="271">
                  <c:v>1.224</c:v>
                </c:pt>
                <c:pt idx="272">
                  <c:v>1.218</c:v>
                </c:pt>
                <c:pt idx="273">
                  <c:v>1.2190000000000001</c:v>
                </c:pt>
                <c:pt idx="274">
                  <c:v>1.2290000000000001</c:v>
                </c:pt>
                <c:pt idx="275">
                  <c:v>1.2310000000000001</c:v>
                </c:pt>
                <c:pt idx="276">
                  <c:v>1.2350000000000001</c:v>
                </c:pt>
                <c:pt idx="277">
                  <c:v>1.2310000000000001</c:v>
                </c:pt>
                <c:pt idx="278">
                  <c:v>1.232</c:v>
                </c:pt>
                <c:pt idx="279">
                  <c:v>1.234</c:v>
                </c:pt>
                <c:pt idx="280">
                  <c:v>1.2330000000000001</c:v>
                </c:pt>
                <c:pt idx="281">
                  <c:v>1.2350000000000001</c:v>
                </c:pt>
                <c:pt idx="282">
                  <c:v>1.236</c:v>
                </c:pt>
                <c:pt idx="283">
                  <c:v>1.232</c:v>
                </c:pt>
                <c:pt idx="284">
                  <c:v>1.2250000000000001</c:v>
                </c:pt>
                <c:pt idx="285">
                  <c:v>1.224</c:v>
                </c:pt>
                <c:pt idx="286">
                  <c:v>1.226</c:v>
                </c:pt>
                <c:pt idx="287">
                  <c:v>1.2270000000000001</c:v>
                </c:pt>
                <c:pt idx="288">
                  <c:v>1.2270000000000001</c:v>
                </c:pt>
                <c:pt idx="289">
                  <c:v>1.23</c:v>
                </c:pt>
                <c:pt idx="290">
                  <c:v>1.23</c:v>
                </c:pt>
                <c:pt idx="291">
                  <c:v>1.238</c:v>
                </c:pt>
                <c:pt idx="292">
                  <c:v>1.242</c:v>
                </c:pt>
                <c:pt idx="293">
                  <c:v>1.2390000000000001</c:v>
                </c:pt>
                <c:pt idx="294">
                  <c:v>1.232</c:v>
                </c:pt>
                <c:pt idx="295">
                  <c:v>1.2310000000000001</c:v>
                </c:pt>
                <c:pt idx="296">
                  <c:v>1.232</c:v>
                </c:pt>
                <c:pt idx="297">
                  <c:v>1.234</c:v>
                </c:pt>
                <c:pt idx="298">
                  <c:v>1.2310000000000001</c:v>
                </c:pt>
                <c:pt idx="299">
                  <c:v>1.2310000000000001</c:v>
                </c:pt>
                <c:pt idx="300">
                  <c:v>1.2330000000000001</c:v>
                </c:pt>
                <c:pt idx="301">
                  <c:v>1.2350000000000001</c:v>
                </c:pt>
                <c:pt idx="302">
                  <c:v>1.2330000000000001</c:v>
                </c:pt>
                <c:pt idx="303">
                  <c:v>1.2350000000000001</c:v>
                </c:pt>
                <c:pt idx="304">
                  <c:v>1.232</c:v>
                </c:pt>
                <c:pt idx="305">
                  <c:v>1.2350000000000001</c:v>
                </c:pt>
                <c:pt idx="306">
                  <c:v>1.236</c:v>
                </c:pt>
                <c:pt idx="307">
                  <c:v>1.236</c:v>
                </c:pt>
                <c:pt idx="308">
                  <c:v>1.232</c:v>
                </c:pt>
                <c:pt idx="309">
                  <c:v>1.2350000000000001</c:v>
                </c:pt>
                <c:pt idx="310">
                  <c:v>1.234</c:v>
                </c:pt>
                <c:pt idx="311">
                  <c:v>1.2290000000000001</c:v>
                </c:pt>
                <c:pt idx="312">
                  <c:v>1.2270000000000001</c:v>
                </c:pt>
                <c:pt idx="313">
                  <c:v>1.226</c:v>
                </c:pt>
                <c:pt idx="314">
                  <c:v>1.222</c:v>
                </c:pt>
                <c:pt idx="315">
                  <c:v>1.2190000000000001</c:v>
                </c:pt>
                <c:pt idx="316">
                  <c:v>1.222</c:v>
                </c:pt>
                <c:pt idx="317">
                  <c:v>1.22</c:v>
                </c:pt>
                <c:pt idx="318">
                  <c:v>1.2190000000000001</c:v>
                </c:pt>
                <c:pt idx="319">
                  <c:v>1.2210000000000001</c:v>
                </c:pt>
              </c:numCache>
            </c:numRef>
          </c:val>
          <c:smooth val="0"/>
          <c:extLst>
            <c:ext xmlns:c16="http://schemas.microsoft.com/office/drawing/2014/chart" uri="{C3380CC4-5D6E-409C-BE32-E72D297353CC}">
              <c16:uniqueId val="{00000000-4D7D-4EF1-82E2-85004395E8B0}"/>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05"/>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分形</a:t>
            </a:r>
            <a:r>
              <a:rPr lang="en-US" altLang="zh-CN" sz="1600"/>
              <a:t>3</a:t>
            </a:r>
            <a:r>
              <a:rPr lang="zh-CN" altLang="en-US" sz="1600"/>
              <a:t>号</a:t>
            </a:r>
            <a:endParaRPr lang="en-US" altLang="zh-CN" sz="1600"/>
          </a:p>
        </c:rich>
      </c:tx>
      <c:overlay val="0"/>
    </c:title>
    <c:autoTitleDeleted val="0"/>
    <c:plotArea>
      <c:layout/>
      <c:lineChart>
        <c:grouping val="standard"/>
        <c:varyColors val="0"/>
        <c:ser>
          <c:idx val="0"/>
          <c:order val="0"/>
          <c:tx>
            <c:strRef>
              <c:f>蒙玺分形3号!$B$20</c:f>
              <c:strCache>
                <c:ptCount val="1"/>
                <c:pt idx="0">
                  <c:v>累计净值</c:v>
                </c:pt>
              </c:strCache>
            </c:strRef>
          </c:tx>
          <c:marker>
            <c:symbol val="none"/>
          </c:marker>
          <c:cat>
            <c:numRef>
              <c:f>蒙玺分形3号!$A$21:$A$224</c:f>
              <c:numCache>
                <c:formatCode>m/d/yy</c:formatCode>
                <c:ptCount val="204"/>
                <c:pt idx="0">
                  <c:v>44026</c:v>
                </c:pt>
                <c:pt idx="1">
                  <c:v>44027</c:v>
                </c:pt>
                <c:pt idx="2">
                  <c:v>44028</c:v>
                </c:pt>
                <c:pt idx="3">
                  <c:v>44029</c:v>
                </c:pt>
                <c:pt idx="4">
                  <c:v>44032</c:v>
                </c:pt>
                <c:pt idx="5">
                  <c:v>44033</c:v>
                </c:pt>
                <c:pt idx="6">
                  <c:v>44034</c:v>
                </c:pt>
                <c:pt idx="7">
                  <c:v>44035</c:v>
                </c:pt>
                <c:pt idx="8">
                  <c:v>44036</c:v>
                </c:pt>
                <c:pt idx="9">
                  <c:v>44039</c:v>
                </c:pt>
                <c:pt idx="10">
                  <c:v>44040</c:v>
                </c:pt>
                <c:pt idx="11">
                  <c:v>44041</c:v>
                </c:pt>
                <c:pt idx="12">
                  <c:v>44042</c:v>
                </c:pt>
                <c:pt idx="13">
                  <c:v>44043</c:v>
                </c:pt>
                <c:pt idx="14">
                  <c:v>44046</c:v>
                </c:pt>
                <c:pt idx="15">
                  <c:v>44047</c:v>
                </c:pt>
                <c:pt idx="16">
                  <c:v>44048</c:v>
                </c:pt>
                <c:pt idx="17">
                  <c:v>44049</c:v>
                </c:pt>
                <c:pt idx="18">
                  <c:v>44050</c:v>
                </c:pt>
                <c:pt idx="19">
                  <c:v>44053</c:v>
                </c:pt>
                <c:pt idx="20">
                  <c:v>44054</c:v>
                </c:pt>
                <c:pt idx="21">
                  <c:v>44055</c:v>
                </c:pt>
                <c:pt idx="22">
                  <c:v>44056</c:v>
                </c:pt>
                <c:pt idx="23">
                  <c:v>44057</c:v>
                </c:pt>
                <c:pt idx="24">
                  <c:v>44060</c:v>
                </c:pt>
                <c:pt idx="25">
                  <c:v>44061</c:v>
                </c:pt>
                <c:pt idx="26">
                  <c:v>44062</c:v>
                </c:pt>
                <c:pt idx="27">
                  <c:v>44063</c:v>
                </c:pt>
                <c:pt idx="28">
                  <c:v>44064</c:v>
                </c:pt>
                <c:pt idx="29">
                  <c:v>44067</c:v>
                </c:pt>
                <c:pt idx="30">
                  <c:v>44068</c:v>
                </c:pt>
                <c:pt idx="31">
                  <c:v>44069</c:v>
                </c:pt>
                <c:pt idx="32">
                  <c:v>44070</c:v>
                </c:pt>
                <c:pt idx="33">
                  <c:v>44071</c:v>
                </c:pt>
                <c:pt idx="34">
                  <c:v>44074</c:v>
                </c:pt>
                <c:pt idx="35">
                  <c:v>44075</c:v>
                </c:pt>
                <c:pt idx="36">
                  <c:v>44076</c:v>
                </c:pt>
                <c:pt idx="37">
                  <c:v>44077</c:v>
                </c:pt>
                <c:pt idx="38">
                  <c:v>44078</c:v>
                </c:pt>
                <c:pt idx="39">
                  <c:v>44081</c:v>
                </c:pt>
                <c:pt idx="40">
                  <c:v>44082</c:v>
                </c:pt>
                <c:pt idx="41">
                  <c:v>44083</c:v>
                </c:pt>
                <c:pt idx="42">
                  <c:v>44084</c:v>
                </c:pt>
                <c:pt idx="43">
                  <c:v>44085</c:v>
                </c:pt>
                <c:pt idx="44">
                  <c:v>44088</c:v>
                </c:pt>
                <c:pt idx="45">
                  <c:v>44089</c:v>
                </c:pt>
                <c:pt idx="46">
                  <c:v>44090</c:v>
                </c:pt>
                <c:pt idx="47">
                  <c:v>44091</c:v>
                </c:pt>
                <c:pt idx="48">
                  <c:v>44092</c:v>
                </c:pt>
                <c:pt idx="49">
                  <c:v>44095</c:v>
                </c:pt>
                <c:pt idx="50">
                  <c:v>44096</c:v>
                </c:pt>
                <c:pt idx="51">
                  <c:v>44097</c:v>
                </c:pt>
                <c:pt idx="52">
                  <c:v>44098</c:v>
                </c:pt>
                <c:pt idx="53">
                  <c:v>44099</c:v>
                </c:pt>
                <c:pt idx="54">
                  <c:v>44102</c:v>
                </c:pt>
                <c:pt idx="55">
                  <c:v>44103</c:v>
                </c:pt>
                <c:pt idx="56">
                  <c:v>44104</c:v>
                </c:pt>
                <c:pt idx="57">
                  <c:v>44113</c:v>
                </c:pt>
                <c:pt idx="58">
                  <c:v>44116</c:v>
                </c:pt>
                <c:pt idx="59">
                  <c:v>44117</c:v>
                </c:pt>
                <c:pt idx="60">
                  <c:v>44118</c:v>
                </c:pt>
                <c:pt idx="61">
                  <c:v>44119</c:v>
                </c:pt>
                <c:pt idx="62">
                  <c:v>44120</c:v>
                </c:pt>
                <c:pt idx="63">
                  <c:v>44123</c:v>
                </c:pt>
                <c:pt idx="64">
                  <c:v>44124</c:v>
                </c:pt>
                <c:pt idx="65">
                  <c:v>44125</c:v>
                </c:pt>
                <c:pt idx="66">
                  <c:v>44126</c:v>
                </c:pt>
                <c:pt idx="67">
                  <c:v>44127</c:v>
                </c:pt>
                <c:pt idx="68">
                  <c:v>44130</c:v>
                </c:pt>
                <c:pt idx="69">
                  <c:v>44131</c:v>
                </c:pt>
                <c:pt idx="70">
                  <c:v>44132</c:v>
                </c:pt>
                <c:pt idx="71">
                  <c:v>44133</c:v>
                </c:pt>
                <c:pt idx="72">
                  <c:v>44134</c:v>
                </c:pt>
                <c:pt idx="73">
                  <c:v>44137</c:v>
                </c:pt>
                <c:pt idx="74">
                  <c:v>44138</c:v>
                </c:pt>
                <c:pt idx="75">
                  <c:v>44139</c:v>
                </c:pt>
                <c:pt idx="76">
                  <c:v>44140</c:v>
                </c:pt>
                <c:pt idx="77">
                  <c:v>44141</c:v>
                </c:pt>
                <c:pt idx="78">
                  <c:v>44144</c:v>
                </c:pt>
                <c:pt idx="79">
                  <c:v>44145</c:v>
                </c:pt>
                <c:pt idx="80">
                  <c:v>44146</c:v>
                </c:pt>
                <c:pt idx="81">
                  <c:v>44147</c:v>
                </c:pt>
                <c:pt idx="82">
                  <c:v>44148</c:v>
                </c:pt>
                <c:pt idx="83">
                  <c:v>44151</c:v>
                </c:pt>
                <c:pt idx="84">
                  <c:v>44152</c:v>
                </c:pt>
                <c:pt idx="85">
                  <c:v>44153</c:v>
                </c:pt>
                <c:pt idx="86">
                  <c:v>44154</c:v>
                </c:pt>
                <c:pt idx="87">
                  <c:v>44155</c:v>
                </c:pt>
                <c:pt idx="88">
                  <c:v>44158</c:v>
                </c:pt>
                <c:pt idx="89">
                  <c:v>44159</c:v>
                </c:pt>
                <c:pt idx="90">
                  <c:v>44160</c:v>
                </c:pt>
                <c:pt idx="91">
                  <c:v>44161</c:v>
                </c:pt>
                <c:pt idx="92">
                  <c:v>44162</c:v>
                </c:pt>
                <c:pt idx="93">
                  <c:v>44165</c:v>
                </c:pt>
                <c:pt idx="94">
                  <c:v>44166</c:v>
                </c:pt>
                <c:pt idx="95">
                  <c:v>44167</c:v>
                </c:pt>
                <c:pt idx="96">
                  <c:v>44168</c:v>
                </c:pt>
                <c:pt idx="97">
                  <c:v>44169</c:v>
                </c:pt>
                <c:pt idx="98">
                  <c:v>44172</c:v>
                </c:pt>
                <c:pt idx="99">
                  <c:v>44173</c:v>
                </c:pt>
                <c:pt idx="100">
                  <c:v>44174</c:v>
                </c:pt>
                <c:pt idx="101">
                  <c:v>44175</c:v>
                </c:pt>
                <c:pt idx="102">
                  <c:v>44176</c:v>
                </c:pt>
                <c:pt idx="103">
                  <c:v>44179</c:v>
                </c:pt>
                <c:pt idx="104">
                  <c:v>44180</c:v>
                </c:pt>
                <c:pt idx="105">
                  <c:v>44181</c:v>
                </c:pt>
                <c:pt idx="106">
                  <c:v>44182</c:v>
                </c:pt>
                <c:pt idx="107">
                  <c:v>44183</c:v>
                </c:pt>
                <c:pt idx="108">
                  <c:v>44186</c:v>
                </c:pt>
                <c:pt idx="109">
                  <c:v>44187</c:v>
                </c:pt>
                <c:pt idx="110">
                  <c:v>44188</c:v>
                </c:pt>
                <c:pt idx="111">
                  <c:v>44189</c:v>
                </c:pt>
                <c:pt idx="112">
                  <c:v>44190</c:v>
                </c:pt>
                <c:pt idx="113">
                  <c:v>44193</c:v>
                </c:pt>
                <c:pt idx="114">
                  <c:v>44194</c:v>
                </c:pt>
                <c:pt idx="115">
                  <c:v>44195</c:v>
                </c:pt>
                <c:pt idx="116">
                  <c:v>44196</c:v>
                </c:pt>
                <c:pt idx="117">
                  <c:v>44200</c:v>
                </c:pt>
                <c:pt idx="118">
                  <c:v>44201</c:v>
                </c:pt>
                <c:pt idx="119">
                  <c:v>44202</c:v>
                </c:pt>
                <c:pt idx="120">
                  <c:v>44203</c:v>
                </c:pt>
                <c:pt idx="121">
                  <c:v>44204</c:v>
                </c:pt>
                <c:pt idx="122">
                  <c:v>44207</c:v>
                </c:pt>
                <c:pt idx="123">
                  <c:v>44208</c:v>
                </c:pt>
                <c:pt idx="124">
                  <c:v>44209</c:v>
                </c:pt>
                <c:pt idx="125">
                  <c:v>44210</c:v>
                </c:pt>
                <c:pt idx="126">
                  <c:v>44211</c:v>
                </c:pt>
                <c:pt idx="127">
                  <c:v>44214</c:v>
                </c:pt>
                <c:pt idx="128">
                  <c:v>44215</c:v>
                </c:pt>
                <c:pt idx="129">
                  <c:v>44216</c:v>
                </c:pt>
                <c:pt idx="130">
                  <c:v>44217</c:v>
                </c:pt>
                <c:pt idx="131">
                  <c:v>44218</c:v>
                </c:pt>
                <c:pt idx="132">
                  <c:v>44221</c:v>
                </c:pt>
                <c:pt idx="133">
                  <c:v>44222</c:v>
                </c:pt>
                <c:pt idx="134">
                  <c:v>44223</c:v>
                </c:pt>
                <c:pt idx="135">
                  <c:v>44224</c:v>
                </c:pt>
                <c:pt idx="136">
                  <c:v>44225</c:v>
                </c:pt>
                <c:pt idx="137">
                  <c:v>44228</c:v>
                </c:pt>
                <c:pt idx="138">
                  <c:v>44229</c:v>
                </c:pt>
                <c:pt idx="139">
                  <c:v>44230</c:v>
                </c:pt>
                <c:pt idx="140">
                  <c:v>44231</c:v>
                </c:pt>
                <c:pt idx="141">
                  <c:v>44232</c:v>
                </c:pt>
                <c:pt idx="142">
                  <c:v>44235</c:v>
                </c:pt>
                <c:pt idx="143">
                  <c:v>44236</c:v>
                </c:pt>
                <c:pt idx="144">
                  <c:v>44237</c:v>
                </c:pt>
                <c:pt idx="145">
                  <c:v>44245</c:v>
                </c:pt>
                <c:pt idx="146">
                  <c:v>44246</c:v>
                </c:pt>
                <c:pt idx="147">
                  <c:v>44249</c:v>
                </c:pt>
                <c:pt idx="148">
                  <c:v>44250</c:v>
                </c:pt>
                <c:pt idx="149">
                  <c:v>44251</c:v>
                </c:pt>
                <c:pt idx="150">
                  <c:v>44252</c:v>
                </c:pt>
                <c:pt idx="151">
                  <c:v>44253</c:v>
                </c:pt>
                <c:pt idx="152">
                  <c:v>44256</c:v>
                </c:pt>
                <c:pt idx="153">
                  <c:v>44257</c:v>
                </c:pt>
                <c:pt idx="154">
                  <c:v>44258</c:v>
                </c:pt>
                <c:pt idx="155">
                  <c:v>44259</c:v>
                </c:pt>
                <c:pt idx="156">
                  <c:v>44260</c:v>
                </c:pt>
                <c:pt idx="157">
                  <c:v>44263</c:v>
                </c:pt>
                <c:pt idx="158">
                  <c:v>44264</c:v>
                </c:pt>
                <c:pt idx="159">
                  <c:v>44265</c:v>
                </c:pt>
                <c:pt idx="160">
                  <c:v>44266</c:v>
                </c:pt>
                <c:pt idx="161">
                  <c:v>44267</c:v>
                </c:pt>
                <c:pt idx="162">
                  <c:v>44270</c:v>
                </c:pt>
                <c:pt idx="163">
                  <c:v>44271</c:v>
                </c:pt>
                <c:pt idx="164">
                  <c:v>44272</c:v>
                </c:pt>
                <c:pt idx="165">
                  <c:v>44273</c:v>
                </c:pt>
                <c:pt idx="166">
                  <c:v>44274</c:v>
                </c:pt>
                <c:pt idx="167">
                  <c:v>44277</c:v>
                </c:pt>
                <c:pt idx="168">
                  <c:v>44278</c:v>
                </c:pt>
                <c:pt idx="169">
                  <c:v>44279</c:v>
                </c:pt>
                <c:pt idx="170">
                  <c:v>44280</c:v>
                </c:pt>
                <c:pt idx="171">
                  <c:v>44281</c:v>
                </c:pt>
                <c:pt idx="172">
                  <c:v>44284</c:v>
                </c:pt>
                <c:pt idx="173">
                  <c:v>44285</c:v>
                </c:pt>
                <c:pt idx="174">
                  <c:v>44286</c:v>
                </c:pt>
                <c:pt idx="175">
                  <c:v>44287</c:v>
                </c:pt>
                <c:pt idx="176">
                  <c:v>44288</c:v>
                </c:pt>
                <c:pt idx="177">
                  <c:v>44292</c:v>
                </c:pt>
                <c:pt idx="178">
                  <c:v>44293</c:v>
                </c:pt>
                <c:pt idx="179">
                  <c:v>44294</c:v>
                </c:pt>
                <c:pt idx="180">
                  <c:v>44295</c:v>
                </c:pt>
                <c:pt idx="181">
                  <c:v>44298</c:v>
                </c:pt>
                <c:pt idx="182">
                  <c:v>44299</c:v>
                </c:pt>
                <c:pt idx="183">
                  <c:v>44300</c:v>
                </c:pt>
                <c:pt idx="184">
                  <c:v>44301</c:v>
                </c:pt>
                <c:pt idx="185">
                  <c:v>44302</c:v>
                </c:pt>
                <c:pt idx="186">
                  <c:v>44305</c:v>
                </c:pt>
                <c:pt idx="187">
                  <c:v>44306</c:v>
                </c:pt>
                <c:pt idx="188">
                  <c:v>44307</c:v>
                </c:pt>
                <c:pt idx="189">
                  <c:v>44308</c:v>
                </c:pt>
                <c:pt idx="190">
                  <c:v>44309</c:v>
                </c:pt>
                <c:pt idx="191">
                  <c:v>44312</c:v>
                </c:pt>
                <c:pt idx="192">
                  <c:v>44313</c:v>
                </c:pt>
                <c:pt idx="193">
                  <c:v>44314</c:v>
                </c:pt>
                <c:pt idx="194">
                  <c:v>44315</c:v>
                </c:pt>
                <c:pt idx="195">
                  <c:v>44316</c:v>
                </c:pt>
                <c:pt idx="196">
                  <c:v>44322</c:v>
                </c:pt>
                <c:pt idx="197">
                  <c:v>44323</c:v>
                </c:pt>
                <c:pt idx="198">
                  <c:v>44326</c:v>
                </c:pt>
                <c:pt idx="199">
                  <c:v>44327</c:v>
                </c:pt>
                <c:pt idx="200">
                  <c:v>44328</c:v>
                </c:pt>
                <c:pt idx="201">
                  <c:v>44329</c:v>
                </c:pt>
                <c:pt idx="202">
                  <c:v>44330</c:v>
                </c:pt>
                <c:pt idx="203">
                  <c:v>44333</c:v>
                </c:pt>
              </c:numCache>
            </c:numRef>
          </c:cat>
          <c:val>
            <c:numRef>
              <c:f>蒙玺分形3号!$B$21:$B$224</c:f>
              <c:numCache>
                <c:formatCode>0.0000_ </c:formatCode>
                <c:ptCount val="204"/>
                <c:pt idx="0">
                  <c:v>1.0216000000000001</c:v>
                </c:pt>
                <c:pt idx="1">
                  <c:v>1.0165</c:v>
                </c:pt>
                <c:pt idx="2">
                  <c:v>1.0127999999999999</c:v>
                </c:pt>
                <c:pt idx="3">
                  <c:v>1.0152000000000001</c:v>
                </c:pt>
                <c:pt idx="4">
                  <c:v>1.0181</c:v>
                </c:pt>
                <c:pt idx="5">
                  <c:v>1.0203</c:v>
                </c:pt>
                <c:pt idx="6">
                  <c:v>1.0206999999999999</c:v>
                </c:pt>
                <c:pt idx="7">
                  <c:v>1.0203</c:v>
                </c:pt>
                <c:pt idx="8">
                  <c:v>1.0175000000000001</c:v>
                </c:pt>
                <c:pt idx="9">
                  <c:v>1.0199</c:v>
                </c:pt>
                <c:pt idx="10">
                  <c:v>1.0215000000000001</c:v>
                </c:pt>
                <c:pt idx="11">
                  <c:v>1.0206999999999999</c:v>
                </c:pt>
                <c:pt idx="12">
                  <c:v>1.0217000000000001</c:v>
                </c:pt>
                <c:pt idx="13">
                  <c:v>1.0248999999999999</c:v>
                </c:pt>
                <c:pt idx="14">
                  <c:v>1.0266999999999999</c:v>
                </c:pt>
                <c:pt idx="15">
                  <c:v>1.0258</c:v>
                </c:pt>
                <c:pt idx="16">
                  <c:v>1.0309999999999999</c:v>
                </c:pt>
                <c:pt idx="17">
                  <c:v>1.0314000000000001</c:v>
                </c:pt>
                <c:pt idx="18">
                  <c:v>1.0310999999999999</c:v>
                </c:pt>
                <c:pt idx="19">
                  <c:v>1.0303</c:v>
                </c:pt>
                <c:pt idx="20">
                  <c:v>1.0253000000000001</c:v>
                </c:pt>
                <c:pt idx="21">
                  <c:v>1.0279</c:v>
                </c:pt>
                <c:pt idx="22">
                  <c:v>1.0254000000000001</c:v>
                </c:pt>
                <c:pt idx="23">
                  <c:v>1.0294000000000001</c:v>
                </c:pt>
                <c:pt idx="24">
                  <c:v>1.0271999999999999</c:v>
                </c:pt>
                <c:pt idx="25">
                  <c:v>1.0290999999999999</c:v>
                </c:pt>
                <c:pt idx="26">
                  <c:v>1.0314000000000001</c:v>
                </c:pt>
                <c:pt idx="27">
                  <c:v>1.0291999999999999</c:v>
                </c:pt>
                <c:pt idx="28">
                  <c:v>1.0336000000000001</c:v>
                </c:pt>
                <c:pt idx="29">
                  <c:v>1.0310999999999999</c:v>
                </c:pt>
                <c:pt idx="30">
                  <c:v>1.0323</c:v>
                </c:pt>
                <c:pt idx="31">
                  <c:v>1.0282</c:v>
                </c:pt>
                <c:pt idx="32">
                  <c:v>1.0322</c:v>
                </c:pt>
                <c:pt idx="33">
                  <c:v>1.0351999999999999</c:v>
                </c:pt>
                <c:pt idx="34">
                  <c:v>1.0304</c:v>
                </c:pt>
                <c:pt idx="35">
                  <c:v>1.0317000000000001</c:v>
                </c:pt>
                <c:pt idx="36">
                  <c:v>1.0289999999999999</c:v>
                </c:pt>
                <c:pt idx="37">
                  <c:v>1.0265</c:v>
                </c:pt>
                <c:pt idx="38">
                  <c:v>1.0275000000000001</c:v>
                </c:pt>
                <c:pt idx="39">
                  <c:v>1.0232000000000001</c:v>
                </c:pt>
                <c:pt idx="40">
                  <c:v>1.0215000000000001</c:v>
                </c:pt>
                <c:pt idx="41">
                  <c:v>1.0165</c:v>
                </c:pt>
                <c:pt idx="42">
                  <c:v>1.016</c:v>
                </c:pt>
                <c:pt idx="43">
                  <c:v>1.0204</c:v>
                </c:pt>
                <c:pt idx="44">
                  <c:v>1.0213000000000001</c:v>
                </c:pt>
                <c:pt idx="45">
                  <c:v>1.0207999999999999</c:v>
                </c:pt>
                <c:pt idx="46">
                  <c:v>1.0221</c:v>
                </c:pt>
                <c:pt idx="47">
                  <c:v>1.0185</c:v>
                </c:pt>
                <c:pt idx="48">
                  <c:v>1.0203</c:v>
                </c:pt>
                <c:pt idx="49">
                  <c:v>1.018</c:v>
                </c:pt>
                <c:pt idx="50">
                  <c:v>1.0177</c:v>
                </c:pt>
                <c:pt idx="51">
                  <c:v>1.0193000000000001</c:v>
                </c:pt>
                <c:pt idx="52">
                  <c:v>1.0165</c:v>
                </c:pt>
                <c:pt idx="53">
                  <c:v>1.0146999999999999</c:v>
                </c:pt>
                <c:pt idx="54">
                  <c:v>1.0135000000000001</c:v>
                </c:pt>
                <c:pt idx="55">
                  <c:v>1.0115000000000001</c:v>
                </c:pt>
                <c:pt idx="56">
                  <c:v>1.0145</c:v>
                </c:pt>
                <c:pt idx="57">
                  <c:v>1.014</c:v>
                </c:pt>
                <c:pt idx="58">
                  <c:v>1.0154000000000001</c:v>
                </c:pt>
                <c:pt idx="59">
                  <c:v>1.0150999999999999</c:v>
                </c:pt>
                <c:pt idx="60">
                  <c:v>1.0130999999999999</c:v>
                </c:pt>
                <c:pt idx="61">
                  <c:v>1.0116000000000001</c:v>
                </c:pt>
                <c:pt idx="62">
                  <c:v>1.0112000000000001</c:v>
                </c:pt>
                <c:pt idx="63">
                  <c:v>1.0105999999999999</c:v>
                </c:pt>
                <c:pt idx="64">
                  <c:v>1.0128999999999999</c:v>
                </c:pt>
                <c:pt idx="65">
                  <c:v>1.0119</c:v>
                </c:pt>
                <c:pt idx="66">
                  <c:v>1.0104</c:v>
                </c:pt>
                <c:pt idx="67">
                  <c:v>1.0063</c:v>
                </c:pt>
                <c:pt idx="68">
                  <c:v>1.0065</c:v>
                </c:pt>
                <c:pt idx="69">
                  <c:v>1.0083</c:v>
                </c:pt>
                <c:pt idx="70">
                  <c:v>1.0077</c:v>
                </c:pt>
                <c:pt idx="71">
                  <c:v>1.0078</c:v>
                </c:pt>
                <c:pt idx="72">
                  <c:v>1.0076000000000001</c:v>
                </c:pt>
                <c:pt idx="73">
                  <c:v>1.008</c:v>
                </c:pt>
                <c:pt idx="74">
                  <c:v>1.0112000000000001</c:v>
                </c:pt>
                <c:pt idx="75">
                  <c:v>1.0135000000000001</c:v>
                </c:pt>
                <c:pt idx="76">
                  <c:v>1.0138</c:v>
                </c:pt>
                <c:pt idx="77">
                  <c:v>1.0133000000000001</c:v>
                </c:pt>
                <c:pt idx="78">
                  <c:v>1.0149999999999999</c:v>
                </c:pt>
                <c:pt idx="79">
                  <c:v>1.0181</c:v>
                </c:pt>
                <c:pt idx="80">
                  <c:v>1.014</c:v>
                </c:pt>
                <c:pt idx="81">
                  <c:v>1.0181</c:v>
                </c:pt>
                <c:pt idx="82">
                  <c:v>1.0179</c:v>
                </c:pt>
                <c:pt idx="83">
                  <c:v>1.0181</c:v>
                </c:pt>
                <c:pt idx="84">
                  <c:v>1.0192000000000001</c:v>
                </c:pt>
                <c:pt idx="85">
                  <c:v>1.0193000000000001</c:v>
                </c:pt>
                <c:pt idx="86">
                  <c:v>1.018</c:v>
                </c:pt>
                <c:pt idx="87">
                  <c:v>1.0189999999999999</c:v>
                </c:pt>
                <c:pt idx="88">
                  <c:v>1.0184</c:v>
                </c:pt>
                <c:pt idx="89">
                  <c:v>1.0187999999999999</c:v>
                </c:pt>
                <c:pt idx="90">
                  <c:v>1.0157</c:v>
                </c:pt>
                <c:pt idx="91">
                  <c:v>1.018</c:v>
                </c:pt>
                <c:pt idx="92">
                  <c:v>1.0194000000000001</c:v>
                </c:pt>
                <c:pt idx="93">
                  <c:v>1.0143</c:v>
                </c:pt>
                <c:pt idx="94">
                  <c:v>1.0165999999999999</c:v>
                </c:pt>
                <c:pt idx="95">
                  <c:v>1.0165</c:v>
                </c:pt>
                <c:pt idx="96">
                  <c:v>1.0165</c:v>
                </c:pt>
                <c:pt idx="97">
                  <c:v>1.0182</c:v>
                </c:pt>
                <c:pt idx="98">
                  <c:v>1.0165</c:v>
                </c:pt>
                <c:pt idx="99">
                  <c:v>1.0165</c:v>
                </c:pt>
                <c:pt idx="100">
                  <c:v>1.0129999999999999</c:v>
                </c:pt>
                <c:pt idx="101">
                  <c:v>1.0163</c:v>
                </c:pt>
                <c:pt idx="102">
                  <c:v>1.0192000000000001</c:v>
                </c:pt>
                <c:pt idx="103">
                  <c:v>1.0192000000000001</c:v>
                </c:pt>
                <c:pt idx="104">
                  <c:v>1.018</c:v>
                </c:pt>
                <c:pt idx="105">
                  <c:v>1.0165</c:v>
                </c:pt>
                <c:pt idx="106">
                  <c:v>1.0182</c:v>
                </c:pt>
                <c:pt idx="107">
                  <c:v>1.0185</c:v>
                </c:pt>
                <c:pt idx="108">
                  <c:v>1.0189999999999999</c:v>
                </c:pt>
                <c:pt idx="109">
                  <c:v>1.0146999999999999</c:v>
                </c:pt>
                <c:pt idx="110">
                  <c:v>1.0174000000000001</c:v>
                </c:pt>
                <c:pt idx="111">
                  <c:v>1.0153000000000001</c:v>
                </c:pt>
                <c:pt idx="112">
                  <c:v>1.0156000000000001</c:v>
                </c:pt>
                <c:pt idx="113">
                  <c:v>1.0178</c:v>
                </c:pt>
                <c:pt idx="114">
                  <c:v>1.0148999999999999</c:v>
                </c:pt>
                <c:pt idx="115">
                  <c:v>1.016</c:v>
                </c:pt>
                <c:pt idx="116">
                  <c:v>1.0182</c:v>
                </c:pt>
                <c:pt idx="117">
                  <c:v>1.0189999999999999</c:v>
                </c:pt>
                <c:pt idx="118">
                  <c:v>1.0246999999999999</c:v>
                </c:pt>
                <c:pt idx="119">
                  <c:v>1.0241</c:v>
                </c:pt>
                <c:pt idx="120">
                  <c:v>1.0251999999999999</c:v>
                </c:pt>
                <c:pt idx="121">
                  <c:v>1.0217000000000001</c:v>
                </c:pt>
                <c:pt idx="122">
                  <c:v>1.0215000000000001</c:v>
                </c:pt>
                <c:pt idx="123">
                  <c:v>1.0262</c:v>
                </c:pt>
                <c:pt idx="124">
                  <c:v>1.0236000000000001</c:v>
                </c:pt>
                <c:pt idx="125">
                  <c:v>1.0177</c:v>
                </c:pt>
                <c:pt idx="126">
                  <c:v>1.0187999999999999</c:v>
                </c:pt>
                <c:pt idx="127">
                  <c:v>1.0219</c:v>
                </c:pt>
                <c:pt idx="128">
                  <c:v>1.0217000000000001</c:v>
                </c:pt>
                <c:pt idx="129">
                  <c:v>1.0223</c:v>
                </c:pt>
                <c:pt idx="130">
                  <c:v>1.0208999999999999</c:v>
                </c:pt>
                <c:pt idx="131">
                  <c:v>1.0253000000000001</c:v>
                </c:pt>
                <c:pt idx="132">
                  <c:v>1.0259</c:v>
                </c:pt>
                <c:pt idx="133">
                  <c:v>1.0250999999999999</c:v>
                </c:pt>
                <c:pt idx="134">
                  <c:v>1.0248999999999999</c:v>
                </c:pt>
                <c:pt idx="135">
                  <c:v>1.0245</c:v>
                </c:pt>
                <c:pt idx="136">
                  <c:v>1.0278</c:v>
                </c:pt>
                <c:pt idx="137">
                  <c:v>1.0263</c:v>
                </c:pt>
                <c:pt idx="138">
                  <c:v>1.0273000000000001</c:v>
                </c:pt>
                <c:pt idx="139">
                  <c:v>1.0242</c:v>
                </c:pt>
                <c:pt idx="140">
                  <c:v>1.0248999999999999</c:v>
                </c:pt>
                <c:pt idx="141">
                  <c:v>1.0222</c:v>
                </c:pt>
                <c:pt idx="142">
                  <c:v>1.0245</c:v>
                </c:pt>
                <c:pt idx="143">
                  <c:v>1.0271999999999999</c:v>
                </c:pt>
                <c:pt idx="144">
                  <c:v>1.0298</c:v>
                </c:pt>
                <c:pt idx="145">
                  <c:v>1.0329999999999999</c:v>
                </c:pt>
                <c:pt idx="146">
                  <c:v>1.0311999999999999</c:v>
                </c:pt>
                <c:pt idx="147">
                  <c:v>1.0307999999999999</c:v>
                </c:pt>
                <c:pt idx="148">
                  <c:v>1.0318000000000001</c:v>
                </c:pt>
                <c:pt idx="149">
                  <c:v>1.0314000000000001</c:v>
                </c:pt>
                <c:pt idx="150">
                  <c:v>1.0321</c:v>
                </c:pt>
                <c:pt idx="151">
                  <c:v>1.0304</c:v>
                </c:pt>
                <c:pt idx="152">
                  <c:v>1.0367</c:v>
                </c:pt>
                <c:pt idx="153">
                  <c:v>1.036</c:v>
                </c:pt>
                <c:pt idx="154">
                  <c:v>1.0367</c:v>
                </c:pt>
                <c:pt idx="155">
                  <c:v>1.0334000000000001</c:v>
                </c:pt>
                <c:pt idx="156">
                  <c:v>1.0290999999999999</c:v>
                </c:pt>
                <c:pt idx="157">
                  <c:v>1.0256000000000001</c:v>
                </c:pt>
                <c:pt idx="158">
                  <c:v>1.0232000000000001</c:v>
                </c:pt>
                <c:pt idx="159">
                  <c:v>1.0261</c:v>
                </c:pt>
                <c:pt idx="160">
                  <c:v>1.0327999999999999</c:v>
                </c:pt>
                <c:pt idx="161">
                  <c:v>1.0327999999999999</c:v>
                </c:pt>
                <c:pt idx="162">
                  <c:v>1.0329999999999999</c:v>
                </c:pt>
                <c:pt idx="163">
                  <c:v>1.0325</c:v>
                </c:pt>
                <c:pt idx="164">
                  <c:v>1.0310999999999999</c:v>
                </c:pt>
                <c:pt idx="165">
                  <c:v>1.0316000000000001</c:v>
                </c:pt>
                <c:pt idx="166">
                  <c:v>1.0301</c:v>
                </c:pt>
                <c:pt idx="167">
                  <c:v>1.0301</c:v>
                </c:pt>
                <c:pt idx="168">
                  <c:v>1.0285</c:v>
                </c:pt>
                <c:pt idx="169">
                  <c:v>1.0241</c:v>
                </c:pt>
                <c:pt idx="170">
                  <c:v>1.0230999999999999</c:v>
                </c:pt>
                <c:pt idx="171">
                  <c:v>1.0242</c:v>
                </c:pt>
                <c:pt idx="172">
                  <c:v>1.0255000000000001</c:v>
                </c:pt>
                <c:pt idx="173">
                  <c:v>1.0271999999999999</c:v>
                </c:pt>
                <c:pt idx="174">
                  <c:v>1.0266999999999999</c:v>
                </c:pt>
                <c:pt idx="175">
                  <c:v>1.0268999999999999</c:v>
                </c:pt>
                <c:pt idx="176">
                  <c:v>1.0270999999999999</c:v>
                </c:pt>
                <c:pt idx="177">
                  <c:v>1.0274000000000001</c:v>
                </c:pt>
                <c:pt idx="178">
                  <c:v>1.0295000000000001</c:v>
                </c:pt>
                <c:pt idx="179">
                  <c:v>1.0283</c:v>
                </c:pt>
                <c:pt idx="180">
                  <c:v>1.0284</c:v>
                </c:pt>
                <c:pt idx="181">
                  <c:v>1.0261</c:v>
                </c:pt>
                <c:pt idx="182">
                  <c:v>1.024</c:v>
                </c:pt>
                <c:pt idx="183">
                  <c:v>1.0249999999999999</c:v>
                </c:pt>
                <c:pt idx="184">
                  <c:v>1.0235000000000001</c:v>
                </c:pt>
                <c:pt idx="185">
                  <c:v>1.0212000000000001</c:v>
                </c:pt>
                <c:pt idx="186">
                  <c:v>1.0218</c:v>
                </c:pt>
                <c:pt idx="187">
                  <c:v>1.0202</c:v>
                </c:pt>
                <c:pt idx="188">
                  <c:v>1.0206</c:v>
                </c:pt>
                <c:pt idx="189">
                  <c:v>1.0228999999999999</c:v>
                </c:pt>
                <c:pt idx="190">
                  <c:v>1.0209999999999999</c:v>
                </c:pt>
                <c:pt idx="191">
                  <c:v>1.0199</c:v>
                </c:pt>
                <c:pt idx="192">
                  <c:v>1.0209999999999999</c:v>
                </c:pt>
                <c:pt idx="193">
                  <c:v>1.0213000000000001</c:v>
                </c:pt>
                <c:pt idx="194">
                  <c:v>1.0206999999999999</c:v>
                </c:pt>
                <c:pt idx="195">
                  <c:v>1.0206</c:v>
                </c:pt>
                <c:pt idx="196">
                  <c:v>1.0201</c:v>
                </c:pt>
                <c:pt idx="197">
                  <c:v>1.0185999999999999</c:v>
                </c:pt>
                <c:pt idx="198">
                  <c:v>1.0214000000000001</c:v>
                </c:pt>
                <c:pt idx="199">
                  <c:v>1.0209999999999999</c:v>
                </c:pt>
                <c:pt idx="200">
                  <c:v>1.0216000000000001</c:v>
                </c:pt>
                <c:pt idx="201">
                  <c:v>1.0212000000000001</c:v>
                </c:pt>
                <c:pt idx="202">
                  <c:v>1.0205</c:v>
                </c:pt>
                <c:pt idx="203">
                  <c:v>1.0199</c:v>
                </c:pt>
              </c:numCache>
            </c:numRef>
          </c:val>
          <c:smooth val="0"/>
          <c:extLst>
            <c:ext xmlns:c16="http://schemas.microsoft.com/office/drawing/2014/chart" uri="{C3380CC4-5D6E-409C-BE32-E72D297353CC}">
              <c16:uniqueId val="{00000000-6E33-478C-9134-7CFA81360521}"/>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蒙玺中证</a:t>
            </a:r>
            <a:r>
              <a:rPr lang="en-US" altLang="zh-CN" sz="1600"/>
              <a:t>500</a:t>
            </a:r>
            <a:r>
              <a:rPr lang="zh-CN" altLang="en-US" sz="1600"/>
              <a:t>指增</a:t>
            </a:r>
            <a:endParaRPr lang="en-US" altLang="zh-CN" sz="1600"/>
          </a:p>
        </c:rich>
      </c:tx>
      <c:overlay val="0"/>
    </c:title>
    <c:autoTitleDeleted val="0"/>
    <c:plotArea>
      <c:layout/>
      <c:lineChart>
        <c:grouping val="standard"/>
        <c:varyColors val="0"/>
        <c:ser>
          <c:idx val="0"/>
          <c:order val="0"/>
          <c:tx>
            <c:strRef>
              <c:f>蒙玺中证500指增!$B$20</c:f>
              <c:strCache>
                <c:ptCount val="1"/>
                <c:pt idx="0">
                  <c:v>累计净值</c:v>
                </c:pt>
              </c:strCache>
            </c:strRef>
          </c:tx>
          <c:marker>
            <c:symbol val="none"/>
          </c:marker>
          <c:cat>
            <c:numRef>
              <c:f>蒙玺中证500指增!$A$21:$A$224</c:f>
              <c:numCache>
                <c:formatCode>m/d/yy</c:formatCode>
                <c:ptCount val="204"/>
                <c:pt idx="0">
                  <c:v>44026</c:v>
                </c:pt>
                <c:pt idx="1">
                  <c:v>44027</c:v>
                </c:pt>
                <c:pt idx="2">
                  <c:v>44028</c:v>
                </c:pt>
                <c:pt idx="3">
                  <c:v>44029</c:v>
                </c:pt>
                <c:pt idx="4">
                  <c:v>44032</c:v>
                </c:pt>
                <c:pt idx="5">
                  <c:v>44033</c:v>
                </c:pt>
                <c:pt idx="6">
                  <c:v>44034</c:v>
                </c:pt>
                <c:pt idx="7">
                  <c:v>44035</c:v>
                </c:pt>
                <c:pt idx="8">
                  <c:v>44036</c:v>
                </c:pt>
                <c:pt idx="9">
                  <c:v>44039</c:v>
                </c:pt>
                <c:pt idx="10">
                  <c:v>44040</c:v>
                </c:pt>
                <c:pt idx="11">
                  <c:v>44041</c:v>
                </c:pt>
                <c:pt idx="12">
                  <c:v>44042</c:v>
                </c:pt>
                <c:pt idx="13">
                  <c:v>44043</c:v>
                </c:pt>
                <c:pt idx="14">
                  <c:v>44046</c:v>
                </c:pt>
                <c:pt idx="15">
                  <c:v>44047</c:v>
                </c:pt>
                <c:pt idx="16">
                  <c:v>44048</c:v>
                </c:pt>
                <c:pt idx="17">
                  <c:v>44049</c:v>
                </c:pt>
                <c:pt idx="18">
                  <c:v>44050</c:v>
                </c:pt>
                <c:pt idx="19">
                  <c:v>44053</c:v>
                </c:pt>
                <c:pt idx="20">
                  <c:v>44054</c:v>
                </c:pt>
                <c:pt idx="21">
                  <c:v>44055</c:v>
                </c:pt>
                <c:pt idx="22">
                  <c:v>44056</c:v>
                </c:pt>
                <c:pt idx="23">
                  <c:v>44057</c:v>
                </c:pt>
                <c:pt idx="24">
                  <c:v>44060</c:v>
                </c:pt>
                <c:pt idx="25">
                  <c:v>44061</c:v>
                </c:pt>
                <c:pt idx="26">
                  <c:v>44062</c:v>
                </c:pt>
                <c:pt idx="27">
                  <c:v>44063</c:v>
                </c:pt>
                <c:pt idx="28">
                  <c:v>44064</c:v>
                </c:pt>
                <c:pt idx="29">
                  <c:v>44067</c:v>
                </c:pt>
                <c:pt idx="30">
                  <c:v>44068</c:v>
                </c:pt>
                <c:pt idx="31">
                  <c:v>44069</c:v>
                </c:pt>
                <c:pt idx="32">
                  <c:v>44070</c:v>
                </c:pt>
                <c:pt idx="33">
                  <c:v>44071</c:v>
                </c:pt>
                <c:pt idx="34">
                  <c:v>44074</c:v>
                </c:pt>
                <c:pt idx="35">
                  <c:v>44075</c:v>
                </c:pt>
                <c:pt idx="36">
                  <c:v>44076</c:v>
                </c:pt>
                <c:pt idx="37">
                  <c:v>44077</c:v>
                </c:pt>
                <c:pt idx="38">
                  <c:v>44078</c:v>
                </c:pt>
                <c:pt idx="39">
                  <c:v>44081</c:v>
                </c:pt>
                <c:pt idx="40">
                  <c:v>44082</c:v>
                </c:pt>
                <c:pt idx="41">
                  <c:v>44083</c:v>
                </c:pt>
                <c:pt idx="42">
                  <c:v>44084</c:v>
                </c:pt>
                <c:pt idx="43">
                  <c:v>44085</c:v>
                </c:pt>
                <c:pt idx="44">
                  <c:v>44088</c:v>
                </c:pt>
                <c:pt idx="45">
                  <c:v>44089</c:v>
                </c:pt>
                <c:pt idx="46">
                  <c:v>44090</c:v>
                </c:pt>
                <c:pt idx="47">
                  <c:v>44091</c:v>
                </c:pt>
                <c:pt idx="48">
                  <c:v>44092</c:v>
                </c:pt>
                <c:pt idx="49">
                  <c:v>44095</c:v>
                </c:pt>
                <c:pt idx="50">
                  <c:v>44096</c:v>
                </c:pt>
                <c:pt idx="51">
                  <c:v>44097</c:v>
                </c:pt>
                <c:pt idx="52">
                  <c:v>44098</c:v>
                </c:pt>
                <c:pt idx="53">
                  <c:v>44099</c:v>
                </c:pt>
                <c:pt idx="54">
                  <c:v>44102</c:v>
                </c:pt>
                <c:pt idx="55">
                  <c:v>44103</c:v>
                </c:pt>
                <c:pt idx="56">
                  <c:v>44104</c:v>
                </c:pt>
                <c:pt idx="57">
                  <c:v>44113</c:v>
                </c:pt>
                <c:pt idx="58">
                  <c:v>44116</c:v>
                </c:pt>
                <c:pt idx="59">
                  <c:v>44117</c:v>
                </c:pt>
                <c:pt idx="60">
                  <c:v>44118</c:v>
                </c:pt>
                <c:pt idx="61">
                  <c:v>44119</c:v>
                </c:pt>
                <c:pt idx="62">
                  <c:v>44120</c:v>
                </c:pt>
                <c:pt idx="63">
                  <c:v>44123</c:v>
                </c:pt>
                <c:pt idx="64">
                  <c:v>44124</c:v>
                </c:pt>
                <c:pt idx="65">
                  <c:v>44125</c:v>
                </c:pt>
                <c:pt idx="66">
                  <c:v>44126</c:v>
                </c:pt>
                <c:pt idx="67">
                  <c:v>44127</c:v>
                </c:pt>
                <c:pt idx="68">
                  <c:v>44130</c:v>
                </c:pt>
                <c:pt idx="69">
                  <c:v>44131</c:v>
                </c:pt>
                <c:pt idx="70">
                  <c:v>44132</c:v>
                </c:pt>
                <c:pt idx="71">
                  <c:v>44133</c:v>
                </c:pt>
                <c:pt idx="72">
                  <c:v>44134</c:v>
                </c:pt>
                <c:pt idx="73">
                  <c:v>44137</c:v>
                </c:pt>
                <c:pt idx="74">
                  <c:v>44138</c:v>
                </c:pt>
                <c:pt idx="75">
                  <c:v>44139</c:v>
                </c:pt>
                <c:pt idx="76">
                  <c:v>44140</c:v>
                </c:pt>
                <c:pt idx="77">
                  <c:v>44141</c:v>
                </c:pt>
                <c:pt idx="78">
                  <c:v>44144</c:v>
                </c:pt>
                <c:pt idx="79">
                  <c:v>44145</c:v>
                </c:pt>
                <c:pt idx="80">
                  <c:v>44146</c:v>
                </c:pt>
                <c:pt idx="81">
                  <c:v>44147</c:v>
                </c:pt>
                <c:pt idx="82">
                  <c:v>44148</c:v>
                </c:pt>
                <c:pt idx="83">
                  <c:v>44151</c:v>
                </c:pt>
                <c:pt idx="84">
                  <c:v>44152</c:v>
                </c:pt>
                <c:pt idx="85">
                  <c:v>44153</c:v>
                </c:pt>
                <c:pt idx="86">
                  <c:v>44154</c:v>
                </c:pt>
                <c:pt idx="87">
                  <c:v>44155</c:v>
                </c:pt>
                <c:pt idx="88">
                  <c:v>44158</c:v>
                </c:pt>
                <c:pt idx="89">
                  <c:v>44159</c:v>
                </c:pt>
                <c:pt idx="90">
                  <c:v>44160</c:v>
                </c:pt>
                <c:pt idx="91">
                  <c:v>44161</c:v>
                </c:pt>
                <c:pt idx="92">
                  <c:v>44162</c:v>
                </c:pt>
                <c:pt idx="93">
                  <c:v>44165</c:v>
                </c:pt>
                <c:pt idx="94">
                  <c:v>44166</c:v>
                </c:pt>
                <c:pt idx="95">
                  <c:v>44167</c:v>
                </c:pt>
                <c:pt idx="96">
                  <c:v>44168</c:v>
                </c:pt>
                <c:pt idx="97">
                  <c:v>44169</c:v>
                </c:pt>
                <c:pt idx="98">
                  <c:v>44172</c:v>
                </c:pt>
                <c:pt idx="99">
                  <c:v>44173</c:v>
                </c:pt>
                <c:pt idx="100">
                  <c:v>44174</c:v>
                </c:pt>
                <c:pt idx="101">
                  <c:v>44175</c:v>
                </c:pt>
                <c:pt idx="102">
                  <c:v>44176</c:v>
                </c:pt>
                <c:pt idx="103">
                  <c:v>44179</c:v>
                </c:pt>
                <c:pt idx="104">
                  <c:v>44180</c:v>
                </c:pt>
                <c:pt idx="105">
                  <c:v>44181</c:v>
                </c:pt>
                <c:pt idx="106">
                  <c:v>44182</c:v>
                </c:pt>
                <c:pt idx="107">
                  <c:v>44183</c:v>
                </c:pt>
                <c:pt idx="108">
                  <c:v>44186</c:v>
                </c:pt>
                <c:pt idx="109">
                  <c:v>44187</c:v>
                </c:pt>
                <c:pt idx="110">
                  <c:v>44188</c:v>
                </c:pt>
                <c:pt idx="111">
                  <c:v>44189</c:v>
                </c:pt>
                <c:pt idx="112">
                  <c:v>44190</c:v>
                </c:pt>
                <c:pt idx="113">
                  <c:v>44193</c:v>
                </c:pt>
                <c:pt idx="114">
                  <c:v>44194</c:v>
                </c:pt>
                <c:pt idx="115">
                  <c:v>44195</c:v>
                </c:pt>
                <c:pt idx="116">
                  <c:v>44196</c:v>
                </c:pt>
                <c:pt idx="117">
                  <c:v>44200</c:v>
                </c:pt>
                <c:pt idx="118">
                  <c:v>44201</c:v>
                </c:pt>
                <c:pt idx="119">
                  <c:v>44202</c:v>
                </c:pt>
                <c:pt idx="120">
                  <c:v>44203</c:v>
                </c:pt>
                <c:pt idx="121">
                  <c:v>44204</c:v>
                </c:pt>
                <c:pt idx="122">
                  <c:v>44207</c:v>
                </c:pt>
                <c:pt idx="123">
                  <c:v>44208</c:v>
                </c:pt>
                <c:pt idx="124">
                  <c:v>44209</c:v>
                </c:pt>
                <c:pt idx="125">
                  <c:v>44210</c:v>
                </c:pt>
                <c:pt idx="126">
                  <c:v>44211</c:v>
                </c:pt>
                <c:pt idx="127">
                  <c:v>44214</c:v>
                </c:pt>
                <c:pt idx="128">
                  <c:v>44215</c:v>
                </c:pt>
                <c:pt idx="129">
                  <c:v>44216</c:v>
                </c:pt>
                <c:pt idx="130">
                  <c:v>44217</c:v>
                </c:pt>
                <c:pt idx="131">
                  <c:v>44218</c:v>
                </c:pt>
                <c:pt idx="132">
                  <c:v>44221</c:v>
                </c:pt>
                <c:pt idx="133">
                  <c:v>44222</c:v>
                </c:pt>
                <c:pt idx="134">
                  <c:v>44223</c:v>
                </c:pt>
                <c:pt idx="135">
                  <c:v>44224</c:v>
                </c:pt>
                <c:pt idx="136">
                  <c:v>44225</c:v>
                </c:pt>
                <c:pt idx="137">
                  <c:v>44228</c:v>
                </c:pt>
                <c:pt idx="138">
                  <c:v>44229</c:v>
                </c:pt>
                <c:pt idx="139">
                  <c:v>44230</c:v>
                </c:pt>
                <c:pt idx="140">
                  <c:v>44231</c:v>
                </c:pt>
                <c:pt idx="141">
                  <c:v>44232</c:v>
                </c:pt>
                <c:pt idx="142">
                  <c:v>44235</c:v>
                </c:pt>
                <c:pt idx="143">
                  <c:v>44236</c:v>
                </c:pt>
                <c:pt idx="144">
                  <c:v>44237</c:v>
                </c:pt>
                <c:pt idx="145">
                  <c:v>44245</c:v>
                </c:pt>
                <c:pt idx="146">
                  <c:v>44246</c:v>
                </c:pt>
                <c:pt idx="147">
                  <c:v>44249</c:v>
                </c:pt>
                <c:pt idx="148">
                  <c:v>44250</c:v>
                </c:pt>
                <c:pt idx="149">
                  <c:v>44251</c:v>
                </c:pt>
                <c:pt idx="150">
                  <c:v>44252</c:v>
                </c:pt>
                <c:pt idx="151">
                  <c:v>44253</c:v>
                </c:pt>
                <c:pt idx="152">
                  <c:v>44256</c:v>
                </c:pt>
                <c:pt idx="153">
                  <c:v>44257</c:v>
                </c:pt>
                <c:pt idx="154">
                  <c:v>44258</c:v>
                </c:pt>
                <c:pt idx="155">
                  <c:v>44259</c:v>
                </c:pt>
                <c:pt idx="156">
                  <c:v>44260</c:v>
                </c:pt>
                <c:pt idx="157">
                  <c:v>44263</c:v>
                </c:pt>
                <c:pt idx="158">
                  <c:v>44264</c:v>
                </c:pt>
                <c:pt idx="159">
                  <c:v>44265</c:v>
                </c:pt>
                <c:pt idx="160">
                  <c:v>44266</c:v>
                </c:pt>
                <c:pt idx="161">
                  <c:v>44267</c:v>
                </c:pt>
                <c:pt idx="162">
                  <c:v>44270</c:v>
                </c:pt>
                <c:pt idx="163">
                  <c:v>44271</c:v>
                </c:pt>
                <c:pt idx="164">
                  <c:v>44272</c:v>
                </c:pt>
                <c:pt idx="165">
                  <c:v>44273</c:v>
                </c:pt>
                <c:pt idx="166">
                  <c:v>44274</c:v>
                </c:pt>
                <c:pt idx="167">
                  <c:v>44277</c:v>
                </c:pt>
                <c:pt idx="168">
                  <c:v>44278</c:v>
                </c:pt>
                <c:pt idx="169">
                  <c:v>44279</c:v>
                </c:pt>
                <c:pt idx="170">
                  <c:v>44280</c:v>
                </c:pt>
                <c:pt idx="171">
                  <c:v>44281</c:v>
                </c:pt>
                <c:pt idx="172">
                  <c:v>44284</c:v>
                </c:pt>
                <c:pt idx="173">
                  <c:v>44285</c:v>
                </c:pt>
                <c:pt idx="174">
                  <c:v>44286</c:v>
                </c:pt>
                <c:pt idx="175">
                  <c:v>44287</c:v>
                </c:pt>
                <c:pt idx="176">
                  <c:v>44288</c:v>
                </c:pt>
                <c:pt idx="177">
                  <c:v>44292</c:v>
                </c:pt>
                <c:pt idx="178">
                  <c:v>44293</c:v>
                </c:pt>
                <c:pt idx="179">
                  <c:v>44294</c:v>
                </c:pt>
                <c:pt idx="180">
                  <c:v>44295</c:v>
                </c:pt>
                <c:pt idx="181">
                  <c:v>44298</c:v>
                </c:pt>
                <c:pt idx="182">
                  <c:v>44299</c:v>
                </c:pt>
                <c:pt idx="183">
                  <c:v>44300</c:v>
                </c:pt>
                <c:pt idx="184">
                  <c:v>44301</c:v>
                </c:pt>
                <c:pt idx="185">
                  <c:v>44302</c:v>
                </c:pt>
                <c:pt idx="186">
                  <c:v>44305</c:v>
                </c:pt>
                <c:pt idx="187">
                  <c:v>44306</c:v>
                </c:pt>
                <c:pt idx="188">
                  <c:v>44307</c:v>
                </c:pt>
                <c:pt idx="189">
                  <c:v>44308</c:v>
                </c:pt>
                <c:pt idx="190">
                  <c:v>44309</c:v>
                </c:pt>
                <c:pt idx="191">
                  <c:v>44312</c:v>
                </c:pt>
                <c:pt idx="192">
                  <c:v>44313</c:v>
                </c:pt>
                <c:pt idx="193">
                  <c:v>44314</c:v>
                </c:pt>
                <c:pt idx="194">
                  <c:v>44315</c:v>
                </c:pt>
                <c:pt idx="195">
                  <c:v>44316</c:v>
                </c:pt>
                <c:pt idx="196">
                  <c:v>44322</c:v>
                </c:pt>
                <c:pt idx="197">
                  <c:v>44323</c:v>
                </c:pt>
                <c:pt idx="198">
                  <c:v>44326</c:v>
                </c:pt>
                <c:pt idx="199">
                  <c:v>44327</c:v>
                </c:pt>
                <c:pt idx="200">
                  <c:v>44328</c:v>
                </c:pt>
                <c:pt idx="201">
                  <c:v>44329</c:v>
                </c:pt>
                <c:pt idx="202">
                  <c:v>44330</c:v>
                </c:pt>
                <c:pt idx="203">
                  <c:v>44333</c:v>
                </c:pt>
              </c:numCache>
            </c:numRef>
          </c:cat>
          <c:val>
            <c:numRef>
              <c:f>蒙玺中证500指增!$B$21:$B$224</c:f>
              <c:numCache>
                <c:formatCode>0.0000_ </c:formatCode>
                <c:ptCount val="204"/>
                <c:pt idx="0">
                  <c:v>1.1439999999999999</c:v>
                </c:pt>
                <c:pt idx="1">
                  <c:v>1.117</c:v>
                </c:pt>
                <c:pt idx="2">
                  <c:v>1.0649999999999999</c:v>
                </c:pt>
                <c:pt idx="3">
                  <c:v>1.0740000000000001</c:v>
                </c:pt>
                <c:pt idx="4">
                  <c:v>1.103</c:v>
                </c:pt>
                <c:pt idx="5">
                  <c:v>1.1140000000000001</c:v>
                </c:pt>
                <c:pt idx="6">
                  <c:v>1.1220000000000001</c:v>
                </c:pt>
                <c:pt idx="7">
                  <c:v>1.1200000000000001</c:v>
                </c:pt>
                <c:pt idx="8">
                  <c:v>1.0609999999999999</c:v>
                </c:pt>
                <c:pt idx="9">
                  <c:v>1.0649999999999999</c:v>
                </c:pt>
                <c:pt idx="10">
                  <c:v>1.0780000000000001</c:v>
                </c:pt>
                <c:pt idx="11">
                  <c:v>1.109</c:v>
                </c:pt>
                <c:pt idx="12">
                  <c:v>1.107</c:v>
                </c:pt>
                <c:pt idx="13">
                  <c:v>1.117</c:v>
                </c:pt>
                <c:pt idx="14">
                  <c:v>1.1419999999999999</c:v>
                </c:pt>
                <c:pt idx="15">
                  <c:v>1.1359999999999999</c:v>
                </c:pt>
                <c:pt idx="16">
                  <c:v>1.1479999999999999</c:v>
                </c:pt>
                <c:pt idx="17">
                  <c:v>1.143</c:v>
                </c:pt>
                <c:pt idx="18">
                  <c:v>1.1279999999999999</c:v>
                </c:pt>
                <c:pt idx="19">
                  <c:v>1.1299999999999999</c:v>
                </c:pt>
                <c:pt idx="20">
                  <c:v>1.1100000000000001</c:v>
                </c:pt>
                <c:pt idx="21">
                  <c:v>1.0920000000000001</c:v>
                </c:pt>
                <c:pt idx="22">
                  <c:v>1.0960000000000001</c:v>
                </c:pt>
                <c:pt idx="23">
                  <c:v>1.1140000000000001</c:v>
                </c:pt>
                <c:pt idx="24">
                  <c:v>1.135</c:v>
                </c:pt>
                <c:pt idx="25">
                  <c:v>1.1419999999999999</c:v>
                </c:pt>
                <c:pt idx="26">
                  <c:v>1.1279999999999999</c:v>
                </c:pt>
                <c:pt idx="27">
                  <c:v>1.1140000000000001</c:v>
                </c:pt>
                <c:pt idx="28">
                  <c:v>1.1240000000000001</c:v>
                </c:pt>
                <c:pt idx="29">
                  <c:v>1.133</c:v>
                </c:pt>
                <c:pt idx="30">
                  <c:v>1.1279999999999999</c:v>
                </c:pt>
                <c:pt idx="31">
                  <c:v>1.107</c:v>
                </c:pt>
                <c:pt idx="32">
                  <c:v>1.1200000000000001</c:v>
                </c:pt>
                <c:pt idx="33">
                  <c:v>1.1399999999999999</c:v>
                </c:pt>
                <c:pt idx="34">
                  <c:v>1.139</c:v>
                </c:pt>
                <c:pt idx="35">
                  <c:v>1.147</c:v>
                </c:pt>
                <c:pt idx="36">
                  <c:v>1.1439999999999999</c:v>
                </c:pt>
                <c:pt idx="37">
                  <c:v>1.137</c:v>
                </c:pt>
                <c:pt idx="38">
                  <c:v>1.127</c:v>
                </c:pt>
                <c:pt idx="39">
                  <c:v>1.093</c:v>
                </c:pt>
                <c:pt idx="40">
                  <c:v>1.0920000000000001</c:v>
                </c:pt>
                <c:pt idx="41">
                  <c:v>1.06</c:v>
                </c:pt>
                <c:pt idx="42">
                  <c:v>1.0449999999999999</c:v>
                </c:pt>
                <c:pt idx="43">
                  <c:v>1.0620000000000001</c:v>
                </c:pt>
                <c:pt idx="44">
                  <c:v>1.0680000000000001</c:v>
                </c:pt>
                <c:pt idx="45">
                  <c:v>1.0760000000000001</c:v>
                </c:pt>
                <c:pt idx="46">
                  <c:v>1.0720000000000001</c:v>
                </c:pt>
                <c:pt idx="47">
                  <c:v>1.079</c:v>
                </c:pt>
                <c:pt idx="48">
                  <c:v>1.097</c:v>
                </c:pt>
                <c:pt idx="49">
                  <c:v>1.0940000000000001</c:v>
                </c:pt>
                <c:pt idx="50">
                  <c:v>1.0780000000000001</c:v>
                </c:pt>
                <c:pt idx="51">
                  <c:v>1.087</c:v>
                </c:pt>
                <c:pt idx="52">
                  <c:v>1.0609999999999999</c:v>
                </c:pt>
                <c:pt idx="53">
                  <c:v>1.056</c:v>
                </c:pt>
                <c:pt idx="54">
                  <c:v>1.048</c:v>
                </c:pt>
                <c:pt idx="55">
                  <c:v>1.0569999999999999</c:v>
                </c:pt>
                <c:pt idx="56">
                  <c:v>1.054</c:v>
                </c:pt>
                <c:pt idx="57">
                  <c:v>1.083</c:v>
                </c:pt>
                <c:pt idx="58">
                  <c:v>1.1120000000000001</c:v>
                </c:pt>
                <c:pt idx="59">
                  <c:v>1.119</c:v>
                </c:pt>
                <c:pt idx="60">
                  <c:v>1.1120000000000001</c:v>
                </c:pt>
                <c:pt idx="61">
                  <c:v>1.103</c:v>
                </c:pt>
                <c:pt idx="62">
                  <c:v>1.099</c:v>
                </c:pt>
                <c:pt idx="63">
                  <c:v>1.085</c:v>
                </c:pt>
                <c:pt idx="64">
                  <c:v>1.095</c:v>
                </c:pt>
                <c:pt idx="65">
                  <c:v>1.081</c:v>
                </c:pt>
                <c:pt idx="66">
                  <c:v>1.0720000000000001</c:v>
                </c:pt>
                <c:pt idx="67">
                  <c:v>1.046</c:v>
                </c:pt>
                <c:pt idx="68">
                  <c:v>1.05</c:v>
                </c:pt>
                <c:pt idx="69">
                  <c:v>1.054</c:v>
                </c:pt>
                <c:pt idx="70">
                  <c:v>1.0620000000000001</c:v>
                </c:pt>
                <c:pt idx="71">
                  <c:v>1.0640000000000001</c:v>
                </c:pt>
                <c:pt idx="72">
                  <c:v>1.042</c:v>
                </c:pt>
                <c:pt idx="73">
                  <c:v>1.048</c:v>
                </c:pt>
                <c:pt idx="74">
                  <c:v>1.0620000000000001</c:v>
                </c:pt>
                <c:pt idx="75">
                  <c:v>1.0629999999999999</c:v>
                </c:pt>
                <c:pt idx="76">
                  <c:v>1.0840000000000001</c:v>
                </c:pt>
                <c:pt idx="77">
                  <c:v>1.0740000000000001</c:v>
                </c:pt>
                <c:pt idx="78">
                  <c:v>1.097</c:v>
                </c:pt>
                <c:pt idx="79">
                  <c:v>1.0860000000000001</c:v>
                </c:pt>
                <c:pt idx="80">
                  <c:v>1.07</c:v>
                </c:pt>
                <c:pt idx="81">
                  <c:v>1.0740000000000001</c:v>
                </c:pt>
                <c:pt idx="82">
                  <c:v>1.0720000000000001</c:v>
                </c:pt>
                <c:pt idx="83">
                  <c:v>1.079</c:v>
                </c:pt>
                <c:pt idx="84">
                  <c:v>1.071</c:v>
                </c:pt>
                <c:pt idx="85">
                  <c:v>1.0720000000000001</c:v>
                </c:pt>
                <c:pt idx="86">
                  <c:v>1.0780000000000001</c:v>
                </c:pt>
                <c:pt idx="87">
                  <c:v>1.0860000000000001</c:v>
                </c:pt>
                <c:pt idx="88">
                  <c:v>1.095</c:v>
                </c:pt>
                <c:pt idx="89">
                  <c:v>1.095</c:v>
                </c:pt>
                <c:pt idx="90">
                  <c:v>1.077</c:v>
                </c:pt>
                <c:pt idx="91">
                  <c:v>1.0720000000000001</c:v>
                </c:pt>
                <c:pt idx="92">
                  <c:v>1.069</c:v>
                </c:pt>
                <c:pt idx="93">
                  <c:v>1.0620000000000001</c:v>
                </c:pt>
                <c:pt idx="94">
                  <c:v>1.0760000000000001</c:v>
                </c:pt>
                <c:pt idx="95">
                  <c:v>1.0820000000000001</c:v>
                </c:pt>
                <c:pt idx="96">
                  <c:v>1.081</c:v>
                </c:pt>
                <c:pt idx="97">
                  <c:v>1.0920000000000001</c:v>
                </c:pt>
                <c:pt idx="98">
                  <c:v>1.0960000000000001</c:v>
                </c:pt>
                <c:pt idx="99">
                  <c:v>1.0900000000000001</c:v>
                </c:pt>
                <c:pt idx="100">
                  <c:v>1.08</c:v>
                </c:pt>
                <c:pt idx="101">
                  <c:v>1.091</c:v>
                </c:pt>
                <c:pt idx="102">
                  <c:v>1.0820000000000001</c:v>
                </c:pt>
                <c:pt idx="103">
                  <c:v>1.0820000000000001</c:v>
                </c:pt>
                <c:pt idx="104">
                  <c:v>1.079</c:v>
                </c:pt>
                <c:pt idx="105">
                  <c:v>1.0780000000000001</c:v>
                </c:pt>
                <c:pt idx="106">
                  <c:v>1.083</c:v>
                </c:pt>
                <c:pt idx="107">
                  <c:v>1.085</c:v>
                </c:pt>
                <c:pt idx="108">
                  <c:v>1.1100000000000001</c:v>
                </c:pt>
                <c:pt idx="109">
                  <c:v>1.0900000000000001</c:v>
                </c:pt>
                <c:pt idx="110">
                  <c:v>1.095</c:v>
                </c:pt>
                <c:pt idx="111">
                  <c:v>1.0820000000000001</c:v>
                </c:pt>
                <c:pt idx="112">
                  <c:v>1.093</c:v>
                </c:pt>
                <c:pt idx="113">
                  <c:v>1.0880000000000001</c:v>
                </c:pt>
                <c:pt idx="114">
                  <c:v>1.0780000000000001</c:v>
                </c:pt>
                <c:pt idx="115">
                  <c:v>1.091</c:v>
                </c:pt>
                <c:pt idx="116">
                  <c:v>1.1120000000000001</c:v>
                </c:pt>
                <c:pt idx="117">
                  <c:v>1.135</c:v>
                </c:pt>
                <c:pt idx="118">
                  <c:v>1.145</c:v>
                </c:pt>
                <c:pt idx="119">
                  <c:v>1.135</c:v>
                </c:pt>
                <c:pt idx="120">
                  <c:v>1.127</c:v>
                </c:pt>
                <c:pt idx="121">
                  <c:v>1.1259999999999999</c:v>
                </c:pt>
                <c:pt idx="122">
                  <c:v>1.123</c:v>
                </c:pt>
                <c:pt idx="123">
                  <c:v>1.145</c:v>
                </c:pt>
                <c:pt idx="124">
                  <c:v>1.1439999999999999</c:v>
                </c:pt>
                <c:pt idx="125">
                  <c:v>1.125</c:v>
                </c:pt>
                <c:pt idx="126">
                  <c:v>1.1319999999999999</c:v>
                </c:pt>
                <c:pt idx="127">
                  <c:v>1.1519999999999999</c:v>
                </c:pt>
                <c:pt idx="128">
                  <c:v>1.1319999999999999</c:v>
                </c:pt>
                <c:pt idx="129">
                  <c:v>1.143</c:v>
                </c:pt>
                <c:pt idx="130">
                  <c:v>1.157</c:v>
                </c:pt>
                <c:pt idx="131">
                  <c:v>1.1659999999999999</c:v>
                </c:pt>
                <c:pt idx="132">
                  <c:v>1.1719999999999999</c:v>
                </c:pt>
                <c:pt idx="133">
                  <c:v>1.1639999999999999</c:v>
                </c:pt>
                <c:pt idx="134">
                  <c:v>1.17</c:v>
                </c:pt>
                <c:pt idx="135">
                  <c:v>1.1359999999999999</c:v>
                </c:pt>
                <c:pt idx="136">
                  <c:v>1.1160000000000001</c:v>
                </c:pt>
                <c:pt idx="137">
                  <c:v>1.133</c:v>
                </c:pt>
                <c:pt idx="138">
                  <c:v>1.141</c:v>
                </c:pt>
                <c:pt idx="139">
                  <c:v>1.129</c:v>
                </c:pt>
                <c:pt idx="140">
                  <c:v>1.1160000000000001</c:v>
                </c:pt>
                <c:pt idx="141">
                  <c:v>1.101</c:v>
                </c:pt>
                <c:pt idx="142">
                  <c:v>1.125</c:v>
                </c:pt>
                <c:pt idx="143">
                  <c:v>1.1519999999999999</c:v>
                </c:pt>
                <c:pt idx="144">
                  <c:v>1.167</c:v>
                </c:pt>
                <c:pt idx="145">
                  <c:v>1.1850000000000001</c:v>
                </c:pt>
                <c:pt idx="146">
                  <c:v>1.204</c:v>
                </c:pt>
                <c:pt idx="147">
                  <c:v>1.206</c:v>
                </c:pt>
                <c:pt idx="148">
                  <c:v>1.2010000000000001</c:v>
                </c:pt>
                <c:pt idx="149">
                  <c:v>1.1779999999999999</c:v>
                </c:pt>
                <c:pt idx="150">
                  <c:v>1.18</c:v>
                </c:pt>
                <c:pt idx="151">
                  <c:v>1.159</c:v>
                </c:pt>
                <c:pt idx="152">
                  <c:v>1.1879999999999999</c:v>
                </c:pt>
                <c:pt idx="153">
                  <c:v>1.173</c:v>
                </c:pt>
                <c:pt idx="154">
                  <c:v>1.196</c:v>
                </c:pt>
                <c:pt idx="155">
                  <c:v>1.1739999999999999</c:v>
                </c:pt>
                <c:pt idx="156">
                  <c:v>1.167</c:v>
                </c:pt>
                <c:pt idx="157">
                  <c:v>1.153</c:v>
                </c:pt>
                <c:pt idx="158">
                  <c:v>1.1299999999999999</c:v>
                </c:pt>
                <c:pt idx="159">
                  <c:v>1.1180000000000001</c:v>
                </c:pt>
                <c:pt idx="160">
                  <c:v>1.151</c:v>
                </c:pt>
                <c:pt idx="161">
                  <c:v>1.163</c:v>
                </c:pt>
                <c:pt idx="162">
                  <c:v>1.1559999999999999</c:v>
                </c:pt>
                <c:pt idx="163">
                  <c:v>1.1599999999999999</c:v>
                </c:pt>
                <c:pt idx="164">
                  <c:v>1.163</c:v>
                </c:pt>
                <c:pt idx="165">
                  <c:v>1.169</c:v>
                </c:pt>
                <c:pt idx="166">
                  <c:v>1.157</c:v>
                </c:pt>
                <c:pt idx="167">
                  <c:v>1.173</c:v>
                </c:pt>
                <c:pt idx="168">
                  <c:v>1.145</c:v>
                </c:pt>
                <c:pt idx="169">
                  <c:v>1.1200000000000001</c:v>
                </c:pt>
                <c:pt idx="170">
                  <c:v>1.119</c:v>
                </c:pt>
                <c:pt idx="171">
                  <c:v>1.135</c:v>
                </c:pt>
                <c:pt idx="172">
                  <c:v>1.137</c:v>
                </c:pt>
                <c:pt idx="173">
                  <c:v>1.135</c:v>
                </c:pt>
                <c:pt idx="174">
                  <c:v>1.135</c:v>
                </c:pt>
                <c:pt idx="175">
                  <c:v>1.143</c:v>
                </c:pt>
                <c:pt idx="176">
                  <c:v>1.1479999999999999</c:v>
                </c:pt>
                <c:pt idx="177">
                  <c:v>1.157</c:v>
                </c:pt>
                <c:pt idx="178">
                  <c:v>1.1579999999999999</c:v>
                </c:pt>
                <c:pt idx="179">
                  <c:v>1.157</c:v>
                </c:pt>
                <c:pt idx="180">
                  <c:v>1.1539999999999999</c:v>
                </c:pt>
                <c:pt idx="181">
                  <c:v>1.127</c:v>
                </c:pt>
                <c:pt idx="182">
                  <c:v>1.123</c:v>
                </c:pt>
                <c:pt idx="183">
                  <c:v>1.135</c:v>
                </c:pt>
                <c:pt idx="184">
                  <c:v>1.1319999999999999</c:v>
                </c:pt>
                <c:pt idx="185">
                  <c:v>1.143</c:v>
                </c:pt>
                <c:pt idx="186">
                  <c:v>1.155</c:v>
                </c:pt>
                <c:pt idx="187">
                  <c:v>1.1559999999999999</c:v>
                </c:pt>
                <c:pt idx="188">
                  <c:v>1.1539999999999999</c:v>
                </c:pt>
                <c:pt idx="189">
                  <c:v>1.159</c:v>
                </c:pt>
                <c:pt idx="190">
                  <c:v>1.165</c:v>
                </c:pt>
                <c:pt idx="191">
                  <c:v>1.1679999999999999</c:v>
                </c:pt>
                <c:pt idx="192">
                  <c:v>1.1659999999999999</c:v>
                </c:pt>
                <c:pt idx="193">
                  <c:v>1.175</c:v>
                </c:pt>
                <c:pt idx="194">
                  <c:v>1.175</c:v>
                </c:pt>
                <c:pt idx="195">
                  <c:v>1.1659999999999999</c:v>
                </c:pt>
                <c:pt idx="196">
                  <c:v>1.1879999999999999</c:v>
                </c:pt>
                <c:pt idx="197">
                  <c:v>1.179</c:v>
                </c:pt>
                <c:pt idx="198">
                  <c:v>1.1830000000000001</c:v>
                </c:pt>
                <c:pt idx="199">
                  <c:v>1.179</c:v>
                </c:pt>
                <c:pt idx="200">
                  <c:v>1.1970000000000001</c:v>
                </c:pt>
                <c:pt idx="201">
                  <c:v>1.1839999999999999</c:v>
                </c:pt>
                <c:pt idx="202">
                  <c:v>1.1919999999999999</c:v>
                </c:pt>
                <c:pt idx="203">
                  <c:v>1.2010000000000001</c:v>
                </c:pt>
              </c:numCache>
            </c:numRef>
          </c:val>
          <c:smooth val="0"/>
          <c:extLst>
            <c:ext xmlns:c16="http://schemas.microsoft.com/office/drawing/2014/chart" uri="{C3380CC4-5D6E-409C-BE32-E72D297353CC}">
              <c16:uniqueId val="{00000000-697E-477A-9529-81B4CAA71BF2}"/>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5000000000000007"/>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爱凡哲英安一号</a:t>
            </a:r>
            <a:endParaRPr lang="en-US" altLang="zh-CN" sz="1600"/>
          </a:p>
        </c:rich>
      </c:tx>
      <c:overlay val="0"/>
    </c:title>
    <c:autoTitleDeleted val="0"/>
    <c:plotArea>
      <c:layout/>
      <c:lineChart>
        <c:grouping val="standard"/>
        <c:varyColors val="0"/>
        <c:ser>
          <c:idx val="0"/>
          <c:order val="0"/>
          <c:tx>
            <c:strRef>
              <c:f>爱凡哲英安一号!$B$20</c:f>
              <c:strCache>
                <c:ptCount val="1"/>
                <c:pt idx="0">
                  <c:v>累计净值</c:v>
                </c:pt>
              </c:strCache>
            </c:strRef>
          </c:tx>
          <c:marker>
            <c:symbol val="none"/>
          </c:marker>
          <c:cat>
            <c:numRef>
              <c:f>爱凡哲英安一号!$A$21:$A$221</c:f>
              <c:numCache>
                <c:formatCode>m/d/yy</c:formatCode>
                <c:ptCount val="201"/>
                <c:pt idx="0">
                  <c:v>44029</c:v>
                </c:pt>
                <c:pt idx="1">
                  <c:v>44032</c:v>
                </c:pt>
                <c:pt idx="2">
                  <c:v>44033</c:v>
                </c:pt>
                <c:pt idx="3">
                  <c:v>44034</c:v>
                </c:pt>
                <c:pt idx="4">
                  <c:v>44035</c:v>
                </c:pt>
                <c:pt idx="5">
                  <c:v>44036</c:v>
                </c:pt>
                <c:pt idx="6">
                  <c:v>44039</c:v>
                </c:pt>
                <c:pt idx="7">
                  <c:v>44040</c:v>
                </c:pt>
                <c:pt idx="8">
                  <c:v>44041</c:v>
                </c:pt>
                <c:pt idx="9">
                  <c:v>44042</c:v>
                </c:pt>
                <c:pt idx="10">
                  <c:v>44043</c:v>
                </c:pt>
                <c:pt idx="11">
                  <c:v>44046</c:v>
                </c:pt>
                <c:pt idx="12">
                  <c:v>44047</c:v>
                </c:pt>
                <c:pt idx="13">
                  <c:v>44048</c:v>
                </c:pt>
                <c:pt idx="14">
                  <c:v>44049</c:v>
                </c:pt>
                <c:pt idx="15">
                  <c:v>44050</c:v>
                </c:pt>
                <c:pt idx="16">
                  <c:v>44053</c:v>
                </c:pt>
                <c:pt idx="17">
                  <c:v>44054</c:v>
                </c:pt>
                <c:pt idx="18">
                  <c:v>44055</c:v>
                </c:pt>
                <c:pt idx="19">
                  <c:v>44056</c:v>
                </c:pt>
                <c:pt idx="20">
                  <c:v>44057</c:v>
                </c:pt>
                <c:pt idx="21">
                  <c:v>44060</c:v>
                </c:pt>
                <c:pt idx="22">
                  <c:v>44061</c:v>
                </c:pt>
                <c:pt idx="23">
                  <c:v>44062</c:v>
                </c:pt>
                <c:pt idx="24">
                  <c:v>44063</c:v>
                </c:pt>
                <c:pt idx="25">
                  <c:v>44064</c:v>
                </c:pt>
                <c:pt idx="26">
                  <c:v>44067</c:v>
                </c:pt>
                <c:pt idx="27">
                  <c:v>44068</c:v>
                </c:pt>
                <c:pt idx="28">
                  <c:v>44069</c:v>
                </c:pt>
                <c:pt idx="29">
                  <c:v>44070</c:v>
                </c:pt>
                <c:pt idx="30">
                  <c:v>44071</c:v>
                </c:pt>
                <c:pt idx="31">
                  <c:v>44074</c:v>
                </c:pt>
                <c:pt idx="32">
                  <c:v>44075</c:v>
                </c:pt>
                <c:pt idx="33">
                  <c:v>44076</c:v>
                </c:pt>
                <c:pt idx="34">
                  <c:v>44077</c:v>
                </c:pt>
                <c:pt idx="35">
                  <c:v>44078</c:v>
                </c:pt>
                <c:pt idx="36">
                  <c:v>44081</c:v>
                </c:pt>
                <c:pt idx="37">
                  <c:v>44082</c:v>
                </c:pt>
                <c:pt idx="38">
                  <c:v>44083</c:v>
                </c:pt>
                <c:pt idx="39">
                  <c:v>44084</c:v>
                </c:pt>
                <c:pt idx="40">
                  <c:v>44085</c:v>
                </c:pt>
                <c:pt idx="41">
                  <c:v>44088</c:v>
                </c:pt>
                <c:pt idx="42">
                  <c:v>44089</c:v>
                </c:pt>
                <c:pt idx="43">
                  <c:v>44090</c:v>
                </c:pt>
                <c:pt idx="44">
                  <c:v>44091</c:v>
                </c:pt>
                <c:pt idx="45">
                  <c:v>44092</c:v>
                </c:pt>
                <c:pt idx="46">
                  <c:v>44095</c:v>
                </c:pt>
                <c:pt idx="47">
                  <c:v>44096</c:v>
                </c:pt>
                <c:pt idx="48">
                  <c:v>44097</c:v>
                </c:pt>
                <c:pt idx="49">
                  <c:v>44098</c:v>
                </c:pt>
                <c:pt idx="50">
                  <c:v>44099</c:v>
                </c:pt>
                <c:pt idx="51">
                  <c:v>44102</c:v>
                </c:pt>
                <c:pt idx="52">
                  <c:v>44103</c:v>
                </c:pt>
                <c:pt idx="53">
                  <c:v>44104</c:v>
                </c:pt>
                <c:pt idx="54">
                  <c:v>44113</c:v>
                </c:pt>
                <c:pt idx="55">
                  <c:v>44116</c:v>
                </c:pt>
                <c:pt idx="56">
                  <c:v>44117</c:v>
                </c:pt>
                <c:pt idx="57">
                  <c:v>44118</c:v>
                </c:pt>
                <c:pt idx="58">
                  <c:v>44119</c:v>
                </c:pt>
                <c:pt idx="59">
                  <c:v>44120</c:v>
                </c:pt>
                <c:pt idx="60">
                  <c:v>44123</c:v>
                </c:pt>
                <c:pt idx="61">
                  <c:v>44124</c:v>
                </c:pt>
                <c:pt idx="62">
                  <c:v>44125</c:v>
                </c:pt>
                <c:pt idx="63">
                  <c:v>44126</c:v>
                </c:pt>
                <c:pt idx="64">
                  <c:v>44127</c:v>
                </c:pt>
                <c:pt idx="65">
                  <c:v>44130</c:v>
                </c:pt>
                <c:pt idx="66">
                  <c:v>44131</c:v>
                </c:pt>
                <c:pt idx="67">
                  <c:v>44132</c:v>
                </c:pt>
                <c:pt idx="68">
                  <c:v>44133</c:v>
                </c:pt>
                <c:pt idx="69">
                  <c:v>44134</c:v>
                </c:pt>
                <c:pt idx="70">
                  <c:v>44137</c:v>
                </c:pt>
                <c:pt idx="71">
                  <c:v>44138</c:v>
                </c:pt>
                <c:pt idx="72">
                  <c:v>44139</c:v>
                </c:pt>
                <c:pt idx="73">
                  <c:v>44140</c:v>
                </c:pt>
                <c:pt idx="74">
                  <c:v>44141</c:v>
                </c:pt>
                <c:pt idx="75">
                  <c:v>44144</c:v>
                </c:pt>
                <c:pt idx="76">
                  <c:v>44145</c:v>
                </c:pt>
                <c:pt idx="77">
                  <c:v>44146</c:v>
                </c:pt>
                <c:pt idx="78">
                  <c:v>44147</c:v>
                </c:pt>
                <c:pt idx="79">
                  <c:v>44148</c:v>
                </c:pt>
                <c:pt idx="80">
                  <c:v>44151</c:v>
                </c:pt>
                <c:pt idx="81">
                  <c:v>44152</c:v>
                </c:pt>
                <c:pt idx="82">
                  <c:v>44153</c:v>
                </c:pt>
                <c:pt idx="83">
                  <c:v>44154</c:v>
                </c:pt>
                <c:pt idx="84">
                  <c:v>44155</c:v>
                </c:pt>
                <c:pt idx="85">
                  <c:v>44158</c:v>
                </c:pt>
                <c:pt idx="86">
                  <c:v>44159</c:v>
                </c:pt>
                <c:pt idx="87">
                  <c:v>44160</c:v>
                </c:pt>
                <c:pt idx="88">
                  <c:v>44161</c:v>
                </c:pt>
                <c:pt idx="89">
                  <c:v>44162</c:v>
                </c:pt>
                <c:pt idx="90">
                  <c:v>44165</c:v>
                </c:pt>
                <c:pt idx="91">
                  <c:v>44166</c:v>
                </c:pt>
                <c:pt idx="92">
                  <c:v>44167</c:v>
                </c:pt>
                <c:pt idx="93">
                  <c:v>44168</c:v>
                </c:pt>
                <c:pt idx="94">
                  <c:v>44169</c:v>
                </c:pt>
                <c:pt idx="95">
                  <c:v>44172</c:v>
                </c:pt>
                <c:pt idx="96">
                  <c:v>44173</c:v>
                </c:pt>
                <c:pt idx="97">
                  <c:v>44174</c:v>
                </c:pt>
                <c:pt idx="98">
                  <c:v>44175</c:v>
                </c:pt>
                <c:pt idx="99">
                  <c:v>44176</c:v>
                </c:pt>
                <c:pt idx="100">
                  <c:v>44179</c:v>
                </c:pt>
                <c:pt idx="101">
                  <c:v>44180</c:v>
                </c:pt>
                <c:pt idx="102">
                  <c:v>44181</c:v>
                </c:pt>
                <c:pt idx="103">
                  <c:v>44182</c:v>
                </c:pt>
                <c:pt idx="104">
                  <c:v>44183</c:v>
                </c:pt>
                <c:pt idx="105">
                  <c:v>44186</c:v>
                </c:pt>
                <c:pt idx="106">
                  <c:v>44187</c:v>
                </c:pt>
                <c:pt idx="107">
                  <c:v>44188</c:v>
                </c:pt>
                <c:pt idx="108">
                  <c:v>44189</c:v>
                </c:pt>
                <c:pt idx="109">
                  <c:v>44190</c:v>
                </c:pt>
                <c:pt idx="110">
                  <c:v>44193</c:v>
                </c:pt>
                <c:pt idx="111">
                  <c:v>44194</c:v>
                </c:pt>
                <c:pt idx="112">
                  <c:v>44195</c:v>
                </c:pt>
                <c:pt idx="113">
                  <c:v>44196</c:v>
                </c:pt>
                <c:pt idx="114">
                  <c:v>44200</c:v>
                </c:pt>
                <c:pt idx="115">
                  <c:v>44201</c:v>
                </c:pt>
                <c:pt idx="116">
                  <c:v>44202</c:v>
                </c:pt>
                <c:pt idx="117">
                  <c:v>44203</c:v>
                </c:pt>
                <c:pt idx="118">
                  <c:v>44204</c:v>
                </c:pt>
                <c:pt idx="119">
                  <c:v>44207</c:v>
                </c:pt>
                <c:pt idx="120">
                  <c:v>44208</c:v>
                </c:pt>
                <c:pt idx="121">
                  <c:v>44209</c:v>
                </c:pt>
                <c:pt idx="122">
                  <c:v>44210</c:v>
                </c:pt>
                <c:pt idx="123">
                  <c:v>44211</c:v>
                </c:pt>
                <c:pt idx="124">
                  <c:v>44214</c:v>
                </c:pt>
                <c:pt idx="125">
                  <c:v>44215</c:v>
                </c:pt>
                <c:pt idx="126">
                  <c:v>44216</c:v>
                </c:pt>
                <c:pt idx="127">
                  <c:v>44217</c:v>
                </c:pt>
                <c:pt idx="128">
                  <c:v>44218</c:v>
                </c:pt>
                <c:pt idx="129">
                  <c:v>44221</c:v>
                </c:pt>
                <c:pt idx="130">
                  <c:v>44222</c:v>
                </c:pt>
                <c:pt idx="131">
                  <c:v>44223</c:v>
                </c:pt>
                <c:pt idx="132">
                  <c:v>44224</c:v>
                </c:pt>
                <c:pt idx="133">
                  <c:v>44225</c:v>
                </c:pt>
                <c:pt idx="134">
                  <c:v>44228</c:v>
                </c:pt>
                <c:pt idx="135">
                  <c:v>44229</c:v>
                </c:pt>
                <c:pt idx="136">
                  <c:v>44230</c:v>
                </c:pt>
                <c:pt idx="137">
                  <c:v>44231</c:v>
                </c:pt>
                <c:pt idx="138">
                  <c:v>44232</c:v>
                </c:pt>
                <c:pt idx="139">
                  <c:v>44235</c:v>
                </c:pt>
                <c:pt idx="140">
                  <c:v>44236</c:v>
                </c:pt>
                <c:pt idx="141">
                  <c:v>44237</c:v>
                </c:pt>
                <c:pt idx="142">
                  <c:v>44245</c:v>
                </c:pt>
                <c:pt idx="143">
                  <c:v>44246</c:v>
                </c:pt>
                <c:pt idx="144">
                  <c:v>44249</c:v>
                </c:pt>
                <c:pt idx="145">
                  <c:v>44250</c:v>
                </c:pt>
                <c:pt idx="146">
                  <c:v>44251</c:v>
                </c:pt>
                <c:pt idx="147">
                  <c:v>44252</c:v>
                </c:pt>
                <c:pt idx="148">
                  <c:v>44253</c:v>
                </c:pt>
                <c:pt idx="149">
                  <c:v>44256</c:v>
                </c:pt>
                <c:pt idx="150">
                  <c:v>44257</c:v>
                </c:pt>
                <c:pt idx="151">
                  <c:v>44258</c:v>
                </c:pt>
                <c:pt idx="152">
                  <c:v>44259</c:v>
                </c:pt>
                <c:pt idx="153">
                  <c:v>44260</c:v>
                </c:pt>
                <c:pt idx="154">
                  <c:v>44263</c:v>
                </c:pt>
                <c:pt idx="155">
                  <c:v>44264</c:v>
                </c:pt>
                <c:pt idx="156">
                  <c:v>44265</c:v>
                </c:pt>
                <c:pt idx="157">
                  <c:v>44266</c:v>
                </c:pt>
                <c:pt idx="158">
                  <c:v>44267</c:v>
                </c:pt>
                <c:pt idx="159">
                  <c:v>44270</c:v>
                </c:pt>
                <c:pt idx="160">
                  <c:v>44271</c:v>
                </c:pt>
                <c:pt idx="161">
                  <c:v>44272</c:v>
                </c:pt>
                <c:pt idx="162">
                  <c:v>44273</c:v>
                </c:pt>
                <c:pt idx="163">
                  <c:v>44274</c:v>
                </c:pt>
                <c:pt idx="164">
                  <c:v>44277</c:v>
                </c:pt>
                <c:pt idx="165">
                  <c:v>44278</c:v>
                </c:pt>
                <c:pt idx="166">
                  <c:v>44279</c:v>
                </c:pt>
                <c:pt idx="167">
                  <c:v>44280</c:v>
                </c:pt>
                <c:pt idx="168">
                  <c:v>44281</c:v>
                </c:pt>
                <c:pt idx="169">
                  <c:v>44284</c:v>
                </c:pt>
                <c:pt idx="170">
                  <c:v>44285</c:v>
                </c:pt>
                <c:pt idx="171">
                  <c:v>44286</c:v>
                </c:pt>
                <c:pt idx="172">
                  <c:v>44287</c:v>
                </c:pt>
                <c:pt idx="173">
                  <c:v>44288</c:v>
                </c:pt>
                <c:pt idx="174">
                  <c:v>44292</c:v>
                </c:pt>
                <c:pt idx="175">
                  <c:v>44293</c:v>
                </c:pt>
                <c:pt idx="176">
                  <c:v>44294</c:v>
                </c:pt>
                <c:pt idx="177">
                  <c:v>44295</c:v>
                </c:pt>
                <c:pt idx="178">
                  <c:v>44298</c:v>
                </c:pt>
                <c:pt idx="179">
                  <c:v>44299</c:v>
                </c:pt>
                <c:pt idx="180">
                  <c:v>44300</c:v>
                </c:pt>
                <c:pt idx="181">
                  <c:v>44301</c:v>
                </c:pt>
                <c:pt idx="182">
                  <c:v>44302</c:v>
                </c:pt>
                <c:pt idx="183">
                  <c:v>44305</c:v>
                </c:pt>
                <c:pt idx="184">
                  <c:v>44306</c:v>
                </c:pt>
                <c:pt idx="185">
                  <c:v>44307</c:v>
                </c:pt>
                <c:pt idx="186">
                  <c:v>44308</c:v>
                </c:pt>
                <c:pt idx="187">
                  <c:v>44309</c:v>
                </c:pt>
                <c:pt idx="188">
                  <c:v>44312</c:v>
                </c:pt>
                <c:pt idx="189">
                  <c:v>44313</c:v>
                </c:pt>
                <c:pt idx="190">
                  <c:v>44314</c:v>
                </c:pt>
                <c:pt idx="191">
                  <c:v>44315</c:v>
                </c:pt>
                <c:pt idx="192">
                  <c:v>44316</c:v>
                </c:pt>
                <c:pt idx="193">
                  <c:v>44322</c:v>
                </c:pt>
                <c:pt idx="194">
                  <c:v>44323</c:v>
                </c:pt>
                <c:pt idx="195">
                  <c:v>44326</c:v>
                </c:pt>
                <c:pt idx="196">
                  <c:v>44327</c:v>
                </c:pt>
                <c:pt idx="197">
                  <c:v>44328</c:v>
                </c:pt>
                <c:pt idx="198">
                  <c:v>44329</c:v>
                </c:pt>
                <c:pt idx="199">
                  <c:v>44330</c:v>
                </c:pt>
                <c:pt idx="200">
                  <c:v>44333</c:v>
                </c:pt>
              </c:numCache>
            </c:numRef>
          </c:cat>
          <c:val>
            <c:numRef>
              <c:f>爱凡哲英安一号!$B$21:$B$221</c:f>
              <c:numCache>
                <c:formatCode>0.0000_ </c:formatCode>
                <c:ptCount val="201"/>
                <c:pt idx="0">
                  <c:v>1.21</c:v>
                </c:pt>
                <c:pt idx="1">
                  <c:v>1.2270000000000001</c:v>
                </c:pt>
                <c:pt idx="2">
                  <c:v>1.258</c:v>
                </c:pt>
                <c:pt idx="3">
                  <c:v>1.2330000000000001</c:v>
                </c:pt>
                <c:pt idx="4">
                  <c:v>1.258</c:v>
                </c:pt>
                <c:pt idx="5">
                  <c:v>1.202</c:v>
                </c:pt>
                <c:pt idx="6">
                  <c:v>1.198</c:v>
                </c:pt>
                <c:pt idx="7">
                  <c:v>1.2230000000000001</c:v>
                </c:pt>
                <c:pt idx="8">
                  <c:v>1.23</c:v>
                </c:pt>
                <c:pt idx="9">
                  <c:v>1.2310000000000001</c:v>
                </c:pt>
                <c:pt idx="10">
                  <c:v>1.2330000000000001</c:v>
                </c:pt>
                <c:pt idx="11">
                  <c:v>1.252</c:v>
                </c:pt>
                <c:pt idx="12">
                  <c:v>1.2729999999999999</c:v>
                </c:pt>
                <c:pt idx="13">
                  <c:v>1.2769999999999999</c:v>
                </c:pt>
                <c:pt idx="14">
                  <c:v>1.2669999999999999</c:v>
                </c:pt>
                <c:pt idx="15">
                  <c:v>1.25</c:v>
                </c:pt>
                <c:pt idx="16">
                  <c:v>1.242</c:v>
                </c:pt>
                <c:pt idx="17">
                  <c:v>1.2470000000000001</c:v>
                </c:pt>
                <c:pt idx="18">
                  <c:v>1.23</c:v>
                </c:pt>
                <c:pt idx="19">
                  <c:v>1.228</c:v>
                </c:pt>
                <c:pt idx="20">
                  <c:v>1.248</c:v>
                </c:pt>
                <c:pt idx="21">
                  <c:v>1.2529999999999999</c:v>
                </c:pt>
                <c:pt idx="22">
                  <c:v>1.2669999999999999</c:v>
                </c:pt>
                <c:pt idx="23">
                  <c:v>1.248</c:v>
                </c:pt>
                <c:pt idx="24">
                  <c:v>1.2370000000000001</c:v>
                </c:pt>
                <c:pt idx="25">
                  <c:v>1.258</c:v>
                </c:pt>
                <c:pt idx="26">
                  <c:v>1.2949999999999999</c:v>
                </c:pt>
                <c:pt idx="27">
                  <c:v>1.294</c:v>
                </c:pt>
                <c:pt idx="28">
                  <c:v>1.2969999999999999</c:v>
                </c:pt>
                <c:pt idx="29">
                  <c:v>1.3109999999999999</c:v>
                </c:pt>
                <c:pt idx="30">
                  <c:v>1.3149999999999999</c:v>
                </c:pt>
                <c:pt idx="31">
                  <c:v>1.294</c:v>
                </c:pt>
                <c:pt idx="32">
                  <c:v>1.3089999999999999</c:v>
                </c:pt>
                <c:pt idx="33">
                  <c:v>1.321</c:v>
                </c:pt>
                <c:pt idx="34">
                  <c:v>1.2969999999999999</c:v>
                </c:pt>
                <c:pt idx="35">
                  <c:v>1.28</c:v>
                </c:pt>
                <c:pt idx="36">
                  <c:v>1.2569999999999999</c:v>
                </c:pt>
                <c:pt idx="37">
                  <c:v>1.252</c:v>
                </c:pt>
                <c:pt idx="38">
                  <c:v>1.234</c:v>
                </c:pt>
                <c:pt idx="39">
                  <c:v>1.2370000000000001</c:v>
                </c:pt>
                <c:pt idx="40">
                  <c:v>1.256</c:v>
                </c:pt>
                <c:pt idx="41">
                  <c:v>1.268</c:v>
                </c:pt>
                <c:pt idx="42">
                  <c:v>1.274</c:v>
                </c:pt>
                <c:pt idx="43">
                  <c:v>1.2749999999999999</c:v>
                </c:pt>
                <c:pt idx="44">
                  <c:v>1.26</c:v>
                </c:pt>
                <c:pt idx="45">
                  <c:v>1.2789999999999999</c:v>
                </c:pt>
                <c:pt idx="46">
                  <c:v>1.2629999999999999</c:v>
                </c:pt>
                <c:pt idx="47">
                  <c:v>1.256</c:v>
                </c:pt>
                <c:pt idx="48">
                  <c:v>1.262</c:v>
                </c:pt>
                <c:pt idx="49">
                  <c:v>1.236</c:v>
                </c:pt>
                <c:pt idx="50">
                  <c:v>1.236</c:v>
                </c:pt>
                <c:pt idx="51">
                  <c:v>1.2509999999999999</c:v>
                </c:pt>
                <c:pt idx="52">
                  <c:v>1.246</c:v>
                </c:pt>
                <c:pt idx="53">
                  <c:v>1.252</c:v>
                </c:pt>
                <c:pt idx="54">
                  <c:v>1.288</c:v>
                </c:pt>
                <c:pt idx="55">
                  <c:v>1.3069999999999999</c:v>
                </c:pt>
                <c:pt idx="56">
                  <c:v>1.3129999999999999</c:v>
                </c:pt>
                <c:pt idx="57">
                  <c:v>1.3169999999999999</c:v>
                </c:pt>
                <c:pt idx="58">
                  <c:v>1.2969999999999999</c:v>
                </c:pt>
                <c:pt idx="59">
                  <c:v>1.3029999999999999</c:v>
                </c:pt>
                <c:pt idx="60">
                  <c:v>1.2889999999999999</c:v>
                </c:pt>
                <c:pt idx="61">
                  <c:v>1.2969999999999999</c:v>
                </c:pt>
                <c:pt idx="62">
                  <c:v>1.2969999999999999</c:v>
                </c:pt>
                <c:pt idx="63">
                  <c:v>1.2929999999999999</c:v>
                </c:pt>
                <c:pt idx="64">
                  <c:v>1.2889999999999999</c:v>
                </c:pt>
                <c:pt idx="65">
                  <c:v>1.278</c:v>
                </c:pt>
                <c:pt idx="66">
                  <c:v>1.28</c:v>
                </c:pt>
                <c:pt idx="67">
                  <c:v>1.2969999999999999</c:v>
                </c:pt>
                <c:pt idx="68">
                  <c:v>1.3129999999999999</c:v>
                </c:pt>
                <c:pt idx="69">
                  <c:v>1.288</c:v>
                </c:pt>
                <c:pt idx="70">
                  <c:v>1.2889999999999999</c:v>
                </c:pt>
                <c:pt idx="71">
                  <c:v>1.3</c:v>
                </c:pt>
                <c:pt idx="72">
                  <c:v>1.31</c:v>
                </c:pt>
                <c:pt idx="73">
                  <c:v>1.349</c:v>
                </c:pt>
                <c:pt idx="74">
                  <c:v>1.3260000000000001</c:v>
                </c:pt>
                <c:pt idx="75">
                  <c:v>1.347</c:v>
                </c:pt>
                <c:pt idx="76">
                  <c:v>1.3140000000000001</c:v>
                </c:pt>
                <c:pt idx="77">
                  <c:v>1.2769999999999999</c:v>
                </c:pt>
                <c:pt idx="78">
                  <c:v>1.302</c:v>
                </c:pt>
                <c:pt idx="79">
                  <c:v>1.3169999999999999</c:v>
                </c:pt>
                <c:pt idx="80">
                  <c:v>1.331</c:v>
                </c:pt>
                <c:pt idx="81">
                  <c:v>1.3120000000000001</c:v>
                </c:pt>
                <c:pt idx="82">
                  <c:v>1.3120000000000001</c:v>
                </c:pt>
                <c:pt idx="83">
                  <c:v>1.3080000000000001</c:v>
                </c:pt>
                <c:pt idx="84">
                  <c:v>1.325</c:v>
                </c:pt>
                <c:pt idx="85">
                  <c:v>1.3280000000000001</c:v>
                </c:pt>
                <c:pt idx="86">
                  <c:v>1.3160000000000001</c:v>
                </c:pt>
                <c:pt idx="87">
                  <c:v>1.3</c:v>
                </c:pt>
                <c:pt idx="88">
                  <c:v>1.323</c:v>
                </c:pt>
                <c:pt idx="89">
                  <c:v>1.327</c:v>
                </c:pt>
                <c:pt idx="90">
                  <c:v>1.3080000000000001</c:v>
                </c:pt>
                <c:pt idx="91">
                  <c:v>1.323</c:v>
                </c:pt>
                <c:pt idx="92">
                  <c:v>1.3169999999999999</c:v>
                </c:pt>
                <c:pt idx="93">
                  <c:v>1.3260000000000001</c:v>
                </c:pt>
                <c:pt idx="94">
                  <c:v>1.3440000000000001</c:v>
                </c:pt>
                <c:pt idx="95">
                  <c:v>1.33</c:v>
                </c:pt>
                <c:pt idx="96">
                  <c:v>1.3280000000000001</c:v>
                </c:pt>
                <c:pt idx="97">
                  <c:v>1.32</c:v>
                </c:pt>
                <c:pt idx="98">
                  <c:v>1.3160000000000001</c:v>
                </c:pt>
                <c:pt idx="99">
                  <c:v>1.321</c:v>
                </c:pt>
                <c:pt idx="100">
                  <c:v>1.3129999999999999</c:v>
                </c:pt>
                <c:pt idx="101">
                  <c:v>1.302</c:v>
                </c:pt>
                <c:pt idx="102">
                  <c:v>1.3109999999999999</c:v>
                </c:pt>
                <c:pt idx="103">
                  <c:v>1.327</c:v>
                </c:pt>
                <c:pt idx="104">
                  <c:v>1.3129999999999999</c:v>
                </c:pt>
                <c:pt idx="105">
                  <c:v>1.3129999999999999</c:v>
                </c:pt>
                <c:pt idx="106">
                  <c:v>1.306</c:v>
                </c:pt>
                <c:pt idx="107">
                  <c:v>1.3149999999999999</c:v>
                </c:pt>
                <c:pt idx="108">
                  <c:v>1.3069999999999999</c:v>
                </c:pt>
                <c:pt idx="109">
                  <c:v>1.3089999999999999</c:v>
                </c:pt>
                <c:pt idx="110">
                  <c:v>1.2869999999999999</c:v>
                </c:pt>
                <c:pt idx="111">
                  <c:v>1.3049999999999999</c:v>
                </c:pt>
                <c:pt idx="112">
                  <c:v>1.329</c:v>
                </c:pt>
                <c:pt idx="113">
                  <c:v>1.347</c:v>
                </c:pt>
                <c:pt idx="114">
                  <c:v>1.349</c:v>
                </c:pt>
                <c:pt idx="115">
                  <c:v>1.355</c:v>
                </c:pt>
                <c:pt idx="116">
                  <c:v>1.367</c:v>
                </c:pt>
                <c:pt idx="117">
                  <c:v>1.3660000000000001</c:v>
                </c:pt>
                <c:pt idx="118">
                  <c:v>1.371</c:v>
                </c:pt>
                <c:pt idx="119">
                  <c:v>1.3680000000000001</c:v>
                </c:pt>
                <c:pt idx="120">
                  <c:v>1.389</c:v>
                </c:pt>
                <c:pt idx="121">
                  <c:v>1.3859999999999999</c:v>
                </c:pt>
                <c:pt idx="122">
                  <c:v>1.393</c:v>
                </c:pt>
                <c:pt idx="123">
                  <c:v>1.3979999999999999</c:v>
                </c:pt>
                <c:pt idx="124">
                  <c:v>1.407</c:v>
                </c:pt>
                <c:pt idx="125">
                  <c:v>1.417</c:v>
                </c:pt>
                <c:pt idx="126">
                  <c:v>1.4370000000000001</c:v>
                </c:pt>
                <c:pt idx="127">
                  <c:v>1.4379999999999999</c:v>
                </c:pt>
                <c:pt idx="128">
                  <c:v>1.4450000000000001</c:v>
                </c:pt>
                <c:pt idx="129">
                  <c:v>1.4970000000000001</c:v>
                </c:pt>
                <c:pt idx="130">
                  <c:v>1.46</c:v>
                </c:pt>
                <c:pt idx="131">
                  <c:v>1.4410000000000001</c:v>
                </c:pt>
                <c:pt idx="132">
                  <c:v>1.42</c:v>
                </c:pt>
                <c:pt idx="133">
                  <c:v>1.419</c:v>
                </c:pt>
                <c:pt idx="134">
                  <c:v>1.4450000000000001</c:v>
                </c:pt>
                <c:pt idx="135">
                  <c:v>1.4650000000000001</c:v>
                </c:pt>
                <c:pt idx="136">
                  <c:v>1.4750000000000001</c:v>
                </c:pt>
                <c:pt idx="137">
                  <c:v>1.482</c:v>
                </c:pt>
                <c:pt idx="138">
                  <c:v>1.482</c:v>
                </c:pt>
                <c:pt idx="139">
                  <c:v>1.4970000000000001</c:v>
                </c:pt>
                <c:pt idx="140">
                  <c:v>1.4990000000000001</c:v>
                </c:pt>
                <c:pt idx="141">
                  <c:v>1.5309999999999999</c:v>
                </c:pt>
                <c:pt idx="142">
                  <c:v>1.524</c:v>
                </c:pt>
                <c:pt idx="143">
                  <c:v>1.5349999999999999</c:v>
                </c:pt>
                <c:pt idx="144">
                  <c:v>1.482</c:v>
                </c:pt>
                <c:pt idx="145">
                  <c:v>1.486</c:v>
                </c:pt>
                <c:pt idx="146">
                  <c:v>1.45</c:v>
                </c:pt>
                <c:pt idx="147">
                  <c:v>1.4610000000000001</c:v>
                </c:pt>
                <c:pt idx="148">
                  <c:v>1.4179999999999999</c:v>
                </c:pt>
                <c:pt idx="149">
                  <c:v>1.4510000000000001</c:v>
                </c:pt>
                <c:pt idx="150">
                  <c:v>1.44</c:v>
                </c:pt>
                <c:pt idx="151">
                  <c:v>1.47</c:v>
                </c:pt>
                <c:pt idx="152">
                  <c:v>1.425</c:v>
                </c:pt>
                <c:pt idx="153">
                  <c:v>1.413</c:v>
                </c:pt>
                <c:pt idx="154">
                  <c:v>1.3759999999999999</c:v>
                </c:pt>
                <c:pt idx="155">
                  <c:v>1.381</c:v>
                </c:pt>
                <c:pt idx="156">
                  <c:v>1.3879999999999999</c:v>
                </c:pt>
                <c:pt idx="157">
                  <c:v>1.423</c:v>
                </c:pt>
                <c:pt idx="158">
                  <c:v>1.403</c:v>
                </c:pt>
                <c:pt idx="159">
                  <c:v>1.385</c:v>
                </c:pt>
                <c:pt idx="160">
                  <c:v>1.399</c:v>
                </c:pt>
                <c:pt idx="161">
                  <c:v>1.4019999999999999</c:v>
                </c:pt>
                <c:pt idx="162">
                  <c:v>1.4179999999999999</c:v>
                </c:pt>
                <c:pt idx="163">
                  <c:v>1.3979999999999999</c:v>
                </c:pt>
                <c:pt idx="164">
                  <c:v>1.403</c:v>
                </c:pt>
                <c:pt idx="165">
                  <c:v>1.3839999999999999</c:v>
                </c:pt>
                <c:pt idx="166">
                  <c:v>1.37</c:v>
                </c:pt>
                <c:pt idx="167">
                  <c:v>1.3580000000000001</c:v>
                </c:pt>
                <c:pt idx="168">
                  <c:v>1.379</c:v>
                </c:pt>
                <c:pt idx="169">
                  <c:v>1.369</c:v>
                </c:pt>
                <c:pt idx="170">
                  <c:v>1.3839999999999999</c:v>
                </c:pt>
                <c:pt idx="171">
                  <c:v>1.3759999999999999</c:v>
                </c:pt>
                <c:pt idx="172">
                  <c:v>1.41</c:v>
                </c:pt>
                <c:pt idx="173">
                  <c:v>1.42</c:v>
                </c:pt>
                <c:pt idx="174">
                  <c:v>1.4159999999999999</c:v>
                </c:pt>
                <c:pt idx="175">
                  <c:v>1.3959999999999999</c:v>
                </c:pt>
                <c:pt idx="176">
                  <c:v>1.3919999999999999</c:v>
                </c:pt>
                <c:pt idx="177">
                  <c:v>1.3779999999999999</c:v>
                </c:pt>
                <c:pt idx="178">
                  <c:v>1.37</c:v>
                </c:pt>
                <c:pt idx="179">
                  <c:v>1.3540000000000001</c:v>
                </c:pt>
                <c:pt idx="180">
                  <c:v>1.3680000000000001</c:v>
                </c:pt>
                <c:pt idx="181">
                  <c:v>1.361</c:v>
                </c:pt>
                <c:pt idx="182">
                  <c:v>1.371</c:v>
                </c:pt>
                <c:pt idx="183">
                  <c:v>1.3819999999999999</c:v>
                </c:pt>
                <c:pt idx="184">
                  <c:v>1.38</c:v>
                </c:pt>
                <c:pt idx="185">
                  <c:v>1.3620000000000001</c:v>
                </c:pt>
                <c:pt idx="186">
                  <c:v>1.369</c:v>
                </c:pt>
                <c:pt idx="187">
                  <c:v>1.3839999999999999</c:v>
                </c:pt>
                <c:pt idx="188">
                  <c:v>1.3680000000000001</c:v>
                </c:pt>
                <c:pt idx="189">
                  <c:v>1.369</c:v>
                </c:pt>
                <c:pt idx="190">
                  <c:v>1.3680000000000001</c:v>
                </c:pt>
                <c:pt idx="191">
                  <c:v>1.3740000000000001</c:v>
                </c:pt>
                <c:pt idx="192">
                  <c:v>1.3580000000000001</c:v>
                </c:pt>
                <c:pt idx="193">
                  <c:v>1.3380000000000001</c:v>
                </c:pt>
                <c:pt idx="194">
                  <c:v>1.325</c:v>
                </c:pt>
                <c:pt idx="195">
                  <c:v>1.31</c:v>
                </c:pt>
                <c:pt idx="196">
                  <c:v>1.3049999999999999</c:v>
                </c:pt>
                <c:pt idx="197">
                  <c:v>1.3169999999999999</c:v>
                </c:pt>
                <c:pt idx="198">
                  <c:v>1.298</c:v>
                </c:pt>
                <c:pt idx="199">
                  <c:v>1.3080000000000001</c:v>
                </c:pt>
                <c:pt idx="200">
                  <c:v>1.329</c:v>
                </c:pt>
              </c:numCache>
            </c:numRef>
          </c:val>
          <c:smooth val="0"/>
          <c:extLst>
            <c:ext xmlns:c16="http://schemas.microsoft.com/office/drawing/2014/chart" uri="{C3380CC4-5D6E-409C-BE32-E72D297353CC}">
              <c16:uniqueId val="{00000000-1E4F-4160-B4E4-880242220C6D}"/>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150000000000000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因诺聚配</a:t>
            </a:r>
            <a:r>
              <a:rPr lang="en-US" altLang="zh-CN" sz="1600"/>
              <a:t>500</a:t>
            </a:r>
            <a:r>
              <a:rPr lang="zh-CN" altLang="en-US" sz="1600"/>
              <a:t>指增</a:t>
            </a:r>
            <a:endParaRPr lang="en-US" altLang="zh-CN" sz="1600"/>
          </a:p>
        </c:rich>
      </c:tx>
      <c:overlay val="0"/>
    </c:title>
    <c:autoTitleDeleted val="0"/>
    <c:plotArea>
      <c:layout/>
      <c:lineChart>
        <c:grouping val="standard"/>
        <c:varyColors val="0"/>
        <c:ser>
          <c:idx val="0"/>
          <c:order val="0"/>
          <c:tx>
            <c:strRef>
              <c:f>因诺聚配500指增!$B$20</c:f>
              <c:strCache>
                <c:ptCount val="1"/>
                <c:pt idx="0">
                  <c:v>累计净值</c:v>
                </c:pt>
              </c:strCache>
            </c:strRef>
          </c:tx>
          <c:marker>
            <c:symbol val="none"/>
          </c:marker>
          <c:cat>
            <c:numRef>
              <c:f>因诺聚配500指增!$A$21:$A$220</c:f>
              <c:numCache>
                <c:formatCode>m/d/yy</c:formatCode>
                <c:ptCount val="200"/>
                <c:pt idx="0">
                  <c:v>44032</c:v>
                </c:pt>
                <c:pt idx="1">
                  <c:v>44033</c:v>
                </c:pt>
                <c:pt idx="2">
                  <c:v>44034</c:v>
                </c:pt>
                <c:pt idx="3">
                  <c:v>44035</c:v>
                </c:pt>
                <c:pt idx="4">
                  <c:v>44036</c:v>
                </c:pt>
                <c:pt idx="5">
                  <c:v>44039</c:v>
                </c:pt>
                <c:pt idx="6">
                  <c:v>44040</c:v>
                </c:pt>
                <c:pt idx="7">
                  <c:v>44041</c:v>
                </c:pt>
                <c:pt idx="8">
                  <c:v>44042</c:v>
                </c:pt>
                <c:pt idx="9">
                  <c:v>44043</c:v>
                </c:pt>
                <c:pt idx="10">
                  <c:v>44046</c:v>
                </c:pt>
                <c:pt idx="11">
                  <c:v>44047</c:v>
                </c:pt>
                <c:pt idx="12">
                  <c:v>44048</c:v>
                </c:pt>
                <c:pt idx="13">
                  <c:v>44049</c:v>
                </c:pt>
                <c:pt idx="14">
                  <c:v>44050</c:v>
                </c:pt>
                <c:pt idx="15">
                  <c:v>44053</c:v>
                </c:pt>
                <c:pt idx="16">
                  <c:v>44054</c:v>
                </c:pt>
                <c:pt idx="17">
                  <c:v>44055</c:v>
                </c:pt>
                <c:pt idx="18">
                  <c:v>44056</c:v>
                </c:pt>
                <c:pt idx="19">
                  <c:v>44057</c:v>
                </c:pt>
                <c:pt idx="20">
                  <c:v>44060</c:v>
                </c:pt>
                <c:pt idx="21">
                  <c:v>44061</c:v>
                </c:pt>
                <c:pt idx="22">
                  <c:v>44062</c:v>
                </c:pt>
                <c:pt idx="23">
                  <c:v>44063</c:v>
                </c:pt>
                <c:pt idx="24">
                  <c:v>44064</c:v>
                </c:pt>
                <c:pt idx="25">
                  <c:v>44067</c:v>
                </c:pt>
                <c:pt idx="26">
                  <c:v>44068</c:v>
                </c:pt>
                <c:pt idx="27">
                  <c:v>44069</c:v>
                </c:pt>
                <c:pt idx="28">
                  <c:v>44070</c:v>
                </c:pt>
                <c:pt idx="29">
                  <c:v>44071</c:v>
                </c:pt>
                <c:pt idx="30">
                  <c:v>44074</c:v>
                </c:pt>
                <c:pt idx="31">
                  <c:v>44075</c:v>
                </c:pt>
                <c:pt idx="32">
                  <c:v>44076</c:v>
                </c:pt>
                <c:pt idx="33">
                  <c:v>44077</c:v>
                </c:pt>
                <c:pt idx="34">
                  <c:v>44078</c:v>
                </c:pt>
                <c:pt idx="35">
                  <c:v>44081</c:v>
                </c:pt>
                <c:pt idx="36">
                  <c:v>44082</c:v>
                </c:pt>
                <c:pt idx="37">
                  <c:v>44083</c:v>
                </c:pt>
                <c:pt idx="38">
                  <c:v>44084</c:v>
                </c:pt>
                <c:pt idx="39">
                  <c:v>44085</c:v>
                </c:pt>
                <c:pt idx="40">
                  <c:v>44088</c:v>
                </c:pt>
                <c:pt idx="41">
                  <c:v>44089</c:v>
                </c:pt>
                <c:pt idx="42">
                  <c:v>44090</c:v>
                </c:pt>
                <c:pt idx="43">
                  <c:v>44091</c:v>
                </c:pt>
                <c:pt idx="44">
                  <c:v>44092</c:v>
                </c:pt>
                <c:pt idx="45">
                  <c:v>44095</c:v>
                </c:pt>
                <c:pt idx="46">
                  <c:v>44096</c:v>
                </c:pt>
                <c:pt idx="47">
                  <c:v>44097</c:v>
                </c:pt>
                <c:pt idx="48">
                  <c:v>44098</c:v>
                </c:pt>
                <c:pt idx="49">
                  <c:v>44099</c:v>
                </c:pt>
                <c:pt idx="50">
                  <c:v>44102</c:v>
                </c:pt>
                <c:pt idx="51">
                  <c:v>44103</c:v>
                </c:pt>
                <c:pt idx="52">
                  <c:v>44104</c:v>
                </c:pt>
                <c:pt idx="53">
                  <c:v>44113</c:v>
                </c:pt>
                <c:pt idx="54">
                  <c:v>44116</c:v>
                </c:pt>
                <c:pt idx="55">
                  <c:v>44117</c:v>
                </c:pt>
                <c:pt idx="56">
                  <c:v>44118</c:v>
                </c:pt>
                <c:pt idx="57">
                  <c:v>44119</c:v>
                </c:pt>
                <c:pt idx="58">
                  <c:v>44120</c:v>
                </c:pt>
                <c:pt idx="59">
                  <c:v>44123</c:v>
                </c:pt>
                <c:pt idx="60">
                  <c:v>44124</c:v>
                </c:pt>
                <c:pt idx="61">
                  <c:v>44125</c:v>
                </c:pt>
                <c:pt idx="62">
                  <c:v>44126</c:v>
                </c:pt>
                <c:pt idx="63">
                  <c:v>44127</c:v>
                </c:pt>
                <c:pt idx="64">
                  <c:v>44130</c:v>
                </c:pt>
                <c:pt idx="65">
                  <c:v>44131</c:v>
                </c:pt>
                <c:pt idx="66">
                  <c:v>44132</c:v>
                </c:pt>
                <c:pt idx="67">
                  <c:v>44133</c:v>
                </c:pt>
                <c:pt idx="68">
                  <c:v>44134</c:v>
                </c:pt>
                <c:pt idx="69">
                  <c:v>44137</c:v>
                </c:pt>
                <c:pt idx="70">
                  <c:v>44138</c:v>
                </c:pt>
                <c:pt idx="71">
                  <c:v>44139</c:v>
                </c:pt>
                <c:pt idx="72">
                  <c:v>44140</c:v>
                </c:pt>
                <c:pt idx="73">
                  <c:v>44141</c:v>
                </c:pt>
                <c:pt idx="74">
                  <c:v>44144</c:v>
                </c:pt>
                <c:pt idx="75">
                  <c:v>44145</c:v>
                </c:pt>
                <c:pt idx="76">
                  <c:v>44146</c:v>
                </c:pt>
                <c:pt idx="77">
                  <c:v>44147</c:v>
                </c:pt>
                <c:pt idx="78">
                  <c:v>44148</c:v>
                </c:pt>
                <c:pt idx="79">
                  <c:v>44151</c:v>
                </c:pt>
                <c:pt idx="80">
                  <c:v>44152</c:v>
                </c:pt>
                <c:pt idx="81">
                  <c:v>44153</c:v>
                </c:pt>
                <c:pt idx="82">
                  <c:v>44154</c:v>
                </c:pt>
                <c:pt idx="83">
                  <c:v>44155</c:v>
                </c:pt>
                <c:pt idx="84">
                  <c:v>44158</c:v>
                </c:pt>
                <c:pt idx="85">
                  <c:v>44159</c:v>
                </c:pt>
                <c:pt idx="86">
                  <c:v>44160</c:v>
                </c:pt>
                <c:pt idx="87">
                  <c:v>44161</c:v>
                </c:pt>
                <c:pt idx="88">
                  <c:v>44162</c:v>
                </c:pt>
                <c:pt idx="89">
                  <c:v>44165</c:v>
                </c:pt>
                <c:pt idx="90">
                  <c:v>44166</c:v>
                </c:pt>
                <c:pt idx="91">
                  <c:v>44167</c:v>
                </c:pt>
                <c:pt idx="92">
                  <c:v>44168</c:v>
                </c:pt>
                <c:pt idx="93">
                  <c:v>44169</c:v>
                </c:pt>
                <c:pt idx="94">
                  <c:v>44172</c:v>
                </c:pt>
                <c:pt idx="95">
                  <c:v>44173</c:v>
                </c:pt>
                <c:pt idx="96">
                  <c:v>44174</c:v>
                </c:pt>
                <c:pt idx="97">
                  <c:v>44175</c:v>
                </c:pt>
                <c:pt idx="98">
                  <c:v>44176</c:v>
                </c:pt>
                <c:pt idx="99">
                  <c:v>44179</c:v>
                </c:pt>
                <c:pt idx="100">
                  <c:v>44180</c:v>
                </c:pt>
                <c:pt idx="101">
                  <c:v>44181</c:v>
                </c:pt>
                <c:pt idx="102">
                  <c:v>44182</c:v>
                </c:pt>
                <c:pt idx="103">
                  <c:v>44183</c:v>
                </c:pt>
                <c:pt idx="104">
                  <c:v>44186</c:v>
                </c:pt>
                <c:pt idx="105">
                  <c:v>44187</c:v>
                </c:pt>
                <c:pt idx="106">
                  <c:v>44188</c:v>
                </c:pt>
                <c:pt idx="107">
                  <c:v>44189</c:v>
                </c:pt>
                <c:pt idx="108">
                  <c:v>44190</c:v>
                </c:pt>
                <c:pt idx="109">
                  <c:v>44193</c:v>
                </c:pt>
                <c:pt idx="110">
                  <c:v>44194</c:v>
                </c:pt>
                <c:pt idx="111">
                  <c:v>44195</c:v>
                </c:pt>
                <c:pt idx="112">
                  <c:v>44196</c:v>
                </c:pt>
                <c:pt idx="113">
                  <c:v>44200</c:v>
                </c:pt>
                <c:pt idx="114">
                  <c:v>44201</c:v>
                </c:pt>
                <c:pt idx="115">
                  <c:v>44202</c:v>
                </c:pt>
                <c:pt idx="116">
                  <c:v>44203</c:v>
                </c:pt>
                <c:pt idx="117">
                  <c:v>44204</c:v>
                </c:pt>
                <c:pt idx="118">
                  <c:v>44207</c:v>
                </c:pt>
                <c:pt idx="119">
                  <c:v>44208</c:v>
                </c:pt>
                <c:pt idx="120">
                  <c:v>44209</c:v>
                </c:pt>
                <c:pt idx="121">
                  <c:v>44210</c:v>
                </c:pt>
                <c:pt idx="122">
                  <c:v>44211</c:v>
                </c:pt>
                <c:pt idx="123">
                  <c:v>44214</c:v>
                </c:pt>
                <c:pt idx="124">
                  <c:v>44215</c:v>
                </c:pt>
                <c:pt idx="125">
                  <c:v>44216</c:v>
                </c:pt>
                <c:pt idx="126">
                  <c:v>44217</c:v>
                </c:pt>
                <c:pt idx="127">
                  <c:v>44218</c:v>
                </c:pt>
                <c:pt idx="128">
                  <c:v>44221</c:v>
                </c:pt>
                <c:pt idx="129">
                  <c:v>44222</c:v>
                </c:pt>
                <c:pt idx="130">
                  <c:v>44223</c:v>
                </c:pt>
                <c:pt idx="131">
                  <c:v>44224</c:v>
                </c:pt>
                <c:pt idx="132">
                  <c:v>44225</c:v>
                </c:pt>
                <c:pt idx="133">
                  <c:v>44228</c:v>
                </c:pt>
                <c:pt idx="134">
                  <c:v>44229</c:v>
                </c:pt>
                <c:pt idx="135">
                  <c:v>44230</c:v>
                </c:pt>
                <c:pt idx="136">
                  <c:v>44231</c:v>
                </c:pt>
                <c:pt idx="137">
                  <c:v>44232</c:v>
                </c:pt>
                <c:pt idx="138">
                  <c:v>44235</c:v>
                </c:pt>
                <c:pt idx="139">
                  <c:v>44236</c:v>
                </c:pt>
                <c:pt idx="140">
                  <c:v>44237</c:v>
                </c:pt>
                <c:pt idx="141">
                  <c:v>44245</c:v>
                </c:pt>
                <c:pt idx="142">
                  <c:v>44246</c:v>
                </c:pt>
                <c:pt idx="143">
                  <c:v>44249</c:v>
                </c:pt>
                <c:pt idx="144">
                  <c:v>44250</c:v>
                </c:pt>
                <c:pt idx="145">
                  <c:v>44251</c:v>
                </c:pt>
                <c:pt idx="146">
                  <c:v>44252</c:v>
                </c:pt>
                <c:pt idx="147">
                  <c:v>44253</c:v>
                </c:pt>
                <c:pt idx="148">
                  <c:v>44256</c:v>
                </c:pt>
                <c:pt idx="149">
                  <c:v>44257</c:v>
                </c:pt>
                <c:pt idx="150">
                  <c:v>44258</c:v>
                </c:pt>
                <c:pt idx="151">
                  <c:v>44259</c:v>
                </c:pt>
                <c:pt idx="152">
                  <c:v>44260</c:v>
                </c:pt>
                <c:pt idx="153">
                  <c:v>44263</c:v>
                </c:pt>
                <c:pt idx="154">
                  <c:v>44264</c:v>
                </c:pt>
                <c:pt idx="155">
                  <c:v>44265</c:v>
                </c:pt>
                <c:pt idx="156">
                  <c:v>44266</c:v>
                </c:pt>
                <c:pt idx="157">
                  <c:v>44267</c:v>
                </c:pt>
                <c:pt idx="158">
                  <c:v>44270</c:v>
                </c:pt>
                <c:pt idx="159">
                  <c:v>44271</c:v>
                </c:pt>
                <c:pt idx="160">
                  <c:v>44272</c:v>
                </c:pt>
                <c:pt idx="161">
                  <c:v>44273</c:v>
                </c:pt>
                <c:pt idx="162">
                  <c:v>44274</c:v>
                </c:pt>
                <c:pt idx="163">
                  <c:v>44277</c:v>
                </c:pt>
                <c:pt idx="164">
                  <c:v>44278</c:v>
                </c:pt>
                <c:pt idx="165">
                  <c:v>44279</c:v>
                </c:pt>
                <c:pt idx="166">
                  <c:v>44280</c:v>
                </c:pt>
                <c:pt idx="167">
                  <c:v>44281</c:v>
                </c:pt>
                <c:pt idx="168">
                  <c:v>44284</c:v>
                </c:pt>
                <c:pt idx="169">
                  <c:v>44285</c:v>
                </c:pt>
                <c:pt idx="170">
                  <c:v>44286</c:v>
                </c:pt>
                <c:pt idx="171">
                  <c:v>44287</c:v>
                </c:pt>
                <c:pt idx="172">
                  <c:v>44288</c:v>
                </c:pt>
                <c:pt idx="173">
                  <c:v>44292</c:v>
                </c:pt>
                <c:pt idx="174">
                  <c:v>44293</c:v>
                </c:pt>
                <c:pt idx="175">
                  <c:v>44294</c:v>
                </c:pt>
                <c:pt idx="176">
                  <c:v>44295</c:v>
                </c:pt>
                <c:pt idx="177">
                  <c:v>44298</c:v>
                </c:pt>
                <c:pt idx="178">
                  <c:v>44299</c:v>
                </c:pt>
                <c:pt idx="179">
                  <c:v>44300</c:v>
                </c:pt>
                <c:pt idx="180">
                  <c:v>44301</c:v>
                </c:pt>
                <c:pt idx="181">
                  <c:v>44302</c:v>
                </c:pt>
                <c:pt idx="182">
                  <c:v>44305</c:v>
                </c:pt>
                <c:pt idx="183">
                  <c:v>44306</c:v>
                </c:pt>
                <c:pt idx="184">
                  <c:v>44307</c:v>
                </c:pt>
                <c:pt idx="185">
                  <c:v>44308</c:v>
                </c:pt>
                <c:pt idx="186">
                  <c:v>44309</c:v>
                </c:pt>
                <c:pt idx="187">
                  <c:v>44312</c:v>
                </c:pt>
                <c:pt idx="188">
                  <c:v>44313</c:v>
                </c:pt>
                <c:pt idx="189">
                  <c:v>44314</c:v>
                </c:pt>
                <c:pt idx="190">
                  <c:v>44315</c:v>
                </c:pt>
                <c:pt idx="191">
                  <c:v>44316</c:v>
                </c:pt>
                <c:pt idx="192">
                  <c:v>44322</c:v>
                </c:pt>
                <c:pt idx="193">
                  <c:v>44323</c:v>
                </c:pt>
                <c:pt idx="194">
                  <c:v>44326</c:v>
                </c:pt>
                <c:pt idx="195">
                  <c:v>44327</c:v>
                </c:pt>
                <c:pt idx="196">
                  <c:v>44328</c:v>
                </c:pt>
                <c:pt idx="197">
                  <c:v>44329</c:v>
                </c:pt>
                <c:pt idx="198">
                  <c:v>44330</c:v>
                </c:pt>
                <c:pt idx="199">
                  <c:v>44333</c:v>
                </c:pt>
              </c:numCache>
            </c:numRef>
          </c:cat>
          <c:val>
            <c:numRef>
              <c:f>因诺聚配500指增!$B$21:$B$220</c:f>
              <c:numCache>
                <c:formatCode>0.0000_ </c:formatCode>
                <c:ptCount val="200"/>
                <c:pt idx="0">
                  <c:v>1.544</c:v>
                </c:pt>
                <c:pt idx="1">
                  <c:v>1.5529999999999999</c:v>
                </c:pt>
                <c:pt idx="2">
                  <c:v>1.5669999999999999</c:v>
                </c:pt>
                <c:pt idx="3">
                  <c:v>1.579</c:v>
                </c:pt>
                <c:pt idx="4">
                  <c:v>1.5</c:v>
                </c:pt>
                <c:pt idx="5">
                  <c:v>1.512</c:v>
                </c:pt>
                <c:pt idx="6">
                  <c:v>1.526</c:v>
                </c:pt>
                <c:pt idx="7">
                  <c:v>1.5740000000000001</c:v>
                </c:pt>
                <c:pt idx="8">
                  <c:v>1.5649999999999999</c:v>
                </c:pt>
                <c:pt idx="9">
                  <c:v>1.5860000000000001</c:v>
                </c:pt>
                <c:pt idx="10">
                  <c:v>1.629</c:v>
                </c:pt>
                <c:pt idx="11">
                  <c:v>1.6140000000000001</c:v>
                </c:pt>
                <c:pt idx="12">
                  <c:v>1.635</c:v>
                </c:pt>
                <c:pt idx="13">
                  <c:v>1.63</c:v>
                </c:pt>
                <c:pt idx="14">
                  <c:v>1.6120000000000001</c:v>
                </c:pt>
                <c:pt idx="15">
                  <c:v>1.609</c:v>
                </c:pt>
                <c:pt idx="16">
                  <c:v>1.5820000000000001</c:v>
                </c:pt>
                <c:pt idx="17">
                  <c:v>1.5549999999999999</c:v>
                </c:pt>
                <c:pt idx="18">
                  <c:v>1.554</c:v>
                </c:pt>
                <c:pt idx="19">
                  <c:v>1.5740000000000001</c:v>
                </c:pt>
                <c:pt idx="20">
                  <c:v>1.6080000000000001</c:v>
                </c:pt>
                <c:pt idx="21">
                  <c:v>1.619</c:v>
                </c:pt>
                <c:pt idx="22">
                  <c:v>1.5840000000000001</c:v>
                </c:pt>
                <c:pt idx="23">
                  <c:v>1.5649999999999999</c:v>
                </c:pt>
                <c:pt idx="24">
                  <c:v>1.579</c:v>
                </c:pt>
                <c:pt idx="25">
                  <c:v>1.5960000000000001</c:v>
                </c:pt>
                <c:pt idx="26">
                  <c:v>1.5880000000000001</c:v>
                </c:pt>
                <c:pt idx="27">
                  <c:v>1.544</c:v>
                </c:pt>
                <c:pt idx="28">
                  <c:v>1.5720000000000001</c:v>
                </c:pt>
                <c:pt idx="29">
                  <c:v>1.5960000000000001</c:v>
                </c:pt>
                <c:pt idx="30">
                  <c:v>1.59</c:v>
                </c:pt>
                <c:pt idx="31">
                  <c:v>1.595</c:v>
                </c:pt>
                <c:pt idx="32">
                  <c:v>1.593</c:v>
                </c:pt>
                <c:pt idx="33">
                  <c:v>1.577</c:v>
                </c:pt>
                <c:pt idx="34">
                  <c:v>1.5720000000000001</c:v>
                </c:pt>
                <c:pt idx="35">
                  <c:v>1.524</c:v>
                </c:pt>
                <c:pt idx="36">
                  <c:v>1.522</c:v>
                </c:pt>
                <c:pt idx="37">
                  <c:v>1.456</c:v>
                </c:pt>
                <c:pt idx="38">
                  <c:v>1.446</c:v>
                </c:pt>
                <c:pt idx="39">
                  <c:v>1.4790000000000001</c:v>
                </c:pt>
                <c:pt idx="40">
                  <c:v>1.4970000000000001</c:v>
                </c:pt>
                <c:pt idx="41">
                  <c:v>1.5149999999999999</c:v>
                </c:pt>
                <c:pt idx="42">
                  <c:v>1.4950000000000001</c:v>
                </c:pt>
                <c:pt idx="43">
                  <c:v>1.5029999999999999</c:v>
                </c:pt>
                <c:pt idx="44">
                  <c:v>1.5249999999999999</c:v>
                </c:pt>
                <c:pt idx="45">
                  <c:v>1.524</c:v>
                </c:pt>
                <c:pt idx="46">
                  <c:v>1.506</c:v>
                </c:pt>
                <c:pt idx="47">
                  <c:v>1.528</c:v>
                </c:pt>
                <c:pt idx="48">
                  <c:v>1.49</c:v>
                </c:pt>
                <c:pt idx="49">
                  <c:v>1.4850000000000001</c:v>
                </c:pt>
                <c:pt idx="50">
                  <c:v>1.47</c:v>
                </c:pt>
                <c:pt idx="51">
                  <c:v>1.488</c:v>
                </c:pt>
                <c:pt idx="52">
                  <c:v>1.486</c:v>
                </c:pt>
                <c:pt idx="53">
                  <c:v>1.5349999999999999</c:v>
                </c:pt>
                <c:pt idx="54">
                  <c:v>1.595</c:v>
                </c:pt>
                <c:pt idx="55">
                  <c:v>1.6080000000000001</c:v>
                </c:pt>
                <c:pt idx="56">
                  <c:v>1.6020000000000001</c:v>
                </c:pt>
                <c:pt idx="57">
                  <c:v>1.5840000000000001</c:v>
                </c:pt>
                <c:pt idx="58">
                  <c:v>1.5840000000000001</c:v>
                </c:pt>
                <c:pt idx="59">
                  <c:v>1.569</c:v>
                </c:pt>
                <c:pt idx="60">
                  <c:v>1.5940000000000001</c:v>
                </c:pt>
                <c:pt idx="61">
                  <c:v>1.573</c:v>
                </c:pt>
                <c:pt idx="62">
                  <c:v>1.5649999999999999</c:v>
                </c:pt>
                <c:pt idx="63">
                  <c:v>1.53</c:v>
                </c:pt>
                <c:pt idx="64">
                  <c:v>1.548</c:v>
                </c:pt>
                <c:pt idx="65">
                  <c:v>1.5660000000000001</c:v>
                </c:pt>
                <c:pt idx="66">
                  <c:v>1.577</c:v>
                </c:pt>
                <c:pt idx="67">
                  <c:v>1.5840000000000001</c:v>
                </c:pt>
                <c:pt idx="68">
                  <c:v>1.5429999999999999</c:v>
                </c:pt>
                <c:pt idx="69">
                  <c:v>1.5589999999999999</c:v>
                </c:pt>
                <c:pt idx="70">
                  <c:v>1.5880000000000001</c:v>
                </c:pt>
                <c:pt idx="71">
                  <c:v>1.5880000000000001</c:v>
                </c:pt>
                <c:pt idx="72">
                  <c:v>1.6220000000000001</c:v>
                </c:pt>
                <c:pt idx="73">
                  <c:v>1.6020000000000001</c:v>
                </c:pt>
                <c:pt idx="74">
                  <c:v>1.639</c:v>
                </c:pt>
                <c:pt idx="75">
                  <c:v>1.623</c:v>
                </c:pt>
                <c:pt idx="76">
                  <c:v>1.5820000000000001</c:v>
                </c:pt>
                <c:pt idx="77">
                  <c:v>1.5880000000000001</c:v>
                </c:pt>
                <c:pt idx="78">
                  <c:v>1.5920000000000001</c:v>
                </c:pt>
                <c:pt idx="79">
                  <c:v>1.601</c:v>
                </c:pt>
                <c:pt idx="80">
                  <c:v>1.5840000000000001</c:v>
                </c:pt>
                <c:pt idx="81">
                  <c:v>1.583</c:v>
                </c:pt>
                <c:pt idx="82">
                  <c:v>1.6</c:v>
                </c:pt>
                <c:pt idx="83">
                  <c:v>1.619</c:v>
                </c:pt>
                <c:pt idx="84">
                  <c:v>1.635</c:v>
                </c:pt>
                <c:pt idx="85">
                  <c:v>1.6359999999999999</c:v>
                </c:pt>
                <c:pt idx="86">
                  <c:v>1.6</c:v>
                </c:pt>
                <c:pt idx="87">
                  <c:v>1.589</c:v>
                </c:pt>
                <c:pt idx="88">
                  <c:v>1.5940000000000001</c:v>
                </c:pt>
                <c:pt idx="89">
                  <c:v>1.59</c:v>
                </c:pt>
                <c:pt idx="90">
                  <c:v>1.619</c:v>
                </c:pt>
                <c:pt idx="91">
                  <c:v>1.62</c:v>
                </c:pt>
                <c:pt idx="92">
                  <c:v>1.6160000000000001</c:v>
                </c:pt>
                <c:pt idx="93">
                  <c:v>1.627</c:v>
                </c:pt>
                <c:pt idx="94">
                  <c:v>1.6220000000000001</c:v>
                </c:pt>
                <c:pt idx="95">
                  <c:v>1.6259999999999999</c:v>
                </c:pt>
                <c:pt idx="96">
                  <c:v>1.595</c:v>
                </c:pt>
                <c:pt idx="97">
                  <c:v>1.6040000000000001</c:v>
                </c:pt>
                <c:pt idx="98">
                  <c:v>1.5820000000000001</c:v>
                </c:pt>
                <c:pt idx="99">
                  <c:v>1.609</c:v>
                </c:pt>
                <c:pt idx="100">
                  <c:v>1.6180000000000001</c:v>
                </c:pt>
                <c:pt idx="101">
                  <c:v>1.6060000000000001</c:v>
                </c:pt>
                <c:pt idx="102">
                  <c:v>1.6279999999999999</c:v>
                </c:pt>
                <c:pt idx="103">
                  <c:v>1.62</c:v>
                </c:pt>
                <c:pt idx="104">
                  <c:v>1.6539999999999999</c:v>
                </c:pt>
                <c:pt idx="105">
                  <c:v>1.619</c:v>
                </c:pt>
                <c:pt idx="106">
                  <c:v>1.6419999999999999</c:v>
                </c:pt>
                <c:pt idx="107">
                  <c:v>1.6240000000000001</c:v>
                </c:pt>
                <c:pt idx="108">
                  <c:v>1.645</c:v>
                </c:pt>
                <c:pt idx="109">
                  <c:v>1.64</c:v>
                </c:pt>
                <c:pt idx="110">
                  <c:v>1.6359999999999999</c:v>
                </c:pt>
                <c:pt idx="111">
                  <c:v>1.6559999999999999</c:v>
                </c:pt>
                <c:pt idx="112">
                  <c:v>1.6839999999999999</c:v>
                </c:pt>
                <c:pt idx="113">
                  <c:v>1.73</c:v>
                </c:pt>
                <c:pt idx="114">
                  <c:v>1.732</c:v>
                </c:pt>
                <c:pt idx="115">
                  <c:v>1.7110000000000001</c:v>
                </c:pt>
                <c:pt idx="116">
                  <c:v>1.696</c:v>
                </c:pt>
                <c:pt idx="117">
                  <c:v>1.696</c:v>
                </c:pt>
                <c:pt idx="118">
                  <c:v>1.675</c:v>
                </c:pt>
                <c:pt idx="119">
                  <c:v>1.7050000000000001</c:v>
                </c:pt>
                <c:pt idx="120">
                  <c:v>1.6839999999999999</c:v>
                </c:pt>
                <c:pt idx="121">
                  <c:v>1.6639999999999999</c:v>
                </c:pt>
                <c:pt idx="122">
                  <c:v>1.681</c:v>
                </c:pt>
                <c:pt idx="123">
                  <c:v>1.716</c:v>
                </c:pt>
                <c:pt idx="124">
                  <c:v>1.698</c:v>
                </c:pt>
                <c:pt idx="125">
                  <c:v>1.724</c:v>
                </c:pt>
                <c:pt idx="126">
                  <c:v>1.7529999999999999</c:v>
                </c:pt>
                <c:pt idx="127">
                  <c:v>1.766</c:v>
                </c:pt>
                <c:pt idx="128">
                  <c:v>1.77</c:v>
                </c:pt>
                <c:pt idx="129">
                  <c:v>1.748</c:v>
                </c:pt>
                <c:pt idx="130">
                  <c:v>1.7589999999999999</c:v>
                </c:pt>
                <c:pt idx="131">
                  <c:v>1.706</c:v>
                </c:pt>
                <c:pt idx="132">
                  <c:v>1.6870000000000001</c:v>
                </c:pt>
                <c:pt idx="133">
                  <c:v>1.71</c:v>
                </c:pt>
                <c:pt idx="134">
                  <c:v>1.7450000000000001</c:v>
                </c:pt>
                <c:pt idx="135">
                  <c:v>1.724</c:v>
                </c:pt>
                <c:pt idx="136">
                  <c:v>1.698</c:v>
                </c:pt>
                <c:pt idx="137">
                  <c:v>1.6659999999999999</c:v>
                </c:pt>
                <c:pt idx="138">
                  <c:v>1.6890000000000001</c:v>
                </c:pt>
                <c:pt idx="139">
                  <c:v>1.744</c:v>
                </c:pt>
                <c:pt idx="140">
                  <c:v>1.7609999999999999</c:v>
                </c:pt>
                <c:pt idx="141">
                  <c:v>1.774</c:v>
                </c:pt>
                <c:pt idx="142">
                  <c:v>1.7909999999999999</c:v>
                </c:pt>
                <c:pt idx="143">
                  <c:v>1.774</c:v>
                </c:pt>
                <c:pt idx="144">
                  <c:v>1.766</c:v>
                </c:pt>
                <c:pt idx="145">
                  <c:v>1.73</c:v>
                </c:pt>
                <c:pt idx="146">
                  <c:v>1.7250000000000001</c:v>
                </c:pt>
                <c:pt idx="147">
                  <c:v>1.6830000000000001</c:v>
                </c:pt>
                <c:pt idx="148">
                  <c:v>1.7270000000000001</c:v>
                </c:pt>
                <c:pt idx="149">
                  <c:v>1.7130000000000001</c:v>
                </c:pt>
                <c:pt idx="150">
                  <c:v>1.742</c:v>
                </c:pt>
                <c:pt idx="151">
                  <c:v>1.675</c:v>
                </c:pt>
                <c:pt idx="152">
                  <c:v>1.6739999999999999</c:v>
                </c:pt>
                <c:pt idx="153">
                  <c:v>1.603</c:v>
                </c:pt>
                <c:pt idx="154">
                  <c:v>1.5580000000000001</c:v>
                </c:pt>
                <c:pt idx="155">
                  <c:v>1.583</c:v>
                </c:pt>
                <c:pt idx="156">
                  <c:v>1.6339999999999999</c:v>
                </c:pt>
                <c:pt idx="157">
                  <c:v>1.639</c:v>
                </c:pt>
                <c:pt idx="158">
                  <c:v>1.6</c:v>
                </c:pt>
                <c:pt idx="159">
                  <c:v>1.6120000000000001</c:v>
                </c:pt>
                <c:pt idx="160">
                  <c:v>1.6379999999999999</c:v>
                </c:pt>
                <c:pt idx="161">
                  <c:v>1.657</c:v>
                </c:pt>
                <c:pt idx="162">
                  <c:v>1.625</c:v>
                </c:pt>
                <c:pt idx="163">
                  <c:v>1.643</c:v>
                </c:pt>
                <c:pt idx="164">
                  <c:v>1.613</c:v>
                </c:pt>
                <c:pt idx="165">
                  <c:v>1.5780000000000001</c:v>
                </c:pt>
                <c:pt idx="166">
                  <c:v>1.593</c:v>
                </c:pt>
                <c:pt idx="167">
                  <c:v>1.64</c:v>
                </c:pt>
                <c:pt idx="168">
                  <c:v>1.6439999999999999</c:v>
                </c:pt>
                <c:pt idx="169">
                  <c:v>1.661</c:v>
                </c:pt>
                <c:pt idx="170">
                  <c:v>1.649</c:v>
                </c:pt>
                <c:pt idx="171">
                  <c:v>1.669</c:v>
                </c:pt>
                <c:pt idx="172">
                  <c:v>1.6850000000000001</c:v>
                </c:pt>
                <c:pt idx="173">
                  <c:v>1.6930000000000001</c:v>
                </c:pt>
                <c:pt idx="174">
                  <c:v>1.6970000000000001</c:v>
                </c:pt>
                <c:pt idx="175">
                  <c:v>1.702</c:v>
                </c:pt>
                <c:pt idx="176">
                  <c:v>1.696</c:v>
                </c:pt>
                <c:pt idx="177">
                  <c:v>1.66</c:v>
                </c:pt>
                <c:pt idx="178">
                  <c:v>1.6559999999999999</c:v>
                </c:pt>
                <c:pt idx="179">
                  <c:v>1.681</c:v>
                </c:pt>
                <c:pt idx="180">
                  <c:v>1.6759999999999999</c:v>
                </c:pt>
                <c:pt idx="181">
                  <c:v>1.6850000000000001</c:v>
                </c:pt>
                <c:pt idx="182">
                  <c:v>1.72</c:v>
                </c:pt>
                <c:pt idx="183">
                  <c:v>1.722</c:v>
                </c:pt>
                <c:pt idx="184">
                  <c:v>1.7250000000000001</c:v>
                </c:pt>
                <c:pt idx="185">
                  <c:v>1.74</c:v>
                </c:pt>
                <c:pt idx="186">
                  <c:v>1.742</c:v>
                </c:pt>
                <c:pt idx="187">
                  <c:v>1.7350000000000001</c:v>
                </c:pt>
                <c:pt idx="188">
                  <c:v>1.7350000000000001</c:v>
                </c:pt>
                <c:pt idx="189">
                  <c:v>1.7509999999999999</c:v>
                </c:pt>
                <c:pt idx="190">
                  <c:v>1.7470000000000001</c:v>
                </c:pt>
                <c:pt idx="191">
                  <c:v>1.742</c:v>
                </c:pt>
                <c:pt idx="192">
                  <c:v>1.7370000000000001</c:v>
                </c:pt>
                <c:pt idx="193">
                  <c:v>1.702</c:v>
                </c:pt>
                <c:pt idx="194">
                  <c:v>1.71</c:v>
                </c:pt>
                <c:pt idx="195">
                  <c:v>1.708</c:v>
                </c:pt>
                <c:pt idx="196">
                  <c:v>1.732</c:v>
                </c:pt>
                <c:pt idx="197">
                  <c:v>1.7170000000000001</c:v>
                </c:pt>
                <c:pt idx="198">
                  <c:v>1.742</c:v>
                </c:pt>
                <c:pt idx="199">
                  <c:v>1.7549999999999999</c:v>
                </c:pt>
              </c:numCache>
            </c:numRef>
          </c:val>
          <c:smooth val="0"/>
          <c:extLst>
            <c:ext xmlns:c16="http://schemas.microsoft.com/office/drawing/2014/chart" uri="{C3380CC4-5D6E-409C-BE32-E72D297353CC}">
              <c16:uniqueId val="{00000000-049E-4317-8A87-B38AA6946ED1}"/>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4"/>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衍复聚砾一号</a:t>
            </a:r>
            <a:endParaRPr lang="en-US" altLang="zh-CN" sz="1600"/>
          </a:p>
        </c:rich>
      </c:tx>
      <c:overlay val="0"/>
    </c:title>
    <c:autoTitleDeleted val="0"/>
    <c:plotArea>
      <c:layout/>
      <c:lineChart>
        <c:grouping val="standard"/>
        <c:varyColors val="0"/>
        <c:ser>
          <c:idx val="0"/>
          <c:order val="0"/>
          <c:tx>
            <c:strRef>
              <c:f>衍复聚砾一号!$B$20</c:f>
              <c:strCache>
                <c:ptCount val="1"/>
                <c:pt idx="0">
                  <c:v>累计净值</c:v>
                </c:pt>
              </c:strCache>
            </c:strRef>
          </c:tx>
          <c:marker>
            <c:symbol val="none"/>
          </c:marker>
          <c:cat>
            <c:numRef>
              <c:f>衍复聚砾一号!$A$21:$A$190</c:f>
              <c:numCache>
                <c:formatCode>m/d/yy</c:formatCode>
                <c:ptCount val="170"/>
                <c:pt idx="0">
                  <c:v>44074</c:v>
                </c:pt>
                <c:pt idx="1">
                  <c:v>44075</c:v>
                </c:pt>
                <c:pt idx="2">
                  <c:v>44076</c:v>
                </c:pt>
                <c:pt idx="3">
                  <c:v>44077</c:v>
                </c:pt>
                <c:pt idx="4">
                  <c:v>44078</c:v>
                </c:pt>
                <c:pt idx="5">
                  <c:v>44081</c:v>
                </c:pt>
                <c:pt idx="6">
                  <c:v>44082</c:v>
                </c:pt>
                <c:pt idx="7">
                  <c:v>44083</c:v>
                </c:pt>
                <c:pt idx="8">
                  <c:v>44084</c:v>
                </c:pt>
                <c:pt idx="9">
                  <c:v>44085</c:v>
                </c:pt>
                <c:pt idx="10">
                  <c:v>44088</c:v>
                </c:pt>
                <c:pt idx="11">
                  <c:v>44089</c:v>
                </c:pt>
                <c:pt idx="12">
                  <c:v>44090</c:v>
                </c:pt>
                <c:pt idx="13">
                  <c:v>44091</c:v>
                </c:pt>
                <c:pt idx="14">
                  <c:v>44092</c:v>
                </c:pt>
                <c:pt idx="15">
                  <c:v>44095</c:v>
                </c:pt>
                <c:pt idx="16">
                  <c:v>44096</c:v>
                </c:pt>
                <c:pt idx="17">
                  <c:v>44097</c:v>
                </c:pt>
                <c:pt idx="18">
                  <c:v>44098</c:v>
                </c:pt>
                <c:pt idx="19">
                  <c:v>44099</c:v>
                </c:pt>
                <c:pt idx="20">
                  <c:v>44102</c:v>
                </c:pt>
                <c:pt idx="21">
                  <c:v>44103</c:v>
                </c:pt>
                <c:pt idx="22">
                  <c:v>44104</c:v>
                </c:pt>
                <c:pt idx="23">
                  <c:v>44113</c:v>
                </c:pt>
                <c:pt idx="24">
                  <c:v>44116</c:v>
                </c:pt>
                <c:pt idx="25">
                  <c:v>44117</c:v>
                </c:pt>
                <c:pt idx="26">
                  <c:v>44118</c:v>
                </c:pt>
                <c:pt idx="27">
                  <c:v>44119</c:v>
                </c:pt>
                <c:pt idx="28">
                  <c:v>44120</c:v>
                </c:pt>
                <c:pt idx="29">
                  <c:v>44123</c:v>
                </c:pt>
                <c:pt idx="30">
                  <c:v>44124</c:v>
                </c:pt>
                <c:pt idx="31">
                  <c:v>44125</c:v>
                </c:pt>
                <c:pt idx="32">
                  <c:v>44126</c:v>
                </c:pt>
                <c:pt idx="33">
                  <c:v>44127</c:v>
                </c:pt>
                <c:pt idx="34">
                  <c:v>44130</c:v>
                </c:pt>
                <c:pt idx="35">
                  <c:v>44131</c:v>
                </c:pt>
                <c:pt idx="36">
                  <c:v>44132</c:v>
                </c:pt>
                <c:pt idx="37">
                  <c:v>44133</c:v>
                </c:pt>
                <c:pt idx="38">
                  <c:v>44134</c:v>
                </c:pt>
                <c:pt idx="39">
                  <c:v>44137</c:v>
                </c:pt>
                <c:pt idx="40">
                  <c:v>44138</c:v>
                </c:pt>
                <c:pt idx="41">
                  <c:v>44139</c:v>
                </c:pt>
                <c:pt idx="42">
                  <c:v>44140</c:v>
                </c:pt>
                <c:pt idx="43">
                  <c:v>44141</c:v>
                </c:pt>
                <c:pt idx="44">
                  <c:v>44144</c:v>
                </c:pt>
                <c:pt idx="45">
                  <c:v>44145</c:v>
                </c:pt>
                <c:pt idx="46">
                  <c:v>44146</c:v>
                </c:pt>
                <c:pt idx="47">
                  <c:v>44147</c:v>
                </c:pt>
                <c:pt idx="48">
                  <c:v>44148</c:v>
                </c:pt>
                <c:pt idx="49">
                  <c:v>44151</c:v>
                </c:pt>
                <c:pt idx="50">
                  <c:v>44152</c:v>
                </c:pt>
                <c:pt idx="51">
                  <c:v>44153</c:v>
                </c:pt>
                <c:pt idx="52">
                  <c:v>44154</c:v>
                </c:pt>
                <c:pt idx="53">
                  <c:v>44155</c:v>
                </c:pt>
                <c:pt idx="54">
                  <c:v>44158</c:v>
                </c:pt>
                <c:pt idx="55">
                  <c:v>44159</c:v>
                </c:pt>
                <c:pt idx="56">
                  <c:v>44160</c:v>
                </c:pt>
                <c:pt idx="57">
                  <c:v>44161</c:v>
                </c:pt>
                <c:pt idx="58">
                  <c:v>44162</c:v>
                </c:pt>
                <c:pt idx="59">
                  <c:v>44165</c:v>
                </c:pt>
                <c:pt idx="60">
                  <c:v>44166</c:v>
                </c:pt>
                <c:pt idx="61">
                  <c:v>44167</c:v>
                </c:pt>
                <c:pt idx="62">
                  <c:v>44168</c:v>
                </c:pt>
                <c:pt idx="63">
                  <c:v>44169</c:v>
                </c:pt>
                <c:pt idx="64">
                  <c:v>44172</c:v>
                </c:pt>
                <c:pt idx="65">
                  <c:v>44173</c:v>
                </c:pt>
                <c:pt idx="66">
                  <c:v>44174</c:v>
                </c:pt>
                <c:pt idx="67">
                  <c:v>44175</c:v>
                </c:pt>
                <c:pt idx="68">
                  <c:v>44176</c:v>
                </c:pt>
                <c:pt idx="69">
                  <c:v>44179</c:v>
                </c:pt>
                <c:pt idx="70">
                  <c:v>44180</c:v>
                </c:pt>
                <c:pt idx="71">
                  <c:v>44181</c:v>
                </c:pt>
                <c:pt idx="72">
                  <c:v>44182</c:v>
                </c:pt>
                <c:pt idx="73">
                  <c:v>44183</c:v>
                </c:pt>
                <c:pt idx="74">
                  <c:v>44186</c:v>
                </c:pt>
                <c:pt idx="75">
                  <c:v>44187</c:v>
                </c:pt>
                <c:pt idx="76">
                  <c:v>44188</c:v>
                </c:pt>
                <c:pt idx="77">
                  <c:v>44189</c:v>
                </c:pt>
                <c:pt idx="78">
                  <c:v>44190</c:v>
                </c:pt>
                <c:pt idx="79">
                  <c:v>44193</c:v>
                </c:pt>
                <c:pt idx="80">
                  <c:v>44194</c:v>
                </c:pt>
                <c:pt idx="81">
                  <c:v>44195</c:v>
                </c:pt>
                <c:pt idx="82">
                  <c:v>44196</c:v>
                </c:pt>
                <c:pt idx="83">
                  <c:v>44200</c:v>
                </c:pt>
                <c:pt idx="84">
                  <c:v>44201</c:v>
                </c:pt>
                <c:pt idx="85">
                  <c:v>44202</c:v>
                </c:pt>
                <c:pt idx="86">
                  <c:v>44203</c:v>
                </c:pt>
                <c:pt idx="87">
                  <c:v>44204</c:v>
                </c:pt>
                <c:pt idx="88">
                  <c:v>44207</c:v>
                </c:pt>
                <c:pt idx="89">
                  <c:v>44208</c:v>
                </c:pt>
                <c:pt idx="90">
                  <c:v>44209</c:v>
                </c:pt>
                <c:pt idx="91">
                  <c:v>44210</c:v>
                </c:pt>
                <c:pt idx="92">
                  <c:v>44211</c:v>
                </c:pt>
                <c:pt idx="93">
                  <c:v>44214</c:v>
                </c:pt>
                <c:pt idx="94">
                  <c:v>44215</c:v>
                </c:pt>
                <c:pt idx="95">
                  <c:v>44216</c:v>
                </c:pt>
                <c:pt idx="96">
                  <c:v>44217</c:v>
                </c:pt>
                <c:pt idx="97">
                  <c:v>44218</c:v>
                </c:pt>
                <c:pt idx="98">
                  <c:v>44221</c:v>
                </c:pt>
                <c:pt idx="99">
                  <c:v>44222</c:v>
                </c:pt>
                <c:pt idx="100">
                  <c:v>44223</c:v>
                </c:pt>
                <c:pt idx="101">
                  <c:v>44224</c:v>
                </c:pt>
                <c:pt idx="102">
                  <c:v>44225</c:v>
                </c:pt>
                <c:pt idx="103">
                  <c:v>44228</c:v>
                </c:pt>
                <c:pt idx="104">
                  <c:v>44229</c:v>
                </c:pt>
                <c:pt idx="105">
                  <c:v>44230</c:v>
                </c:pt>
                <c:pt idx="106">
                  <c:v>44231</c:v>
                </c:pt>
                <c:pt idx="107">
                  <c:v>44232</c:v>
                </c:pt>
                <c:pt idx="108">
                  <c:v>44235</c:v>
                </c:pt>
                <c:pt idx="109">
                  <c:v>44236</c:v>
                </c:pt>
                <c:pt idx="110">
                  <c:v>44237</c:v>
                </c:pt>
                <c:pt idx="111">
                  <c:v>44245</c:v>
                </c:pt>
                <c:pt idx="112">
                  <c:v>44246</c:v>
                </c:pt>
                <c:pt idx="113">
                  <c:v>44249</c:v>
                </c:pt>
                <c:pt idx="114">
                  <c:v>44250</c:v>
                </c:pt>
                <c:pt idx="115">
                  <c:v>44251</c:v>
                </c:pt>
                <c:pt idx="116">
                  <c:v>44252</c:v>
                </c:pt>
                <c:pt idx="117">
                  <c:v>44253</c:v>
                </c:pt>
                <c:pt idx="118">
                  <c:v>44256</c:v>
                </c:pt>
                <c:pt idx="119">
                  <c:v>44257</c:v>
                </c:pt>
                <c:pt idx="120">
                  <c:v>44258</c:v>
                </c:pt>
                <c:pt idx="121">
                  <c:v>44259</c:v>
                </c:pt>
                <c:pt idx="122">
                  <c:v>44260</c:v>
                </c:pt>
                <c:pt idx="123">
                  <c:v>44263</c:v>
                </c:pt>
                <c:pt idx="124">
                  <c:v>44264</c:v>
                </c:pt>
                <c:pt idx="125">
                  <c:v>44265</c:v>
                </c:pt>
                <c:pt idx="126">
                  <c:v>44266</c:v>
                </c:pt>
                <c:pt idx="127">
                  <c:v>44267</c:v>
                </c:pt>
                <c:pt idx="128">
                  <c:v>44270</c:v>
                </c:pt>
                <c:pt idx="129">
                  <c:v>44271</c:v>
                </c:pt>
                <c:pt idx="130">
                  <c:v>44272</c:v>
                </c:pt>
                <c:pt idx="131">
                  <c:v>44273</c:v>
                </c:pt>
                <c:pt idx="132">
                  <c:v>44274</c:v>
                </c:pt>
                <c:pt idx="133">
                  <c:v>44277</c:v>
                </c:pt>
                <c:pt idx="134">
                  <c:v>44278</c:v>
                </c:pt>
                <c:pt idx="135">
                  <c:v>44279</c:v>
                </c:pt>
                <c:pt idx="136">
                  <c:v>44280</c:v>
                </c:pt>
                <c:pt idx="137">
                  <c:v>44281</c:v>
                </c:pt>
                <c:pt idx="138">
                  <c:v>44284</c:v>
                </c:pt>
                <c:pt idx="139">
                  <c:v>44285</c:v>
                </c:pt>
                <c:pt idx="140">
                  <c:v>44286</c:v>
                </c:pt>
                <c:pt idx="141">
                  <c:v>44287</c:v>
                </c:pt>
                <c:pt idx="142">
                  <c:v>44288</c:v>
                </c:pt>
                <c:pt idx="143">
                  <c:v>44292</c:v>
                </c:pt>
                <c:pt idx="144">
                  <c:v>44293</c:v>
                </c:pt>
                <c:pt idx="145">
                  <c:v>44294</c:v>
                </c:pt>
                <c:pt idx="146">
                  <c:v>44295</c:v>
                </c:pt>
                <c:pt idx="147">
                  <c:v>44298</c:v>
                </c:pt>
                <c:pt idx="148">
                  <c:v>44299</c:v>
                </c:pt>
                <c:pt idx="149">
                  <c:v>44300</c:v>
                </c:pt>
                <c:pt idx="150">
                  <c:v>44301</c:v>
                </c:pt>
                <c:pt idx="151">
                  <c:v>44302</c:v>
                </c:pt>
                <c:pt idx="152">
                  <c:v>44305</c:v>
                </c:pt>
                <c:pt idx="153">
                  <c:v>44306</c:v>
                </c:pt>
                <c:pt idx="154">
                  <c:v>44307</c:v>
                </c:pt>
                <c:pt idx="155">
                  <c:v>44308</c:v>
                </c:pt>
                <c:pt idx="156">
                  <c:v>44309</c:v>
                </c:pt>
                <c:pt idx="157">
                  <c:v>44312</c:v>
                </c:pt>
                <c:pt idx="158">
                  <c:v>44313</c:v>
                </c:pt>
                <c:pt idx="159">
                  <c:v>44314</c:v>
                </c:pt>
                <c:pt idx="160">
                  <c:v>44315</c:v>
                </c:pt>
                <c:pt idx="161">
                  <c:v>44316</c:v>
                </c:pt>
                <c:pt idx="162">
                  <c:v>44322</c:v>
                </c:pt>
                <c:pt idx="163">
                  <c:v>44323</c:v>
                </c:pt>
                <c:pt idx="164">
                  <c:v>44326</c:v>
                </c:pt>
                <c:pt idx="165">
                  <c:v>44327</c:v>
                </c:pt>
                <c:pt idx="166">
                  <c:v>44328</c:v>
                </c:pt>
                <c:pt idx="167">
                  <c:v>44329</c:v>
                </c:pt>
                <c:pt idx="168">
                  <c:v>44333</c:v>
                </c:pt>
                <c:pt idx="169">
                  <c:v>44331</c:v>
                </c:pt>
              </c:numCache>
            </c:numRef>
          </c:cat>
          <c:val>
            <c:numRef>
              <c:f>衍复聚砾一号!$B$21:$B$190</c:f>
              <c:numCache>
                <c:formatCode>0.0000_ </c:formatCode>
                <c:ptCount val="170"/>
                <c:pt idx="0">
                  <c:v>0.99980000000000002</c:v>
                </c:pt>
                <c:pt idx="1">
                  <c:v>0.99980000000000002</c:v>
                </c:pt>
                <c:pt idx="2">
                  <c:v>0.99819999999999998</c:v>
                </c:pt>
                <c:pt idx="3">
                  <c:v>0.99129999999999996</c:v>
                </c:pt>
                <c:pt idx="4">
                  <c:v>0.98460000000000003</c:v>
                </c:pt>
                <c:pt idx="5">
                  <c:v>0.96789999999999998</c:v>
                </c:pt>
                <c:pt idx="6">
                  <c:v>0.97160000000000002</c:v>
                </c:pt>
                <c:pt idx="7">
                  <c:v>0.94879999999999998</c:v>
                </c:pt>
                <c:pt idx="8">
                  <c:v>0.93520000000000003</c:v>
                </c:pt>
                <c:pt idx="9">
                  <c:v>0.9466</c:v>
                </c:pt>
                <c:pt idx="10">
                  <c:v>0.95430000000000004</c:v>
                </c:pt>
                <c:pt idx="11">
                  <c:v>0.95930000000000004</c:v>
                </c:pt>
                <c:pt idx="12">
                  <c:v>0.95450000000000002</c:v>
                </c:pt>
                <c:pt idx="13">
                  <c:v>0.95760000000000001</c:v>
                </c:pt>
                <c:pt idx="14">
                  <c:v>0.97040000000000004</c:v>
                </c:pt>
                <c:pt idx="15">
                  <c:v>0.96509999999999996</c:v>
                </c:pt>
                <c:pt idx="16">
                  <c:v>0.95499999999999996</c:v>
                </c:pt>
                <c:pt idx="17">
                  <c:v>0.96150000000000002</c:v>
                </c:pt>
                <c:pt idx="18">
                  <c:v>0.94099999999999995</c:v>
                </c:pt>
                <c:pt idx="19">
                  <c:v>0.93940000000000001</c:v>
                </c:pt>
                <c:pt idx="20">
                  <c:v>0.93400000000000005</c:v>
                </c:pt>
                <c:pt idx="21">
                  <c:v>0.94169999999999998</c:v>
                </c:pt>
                <c:pt idx="22">
                  <c:v>0.94030000000000002</c:v>
                </c:pt>
                <c:pt idx="23">
                  <c:v>0.96319999999999995</c:v>
                </c:pt>
                <c:pt idx="24">
                  <c:v>0.98550000000000004</c:v>
                </c:pt>
                <c:pt idx="25">
                  <c:v>0.99</c:v>
                </c:pt>
                <c:pt idx="26">
                  <c:v>0.9869</c:v>
                </c:pt>
                <c:pt idx="27">
                  <c:v>0.98140000000000005</c:v>
                </c:pt>
                <c:pt idx="28">
                  <c:v>0.97909999999999997</c:v>
                </c:pt>
                <c:pt idx="29">
                  <c:v>0.97260000000000002</c:v>
                </c:pt>
                <c:pt idx="30">
                  <c:v>0.98199999999999998</c:v>
                </c:pt>
                <c:pt idx="31">
                  <c:v>0.9728</c:v>
                </c:pt>
                <c:pt idx="32">
                  <c:v>0.96870000000000001</c:v>
                </c:pt>
                <c:pt idx="33">
                  <c:v>0.95450000000000002</c:v>
                </c:pt>
                <c:pt idx="34">
                  <c:v>0.95850000000000002</c:v>
                </c:pt>
                <c:pt idx="35">
                  <c:v>0.96160000000000001</c:v>
                </c:pt>
                <c:pt idx="36">
                  <c:v>0.96809999999999996</c:v>
                </c:pt>
                <c:pt idx="37">
                  <c:v>0.97130000000000005</c:v>
                </c:pt>
                <c:pt idx="38">
                  <c:v>0.95220000000000005</c:v>
                </c:pt>
                <c:pt idx="39">
                  <c:v>0.96120000000000005</c:v>
                </c:pt>
                <c:pt idx="40">
                  <c:v>0.97409999999999997</c:v>
                </c:pt>
                <c:pt idx="41">
                  <c:v>0.97660000000000002</c:v>
                </c:pt>
                <c:pt idx="42">
                  <c:v>0.99209999999999998</c:v>
                </c:pt>
                <c:pt idx="43">
                  <c:v>0.98829999999999996</c:v>
                </c:pt>
                <c:pt idx="44">
                  <c:v>1.0096000000000001</c:v>
                </c:pt>
                <c:pt idx="45">
                  <c:v>1.0015000000000001</c:v>
                </c:pt>
                <c:pt idx="46">
                  <c:v>0.98950000000000005</c:v>
                </c:pt>
                <c:pt idx="47">
                  <c:v>0.99450000000000005</c:v>
                </c:pt>
                <c:pt idx="48">
                  <c:v>0.99239999999999995</c:v>
                </c:pt>
                <c:pt idx="49">
                  <c:v>1.0041</c:v>
                </c:pt>
                <c:pt idx="50">
                  <c:v>0.99739999999999995</c:v>
                </c:pt>
                <c:pt idx="51">
                  <c:v>0.99919999999999998</c:v>
                </c:pt>
                <c:pt idx="52">
                  <c:v>1.0024</c:v>
                </c:pt>
                <c:pt idx="53">
                  <c:v>1.0104</c:v>
                </c:pt>
                <c:pt idx="54">
                  <c:v>1.0206999999999999</c:v>
                </c:pt>
                <c:pt idx="55">
                  <c:v>1.0198</c:v>
                </c:pt>
                <c:pt idx="56">
                  <c:v>1.0002</c:v>
                </c:pt>
                <c:pt idx="57">
                  <c:v>0.996</c:v>
                </c:pt>
                <c:pt idx="58">
                  <c:v>0.99829999999999997</c:v>
                </c:pt>
                <c:pt idx="59">
                  <c:v>0.99409999999999998</c:v>
                </c:pt>
                <c:pt idx="60">
                  <c:v>1.0045999999999999</c:v>
                </c:pt>
                <c:pt idx="61">
                  <c:v>1.0047999999999999</c:v>
                </c:pt>
                <c:pt idx="62">
                  <c:v>1.0012000000000001</c:v>
                </c:pt>
                <c:pt idx="63">
                  <c:v>1.0056</c:v>
                </c:pt>
                <c:pt idx="64">
                  <c:v>1.002</c:v>
                </c:pt>
                <c:pt idx="65">
                  <c:v>1.0024999999999999</c:v>
                </c:pt>
                <c:pt idx="66">
                  <c:v>0.98560000000000003</c:v>
                </c:pt>
                <c:pt idx="67">
                  <c:v>0.98850000000000005</c:v>
                </c:pt>
                <c:pt idx="68">
                  <c:v>0.97460000000000002</c:v>
                </c:pt>
                <c:pt idx="69">
                  <c:v>0.98460000000000003</c:v>
                </c:pt>
                <c:pt idx="70">
                  <c:v>0.98919999999999997</c:v>
                </c:pt>
                <c:pt idx="71">
                  <c:v>0.98680000000000001</c:v>
                </c:pt>
                <c:pt idx="72">
                  <c:v>0.99770000000000003</c:v>
                </c:pt>
                <c:pt idx="73">
                  <c:v>0.99660000000000004</c:v>
                </c:pt>
                <c:pt idx="74">
                  <c:v>1.0113000000000001</c:v>
                </c:pt>
                <c:pt idx="75">
                  <c:v>0.99029999999999996</c:v>
                </c:pt>
                <c:pt idx="76">
                  <c:v>1.0017</c:v>
                </c:pt>
                <c:pt idx="77">
                  <c:v>0.98939999999999995</c:v>
                </c:pt>
                <c:pt idx="78">
                  <c:v>1.0041</c:v>
                </c:pt>
                <c:pt idx="79">
                  <c:v>1.0007999999999999</c:v>
                </c:pt>
                <c:pt idx="80">
                  <c:v>0.99099999999999999</c:v>
                </c:pt>
                <c:pt idx="81">
                  <c:v>1.0005999999999999</c:v>
                </c:pt>
                <c:pt idx="82">
                  <c:v>1.0209999999999999</c:v>
                </c:pt>
                <c:pt idx="83">
                  <c:v>1.0397000000000001</c:v>
                </c:pt>
                <c:pt idx="84">
                  <c:v>1.0484</c:v>
                </c:pt>
                <c:pt idx="85">
                  <c:v>1.0466</c:v>
                </c:pt>
                <c:pt idx="86">
                  <c:v>1.0432999999999999</c:v>
                </c:pt>
                <c:pt idx="87">
                  <c:v>1.0443</c:v>
                </c:pt>
                <c:pt idx="88">
                  <c:v>1.0349999999999999</c:v>
                </c:pt>
                <c:pt idx="89">
                  <c:v>1.0476000000000001</c:v>
                </c:pt>
                <c:pt idx="90">
                  <c:v>1.0429999999999999</c:v>
                </c:pt>
                <c:pt idx="91">
                  <c:v>1.0364</c:v>
                </c:pt>
                <c:pt idx="92">
                  <c:v>1.0346</c:v>
                </c:pt>
                <c:pt idx="93">
                  <c:v>1.0523</c:v>
                </c:pt>
                <c:pt idx="94">
                  <c:v>1.0476000000000001</c:v>
                </c:pt>
                <c:pt idx="95">
                  <c:v>1.0567</c:v>
                </c:pt>
                <c:pt idx="96">
                  <c:v>1.0691999999999999</c:v>
                </c:pt>
                <c:pt idx="97">
                  <c:v>1.0722</c:v>
                </c:pt>
                <c:pt idx="98">
                  <c:v>1.0727</c:v>
                </c:pt>
                <c:pt idx="99">
                  <c:v>1.0579000000000001</c:v>
                </c:pt>
                <c:pt idx="100">
                  <c:v>1.0610999999999999</c:v>
                </c:pt>
                <c:pt idx="101">
                  <c:v>1.0398000000000001</c:v>
                </c:pt>
                <c:pt idx="102">
                  <c:v>1.0306</c:v>
                </c:pt>
                <c:pt idx="103">
                  <c:v>1.0452999999999999</c:v>
                </c:pt>
                <c:pt idx="104">
                  <c:v>1.0577000000000001</c:v>
                </c:pt>
                <c:pt idx="105">
                  <c:v>1.0490999999999999</c:v>
                </c:pt>
                <c:pt idx="106">
                  <c:v>1.0399</c:v>
                </c:pt>
                <c:pt idx="107">
                  <c:v>1.0265</c:v>
                </c:pt>
                <c:pt idx="108">
                  <c:v>1.0385</c:v>
                </c:pt>
                <c:pt idx="109">
                  <c:v>1.0587</c:v>
                </c:pt>
                <c:pt idx="110">
                  <c:v>1.069</c:v>
                </c:pt>
                <c:pt idx="111">
                  <c:v>1.0806</c:v>
                </c:pt>
                <c:pt idx="112">
                  <c:v>1.0955999999999999</c:v>
                </c:pt>
                <c:pt idx="113">
                  <c:v>1.0891</c:v>
                </c:pt>
                <c:pt idx="114">
                  <c:v>1.0866</c:v>
                </c:pt>
                <c:pt idx="115">
                  <c:v>1.0705</c:v>
                </c:pt>
                <c:pt idx="116">
                  <c:v>1.0696000000000001</c:v>
                </c:pt>
                <c:pt idx="117">
                  <c:v>1.0469999999999999</c:v>
                </c:pt>
                <c:pt idx="118">
                  <c:v>1.0709</c:v>
                </c:pt>
                <c:pt idx="119">
                  <c:v>1.0585</c:v>
                </c:pt>
                <c:pt idx="120">
                  <c:v>1.0759000000000001</c:v>
                </c:pt>
                <c:pt idx="121">
                  <c:v>1.0529999999999999</c:v>
                </c:pt>
                <c:pt idx="122">
                  <c:v>1.0506</c:v>
                </c:pt>
                <c:pt idx="123">
                  <c:v>1.0278</c:v>
                </c:pt>
                <c:pt idx="124">
                  <c:v>1.0038</c:v>
                </c:pt>
                <c:pt idx="125">
                  <c:v>1.0024999999999999</c:v>
                </c:pt>
                <c:pt idx="126">
                  <c:v>1.0314000000000001</c:v>
                </c:pt>
                <c:pt idx="127">
                  <c:v>1.0359</c:v>
                </c:pt>
                <c:pt idx="128">
                  <c:v>1.0257000000000001</c:v>
                </c:pt>
                <c:pt idx="129">
                  <c:v>1.0333000000000001</c:v>
                </c:pt>
                <c:pt idx="130">
                  <c:v>1.0389999999999999</c:v>
                </c:pt>
                <c:pt idx="131">
                  <c:v>1.0468</c:v>
                </c:pt>
                <c:pt idx="132">
                  <c:v>1.0294000000000001</c:v>
                </c:pt>
                <c:pt idx="133">
                  <c:v>1.0406</c:v>
                </c:pt>
                <c:pt idx="134">
                  <c:v>1.0246</c:v>
                </c:pt>
                <c:pt idx="135">
                  <c:v>1.0078</c:v>
                </c:pt>
                <c:pt idx="136">
                  <c:v>1.0109999999999999</c:v>
                </c:pt>
                <c:pt idx="137">
                  <c:v>1.0329999999999999</c:v>
                </c:pt>
                <c:pt idx="138">
                  <c:v>1.0361</c:v>
                </c:pt>
                <c:pt idx="139">
                  <c:v>1.0404</c:v>
                </c:pt>
                <c:pt idx="140">
                  <c:v>1.0347999999999999</c:v>
                </c:pt>
                <c:pt idx="141">
                  <c:v>1.0442</c:v>
                </c:pt>
                <c:pt idx="142">
                  <c:v>1.0519000000000001</c:v>
                </c:pt>
                <c:pt idx="143">
                  <c:v>1.0564</c:v>
                </c:pt>
                <c:pt idx="144">
                  <c:v>1.0576000000000001</c:v>
                </c:pt>
                <c:pt idx="145">
                  <c:v>1.0596000000000001</c:v>
                </c:pt>
                <c:pt idx="146">
                  <c:v>1.0565</c:v>
                </c:pt>
                <c:pt idx="147">
                  <c:v>1.0373000000000001</c:v>
                </c:pt>
                <c:pt idx="148">
                  <c:v>1.0346</c:v>
                </c:pt>
                <c:pt idx="149">
                  <c:v>1.0502</c:v>
                </c:pt>
                <c:pt idx="150">
                  <c:v>1.0494000000000001</c:v>
                </c:pt>
                <c:pt idx="151">
                  <c:v>1.0570999999999999</c:v>
                </c:pt>
                <c:pt idx="152">
                  <c:v>1.0783</c:v>
                </c:pt>
                <c:pt idx="153">
                  <c:v>1.0778000000000001</c:v>
                </c:pt>
                <c:pt idx="154">
                  <c:v>1.0767</c:v>
                </c:pt>
                <c:pt idx="155">
                  <c:v>1.0808</c:v>
                </c:pt>
                <c:pt idx="156">
                  <c:v>1.0814999999999999</c:v>
                </c:pt>
                <c:pt idx="157">
                  <c:v>1.0774999999999999</c:v>
                </c:pt>
                <c:pt idx="158">
                  <c:v>1.0761000000000001</c:v>
                </c:pt>
                <c:pt idx="159">
                  <c:v>1.0815999999999999</c:v>
                </c:pt>
                <c:pt idx="160">
                  <c:v>1.0820000000000001</c:v>
                </c:pt>
                <c:pt idx="161">
                  <c:v>1.0786</c:v>
                </c:pt>
                <c:pt idx="162">
                  <c:v>1.0763</c:v>
                </c:pt>
                <c:pt idx="163">
                  <c:v>1.0654999999999999</c:v>
                </c:pt>
                <c:pt idx="164">
                  <c:v>1.0713999999999999</c:v>
                </c:pt>
                <c:pt idx="165">
                  <c:v>1.0689</c:v>
                </c:pt>
                <c:pt idx="166">
                  <c:v>1.0808</c:v>
                </c:pt>
                <c:pt idx="167">
                  <c:v>1.0720000000000001</c:v>
                </c:pt>
                <c:pt idx="168">
                  <c:v>1.0871999999999999</c:v>
                </c:pt>
                <c:pt idx="169">
                  <c:v>1.091</c:v>
                </c:pt>
              </c:numCache>
            </c:numRef>
          </c:val>
          <c:smooth val="0"/>
          <c:extLst>
            <c:ext xmlns:c16="http://schemas.microsoft.com/office/drawing/2014/chart" uri="{C3380CC4-5D6E-409C-BE32-E72D297353CC}">
              <c16:uniqueId val="{00000000-252D-47FE-B654-65A596577577}"/>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量派</a:t>
            </a:r>
            <a:r>
              <a:rPr lang="en-US" altLang="zh-CN" sz="1600"/>
              <a:t>500</a:t>
            </a:r>
            <a:r>
              <a:rPr lang="zh-CN" altLang="en-US" sz="1600"/>
              <a:t>增强</a:t>
            </a:r>
            <a:r>
              <a:rPr lang="en-US" altLang="zh-CN" sz="1600"/>
              <a:t>8</a:t>
            </a:r>
            <a:r>
              <a:rPr lang="zh-CN" altLang="en-US" sz="1600"/>
              <a:t>号</a:t>
            </a:r>
            <a:endParaRPr lang="en-US" altLang="zh-CN" sz="1600"/>
          </a:p>
        </c:rich>
      </c:tx>
      <c:overlay val="0"/>
    </c:title>
    <c:autoTitleDeleted val="0"/>
    <c:plotArea>
      <c:layout/>
      <c:lineChart>
        <c:grouping val="standard"/>
        <c:varyColors val="0"/>
        <c:ser>
          <c:idx val="0"/>
          <c:order val="0"/>
          <c:tx>
            <c:strRef>
              <c:f>量派500增强8号!$B$20</c:f>
              <c:strCache>
                <c:ptCount val="1"/>
                <c:pt idx="0">
                  <c:v>累计净值</c:v>
                </c:pt>
              </c:strCache>
            </c:strRef>
          </c:tx>
          <c:marker>
            <c:symbol val="none"/>
          </c:marker>
          <c:cat>
            <c:numRef>
              <c:f>量派500增强8号!$A$21:$A$125</c:f>
              <c:numCache>
                <c:formatCode>m/d/yy</c:formatCode>
                <c:ptCount val="105"/>
                <c:pt idx="0">
                  <c:v>44174</c:v>
                </c:pt>
                <c:pt idx="1">
                  <c:v>44175</c:v>
                </c:pt>
                <c:pt idx="2">
                  <c:v>44176</c:v>
                </c:pt>
                <c:pt idx="3">
                  <c:v>44179</c:v>
                </c:pt>
                <c:pt idx="4">
                  <c:v>44180</c:v>
                </c:pt>
                <c:pt idx="5">
                  <c:v>44181</c:v>
                </c:pt>
                <c:pt idx="6">
                  <c:v>44182</c:v>
                </c:pt>
                <c:pt idx="7">
                  <c:v>44183</c:v>
                </c:pt>
                <c:pt idx="8">
                  <c:v>44186</c:v>
                </c:pt>
                <c:pt idx="9">
                  <c:v>44187</c:v>
                </c:pt>
                <c:pt idx="10">
                  <c:v>44188</c:v>
                </c:pt>
                <c:pt idx="11">
                  <c:v>44189</c:v>
                </c:pt>
                <c:pt idx="12">
                  <c:v>44190</c:v>
                </c:pt>
                <c:pt idx="13">
                  <c:v>44193</c:v>
                </c:pt>
                <c:pt idx="14">
                  <c:v>44194</c:v>
                </c:pt>
                <c:pt idx="15">
                  <c:v>44195</c:v>
                </c:pt>
                <c:pt idx="16">
                  <c:v>44196</c:v>
                </c:pt>
                <c:pt idx="17">
                  <c:v>44200</c:v>
                </c:pt>
                <c:pt idx="18">
                  <c:v>44201</c:v>
                </c:pt>
                <c:pt idx="19">
                  <c:v>44202</c:v>
                </c:pt>
                <c:pt idx="20">
                  <c:v>44203</c:v>
                </c:pt>
                <c:pt idx="21">
                  <c:v>44204</c:v>
                </c:pt>
                <c:pt idx="22">
                  <c:v>44207</c:v>
                </c:pt>
                <c:pt idx="23">
                  <c:v>44208</c:v>
                </c:pt>
                <c:pt idx="24">
                  <c:v>44209</c:v>
                </c:pt>
                <c:pt idx="25">
                  <c:v>44210</c:v>
                </c:pt>
                <c:pt idx="26">
                  <c:v>44211</c:v>
                </c:pt>
                <c:pt idx="27">
                  <c:v>44214</c:v>
                </c:pt>
                <c:pt idx="28">
                  <c:v>44215</c:v>
                </c:pt>
                <c:pt idx="29">
                  <c:v>44216</c:v>
                </c:pt>
                <c:pt idx="30">
                  <c:v>44217</c:v>
                </c:pt>
                <c:pt idx="31">
                  <c:v>44218</c:v>
                </c:pt>
                <c:pt idx="32">
                  <c:v>44221</c:v>
                </c:pt>
                <c:pt idx="33">
                  <c:v>44222</c:v>
                </c:pt>
                <c:pt idx="34">
                  <c:v>44223</c:v>
                </c:pt>
                <c:pt idx="35">
                  <c:v>44224</c:v>
                </c:pt>
                <c:pt idx="36">
                  <c:v>44225</c:v>
                </c:pt>
                <c:pt idx="37">
                  <c:v>44228</c:v>
                </c:pt>
                <c:pt idx="38">
                  <c:v>44229</c:v>
                </c:pt>
                <c:pt idx="39">
                  <c:v>44230</c:v>
                </c:pt>
                <c:pt idx="40">
                  <c:v>44231</c:v>
                </c:pt>
                <c:pt idx="41">
                  <c:v>44232</c:v>
                </c:pt>
                <c:pt idx="42">
                  <c:v>44235</c:v>
                </c:pt>
                <c:pt idx="43">
                  <c:v>44236</c:v>
                </c:pt>
                <c:pt idx="44">
                  <c:v>44237</c:v>
                </c:pt>
                <c:pt idx="45">
                  <c:v>44245</c:v>
                </c:pt>
                <c:pt idx="46">
                  <c:v>44246</c:v>
                </c:pt>
                <c:pt idx="47">
                  <c:v>44249</c:v>
                </c:pt>
                <c:pt idx="48">
                  <c:v>44250</c:v>
                </c:pt>
                <c:pt idx="49">
                  <c:v>44251</c:v>
                </c:pt>
                <c:pt idx="50">
                  <c:v>44252</c:v>
                </c:pt>
                <c:pt idx="51">
                  <c:v>44253</c:v>
                </c:pt>
                <c:pt idx="52">
                  <c:v>44256</c:v>
                </c:pt>
                <c:pt idx="53">
                  <c:v>44257</c:v>
                </c:pt>
                <c:pt idx="54">
                  <c:v>44258</c:v>
                </c:pt>
                <c:pt idx="55">
                  <c:v>44259</c:v>
                </c:pt>
                <c:pt idx="56">
                  <c:v>44260</c:v>
                </c:pt>
                <c:pt idx="57">
                  <c:v>44263</c:v>
                </c:pt>
                <c:pt idx="58">
                  <c:v>44264</c:v>
                </c:pt>
                <c:pt idx="59">
                  <c:v>44265</c:v>
                </c:pt>
                <c:pt idx="60">
                  <c:v>44266</c:v>
                </c:pt>
                <c:pt idx="61">
                  <c:v>44267</c:v>
                </c:pt>
                <c:pt idx="62">
                  <c:v>44270</c:v>
                </c:pt>
                <c:pt idx="63">
                  <c:v>44271</c:v>
                </c:pt>
                <c:pt idx="64">
                  <c:v>44272</c:v>
                </c:pt>
                <c:pt idx="65">
                  <c:v>44273</c:v>
                </c:pt>
                <c:pt idx="66">
                  <c:v>44274</c:v>
                </c:pt>
                <c:pt idx="67">
                  <c:v>44277</c:v>
                </c:pt>
                <c:pt idx="68">
                  <c:v>44278</c:v>
                </c:pt>
                <c:pt idx="69">
                  <c:v>44279</c:v>
                </c:pt>
                <c:pt idx="70">
                  <c:v>44280</c:v>
                </c:pt>
                <c:pt idx="71">
                  <c:v>44281</c:v>
                </c:pt>
                <c:pt idx="72">
                  <c:v>44284</c:v>
                </c:pt>
                <c:pt idx="73">
                  <c:v>44285</c:v>
                </c:pt>
                <c:pt idx="74">
                  <c:v>44286</c:v>
                </c:pt>
                <c:pt idx="75">
                  <c:v>44287</c:v>
                </c:pt>
                <c:pt idx="76">
                  <c:v>44288</c:v>
                </c:pt>
                <c:pt idx="77">
                  <c:v>44292</c:v>
                </c:pt>
                <c:pt idx="78">
                  <c:v>44293</c:v>
                </c:pt>
                <c:pt idx="79">
                  <c:v>44294</c:v>
                </c:pt>
                <c:pt idx="80">
                  <c:v>44295</c:v>
                </c:pt>
                <c:pt idx="81">
                  <c:v>44298</c:v>
                </c:pt>
                <c:pt idx="82">
                  <c:v>44299</c:v>
                </c:pt>
                <c:pt idx="83">
                  <c:v>44300</c:v>
                </c:pt>
                <c:pt idx="84">
                  <c:v>44301</c:v>
                </c:pt>
                <c:pt idx="85">
                  <c:v>44302</c:v>
                </c:pt>
                <c:pt idx="86">
                  <c:v>44305</c:v>
                </c:pt>
                <c:pt idx="87">
                  <c:v>44306</c:v>
                </c:pt>
                <c:pt idx="88">
                  <c:v>44307</c:v>
                </c:pt>
                <c:pt idx="89">
                  <c:v>44308</c:v>
                </c:pt>
                <c:pt idx="90">
                  <c:v>44309</c:v>
                </c:pt>
                <c:pt idx="91">
                  <c:v>44312</c:v>
                </c:pt>
                <c:pt idx="92">
                  <c:v>44313</c:v>
                </c:pt>
                <c:pt idx="93">
                  <c:v>44314</c:v>
                </c:pt>
                <c:pt idx="94">
                  <c:v>44315</c:v>
                </c:pt>
                <c:pt idx="95">
                  <c:v>44316</c:v>
                </c:pt>
                <c:pt idx="96">
                  <c:v>44322</c:v>
                </c:pt>
                <c:pt idx="97">
                  <c:v>44323</c:v>
                </c:pt>
                <c:pt idx="98">
                  <c:v>44326</c:v>
                </c:pt>
                <c:pt idx="99">
                  <c:v>44327</c:v>
                </c:pt>
                <c:pt idx="100">
                  <c:v>44328</c:v>
                </c:pt>
                <c:pt idx="101">
                  <c:v>44329</c:v>
                </c:pt>
                <c:pt idx="102">
                  <c:v>44330</c:v>
                </c:pt>
                <c:pt idx="103">
                  <c:v>44333</c:v>
                </c:pt>
                <c:pt idx="104">
                  <c:v>44334</c:v>
                </c:pt>
              </c:numCache>
            </c:numRef>
          </c:cat>
          <c:val>
            <c:numRef>
              <c:f>量派500增强8号!$B$21:$B$125</c:f>
              <c:numCache>
                <c:formatCode>0.0000_ </c:formatCode>
                <c:ptCount val="105"/>
                <c:pt idx="0">
                  <c:v>1.0028999999999999</c:v>
                </c:pt>
                <c:pt idx="1">
                  <c:v>1.0016</c:v>
                </c:pt>
                <c:pt idx="2">
                  <c:v>0.98070000000000002</c:v>
                </c:pt>
                <c:pt idx="3">
                  <c:v>0.9899</c:v>
                </c:pt>
                <c:pt idx="4">
                  <c:v>0.99199999999999999</c:v>
                </c:pt>
                <c:pt idx="5">
                  <c:v>0.98850000000000005</c:v>
                </c:pt>
                <c:pt idx="6">
                  <c:v>1.0009999999999999</c:v>
                </c:pt>
                <c:pt idx="7">
                  <c:v>0.99750000000000005</c:v>
                </c:pt>
                <c:pt idx="8">
                  <c:v>1.0141</c:v>
                </c:pt>
                <c:pt idx="9">
                  <c:v>0.9909</c:v>
                </c:pt>
                <c:pt idx="10">
                  <c:v>0.99960000000000004</c:v>
                </c:pt>
                <c:pt idx="11">
                  <c:v>0.98460000000000003</c:v>
                </c:pt>
                <c:pt idx="12">
                  <c:v>0.99670000000000003</c:v>
                </c:pt>
                <c:pt idx="13">
                  <c:v>0.99060000000000004</c:v>
                </c:pt>
                <c:pt idx="14">
                  <c:v>0.98770000000000002</c:v>
                </c:pt>
                <c:pt idx="15">
                  <c:v>0.99770000000000003</c:v>
                </c:pt>
                <c:pt idx="16">
                  <c:v>1.0125999999999999</c:v>
                </c:pt>
                <c:pt idx="17">
                  <c:v>1.0279</c:v>
                </c:pt>
                <c:pt idx="18">
                  <c:v>1.0365</c:v>
                </c:pt>
                <c:pt idx="19">
                  <c:v>1.0347999999999999</c:v>
                </c:pt>
                <c:pt idx="20">
                  <c:v>1.0369999999999999</c:v>
                </c:pt>
                <c:pt idx="21">
                  <c:v>1.0390999999999999</c:v>
                </c:pt>
                <c:pt idx="22">
                  <c:v>1.0270999999999999</c:v>
                </c:pt>
                <c:pt idx="23">
                  <c:v>1.0395000000000001</c:v>
                </c:pt>
                <c:pt idx="24">
                  <c:v>1.0343</c:v>
                </c:pt>
                <c:pt idx="25">
                  <c:v>1.0297000000000001</c:v>
                </c:pt>
                <c:pt idx="26">
                  <c:v>1.026</c:v>
                </c:pt>
                <c:pt idx="27">
                  <c:v>1.0404</c:v>
                </c:pt>
                <c:pt idx="28">
                  <c:v>1.0367</c:v>
                </c:pt>
                <c:pt idx="29">
                  <c:v>1.0457000000000001</c:v>
                </c:pt>
                <c:pt idx="30">
                  <c:v>1.0586</c:v>
                </c:pt>
                <c:pt idx="31">
                  <c:v>1.0599000000000001</c:v>
                </c:pt>
                <c:pt idx="32">
                  <c:v>1.0613999999999999</c:v>
                </c:pt>
                <c:pt idx="33">
                  <c:v>1.0445</c:v>
                </c:pt>
                <c:pt idx="34">
                  <c:v>1.0489999999999999</c:v>
                </c:pt>
                <c:pt idx="35">
                  <c:v>1.0281</c:v>
                </c:pt>
                <c:pt idx="36">
                  <c:v>1.0158</c:v>
                </c:pt>
                <c:pt idx="37">
                  <c:v>1.0245</c:v>
                </c:pt>
                <c:pt idx="38">
                  <c:v>1.0347</c:v>
                </c:pt>
                <c:pt idx="39">
                  <c:v>1.0273000000000001</c:v>
                </c:pt>
                <c:pt idx="40">
                  <c:v>1.0165999999999999</c:v>
                </c:pt>
                <c:pt idx="41">
                  <c:v>1.0037</c:v>
                </c:pt>
                <c:pt idx="42">
                  <c:v>1.0178</c:v>
                </c:pt>
                <c:pt idx="43">
                  <c:v>1.0415000000000001</c:v>
                </c:pt>
                <c:pt idx="44">
                  <c:v>1.0513999999999999</c:v>
                </c:pt>
                <c:pt idx="45">
                  <c:v>1.0687</c:v>
                </c:pt>
                <c:pt idx="46">
                  <c:v>1.0851999999999999</c:v>
                </c:pt>
                <c:pt idx="47">
                  <c:v>1.0844</c:v>
                </c:pt>
                <c:pt idx="48">
                  <c:v>1.0793999999999999</c:v>
                </c:pt>
                <c:pt idx="49">
                  <c:v>1.0649999999999999</c:v>
                </c:pt>
                <c:pt idx="50">
                  <c:v>1.0613999999999999</c:v>
                </c:pt>
                <c:pt idx="51">
                  <c:v>1.0415000000000001</c:v>
                </c:pt>
                <c:pt idx="52">
                  <c:v>1.0603</c:v>
                </c:pt>
                <c:pt idx="53">
                  <c:v>1.0508999999999999</c:v>
                </c:pt>
                <c:pt idx="54">
                  <c:v>1.0658000000000001</c:v>
                </c:pt>
                <c:pt idx="55">
                  <c:v>1.0504</c:v>
                </c:pt>
                <c:pt idx="56">
                  <c:v>1.0527</c:v>
                </c:pt>
                <c:pt idx="57">
                  <c:v>1.0299</c:v>
                </c:pt>
                <c:pt idx="58">
                  <c:v>1.0078</c:v>
                </c:pt>
                <c:pt idx="59">
                  <c:v>1.0001</c:v>
                </c:pt>
                <c:pt idx="60">
                  <c:v>1.0239</c:v>
                </c:pt>
                <c:pt idx="61">
                  <c:v>1.0266999999999999</c:v>
                </c:pt>
                <c:pt idx="62">
                  <c:v>1.0197000000000001</c:v>
                </c:pt>
                <c:pt idx="63">
                  <c:v>1.0226</c:v>
                </c:pt>
                <c:pt idx="64">
                  <c:v>1.0284</c:v>
                </c:pt>
                <c:pt idx="65">
                  <c:v>1.0356000000000001</c:v>
                </c:pt>
                <c:pt idx="66">
                  <c:v>1.0251999999999999</c:v>
                </c:pt>
                <c:pt idx="67">
                  <c:v>1.042</c:v>
                </c:pt>
                <c:pt idx="68">
                  <c:v>1.0277000000000001</c:v>
                </c:pt>
                <c:pt idx="69">
                  <c:v>1.0167999999999999</c:v>
                </c:pt>
                <c:pt idx="70">
                  <c:v>1.0193000000000001</c:v>
                </c:pt>
                <c:pt idx="71">
                  <c:v>1.0350999999999999</c:v>
                </c:pt>
                <c:pt idx="72">
                  <c:v>1.0358000000000001</c:v>
                </c:pt>
                <c:pt idx="73">
                  <c:v>1.0411999999999999</c:v>
                </c:pt>
                <c:pt idx="74">
                  <c:v>1.0374000000000001</c:v>
                </c:pt>
                <c:pt idx="75">
                  <c:v>1.0482</c:v>
                </c:pt>
                <c:pt idx="76">
                  <c:v>1.0508999999999999</c:v>
                </c:pt>
                <c:pt idx="77">
                  <c:v>1.0544</c:v>
                </c:pt>
                <c:pt idx="78">
                  <c:v>1.0555000000000001</c:v>
                </c:pt>
                <c:pt idx="79">
                  <c:v>1.0589999999999999</c:v>
                </c:pt>
                <c:pt idx="80">
                  <c:v>1.0555000000000001</c:v>
                </c:pt>
                <c:pt idx="81">
                  <c:v>1.0403</c:v>
                </c:pt>
                <c:pt idx="82">
                  <c:v>1.0386</c:v>
                </c:pt>
                <c:pt idx="83">
                  <c:v>1.0495000000000001</c:v>
                </c:pt>
                <c:pt idx="84">
                  <c:v>1.0492999999999999</c:v>
                </c:pt>
                <c:pt idx="85">
                  <c:v>1.0588</c:v>
                </c:pt>
                <c:pt idx="86">
                  <c:v>1.0726</c:v>
                </c:pt>
                <c:pt idx="87">
                  <c:v>1.0731999999999999</c:v>
                </c:pt>
                <c:pt idx="88">
                  <c:v>1.0711999999999999</c:v>
                </c:pt>
                <c:pt idx="89">
                  <c:v>1.075</c:v>
                </c:pt>
                <c:pt idx="90">
                  <c:v>1.079</c:v>
                </c:pt>
                <c:pt idx="91">
                  <c:v>1.0761000000000001</c:v>
                </c:pt>
                <c:pt idx="92">
                  <c:v>1.0763</c:v>
                </c:pt>
                <c:pt idx="93">
                  <c:v>1.0828</c:v>
                </c:pt>
                <c:pt idx="94">
                  <c:v>1.0822000000000001</c:v>
                </c:pt>
                <c:pt idx="95">
                  <c:v>1.0823</c:v>
                </c:pt>
                <c:pt idx="96">
                  <c:v>1.0846</c:v>
                </c:pt>
                <c:pt idx="97">
                  <c:v>1.0784</c:v>
                </c:pt>
                <c:pt idx="98">
                  <c:v>1.085</c:v>
                </c:pt>
                <c:pt idx="99">
                  <c:v>1.083</c:v>
                </c:pt>
                <c:pt idx="100">
                  <c:v>1.0927</c:v>
                </c:pt>
                <c:pt idx="101">
                  <c:v>1.0808</c:v>
                </c:pt>
                <c:pt idx="102">
                  <c:v>1.0948</c:v>
                </c:pt>
                <c:pt idx="103">
                  <c:v>1.1034999999999999</c:v>
                </c:pt>
                <c:pt idx="104">
                  <c:v>1.107</c:v>
                </c:pt>
              </c:numCache>
            </c:numRef>
          </c:val>
          <c:smooth val="0"/>
          <c:extLst>
            <c:ext xmlns:c16="http://schemas.microsoft.com/office/drawing/2014/chart" uri="{C3380CC4-5D6E-409C-BE32-E72D297353CC}">
              <c16:uniqueId val="{00000000-8D31-4036-8051-99088C4F7876}"/>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7"/>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量客</a:t>
            </a:r>
            <a:r>
              <a:rPr lang="en-US" altLang="zh-CN" sz="1600"/>
              <a:t>500</a:t>
            </a:r>
            <a:r>
              <a:rPr lang="zh-CN" altLang="en-US" sz="1600"/>
              <a:t>增强</a:t>
            </a:r>
            <a:r>
              <a:rPr lang="en-US" altLang="zh-CN" sz="1600"/>
              <a:t>8</a:t>
            </a:r>
            <a:r>
              <a:rPr lang="zh-CN" altLang="en-US" sz="1600"/>
              <a:t>号</a:t>
            </a:r>
            <a:endParaRPr lang="en-US" altLang="zh-CN" sz="1600"/>
          </a:p>
        </c:rich>
      </c:tx>
      <c:overlay val="0"/>
    </c:title>
    <c:autoTitleDeleted val="0"/>
    <c:plotArea>
      <c:layout/>
      <c:lineChart>
        <c:grouping val="standard"/>
        <c:varyColors val="0"/>
        <c:ser>
          <c:idx val="0"/>
          <c:order val="0"/>
          <c:tx>
            <c:strRef>
              <c:f>量客卓宇一号!$B$20</c:f>
              <c:strCache>
                <c:ptCount val="1"/>
                <c:pt idx="0">
                  <c:v>累计净值</c:v>
                </c:pt>
              </c:strCache>
            </c:strRef>
          </c:tx>
          <c:marker>
            <c:symbol val="none"/>
          </c:marker>
          <c:cat>
            <c:numRef>
              <c:f>量客卓宇一号!$A$21:$A$126</c:f>
              <c:numCache>
                <c:formatCode>m/d/yy</c:formatCode>
                <c:ptCount val="106"/>
                <c:pt idx="0">
                  <c:v>44172</c:v>
                </c:pt>
                <c:pt idx="1">
                  <c:v>44173</c:v>
                </c:pt>
                <c:pt idx="2">
                  <c:v>44174</c:v>
                </c:pt>
                <c:pt idx="3">
                  <c:v>44175</c:v>
                </c:pt>
                <c:pt idx="4">
                  <c:v>44176</c:v>
                </c:pt>
                <c:pt idx="5">
                  <c:v>44179</c:v>
                </c:pt>
                <c:pt idx="6">
                  <c:v>44180</c:v>
                </c:pt>
                <c:pt idx="7">
                  <c:v>44181</c:v>
                </c:pt>
                <c:pt idx="8">
                  <c:v>44182</c:v>
                </c:pt>
                <c:pt idx="9">
                  <c:v>44183</c:v>
                </c:pt>
                <c:pt idx="10">
                  <c:v>44186</c:v>
                </c:pt>
                <c:pt idx="11">
                  <c:v>44187</c:v>
                </c:pt>
                <c:pt idx="12">
                  <c:v>44188</c:v>
                </c:pt>
                <c:pt idx="13">
                  <c:v>44189</c:v>
                </c:pt>
                <c:pt idx="14">
                  <c:v>44190</c:v>
                </c:pt>
                <c:pt idx="15">
                  <c:v>44193</c:v>
                </c:pt>
                <c:pt idx="16">
                  <c:v>44194</c:v>
                </c:pt>
                <c:pt idx="17">
                  <c:v>44195</c:v>
                </c:pt>
                <c:pt idx="18">
                  <c:v>44196</c:v>
                </c:pt>
                <c:pt idx="19">
                  <c:v>44200</c:v>
                </c:pt>
                <c:pt idx="20">
                  <c:v>44201</c:v>
                </c:pt>
                <c:pt idx="21">
                  <c:v>44202</c:v>
                </c:pt>
                <c:pt idx="22">
                  <c:v>44203</c:v>
                </c:pt>
                <c:pt idx="23">
                  <c:v>44204</c:v>
                </c:pt>
                <c:pt idx="24">
                  <c:v>44207</c:v>
                </c:pt>
                <c:pt idx="25">
                  <c:v>44208</c:v>
                </c:pt>
                <c:pt idx="26">
                  <c:v>44209</c:v>
                </c:pt>
                <c:pt idx="27">
                  <c:v>44210</c:v>
                </c:pt>
                <c:pt idx="28">
                  <c:v>44211</c:v>
                </c:pt>
                <c:pt idx="29">
                  <c:v>44214</c:v>
                </c:pt>
                <c:pt idx="30">
                  <c:v>44215</c:v>
                </c:pt>
                <c:pt idx="31">
                  <c:v>44216</c:v>
                </c:pt>
                <c:pt idx="32">
                  <c:v>44217</c:v>
                </c:pt>
                <c:pt idx="33">
                  <c:v>44218</c:v>
                </c:pt>
                <c:pt idx="34">
                  <c:v>44221</c:v>
                </c:pt>
                <c:pt idx="35">
                  <c:v>44222</c:v>
                </c:pt>
                <c:pt idx="36">
                  <c:v>44223</c:v>
                </c:pt>
                <c:pt idx="37">
                  <c:v>44224</c:v>
                </c:pt>
                <c:pt idx="38">
                  <c:v>44225</c:v>
                </c:pt>
                <c:pt idx="39">
                  <c:v>44228</c:v>
                </c:pt>
                <c:pt idx="40">
                  <c:v>44229</c:v>
                </c:pt>
                <c:pt idx="41">
                  <c:v>44230</c:v>
                </c:pt>
                <c:pt idx="42">
                  <c:v>44231</c:v>
                </c:pt>
                <c:pt idx="43">
                  <c:v>44232</c:v>
                </c:pt>
                <c:pt idx="44">
                  <c:v>44235</c:v>
                </c:pt>
                <c:pt idx="45">
                  <c:v>44236</c:v>
                </c:pt>
                <c:pt idx="46">
                  <c:v>44237</c:v>
                </c:pt>
                <c:pt idx="47">
                  <c:v>44245</c:v>
                </c:pt>
                <c:pt idx="48">
                  <c:v>44246</c:v>
                </c:pt>
                <c:pt idx="49">
                  <c:v>44249</c:v>
                </c:pt>
                <c:pt idx="50">
                  <c:v>44250</c:v>
                </c:pt>
                <c:pt idx="51">
                  <c:v>44251</c:v>
                </c:pt>
                <c:pt idx="52">
                  <c:v>44252</c:v>
                </c:pt>
                <c:pt idx="53">
                  <c:v>44253</c:v>
                </c:pt>
                <c:pt idx="54">
                  <c:v>44256</c:v>
                </c:pt>
                <c:pt idx="55">
                  <c:v>44257</c:v>
                </c:pt>
                <c:pt idx="56">
                  <c:v>44258</c:v>
                </c:pt>
                <c:pt idx="57">
                  <c:v>44259</c:v>
                </c:pt>
                <c:pt idx="58">
                  <c:v>44260</c:v>
                </c:pt>
                <c:pt idx="59">
                  <c:v>44263</c:v>
                </c:pt>
                <c:pt idx="60">
                  <c:v>44264</c:v>
                </c:pt>
                <c:pt idx="61">
                  <c:v>44265</c:v>
                </c:pt>
                <c:pt idx="62">
                  <c:v>44266</c:v>
                </c:pt>
                <c:pt idx="63">
                  <c:v>44267</c:v>
                </c:pt>
                <c:pt idx="64">
                  <c:v>44270</c:v>
                </c:pt>
                <c:pt idx="65">
                  <c:v>44271</c:v>
                </c:pt>
                <c:pt idx="66">
                  <c:v>44272</c:v>
                </c:pt>
                <c:pt idx="67">
                  <c:v>44273</c:v>
                </c:pt>
                <c:pt idx="68">
                  <c:v>44274</c:v>
                </c:pt>
                <c:pt idx="69">
                  <c:v>44277</c:v>
                </c:pt>
                <c:pt idx="70">
                  <c:v>44278</c:v>
                </c:pt>
                <c:pt idx="71">
                  <c:v>44279</c:v>
                </c:pt>
                <c:pt idx="72">
                  <c:v>44280</c:v>
                </c:pt>
                <c:pt idx="73">
                  <c:v>44281</c:v>
                </c:pt>
                <c:pt idx="74">
                  <c:v>44284</c:v>
                </c:pt>
                <c:pt idx="75">
                  <c:v>44285</c:v>
                </c:pt>
                <c:pt idx="76">
                  <c:v>44286</c:v>
                </c:pt>
                <c:pt idx="77">
                  <c:v>44287</c:v>
                </c:pt>
                <c:pt idx="78">
                  <c:v>44288</c:v>
                </c:pt>
                <c:pt idx="79">
                  <c:v>44292</c:v>
                </c:pt>
                <c:pt idx="80">
                  <c:v>44293</c:v>
                </c:pt>
                <c:pt idx="81">
                  <c:v>44294</c:v>
                </c:pt>
                <c:pt idx="82">
                  <c:v>44295</c:v>
                </c:pt>
                <c:pt idx="83">
                  <c:v>44298</c:v>
                </c:pt>
                <c:pt idx="84">
                  <c:v>44299</c:v>
                </c:pt>
                <c:pt idx="85">
                  <c:v>44300</c:v>
                </c:pt>
                <c:pt idx="86">
                  <c:v>44301</c:v>
                </c:pt>
                <c:pt idx="87">
                  <c:v>44302</c:v>
                </c:pt>
                <c:pt idx="88">
                  <c:v>44305</c:v>
                </c:pt>
                <c:pt idx="89">
                  <c:v>44306</c:v>
                </c:pt>
                <c:pt idx="90">
                  <c:v>44307</c:v>
                </c:pt>
                <c:pt idx="91">
                  <c:v>44308</c:v>
                </c:pt>
                <c:pt idx="92">
                  <c:v>44309</c:v>
                </c:pt>
                <c:pt idx="93">
                  <c:v>44312</c:v>
                </c:pt>
                <c:pt idx="94">
                  <c:v>44313</c:v>
                </c:pt>
                <c:pt idx="95">
                  <c:v>44314</c:v>
                </c:pt>
                <c:pt idx="96">
                  <c:v>44315</c:v>
                </c:pt>
                <c:pt idx="97">
                  <c:v>44316</c:v>
                </c:pt>
                <c:pt idx="98">
                  <c:v>44322</c:v>
                </c:pt>
                <c:pt idx="99">
                  <c:v>44323</c:v>
                </c:pt>
                <c:pt idx="100">
                  <c:v>44326</c:v>
                </c:pt>
                <c:pt idx="101">
                  <c:v>44327</c:v>
                </c:pt>
                <c:pt idx="102">
                  <c:v>44328</c:v>
                </c:pt>
                <c:pt idx="103">
                  <c:v>44329</c:v>
                </c:pt>
                <c:pt idx="104">
                  <c:v>44330</c:v>
                </c:pt>
                <c:pt idx="105">
                  <c:v>44333</c:v>
                </c:pt>
              </c:numCache>
            </c:numRef>
          </c:cat>
          <c:val>
            <c:numRef>
              <c:f>量客卓宇一号!$B$21:$B$126</c:f>
              <c:numCache>
                <c:formatCode>0.0000_ </c:formatCode>
                <c:ptCount val="106"/>
                <c:pt idx="0">
                  <c:v>0.99950000000000006</c:v>
                </c:pt>
                <c:pt idx="1">
                  <c:v>0.99939999999999996</c:v>
                </c:pt>
                <c:pt idx="2">
                  <c:v>0.99539999999999995</c:v>
                </c:pt>
                <c:pt idx="3">
                  <c:v>0.998</c:v>
                </c:pt>
                <c:pt idx="4">
                  <c:v>0.98119999999999996</c:v>
                </c:pt>
                <c:pt idx="5">
                  <c:v>0.98499999999999999</c:v>
                </c:pt>
                <c:pt idx="6">
                  <c:v>0.98980000000000001</c:v>
                </c:pt>
                <c:pt idx="7">
                  <c:v>0.98319999999999996</c:v>
                </c:pt>
                <c:pt idx="8">
                  <c:v>0.99380000000000002</c:v>
                </c:pt>
                <c:pt idx="9">
                  <c:v>0.98939999999999995</c:v>
                </c:pt>
                <c:pt idx="10">
                  <c:v>1.0077</c:v>
                </c:pt>
                <c:pt idx="11">
                  <c:v>0.98950000000000005</c:v>
                </c:pt>
                <c:pt idx="12">
                  <c:v>0.99390000000000001</c:v>
                </c:pt>
                <c:pt idx="13">
                  <c:v>0.98080000000000001</c:v>
                </c:pt>
                <c:pt idx="14">
                  <c:v>0.99180000000000001</c:v>
                </c:pt>
                <c:pt idx="15">
                  <c:v>0.9849</c:v>
                </c:pt>
                <c:pt idx="16">
                  <c:v>0.98419999999999996</c:v>
                </c:pt>
                <c:pt idx="17">
                  <c:v>0.99260000000000004</c:v>
                </c:pt>
                <c:pt idx="18">
                  <c:v>1.0095000000000001</c:v>
                </c:pt>
                <c:pt idx="19">
                  <c:v>1.0290999999999999</c:v>
                </c:pt>
                <c:pt idx="20">
                  <c:v>1.0341</c:v>
                </c:pt>
                <c:pt idx="21">
                  <c:v>1.0289999999999999</c:v>
                </c:pt>
                <c:pt idx="22">
                  <c:v>1.0273000000000001</c:v>
                </c:pt>
                <c:pt idx="23">
                  <c:v>1.0314000000000001</c:v>
                </c:pt>
                <c:pt idx="24">
                  <c:v>1.0193000000000001</c:v>
                </c:pt>
                <c:pt idx="25">
                  <c:v>1.0361</c:v>
                </c:pt>
                <c:pt idx="26">
                  <c:v>1.0269999999999999</c:v>
                </c:pt>
                <c:pt idx="27">
                  <c:v>1.0269999999999999</c:v>
                </c:pt>
                <c:pt idx="28">
                  <c:v>1.0259</c:v>
                </c:pt>
                <c:pt idx="29">
                  <c:v>1.0434000000000001</c:v>
                </c:pt>
                <c:pt idx="30">
                  <c:v>1.0318000000000001</c:v>
                </c:pt>
                <c:pt idx="31">
                  <c:v>1.0469999999999999</c:v>
                </c:pt>
                <c:pt idx="32">
                  <c:v>1.0660000000000001</c:v>
                </c:pt>
                <c:pt idx="33">
                  <c:v>1.073</c:v>
                </c:pt>
                <c:pt idx="34">
                  <c:v>1.0744</c:v>
                </c:pt>
                <c:pt idx="35">
                  <c:v>1.0545</c:v>
                </c:pt>
                <c:pt idx="36">
                  <c:v>1.0578000000000001</c:v>
                </c:pt>
                <c:pt idx="37">
                  <c:v>1.0305</c:v>
                </c:pt>
                <c:pt idx="38">
                  <c:v>1.0206999999999999</c:v>
                </c:pt>
                <c:pt idx="39">
                  <c:v>1.0333000000000001</c:v>
                </c:pt>
                <c:pt idx="40">
                  <c:v>1.0505</c:v>
                </c:pt>
                <c:pt idx="41">
                  <c:v>1.0406</c:v>
                </c:pt>
                <c:pt idx="42">
                  <c:v>1.0266999999999999</c:v>
                </c:pt>
                <c:pt idx="43">
                  <c:v>1.008</c:v>
                </c:pt>
                <c:pt idx="44">
                  <c:v>1.0238</c:v>
                </c:pt>
                <c:pt idx="45">
                  <c:v>1.0506</c:v>
                </c:pt>
                <c:pt idx="46">
                  <c:v>1.0589</c:v>
                </c:pt>
                <c:pt idx="47">
                  <c:v>1.0662</c:v>
                </c:pt>
                <c:pt idx="48">
                  <c:v>1.0708</c:v>
                </c:pt>
                <c:pt idx="49">
                  <c:v>1.0576000000000001</c:v>
                </c:pt>
                <c:pt idx="50">
                  <c:v>1.0509999999999999</c:v>
                </c:pt>
                <c:pt idx="51">
                  <c:v>1.03</c:v>
                </c:pt>
                <c:pt idx="52">
                  <c:v>1.0274000000000001</c:v>
                </c:pt>
                <c:pt idx="53">
                  <c:v>1.0071000000000001</c:v>
                </c:pt>
                <c:pt idx="54">
                  <c:v>1.0316000000000001</c:v>
                </c:pt>
                <c:pt idx="55">
                  <c:v>1.0227999999999999</c:v>
                </c:pt>
                <c:pt idx="56">
                  <c:v>1.0386</c:v>
                </c:pt>
                <c:pt idx="57">
                  <c:v>1.0135000000000001</c:v>
                </c:pt>
                <c:pt idx="58">
                  <c:v>1.0146999999999999</c:v>
                </c:pt>
                <c:pt idx="59">
                  <c:v>0.99109999999999998</c:v>
                </c:pt>
                <c:pt idx="60">
                  <c:v>0.96599999999999997</c:v>
                </c:pt>
                <c:pt idx="61">
                  <c:v>0.96120000000000005</c:v>
                </c:pt>
                <c:pt idx="62">
                  <c:v>0.98380000000000001</c:v>
                </c:pt>
                <c:pt idx="63">
                  <c:v>0.98640000000000005</c:v>
                </c:pt>
                <c:pt idx="64">
                  <c:v>0.97629999999999995</c:v>
                </c:pt>
                <c:pt idx="65">
                  <c:v>0.97889999999999999</c:v>
                </c:pt>
                <c:pt idx="66">
                  <c:v>0.99029999999999996</c:v>
                </c:pt>
                <c:pt idx="67">
                  <c:v>0.99890000000000001</c:v>
                </c:pt>
                <c:pt idx="68">
                  <c:v>0.9889</c:v>
                </c:pt>
                <c:pt idx="69">
                  <c:v>1.0031000000000001</c:v>
                </c:pt>
                <c:pt idx="70">
                  <c:v>0.98929999999999996</c:v>
                </c:pt>
                <c:pt idx="71">
                  <c:v>0.97160000000000002</c:v>
                </c:pt>
                <c:pt idx="72">
                  <c:v>0.97330000000000005</c:v>
                </c:pt>
                <c:pt idx="73">
                  <c:v>0.99339999999999995</c:v>
                </c:pt>
                <c:pt idx="74">
                  <c:v>0.99639999999999995</c:v>
                </c:pt>
                <c:pt idx="75">
                  <c:v>0.99970000000000003</c:v>
                </c:pt>
                <c:pt idx="76">
                  <c:v>0.99539999999999995</c:v>
                </c:pt>
                <c:pt idx="77">
                  <c:v>1.0038</c:v>
                </c:pt>
                <c:pt idx="78">
                  <c:v>1.0085</c:v>
                </c:pt>
                <c:pt idx="79">
                  <c:v>1.0147999999999999</c:v>
                </c:pt>
                <c:pt idx="80">
                  <c:v>1.0169999999999999</c:v>
                </c:pt>
                <c:pt idx="81">
                  <c:v>1.0195000000000001</c:v>
                </c:pt>
                <c:pt idx="82">
                  <c:v>1.018</c:v>
                </c:pt>
                <c:pt idx="83">
                  <c:v>0.99509999999999998</c:v>
                </c:pt>
                <c:pt idx="84">
                  <c:v>0.99250000000000005</c:v>
                </c:pt>
                <c:pt idx="85">
                  <c:v>1.0079</c:v>
                </c:pt>
                <c:pt idx="86">
                  <c:v>1.0064</c:v>
                </c:pt>
                <c:pt idx="87">
                  <c:v>1.0135000000000001</c:v>
                </c:pt>
                <c:pt idx="88">
                  <c:v>1.0324</c:v>
                </c:pt>
                <c:pt idx="89">
                  <c:v>1.032</c:v>
                </c:pt>
                <c:pt idx="90">
                  <c:v>1.0298</c:v>
                </c:pt>
                <c:pt idx="91">
                  <c:v>1.0341</c:v>
                </c:pt>
                <c:pt idx="92">
                  <c:v>1.0349999999999999</c:v>
                </c:pt>
                <c:pt idx="93">
                  <c:v>1.0309999999999999</c:v>
                </c:pt>
                <c:pt idx="94">
                  <c:v>1.0289999999999999</c:v>
                </c:pt>
                <c:pt idx="95">
                  <c:v>1.0358000000000001</c:v>
                </c:pt>
                <c:pt idx="96">
                  <c:v>1.0362</c:v>
                </c:pt>
                <c:pt idx="97">
                  <c:v>1.0309999999999999</c:v>
                </c:pt>
                <c:pt idx="98">
                  <c:v>1.0363</c:v>
                </c:pt>
                <c:pt idx="99">
                  <c:v>1.0299</c:v>
                </c:pt>
                <c:pt idx="100">
                  <c:v>1.0337000000000001</c:v>
                </c:pt>
                <c:pt idx="101">
                  <c:v>1.026</c:v>
                </c:pt>
                <c:pt idx="102">
                  <c:v>1.036</c:v>
                </c:pt>
                <c:pt idx="103">
                  <c:v>1.0215000000000001</c:v>
                </c:pt>
                <c:pt idx="104">
                  <c:v>1.0334000000000001</c:v>
                </c:pt>
                <c:pt idx="105">
                  <c:v>1.0435000000000001</c:v>
                </c:pt>
              </c:numCache>
            </c:numRef>
          </c:val>
          <c:smooth val="0"/>
          <c:extLst>
            <c:ext xmlns:c16="http://schemas.microsoft.com/office/drawing/2014/chart" uri="{C3380CC4-5D6E-409C-BE32-E72D297353CC}">
              <c16:uniqueId val="{00000000-8729-4100-AB1C-A24DBB1F2FC6}"/>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5000000000000007"/>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400"/>
              <a:t>华闻专享定制</a:t>
            </a:r>
            <a:endParaRPr lang="en-US" altLang="zh-CN" sz="1400"/>
          </a:p>
        </c:rich>
      </c:tx>
      <c:overlay val="0"/>
    </c:title>
    <c:autoTitleDeleted val="0"/>
    <c:plotArea>
      <c:layout/>
      <c:lineChart>
        <c:grouping val="standard"/>
        <c:varyColors val="0"/>
        <c:ser>
          <c:idx val="0"/>
          <c:order val="0"/>
          <c:tx>
            <c:strRef>
              <c:f>爱凡哲六号!$B$20</c:f>
              <c:strCache>
                <c:ptCount val="1"/>
                <c:pt idx="0">
                  <c:v>累计净值</c:v>
                </c:pt>
              </c:strCache>
            </c:strRef>
          </c:tx>
          <c:marker>
            <c:symbol val="none"/>
          </c:marker>
          <c:cat>
            <c:numRef>
              <c:f>爱凡哲六号!$A$21:$A$387</c:f>
              <c:numCache>
                <c:formatCode>m/d/yy</c:formatCode>
                <c:ptCount val="367"/>
                <c:pt idx="0">
                  <c:v>43698</c:v>
                </c:pt>
                <c:pt idx="1">
                  <c:v>43699</c:v>
                </c:pt>
                <c:pt idx="2">
                  <c:v>43700</c:v>
                </c:pt>
                <c:pt idx="3">
                  <c:v>43703</c:v>
                </c:pt>
                <c:pt idx="4">
                  <c:v>43704</c:v>
                </c:pt>
                <c:pt idx="5">
                  <c:v>43705</c:v>
                </c:pt>
                <c:pt idx="6">
                  <c:v>43706</c:v>
                </c:pt>
                <c:pt idx="7">
                  <c:v>43707</c:v>
                </c:pt>
                <c:pt idx="8">
                  <c:v>43710</c:v>
                </c:pt>
                <c:pt idx="9">
                  <c:v>43711</c:v>
                </c:pt>
                <c:pt idx="10">
                  <c:v>43712</c:v>
                </c:pt>
                <c:pt idx="11">
                  <c:v>43713</c:v>
                </c:pt>
                <c:pt idx="12">
                  <c:v>43714</c:v>
                </c:pt>
                <c:pt idx="13">
                  <c:v>43717</c:v>
                </c:pt>
                <c:pt idx="14">
                  <c:v>43718</c:v>
                </c:pt>
                <c:pt idx="15">
                  <c:v>43719</c:v>
                </c:pt>
                <c:pt idx="16">
                  <c:v>43720</c:v>
                </c:pt>
                <c:pt idx="17">
                  <c:v>43724</c:v>
                </c:pt>
                <c:pt idx="18">
                  <c:v>43725</c:v>
                </c:pt>
                <c:pt idx="19">
                  <c:v>43726</c:v>
                </c:pt>
                <c:pt idx="20">
                  <c:v>43727</c:v>
                </c:pt>
                <c:pt idx="21">
                  <c:v>43728</c:v>
                </c:pt>
                <c:pt idx="22">
                  <c:v>43731</c:v>
                </c:pt>
                <c:pt idx="23">
                  <c:v>43732</c:v>
                </c:pt>
                <c:pt idx="24">
                  <c:v>43733</c:v>
                </c:pt>
                <c:pt idx="25">
                  <c:v>43734</c:v>
                </c:pt>
                <c:pt idx="26">
                  <c:v>43735</c:v>
                </c:pt>
                <c:pt idx="27">
                  <c:v>43738</c:v>
                </c:pt>
                <c:pt idx="28">
                  <c:v>43746</c:v>
                </c:pt>
                <c:pt idx="29">
                  <c:v>43747</c:v>
                </c:pt>
                <c:pt idx="30">
                  <c:v>43748</c:v>
                </c:pt>
                <c:pt idx="31">
                  <c:v>43749</c:v>
                </c:pt>
                <c:pt idx="32">
                  <c:v>43752</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43780</c:v>
                </c:pt>
                <c:pt idx="53">
                  <c:v>43781</c:v>
                </c:pt>
                <c:pt idx="54">
                  <c:v>43782</c:v>
                </c:pt>
                <c:pt idx="55">
                  <c:v>43783</c:v>
                </c:pt>
                <c:pt idx="56">
                  <c:v>43784</c:v>
                </c:pt>
                <c:pt idx="57">
                  <c:v>43787</c:v>
                </c:pt>
                <c:pt idx="58">
                  <c:v>43788</c:v>
                </c:pt>
                <c:pt idx="59">
                  <c:v>43789</c:v>
                </c:pt>
                <c:pt idx="60">
                  <c:v>43790</c:v>
                </c:pt>
                <c:pt idx="61">
                  <c:v>43791</c:v>
                </c:pt>
                <c:pt idx="62">
                  <c:v>43794</c:v>
                </c:pt>
                <c:pt idx="63">
                  <c:v>43795</c:v>
                </c:pt>
                <c:pt idx="64">
                  <c:v>43796</c:v>
                </c:pt>
                <c:pt idx="65">
                  <c:v>43797</c:v>
                </c:pt>
                <c:pt idx="66">
                  <c:v>43798</c:v>
                </c:pt>
                <c:pt idx="67">
                  <c:v>43801</c:v>
                </c:pt>
                <c:pt idx="68">
                  <c:v>43802</c:v>
                </c:pt>
                <c:pt idx="69">
                  <c:v>43803</c:v>
                </c:pt>
                <c:pt idx="70">
                  <c:v>43804</c:v>
                </c:pt>
                <c:pt idx="71">
                  <c:v>43805</c:v>
                </c:pt>
                <c:pt idx="72">
                  <c:v>43808</c:v>
                </c:pt>
                <c:pt idx="73">
                  <c:v>43809</c:v>
                </c:pt>
                <c:pt idx="74">
                  <c:v>43810</c:v>
                </c:pt>
                <c:pt idx="75">
                  <c:v>43811</c:v>
                </c:pt>
                <c:pt idx="76">
                  <c:v>43812</c:v>
                </c:pt>
                <c:pt idx="77">
                  <c:v>43815</c:v>
                </c:pt>
                <c:pt idx="78">
                  <c:v>43816</c:v>
                </c:pt>
                <c:pt idx="79">
                  <c:v>43817</c:v>
                </c:pt>
                <c:pt idx="80">
                  <c:v>43818</c:v>
                </c:pt>
                <c:pt idx="81">
                  <c:v>43819</c:v>
                </c:pt>
                <c:pt idx="82">
                  <c:v>43822</c:v>
                </c:pt>
                <c:pt idx="83">
                  <c:v>43823</c:v>
                </c:pt>
                <c:pt idx="84">
                  <c:v>43824</c:v>
                </c:pt>
                <c:pt idx="85">
                  <c:v>43825</c:v>
                </c:pt>
                <c:pt idx="86">
                  <c:v>43826</c:v>
                </c:pt>
                <c:pt idx="87">
                  <c:v>43829</c:v>
                </c:pt>
                <c:pt idx="88">
                  <c:v>43830</c:v>
                </c:pt>
                <c:pt idx="89">
                  <c:v>43832</c:v>
                </c:pt>
                <c:pt idx="90">
                  <c:v>43833</c:v>
                </c:pt>
                <c:pt idx="91">
                  <c:v>43836</c:v>
                </c:pt>
                <c:pt idx="92">
                  <c:v>43837</c:v>
                </c:pt>
                <c:pt idx="93">
                  <c:v>43838</c:v>
                </c:pt>
                <c:pt idx="94">
                  <c:v>43839</c:v>
                </c:pt>
                <c:pt idx="95">
                  <c:v>43840</c:v>
                </c:pt>
                <c:pt idx="96">
                  <c:v>43843</c:v>
                </c:pt>
                <c:pt idx="97">
                  <c:v>43844</c:v>
                </c:pt>
                <c:pt idx="98">
                  <c:v>43845</c:v>
                </c:pt>
                <c:pt idx="99">
                  <c:v>43846</c:v>
                </c:pt>
                <c:pt idx="100">
                  <c:v>43847</c:v>
                </c:pt>
                <c:pt idx="101">
                  <c:v>43850</c:v>
                </c:pt>
                <c:pt idx="102">
                  <c:v>43851</c:v>
                </c:pt>
                <c:pt idx="103">
                  <c:v>43852</c:v>
                </c:pt>
                <c:pt idx="104">
                  <c:v>43853</c:v>
                </c:pt>
                <c:pt idx="105">
                  <c:v>43864</c:v>
                </c:pt>
                <c:pt idx="106">
                  <c:v>43865</c:v>
                </c:pt>
                <c:pt idx="107">
                  <c:v>43866</c:v>
                </c:pt>
                <c:pt idx="108">
                  <c:v>43867</c:v>
                </c:pt>
                <c:pt idx="109">
                  <c:v>43868</c:v>
                </c:pt>
                <c:pt idx="110">
                  <c:v>43871</c:v>
                </c:pt>
                <c:pt idx="111">
                  <c:v>43872</c:v>
                </c:pt>
                <c:pt idx="112">
                  <c:v>43873</c:v>
                </c:pt>
                <c:pt idx="113">
                  <c:v>43874</c:v>
                </c:pt>
                <c:pt idx="114">
                  <c:v>43875</c:v>
                </c:pt>
                <c:pt idx="115">
                  <c:v>43878</c:v>
                </c:pt>
                <c:pt idx="116">
                  <c:v>43879</c:v>
                </c:pt>
                <c:pt idx="117">
                  <c:v>43880</c:v>
                </c:pt>
                <c:pt idx="118">
                  <c:v>43881</c:v>
                </c:pt>
                <c:pt idx="119">
                  <c:v>43882</c:v>
                </c:pt>
                <c:pt idx="120">
                  <c:v>43885</c:v>
                </c:pt>
                <c:pt idx="121">
                  <c:v>43886</c:v>
                </c:pt>
                <c:pt idx="122">
                  <c:v>43887</c:v>
                </c:pt>
                <c:pt idx="123">
                  <c:v>43888</c:v>
                </c:pt>
                <c:pt idx="124">
                  <c:v>43889</c:v>
                </c:pt>
                <c:pt idx="125">
                  <c:v>43892</c:v>
                </c:pt>
                <c:pt idx="126">
                  <c:v>43893</c:v>
                </c:pt>
                <c:pt idx="127">
                  <c:v>43894</c:v>
                </c:pt>
                <c:pt idx="128">
                  <c:v>43895</c:v>
                </c:pt>
                <c:pt idx="129">
                  <c:v>43896</c:v>
                </c:pt>
                <c:pt idx="130">
                  <c:v>43899</c:v>
                </c:pt>
                <c:pt idx="131">
                  <c:v>43900</c:v>
                </c:pt>
                <c:pt idx="132">
                  <c:v>43901</c:v>
                </c:pt>
                <c:pt idx="133">
                  <c:v>43902</c:v>
                </c:pt>
                <c:pt idx="134">
                  <c:v>43903</c:v>
                </c:pt>
                <c:pt idx="135">
                  <c:v>43906</c:v>
                </c:pt>
                <c:pt idx="136">
                  <c:v>43907</c:v>
                </c:pt>
                <c:pt idx="137">
                  <c:v>43908</c:v>
                </c:pt>
                <c:pt idx="138">
                  <c:v>43909</c:v>
                </c:pt>
                <c:pt idx="139">
                  <c:v>43910</c:v>
                </c:pt>
                <c:pt idx="140">
                  <c:v>43913</c:v>
                </c:pt>
                <c:pt idx="141">
                  <c:v>43914</c:v>
                </c:pt>
                <c:pt idx="142">
                  <c:v>43915</c:v>
                </c:pt>
                <c:pt idx="143">
                  <c:v>43916</c:v>
                </c:pt>
                <c:pt idx="144">
                  <c:v>43917</c:v>
                </c:pt>
                <c:pt idx="145">
                  <c:v>43920</c:v>
                </c:pt>
                <c:pt idx="146">
                  <c:v>43921</c:v>
                </c:pt>
                <c:pt idx="147">
                  <c:v>43922</c:v>
                </c:pt>
                <c:pt idx="148">
                  <c:v>43923</c:v>
                </c:pt>
                <c:pt idx="149">
                  <c:v>43924</c:v>
                </c:pt>
                <c:pt idx="150">
                  <c:v>43928</c:v>
                </c:pt>
                <c:pt idx="151">
                  <c:v>43929</c:v>
                </c:pt>
                <c:pt idx="152">
                  <c:v>43930</c:v>
                </c:pt>
                <c:pt idx="153">
                  <c:v>43931</c:v>
                </c:pt>
                <c:pt idx="154">
                  <c:v>43934</c:v>
                </c:pt>
                <c:pt idx="155">
                  <c:v>43935</c:v>
                </c:pt>
                <c:pt idx="156">
                  <c:v>43936</c:v>
                </c:pt>
                <c:pt idx="157">
                  <c:v>43937</c:v>
                </c:pt>
                <c:pt idx="158">
                  <c:v>43938</c:v>
                </c:pt>
                <c:pt idx="159">
                  <c:v>43941</c:v>
                </c:pt>
                <c:pt idx="160">
                  <c:v>43942</c:v>
                </c:pt>
                <c:pt idx="161">
                  <c:v>43943</c:v>
                </c:pt>
                <c:pt idx="162">
                  <c:v>43944</c:v>
                </c:pt>
                <c:pt idx="163">
                  <c:v>43945</c:v>
                </c:pt>
                <c:pt idx="164">
                  <c:v>43948</c:v>
                </c:pt>
                <c:pt idx="165">
                  <c:v>43949</c:v>
                </c:pt>
                <c:pt idx="166">
                  <c:v>43950</c:v>
                </c:pt>
                <c:pt idx="167">
                  <c:v>43951</c:v>
                </c:pt>
                <c:pt idx="168">
                  <c:v>43957</c:v>
                </c:pt>
                <c:pt idx="169">
                  <c:v>43958</c:v>
                </c:pt>
                <c:pt idx="170">
                  <c:v>43959</c:v>
                </c:pt>
                <c:pt idx="171">
                  <c:v>43962</c:v>
                </c:pt>
                <c:pt idx="172">
                  <c:v>43963</c:v>
                </c:pt>
                <c:pt idx="173">
                  <c:v>43964</c:v>
                </c:pt>
                <c:pt idx="174">
                  <c:v>43965</c:v>
                </c:pt>
                <c:pt idx="175">
                  <c:v>43966</c:v>
                </c:pt>
                <c:pt idx="176">
                  <c:v>43969</c:v>
                </c:pt>
                <c:pt idx="177">
                  <c:v>43970</c:v>
                </c:pt>
                <c:pt idx="178">
                  <c:v>43971</c:v>
                </c:pt>
                <c:pt idx="179">
                  <c:v>43972</c:v>
                </c:pt>
                <c:pt idx="180">
                  <c:v>43973</c:v>
                </c:pt>
                <c:pt idx="181">
                  <c:v>43976</c:v>
                </c:pt>
                <c:pt idx="182">
                  <c:v>43977</c:v>
                </c:pt>
                <c:pt idx="183">
                  <c:v>43978</c:v>
                </c:pt>
                <c:pt idx="184">
                  <c:v>43979</c:v>
                </c:pt>
                <c:pt idx="185">
                  <c:v>43980</c:v>
                </c:pt>
                <c:pt idx="186">
                  <c:v>43983</c:v>
                </c:pt>
                <c:pt idx="187">
                  <c:v>43984</c:v>
                </c:pt>
                <c:pt idx="188">
                  <c:v>43985</c:v>
                </c:pt>
                <c:pt idx="189">
                  <c:v>43986</c:v>
                </c:pt>
                <c:pt idx="190">
                  <c:v>43987</c:v>
                </c:pt>
                <c:pt idx="191">
                  <c:v>43990</c:v>
                </c:pt>
                <c:pt idx="192">
                  <c:v>43991</c:v>
                </c:pt>
                <c:pt idx="193">
                  <c:v>43992</c:v>
                </c:pt>
                <c:pt idx="194">
                  <c:v>43993</c:v>
                </c:pt>
                <c:pt idx="195">
                  <c:v>43994</c:v>
                </c:pt>
                <c:pt idx="196">
                  <c:v>43997</c:v>
                </c:pt>
                <c:pt idx="197">
                  <c:v>43998</c:v>
                </c:pt>
                <c:pt idx="198">
                  <c:v>43999</c:v>
                </c:pt>
                <c:pt idx="199">
                  <c:v>44000</c:v>
                </c:pt>
                <c:pt idx="200">
                  <c:v>44001</c:v>
                </c:pt>
                <c:pt idx="201">
                  <c:v>44004</c:v>
                </c:pt>
                <c:pt idx="202">
                  <c:v>44005</c:v>
                </c:pt>
                <c:pt idx="203">
                  <c:v>44006</c:v>
                </c:pt>
                <c:pt idx="204">
                  <c:v>44011</c:v>
                </c:pt>
                <c:pt idx="205">
                  <c:v>44012</c:v>
                </c:pt>
                <c:pt idx="206">
                  <c:v>44013</c:v>
                </c:pt>
                <c:pt idx="207">
                  <c:v>44014</c:v>
                </c:pt>
                <c:pt idx="208">
                  <c:v>44015</c:v>
                </c:pt>
                <c:pt idx="209">
                  <c:v>44018</c:v>
                </c:pt>
                <c:pt idx="210">
                  <c:v>44019</c:v>
                </c:pt>
                <c:pt idx="211">
                  <c:v>44020</c:v>
                </c:pt>
                <c:pt idx="212">
                  <c:v>44021</c:v>
                </c:pt>
                <c:pt idx="213">
                  <c:v>44022</c:v>
                </c:pt>
                <c:pt idx="214">
                  <c:v>44025</c:v>
                </c:pt>
                <c:pt idx="215">
                  <c:v>44026</c:v>
                </c:pt>
                <c:pt idx="216">
                  <c:v>44027</c:v>
                </c:pt>
                <c:pt idx="217">
                  <c:v>44028</c:v>
                </c:pt>
                <c:pt idx="218">
                  <c:v>44029</c:v>
                </c:pt>
                <c:pt idx="219">
                  <c:v>44032</c:v>
                </c:pt>
                <c:pt idx="220">
                  <c:v>44033</c:v>
                </c:pt>
                <c:pt idx="221">
                  <c:v>44034</c:v>
                </c:pt>
                <c:pt idx="222">
                  <c:v>44035</c:v>
                </c:pt>
                <c:pt idx="223">
                  <c:v>44036</c:v>
                </c:pt>
                <c:pt idx="224">
                  <c:v>44039</c:v>
                </c:pt>
                <c:pt idx="225">
                  <c:v>44040</c:v>
                </c:pt>
                <c:pt idx="226">
                  <c:v>44041</c:v>
                </c:pt>
                <c:pt idx="227">
                  <c:v>44042</c:v>
                </c:pt>
                <c:pt idx="228">
                  <c:v>44043</c:v>
                </c:pt>
                <c:pt idx="229">
                  <c:v>44046</c:v>
                </c:pt>
                <c:pt idx="230">
                  <c:v>44047</c:v>
                </c:pt>
                <c:pt idx="231">
                  <c:v>44048</c:v>
                </c:pt>
                <c:pt idx="232">
                  <c:v>44049</c:v>
                </c:pt>
                <c:pt idx="233">
                  <c:v>44050</c:v>
                </c:pt>
                <c:pt idx="234">
                  <c:v>44053</c:v>
                </c:pt>
                <c:pt idx="235">
                  <c:v>44054</c:v>
                </c:pt>
                <c:pt idx="236">
                  <c:v>44055</c:v>
                </c:pt>
                <c:pt idx="237">
                  <c:v>44056</c:v>
                </c:pt>
                <c:pt idx="238">
                  <c:v>44057</c:v>
                </c:pt>
                <c:pt idx="239">
                  <c:v>44060</c:v>
                </c:pt>
                <c:pt idx="240">
                  <c:v>44061</c:v>
                </c:pt>
                <c:pt idx="241">
                  <c:v>44062</c:v>
                </c:pt>
                <c:pt idx="242">
                  <c:v>44063</c:v>
                </c:pt>
                <c:pt idx="243">
                  <c:v>44064</c:v>
                </c:pt>
                <c:pt idx="244">
                  <c:v>44067</c:v>
                </c:pt>
                <c:pt idx="245">
                  <c:v>44068</c:v>
                </c:pt>
                <c:pt idx="246">
                  <c:v>44069</c:v>
                </c:pt>
                <c:pt idx="247">
                  <c:v>44070</c:v>
                </c:pt>
                <c:pt idx="248">
                  <c:v>44071</c:v>
                </c:pt>
                <c:pt idx="249">
                  <c:v>44074</c:v>
                </c:pt>
                <c:pt idx="250">
                  <c:v>44075</c:v>
                </c:pt>
                <c:pt idx="251">
                  <c:v>44076</c:v>
                </c:pt>
                <c:pt idx="252">
                  <c:v>44077</c:v>
                </c:pt>
                <c:pt idx="253">
                  <c:v>44078</c:v>
                </c:pt>
                <c:pt idx="254">
                  <c:v>44081</c:v>
                </c:pt>
                <c:pt idx="255">
                  <c:v>44082</c:v>
                </c:pt>
                <c:pt idx="256">
                  <c:v>44083</c:v>
                </c:pt>
                <c:pt idx="257">
                  <c:v>44084</c:v>
                </c:pt>
                <c:pt idx="258">
                  <c:v>44085</c:v>
                </c:pt>
                <c:pt idx="259">
                  <c:v>44088</c:v>
                </c:pt>
                <c:pt idx="260">
                  <c:v>44089</c:v>
                </c:pt>
                <c:pt idx="261">
                  <c:v>44090</c:v>
                </c:pt>
                <c:pt idx="262">
                  <c:v>44091</c:v>
                </c:pt>
                <c:pt idx="263">
                  <c:v>44092</c:v>
                </c:pt>
                <c:pt idx="264">
                  <c:v>44095</c:v>
                </c:pt>
                <c:pt idx="265">
                  <c:v>44096</c:v>
                </c:pt>
                <c:pt idx="266">
                  <c:v>44097</c:v>
                </c:pt>
                <c:pt idx="267">
                  <c:v>44098</c:v>
                </c:pt>
                <c:pt idx="268">
                  <c:v>44099</c:v>
                </c:pt>
                <c:pt idx="269">
                  <c:v>44102</c:v>
                </c:pt>
                <c:pt idx="270">
                  <c:v>44103</c:v>
                </c:pt>
                <c:pt idx="271">
                  <c:v>44104</c:v>
                </c:pt>
                <c:pt idx="272">
                  <c:v>44113</c:v>
                </c:pt>
                <c:pt idx="273">
                  <c:v>44116</c:v>
                </c:pt>
                <c:pt idx="274">
                  <c:v>44117</c:v>
                </c:pt>
                <c:pt idx="275">
                  <c:v>44118</c:v>
                </c:pt>
                <c:pt idx="276">
                  <c:v>44119</c:v>
                </c:pt>
                <c:pt idx="277">
                  <c:v>44120</c:v>
                </c:pt>
                <c:pt idx="278">
                  <c:v>44123</c:v>
                </c:pt>
                <c:pt idx="279">
                  <c:v>44124</c:v>
                </c:pt>
                <c:pt idx="280">
                  <c:v>44125</c:v>
                </c:pt>
                <c:pt idx="281">
                  <c:v>44126</c:v>
                </c:pt>
                <c:pt idx="282">
                  <c:v>44127</c:v>
                </c:pt>
                <c:pt idx="283">
                  <c:v>44130</c:v>
                </c:pt>
                <c:pt idx="284">
                  <c:v>44131</c:v>
                </c:pt>
                <c:pt idx="285">
                  <c:v>44132</c:v>
                </c:pt>
                <c:pt idx="286">
                  <c:v>44133</c:v>
                </c:pt>
                <c:pt idx="287">
                  <c:v>44134</c:v>
                </c:pt>
                <c:pt idx="288">
                  <c:v>44137</c:v>
                </c:pt>
                <c:pt idx="289">
                  <c:v>44138</c:v>
                </c:pt>
                <c:pt idx="290">
                  <c:v>44139</c:v>
                </c:pt>
                <c:pt idx="291">
                  <c:v>44140</c:v>
                </c:pt>
                <c:pt idx="292">
                  <c:v>44141</c:v>
                </c:pt>
                <c:pt idx="293">
                  <c:v>44144</c:v>
                </c:pt>
                <c:pt idx="294">
                  <c:v>44145</c:v>
                </c:pt>
                <c:pt idx="295">
                  <c:v>44146</c:v>
                </c:pt>
                <c:pt idx="296">
                  <c:v>44147</c:v>
                </c:pt>
                <c:pt idx="297">
                  <c:v>44148</c:v>
                </c:pt>
                <c:pt idx="298">
                  <c:v>44151</c:v>
                </c:pt>
                <c:pt idx="299">
                  <c:v>44152</c:v>
                </c:pt>
                <c:pt idx="300">
                  <c:v>44153</c:v>
                </c:pt>
                <c:pt idx="301">
                  <c:v>44154</c:v>
                </c:pt>
                <c:pt idx="302">
                  <c:v>44155</c:v>
                </c:pt>
                <c:pt idx="303">
                  <c:v>44158</c:v>
                </c:pt>
                <c:pt idx="304">
                  <c:v>44159</c:v>
                </c:pt>
                <c:pt idx="305">
                  <c:v>44160</c:v>
                </c:pt>
                <c:pt idx="306">
                  <c:v>44161</c:v>
                </c:pt>
                <c:pt idx="307">
                  <c:v>44162</c:v>
                </c:pt>
                <c:pt idx="308">
                  <c:v>44165</c:v>
                </c:pt>
                <c:pt idx="309">
                  <c:v>44166</c:v>
                </c:pt>
                <c:pt idx="310">
                  <c:v>44167</c:v>
                </c:pt>
                <c:pt idx="311">
                  <c:v>44168</c:v>
                </c:pt>
                <c:pt idx="312">
                  <c:v>44169</c:v>
                </c:pt>
                <c:pt idx="313">
                  <c:v>44172</c:v>
                </c:pt>
                <c:pt idx="314">
                  <c:v>44173</c:v>
                </c:pt>
                <c:pt idx="315">
                  <c:v>44174</c:v>
                </c:pt>
                <c:pt idx="316">
                  <c:v>44175</c:v>
                </c:pt>
                <c:pt idx="317">
                  <c:v>44176</c:v>
                </c:pt>
                <c:pt idx="318">
                  <c:v>44179</c:v>
                </c:pt>
                <c:pt idx="319">
                  <c:v>44180</c:v>
                </c:pt>
                <c:pt idx="320">
                  <c:v>44181</c:v>
                </c:pt>
                <c:pt idx="321">
                  <c:v>44182</c:v>
                </c:pt>
                <c:pt idx="322">
                  <c:v>44183</c:v>
                </c:pt>
                <c:pt idx="323">
                  <c:v>44186</c:v>
                </c:pt>
                <c:pt idx="324">
                  <c:v>44187</c:v>
                </c:pt>
                <c:pt idx="325">
                  <c:v>44188</c:v>
                </c:pt>
                <c:pt idx="326">
                  <c:v>44189</c:v>
                </c:pt>
                <c:pt idx="327">
                  <c:v>44190</c:v>
                </c:pt>
                <c:pt idx="328">
                  <c:v>44193</c:v>
                </c:pt>
                <c:pt idx="329">
                  <c:v>44194</c:v>
                </c:pt>
                <c:pt idx="330">
                  <c:v>44195</c:v>
                </c:pt>
                <c:pt idx="331">
                  <c:v>44196</c:v>
                </c:pt>
                <c:pt idx="332">
                  <c:v>44200</c:v>
                </c:pt>
                <c:pt idx="333">
                  <c:v>44201</c:v>
                </c:pt>
                <c:pt idx="334">
                  <c:v>44202</c:v>
                </c:pt>
                <c:pt idx="335">
                  <c:v>44203</c:v>
                </c:pt>
                <c:pt idx="336">
                  <c:v>44204</c:v>
                </c:pt>
                <c:pt idx="337">
                  <c:v>44207</c:v>
                </c:pt>
                <c:pt idx="338">
                  <c:v>44208</c:v>
                </c:pt>
                <c:pt idx="339">
                  <c:v>44209</c:v>
                </c:pt>
                <c:pt idx="340">
                  <c:v>44210</c:v>
                </c:pt>
                <c:pt idx="341">
                  <c:v>44211</c:v>
                </c:pt>
                <c:pt idx="342">
                  <c:v>44214</c:v>
                </c:pt>
                <c:pt idx="343">
                  <c:v>44215</c:v>
                </c:pt>
                <c:pt idx="344">
                  <c:v>44216</c:v>
                </c:pt>
                <c:pt idx="345">
                  <c:v>44217</c:v>
                </c:pt>
                <c:pt idx="346">
                  <c:v>44218</c:v>
                </c:pt>
                <c:pt idx="347">
                  <c:v>44221</c:v>
                </c:pt>
                <c:pt idx="348">
                  <c:v>44222</c:v>
                </c:pt>
                <c:pt idx="349">
                  <c:v>44223</c:v>
                </c:pt>
                <c:pt idx="350">
                  <c:v>44224</c:v>
                </c:pt>
                <c:pt idx="351">
                  <c:v>44225</c:v>
                </c:pt>
                <c:pt idx="352">
                  <c:v>44228</c:v>
                </c:pt>
                <c:pt idx="353">
                  <c:v>44229</c:v>
                </c:pt>
                <c:pt idx="354">
                  <c:v>44230</c:v>
                </c:pt>
                <c:pt idx="355">
                  <c:v>44231</c:v>
                </c:pt>
                <c:pt idx="356">
                  <c:v>44232</c:v>
                </c:pt>
                <c:pt idx="357">
                  <c:v>44235</c:v>
                </c:pt>
                <c:pt idx="358">
                  <c:v>44236</c:v>
                </c:pt>
                <c:pt idx="359">
                  <c:v>44237</c:v>
                </c:pt>
                <c:pt idx="360">
                  <c:v>44245</c:v>
                </c:pt>
                <c:pt idx="361">
                  <c:v>44246</c:v>
                </c:pt>
                <c:pt idx="362">
                  <c:v>44249</c:v>
                </c:pt>
                <c:pt idx="363">
                  <c:v>44250</c:v>
                </c:pt>
                <c:pt idx="364">
                  <c:v>44251</c:v>
                </c:pt>
                <c:pt idx="365">
                  <c:v>44252</c:v>
                </c:pt>
                <c:pt idx="366">
                  <c:v>44253</c:v>
                </c:pt>
              </c:numCache>
            </c:numRef>
          </c:cat>
          <c:val>
            <c:numRef>
              <c:f>爱凡哲六号!$B$21:$B$387</c:f>
              <c:numCache>
                <c:formatCode>0.0000_ </c:formatCode>
                <c:ptCount val="367"/>
                <c:pt idx="0">
                  <c:v>1</c:v>
                </c:pt>
                <c:pt idx="1">
                  <c:v>1</c:v>
                </c:pt>
                <c:pt idx="2">
                  <c:v>1</c:v>
                </c:pt>
                <c:pt idx="3">
                  <c:v>1</c:v>
                </c:pt>
                <c:pt idx="4">
                  <c:v>1.0009999999999999</c:v>
                </c:pt>
                <c:pt idx="5">
                  <c:v>1.002</c:v>
                </c:pt>
                <c:pt idx="6">
                  <c:v>1.0029999999999999</c:v>
                </c:pt>
                <c:pt idx="7">
                  <c:v>1.002</c:v>
                </c:pt>
                <c:pt idx="8">
                  <c:v>1.0009999999999999</c:v>
                </c:pt>
                <c:pt idx="9">
                  <c:v>1.0069999999999999</c:v>
                </c:pt>
                <c:pt idx="10">
                  <c:v>1.008</c:v>
                </c:pt>
                <c:pt idx="11">
                  <c:v>1.0049999999999999</c:v>
                </c:pt>
                <c:pt idx="12">
                  <c:v>1.006</c:v>
                </c:pt>
                <c:pt idx="13">
                  <c:v>1.006</c:v>
                </c:pt>
                <c:pt idx="14">
                  <c:v>1.0069999999999999</c:v>
                </c:pt>
                <c:pt idx="15">
                  <c:v>1.006</c:v>
                </c:pt>
                <c:pt idx="16">
                  <c:v>1.0069999999999999</c:v>
                </c:pt>
                <c:pt idx="17">
                  <c:v>1.008</c:v>
                </c:pt>
                <c:pt idx="18">
                  <c:v>1.0069999999999999</c:v>
                </c:pt>
                <c:pt idx="19">
                  <c:v>1.0089999999999999</c:v>
                </c:pt>
                <c:pt idx="20">
                  <c:v>1.008</c:v>
                </c:pt>
                <c:pt idx="21">
                  <c:v>1.008</c:v>
                </c:pt>
                <c:pt idx="22">
                  <c:v>1.008</c:v>
                </c:pt>
                <c:pt idx="23">
                  <c:v>1.01</c:v>
                </c:pt>
                <c:pt idx="24">
                  <c:v>1.0129999999999999</c:v>
                </c:pt>
                <c:pt idx="25">
                  <c:v>1.01</c:v>
                </c:pt>
                <c:pt idx="26">
                  <c:v>1.0109999999999999</c:v>
                </c:pt>
                <c:pt idx="27">
                  <c:v>1.0109999999999999</c:v>
                </c:pt>
                <c:pt idx="28">
                  <c:v>1.0129999999999999</c:v>
                </c:pt>
                <c:pt idx="29">
                  <c:v>1.016</c:v>
                </c:pt>
                <c:pt idx="30">
                  <c:v>1.016</c:v>
                </c:pt>
                <c:pt idx="31">
                  <c:v>1.014</c:v>
                </c:pt>
                <c:pt idx="32">
                  <c:v>1.018</c:v>
                </c:pt>
                <c:pt idx="33">
                  <c:v>1.0249999999999999</c:v>
                </c:pt>
                <c:pt idx="34">
                  <c:v>1.022</c:v>
                </c:pt>
                <c:pt idx="35">
                  <c:v>1.0189999999999999</c:v>
                </c:pt>
                <c:pt idx="36">
                  <c:v>1.0209999999999999</c:v>
                </c:pt>
                <c:pt idx="37">
                  <c:v>1.0209999999999999</c:v>
                </c:pt>
                <c:pt idx="38">
                  <c:v>1.0169999999999999</c:v>
                </c:pt>
                <c:pt idx="39">
                  <c:v>1.0149999999999999</c:v>
                </c:pt>
                <c:pt idx="40">
                  <c:v>1.024</c:v>
                </c:pt>
                <c:pt idx="41">
                  <c:v>1.0229999999999999</c:v>
                </c:pt>
                <c:pt idx="42">
                  <c:v>1.028</c:v>
                </c:pt>
                <c:pt idx="43">
                  <c:v>1.0209999999999999</c:v>
                </c:pt>
                <c:pt idx="44">
                  <c:v>1.0289999999999999</c:v>
                </c:pt>
                <c:pt idx="45">
                  <c:v>1.0309999999999999</c:v>
                </c:pt>
                <c:pt idx="46">
                  <c:v>1.0249999999999999</c:v>
                </c:pt>
                <c:pt idx="47">
                  <c:v>1.026</c:v>
                </c:pt>
                <c:pt idx="48">
                  <c:v>1.0289999999999999</c:v>
                </c:pt>
                <c:pt idx="49">
                  <c:v>1.0269999999999999</c:v>
                </c:pt>
                <c:pt idx="50">
                  <c:v>1.0249999999999999</c:v>
                </c:pt>
                <c:pt idx="51">
                  <c:v>1.0309999999999999</c:v>
                </c:pt>
                <c:pt idx="52">
                  <c:v>1.03</c:v>
                </c:pt>
                <c:pt idx="53">
                  <c:v>1.024</c:v>
                </c:pt>
                <c:pt idx="54">
                  <c:v>1.026</c:v>
                </c:pt>
                <c:pt idx="55">
                  <c:v>1.024</c:v>
                </c:pt>
                <c:pt idx="56">
                  <c:v>1.0269999999999999</c:v>
                </c:pt>
                <c:pt idx="57">
                  <c:v>1.03</c:v>
                </c:pt>
                <c:pt idx="58">
                  <c:v>1.03</c:v>
                </c:pt>
                <c:pt idx="59">
                  <c:v>1.0309999999999999</c:v>
                </c:pt>
                <c:pt idx="60">
                  <c:v>1.0309999999999999</c:v>
                </c:pt>
                <c:pt idx="61">
                  <c:v>1.0389999999999999</c:v>
                </c:pt>
                <c:pt idx="62">
                  <c:v>1.04</c:v>
                </c:pt>
                <c:pt idx="63">
                  <c:v>1.0389999999999999</c:v>
                </c:pt>
                <c:pt idx="64">
                  <c:v>1.0409999999999999</c:v>
                </c:pt>
                <c:pt idx="65">
                  <c:v>1.042</c:v>
                </c:pt>
                <c:pt idx="66">
                  <c:v>1.0429999999999999</c:v>
                </c:pt>
                <c:pt idx="67">
                  <c:v>1.044</c:v>
                </c:pt>
                <c:pt idx="68">
                  <c:v>1.046</c:v>
                </c:pt>
                <c:pt idx="69">
                  <c:v>1.0469999999999999</c:v>
                </c:pt>
                <c:pt idx="70">
                  <c:v>1.046</c:v>
                </c:pt>
                <c:pt idx="71">
                  <c:v>1.048</c:v>
                </c:pt>
                <c:pt idx="72">
                  <c:v>1.042</c:v>
                </c:pt>
                <c:pt idx="73">
                  <c:v>1.0449999999999999</c:v>
                </c:pt>
                <c:pt idx="74">
                  <c:v>1.0469999999999999</c:v>
                </c:pt>
                <c:pt idx="75">
                  <c:v>1.05</c:v>
                </c:pt>
                <c:pt idx="76">
                  <c:v>1.05</c:v>
                </c:pt>
                <c:pt idx="77">
                  <c:v>1.05</c:v>
                </c:pt>
                <c:pt idx="78">
                  <c:v>1.05</c:v>
                </c:pt>
                <c:pt idx="79">
                  <c:v>1.0489999999999999</c:v>
                </c:pt>
                <c:pt idx="80">
                  <c:v>1.052</c:v>
                </c:pt>
                <c:pt idx="81">
                  <c:v>1.0509999999999999</c:v>
                </c:pt>
                <c:pt idx="82">
                  <c:v>1.05</c:v>
                </c:pt>
                <c:pt idx="83">
                  <c:v>1.0549999999999999</c:v>
                </c:pt>
                <c:pt idx="84">
                  <c:v>1.0549999999999999</c:v>
                </c:pt>
                <c:pt idx="85">
                  <c:v>1.056</c:v>
                </c:pt>
                <c:pt idx="86">
                  <c:v>1.0549999999999999</c:v>
                </c:pt>
                <c:pt idx="87">
                  <c:v>1.0529999999999999</c:v>
                </c:pt>
                <c:pt idx="88">
                  <c:v>1.0529999999999999</c:v>
                </c:pt>
                <c:pt idx="89">
                  <c:v>1.0549999999999999</c:v>
                </c:pt>
                <c:pt idx="90">
                  <c:v>1.056</c:v>
                </c:pt>
                <c:pt idx="91">
                  <c:v>1.0569999999999999</c:v>
                </c:pt>
                <c:pt idx="92">
                  <c:v>1.0580000000000001</c:v>
                </c:pt>
                <c:pt idx="93">
                  <c:v>1.06</c:v>
                </c:pt>
                <c:pt idx="94">
                  <c:v>1.056</c:v>
                </c:pt>
                <c:pt idx="95">
                  <c:v>1.0569999999999999</c:v>
                </c:pt>
                <c:pt idx="96">
                  <c:v>1.0589999999999999</c:v>
                </c:pt>
                <c:pt idx="97">
                  <c:v>1.06</c:v>
                </c:pt>
                <c:pt idx="98">
                  <c:v>1.0589999999999999</c:v>
                </c:pt>
                <c:pt idx="99">
                  <c:v>1.0609999999999999</c:v>
                </c:pt>
                <c:pt idx="100">
                  <c:v>1.0609999999999999</c:v>
                </c:pt>
                <c:pt idx="101">
                  <c:v>1.0649999999999999</c:v>
                </c:pt>
                <c:pt idx="102">
                  <c:v>1.0649999999999999</c:v>
                </c:pt>
                <c:pt idx="103">
                  <c:v>1.0649999999999999</c:v>
                </c:pt>
                <c:pt idx="104">
                  <c:v>1.0649999999999999</c:v>
                </c:pt>
                <c:pt idx="105">
                  <c:v>1.0649999999999999</c:v>
                </c:pt>
                <c:pt idx="106">
                  <c:v>1.0649999999999999</c:v>
                </c:pt>
                <c:pt idx="107">
                  <c:v>1.0649999999999999</c:v>
                </c:pt>
                <c:pt idx="108">
                  <c:v>1.0649999999999999</c:v>
                </c:pt>
                <c:pt idx="109">
                  <c:v>1.0649999999999999</c:v>
                </c:pt>
                <c:pt idx="110">
                  <c:v>1.0649999999999999</c:v>
                </c:pt>
                <c:pt idx="111">
                  <c:v>1.0660000000000001</c:v>
                </c:pt>
                <c:pt idx="112">
                  <c:v>1.0680000000000001</c:v>
                </c:pt>
                <c:pt idx="113">
                  <c:v>1.0680000000000001</c:v>
                </c:pt>
                <c:pt idx="114">
                  <c:v>1.0669999999999999</c:v>
                </c:pt>
                <c:pt idx="115">
                  <c:v>1.0669999999999999</c:v>
                </c:pt>
                <c:pt idx="116">
                  <c:v>1.0669999999999999</c:v>
                </c:pt>
                <c:pt idx="117">
                  <c:v>1.069</c:v>
                </c:pt>
                <c:pt idx="118">
                  <c:v>1.07</c:v>
                </c:pt>
                <c:pt idx="119">
                  <c:v>1.0720000000000001</c:v>
                </c:pt>
                <c:pt idx="120">
                  <c:v>1.073</c:v>
                </c:pt>
                <c:pt idx="121">
                  <c:v>1.075</c:v>
                </c:pt>
                <c:pt idx="122">
                  <c:v>1.0760000000000001</c:v>
                </c:pt>
                <c:pt idx="123">
                  <c:v>1.073</c:v>
                </c:pt>
                <c:pt idx="124">
                  <c:v>1.0720000000000001</c:v>
                </c:pt>
                <c:pt idx="125">
                  <c:v>1.069</c:v>
                </c:pt>
                <c:pt idx="126">
                  <c:v>1.069</c:v>
                </c:pt>
                <c:pt idx="127">
                  <c:v>1.069</c:v>
                </c:pt>
                <c:pt idx="128">
                  <c:v>1.0720000000000001</c:v>
                </c:pt>
                <c:pt idx="129">
                  <c:v>1.0740000000000001</c:v>
                </c:pt>
                <c:pt idx="130">
                  <c:v>1.0740000000000001</c:v>
                </c:pt>
                <c:pt idx="131">
                  <c:v>1.0760000000000001</c:v>
                </c:pt>
                <c:pt idx="132">
                  <c:v>1.0840000000000001</c:v>
                </c:pt>
                <c:pt idx="133">
                  <c:v>1.0820000000000001</c:v>
                </c:pt>
                <c:pt idx="134">
                  <c:v>1.0880000000000001</c:v>
                </c:pt>
                <c:pt idx="135">
                  <c:v>1.0840000000000001</c:v>
                </c:pt>
                <c:pt idx="136">
                  <c:v>1.0880000000000001</c:v>
                </c:pt>
                <c:pt idx="137">
                  <c:v>1.0940000000000001</c:v>
                </c:pt>
                <c:pt idx="138">
                  <c:v>1.101</c:v>
                </c:pt>
                <c:pt idx="139">
                  <c:v>1.107</c:v>
                </c:pt>
                <c:pt idx="140">
                  <c:v>1.103</c:v>
                </c:pt>
                <c:pt idx="141">
                  <c:v>1.1060000000000001</c:v>
                </c:pt>
                <c:pt idx="142">
                  <c:v>1.1080000000000001</c:v>
                </c:pt>
                <c:pt idx="143">
                  <c:v>1.101</c:v>
                </c:pt>
                <c:pt idx="144">
                  <c:v>1.1060000000000001</c:v>
                </c:pt>
                <c:pt idx="145">
                  <c:v>1.1100000000000001</c:v>
                </c:pt>
                <c:pt idx="146">
                  <c:v>1.1120000000000001</c:v>
                </c:pt>
                <c:pt idx="147">
                  <c:v>1.115</c:v>
                </c:pt>
                <c:pt idx="148">
                  <c:v>1.119</c:v>
                </c:pt>
                <c:pt idx="149">
                  <c:v>1.1200000000000001</c:v>
                </c:pt>
                <c:pt idx="150">
                  <c:v>1.1220000000000001</c:v>
                </c:pt>
                <c:pt idx="151">
                  <c:v>1.1240000000000001</c:v>
                </c:pt>
                <c:pt idx="152">
                  <c:v>1.121</c:v>
                </c:pt>
                <c:pt idx="153">
                  <c:v>1.121</c:v>
                </c:pt>
                <c:pt idx="154">
                  <c:v>1.1200000000000001</c:v>
                </c:pt>
                <c:pt idx="155">
                  <c:v>1.1220000000000001</c:v>
                </c:pt>
                <c:pt idx="156">
                  <c:v>1.127</c:v>
                </c:pt>
                <c:pt idx="157">
                  <c:v>1.135</c:v>
                </c:pt>
                <c:pt idx="158">
                  <c:v>1.1399999999999999</c:v>
                </c:pt>
                <c:pt idx="159">
                  <c:v>1.1439999999999999</c:v>
                </c:pt>
                <c:pt idx="160">
                  <c:v>1.151</c:v>
                </c:pt>
                <c:pt idx="161">
                  <c:v>1.151</c:v>
                </c:pt>
                <c:pt idx="162">
                  <c:v>1.153</c:v>
                </c:pt>
                <c:pt idx="163">
                  <c:v>1.153</c:v>
                </c:pt>
                <c:pt idx="164">
                  <c:v>1.1539999999999999</c:v>
                </c:pt>
                <c:pt idx="165">
                  <c:v>1.1499999999999999</c:v>
                </c:pt>
                <c:pt idx="166">
                  <c:v>1.1519999999999999</c:v>
                </c:pt>
                <c:pt idx="167">
                  <c:v>1.145</c:v>
                </c:pt>
                <c:pt idx="168">
                  <c:v>1.159</c:v>
                </c:pt>
                <c:pt idx="169">
                  <c:v>1.1619999999999999</c:v>
                </c:pt>
                <c:pt idx="170">
                  <c:v>1.161</c:v>
                </c:pt>
                <c:pt idx="171">
                  <c:v>1.163</c:v>
                </c:pt>
                <c:pt idx="172">
                  <c:v>1.1639999999999999</c:v>
                </c:pt>
                <c:pt idx="173">
                  <c:v>1.163</c:v>
                </c:pt>
                <c:pt idx="174">
                  <c:v>1.165</c:v>
                </c:pt>
                <c:pt idx="175">
                  <c:v>1.167</c:v>
                </c:pt>
                <c:pt idx="176">
                  <c:v>1.17</c:v>
                </c:pt>
                <c:pt idx="177">
                  <c:v>1.17</c:v>
                </c:pt>
                <c:pt idx="178">
                  <c:v>1.173</c:v>
                </c:pt>
                <c:pt idx="179">
                  <c:v>1.173</c:v>
                </c:pt>
                <c:pt idx="180">
                  <c:v>1.177</c:v>
                </c:pt>
                <c:pt idx="181">
                  <c:v>1.1779999999999999</c:v>
                </c:pt>
                <c:pt idx="182">
                  <c:v>1.1850000000000001</c:v>
                </c:pt>
                <c:pt idx="183">
                  <c:v>1.1850000000000001</c:v>
                </c:pt>
                <c:pt idx="184">
                  <c:v>1.1879999999999999</c:v>
                </c:pt>
                <c:pt idx="185">
                  <c:v>1.1859999999999999</c:v>
                </c:pt>
                <c:pt idx="186">
                  <c:v>1.19</c:v>
                </c:pt>
                <c:pt idx="187">
                  <c:v>1.1879999999999999</c:v>
                </c:pt>
                <c:pt idx="188">
                  <c:v>1.1850000000000001</c:v>
                </c:pt>
                <c:pt idx="189">
                  <c:v>1.1819999999999999</c:v>
                </c:pt>
                <c:pt idx="190">
                  <c:v>1.1850000000000001</c:v>
                </c:pt>
                <c:pt idx="191">
                  <c:v>1.1879999999999999</c:v>
                </c:pt>
                <c:pt idx="192">
                  <c:v>1.1890000000000001</c:v>
                </c:pt>
                <c:pt idx="193">
                  <c:v>1.1879999999999999</c:v>
                </c:pt>
                <c:pt idx="194">
                  <c:v>1.1890000000000001</c:v>
                </c:pt>
                <c:pt idx="195">
                  <c:v>1.1890000000000001</c:v>
                </c:pt>
                <c:pt idx="196">
                  <c:v>1.1910000000000001</c:v>
                </c:pt>
                <c:pt idx="197">
                  <c:v>1.1950000000000001</c:v>
                </c:pt>
                <c:pt idx="198">
                  <c:v>1.196</c:v>
                </c:pt>
                <c:pt idx="199">
                  <c:v>1.1950000000000001</c:v>
                </c:pt>
                <c:pt idx="200">
                  <c:v>1.19</c:v>
                </c:pt>
                <c:pt idx="201">
                  <c:v>1.1910000000000001</c:v>
                </c:pt>
                <c:pt idx="202">
                  <c:v>1.198</c:v>
                </c:pt>
                <c:pt idx="203">
                  <c:v>1.202</c:v>
                </c:pt>
                <c:pt idx="204">
                  <c:v>1.204</c:v>
                </c:pt>
                <c:pt idx="205">
                  <c:v>1.204</c:v>
                </c:pt>
                <c:pt idx="206">
                  <c:v>1.2050000000000001</c:v>
                </c:pt>
                <c:pt idx="207">
                  <c:v>1.202</c:v>
                </c:pt>
                <c:pt idx="208">
                  <c:v>1.204</c:v>
                </c:pt>
                <c:pt idx="209">
                  <c:v>1.2050000000000001</c:v>
                </c:pt>
                <c:pt idx="210">
                  <c:v>1.216</c:v>
                </c:pt>
                <c:pt idx="211">
                  <c:v>1.222</c:v>
                </c:pt>
                <c:pt idx="212">
                  <c:v>1.224</c:v>
                </c:pt>
                <c:pt idx="213">
                  <c:v>1.23</c:v>
                </c:pt>
                <c:pt idx="214">
                  <c:v>1.23</c:v>
                </c:pt>
                <c:pt idx="215">
                  <c:v>1.2310000000000001</c:v>
                </c:pt>
                <c:pt idx="216">
                  <c:v>1.2330000000000001</c:v>
                </c:pt>
                <c:pt idx="217">
                  <c:v>1.2430000000000001</c:v>
                </c:pt>
                <c:pt idx="218">
                  <c:v>1.2490000000000001</c:v>
                </c:pt>
                <c:pt idx="219">
                  <c:v>1.2529999999999999</c:v>
                </c:pt>
                <c:pt idx="220">
                  <c:v>1.254</c:v>
                </c:pt>
                <c:pt idx="221">
                  <c:v>1.258</c:v>
                </c:pt>
                <c:pt idx="222">
                  <c:v>1.2609999999999999</c:v>
                </c:pt>
                <c:pt idx="223">
                  <c:v>1.2629999999999999</c:v>
                </c:pt>
                <c:pt idx="224">
                  <c:v>1.2649999999999999</c:v>
                </c:pt>
                <c:pt idx="225">
                  <c:v>1.264</c:v>
                </c:pt>
                <c:pt idx="226">
                  <c:v>1.2629999999999999</c:v>
                </c:pt>
                <c:pt idx="227">
                  <c:v>1.264</c:v>
                </c:pt>
                <c:pt idx="228">
                  <c:v>1.266</c:v>
                </c:pt>
                <c:pt idx="229">
                  <c:v>1.266</c:v>
                </c:pt>
                <c:pt idx="230">
                  <c:v>1.2669999999999999</c:v>
                </c:pt>
                <c:pt idx="231">
                  <c:v>1.268</c:v>
                </c:pt>
                <c:pt idx="232">
                  <c:v>1.272</c:v>
                </c:pt>
                <c:pt idx="233">
                  <c:v>1.2709999999999999</c:v>
                </c:pt>
                <c:pt idx="234">
                  <c:v>1.2729999999999999</c:v>
                </c:pt>
                <c:pt idx="235">
                  <c:v>1.2729999999999999</c:v>
                </c:pt>
                <c:pt idx="236">
                  <c:v>1.276</c:v>
                </c:pt>
                <c:pt idx="237">
                  <c:v>1.2749999999999999</c:v>
                </c:pt>
                <c:pt idx="238">
                  <c:v>1.2769999999999999</c:v>
                </c:pt>
                <c:pt idx="239">
                  <c:v>1.2729999999999999</c:v>
                </c:pt>
                <c:pt idx="240">
                  <c:v>1.27</c:v>
                </c:pt>
                <c:pt idx="241">
                  <c:v>1.272</c:v>
                </c:pt>
                <c:pt idx="242">
                  <c:v>1.2709999999999999</c:v>
                </c:pt>
                <c:pt idx="243">
                  <c:v>1.2709999999999999</c:v>
                </c:pt>
                <c:pt idx="244">
                  <c:v>1.2729999999999999</c:v>
                </c:pt>
                <c:pt idx="245">
                  <c:v>1.274</c:v>
                </c:pt>
                <c:pt idx="246">
                  <c:v>1.272</c:v>
                </c:pt>
                <c:pt idx="247">
                  <c:v>1.2729999999999999</c:v>
                </c:pt>
                <c:pt idx="248">
                  <c:v>1.274</c:v>
                </c:pt>
                <c:pt idx="249">
                  <c:v>1.2729999999999999</c:v>
                </c:pt>
                <c:pt idx="250">
                  <c:v>1.2729999999999999</c:v>
                </c:pt>
                <c:pt idx="251">
                  <c:v>1.2729999999999999</c:v>
                </c:pt>
                <c:pt idx="252">
                  <c:v>1.276</c:v>
                </c:pt>
                <c:pt idx="253">
                  <c:v>1.2749999999999999</c:v>
                </c:pt>
                <c:pt idx="254">
                  <c:v>1.278</c:v>
                </c:pt>
                <c:pt idx="255">
                  <c:v>1.2769999999999999</c:v>
                </c:pt>
                <c:pt idx="256">
                  <c:v>1.28</c:v>
                </c:pt>
                <c:pt idx="257">
                  <c:v>1.2789999999999999</c:v>
                </c:pt>
                <c:pt idx="258">
                  <c:v>1.2809999999999999</c:v>
                </c:pt>
                <c:pt idx="259">
                  <c:v>1.2829999999999999</c:v>
                </c:pt>
                <c:pt idx="260">
                  <c:v>1.284</c:v>
                </c:pt>
                <c:pt idx="261">
                  <c:v>1.2849999999999999</c:v>
                </c:pt>
                <c:pt idx="262">
                  <c:v>1.286</c:v>
                </c:pt>
                <c:pt idx="263">
                  <c:v>1.2829999999999999</c:v>
                </c:pt>
                <c:pt idx="264">
                  <c:v>1.28</c:v>
                </c:pt>
                <c:pt idx="265">
                  <c:v>1.286</c:v>
                </c:pt>
                <c:pt idx="266">
                  <c:v>1.2849999999999999</c:v>
                </c:pt>
                <c:pt idx="267">
                  <c:v>1.2809999999999999</c:v>
                </c:pt>
                <c:pt idx="268">
                  <c:v>1.276</c:v>
                </c:pt>
                <c:pt idx="269">
                  <c:v>1.2749999999999999</c:v>
                </c:pt>
                <c:pt idx="270">
                  <c:v>1.276</c:v>
                </c:pt>
                <c:pt idx="271">
                  <c:v>1.276</c:v>
                </c:pt>
                <c:pt idx="272">
                  <c:v>1.2789999999999999</c:v>
                </c:pt>
                <c:pt idx="273">
                  <c:v>1.2789999999999999</c:v>
                </c:pt>
                <c:pt idx="274">
                  <c:v>1.28</c:v>
                </c:pt>
                <c:pt idx="275">
                  <c:v>1.2809999999999999</c:v>
                </c:pt>
                <c:pt idx="276">
                  <c:v>1.28</c:v>
                </c:pt>
                <c:pt idx="277">
                  <c:v>1.2829999999999999</c:v>
                </c:pt>
                <c:pt idx="278">
                  <c:v>1.284</c:v>
                </c:pt>
                <c:pt idx="279">
                  <c:v>1.284</c:v>
                </c:pt>
                <c:pt idx="280">
                  <c:v>1.2849999999999999</c:v>
                </c:pt>
                <c:pt idx="281">
                  <c:v>1.2849999999999999</c:v>
                </c:pt>
                <c:pt idx="282">
                  <c:v>1.2829999999999999</c:v>
                </c:pt>
                <c:pt idx="283">
                  <c:v>1.2849999999999999</c:v>
                </c:pt>
                <c:pt idx="284">
                  <c:v>1.2849999999999999</c:v>
                </c:pt>
                <c:pt idx="285">
                  <c:v>1.286</c:v>
                </c:pt>
                <c:pt idx="286">
                  <c:v>1.288</c:v>
                </c:pt>
                <c:pt idx="287">
                  <c:v>1.2929999999999999</c:v>
                </c:pt>
                <c:pt idx="288">
                  <c:v>1.294</c:v>
                </c:pt>
                <c:pt idx="289">
                  <c:v>1.2969999999999999</c:v>
                </c:pt>
                <c:pt idx="290">
                  <c:v>1.298</c:v>
                </c:pt>
                <c:pt idx="291">
                  <c:v>1.2989999999999999</c:v>
                </c:pt>
                <c:pt idx="292">
                  <c:v>1.3</c:v>
                </c:pt>
                <c:pt idx="293">
                  <c:v>1.3029999999999999</c:v>
                </c:pt>
                <c:pt idx="294">
                  <c:v>1.3080000000000001</c:v>
                </c:pt>
                <c:pt idx="295">
                  <c:v>1.3129999999999999</c:v>
                </c:pt>
                <c:pt idx="296">
                  <c:v>1.31</c:v>
                </c:pt>
                <c:pt idx="297">
                  <c:v>1.3140000000000001</c:v>
                </c:pt>
                <c:pt idx="298">
                  <c:v>1.3169999999999999</c:v>
                </c:pt>
                <c:pt idx="299">
                  <c:v>1.3169999999999999</c:v>
                </c:pt>
                <c:pt idx="300">
                  <c:v>1.3169999999999999</c:v>
                </c:pt>
                <c:pt idx="301">
                  <c:v>1.3169999999999999</c:v>
                </c:pt>
                <c:pt idx="302">
                  <c:v>1.3160000000000001</c:v>
                </c:pt>
                <c:pt idx="303">
                  <c:v>1.3120000000000001</c:v>
                </c:pt>
                <c:pt idx="304">
                  <c:v>1.306</c:v>
                </c:pt>
                <c:pt idx="305">
                  <c:v>1.306</c:v>
                </c:pt>
                <c:pt idx="306">
                  <c:v>1.3140000000000001</c:v>
                </c:pt>
                <c:pt idx="307">
                  <c:v>1.3149999999999999</c:v>
                </c:pt>
                <c:pt idx="308">
                  <c:v>1.319</c:v>
                </c:pt>
                <c:pt idx="309">
                  <c:v>1.3129999999999999</c:v>
                </c:pt>
                <c:pt idx="310">
                  <c:v>1.302</c:v>
                </c:pt>
                <c:pt idx="311">
                  <c:v>1.3009999999999999</c:v>
                </c:pt>
                <c:pt idx="312">
                  <c:v>1.3009999999999999</c:v>
                </c:pt>
                <c:pt idx="313">
                  <c:v>1.3009999999999999</c:v>
                </c:pt>
                <c:pt idx="314">
                  <c:v>1.304</c:v>
                </c:pt>
                <c:pt idx="315">
                  <c:v>1.3069999999999999</c:v>
                </c:pt>
                <c:pt idx="316">
                  <c:v>1.3080000000000001</c:v>
                </c:pt>
                <c:pt idx="317">
                  <c:v>1.3120000000000001</c:v>
                </c:pt>
                <c:pt idx="318">
                  <c:v>1.3120000000000001</c:v>
                </c:pt>
                <c:pt idx="319">
                  <c:v>1.3140000000000001</c:v>
                </c:pt>
                <c:pt idx="320">
                  <c:v>1.3149999999999999</c:v>
                </c:pt>
                <c:pt idx="321">
                  <c:v>1.3160000000000001</c:v>
                </c:pt>
                <c:pt idx="322">
                  <c:v>1.3169999999999999</c:v>
                </c:pt>
                <c:pt idx="323">
                  <c:v>1.3140000000000001</c:v>
                </c:pt>
                <c:pt idx="324">
                  <c:v>1.3169999999999999</c:v>
                </c:pt>
                <c:pt idx="325">
                  <c:v>1.327</c:v>
                </c:pt>
                <c:pt idx="326">
                  <c:v>1.325</c:v>
                </c:pt>
                <c:pt idx="327">
                  <c:v>1.3149999999999999</c:v>
                </c:pt>
                <c:pt idx="328">
                  <c:v>1.3140000000000001</c:v>
                </c:pt>
                <c:pt idx="329">
                  <c:v>1.3129999999999999</c:v>
                </c:pt>
                <c:pt idx="330">
                  <c:v>1.3169999999999999</c:v>
                </c:pt>
                <c:pt idx="331">
                  <c:v>1.3149999999999999</c:v>
                </c:pt>
                <c:pt idx="332">
                  <c:v>1.3129999999999999</c:v>
                </c:pt>
                <c:pt idx="333">
                  <c:v>1.3120000000000001</c:v>
                </c:pt>
                <c:pt idx="334">
                  <c:v>1.3140000000000001</c:v>
                </c:pt>
                <c:pt idx="335">
                  <c:v>1.3089999999999999</c:v>
                </c:pt>
                <c:pt idx="336">
                  <c:v>1.3009999999999999</c:v>
                </c:pt>
                <c:pt idx="337">
                  <c:v>1.3089999999999999</c:v>
                </c:pt>
                <c:pt idx="338">
                  <c:v>1.3120000000000001</c:v>
                </c:pt>
                <c:pt idx="339">
                  <c:v>1.3120000000000001</c:v>
                </c:pt>
                <c:pt idx="340">
                  <c:v>1.3160000000000001</c:v>
                </c:pt>
                <c:pt idx="341">
                  <c:v>1.325</c:v>
                </c:pt>
                <c:pt idx="342">
                  <c:v>1.32</c:v>
                </c:pt>
                <c:pt idx="343">
                  <c:v>1.319</c:v>
                </c:pt>
                <c:pt idx="344">
                  <c:v>1.3180000000000001</c:v>
                </c:pt>
                <c:pt idx="345">
                  <c:v>1.32</c:v>
                </c:pt>
                <c:pt idx="346">
                  <c:v>1.319</c:v>
                </c:pt>
                <c:pt idx="347">
                  <c:v>1.3260000000000001</c:v>
                </c:pt>
                <c:pt idx="348">
                  <c:v>1.327</c:v>
                </c:pt>
                <c:pt idx="349">
                  <c:v>1.329</c:v>
                </c:pt>
                <c:pt idx="350">
                  <c:v>1.329</c:v>
                </c:pt>
                <c:pt idx="351">
                  <c:v>1.331</c:v>
                </c:pt>
                <c:pt idx="352">
                  <c:v>1.3320000000000001</c:v>
                </c:pt>
                <c:pt idx="353">
                  <c:v>1.3360000000000001</c:v>
                </c:pt>
                <c:pt idx="354">
                  <c:v>1.335</c:v>
                </c:pt>
                <c:pt idx="355">
                  <c:v>1.3360000000000001</c:v>
                </c:pt>
                <c:pt idx="356">
                  <c:v>1.3340000000000001</c:v>
                </c:pt>
                <c:pt idx="357">
                  <c:v>1.335</c:v>
                </c:pt>
                <c:pt idx="358">
                  <c:v>1.337</c:v>
                </c:pt>
                <c:pt idx="359">
                  <c:v>1.3360000000000001</c:v>
                </c:pt>
                <c:pt idx="360">
                  <c:v>1.337</c:v>
                </c:pt>
                <c:pt idx="361">
                  <c:v>1.34</c:v>
                </c:pt>
                <c:pt idx="362">
                  <c:v>1.341</c:v>
                </c:pt>
                <c:pt idx="363">
                  <c:v>1.341</c:v>
                </c:pt>
                <c:pt idx="364">
                  <c:v>1.3420000000000001</c:v>
                </c:pt>
                <c:pt idx="365">
                  <c:v>1.341</c:v>
                </c:pt>
                <c:pt idx="366">
                  <c:v>1.345</c:v>
                </c:pt>
              </c:numCache>
            </c:numRef>
          </c:val>
          <c:smooth val="0"/>
          <c:extLst>
            <c:ext xmlns:c16="http://schemas.microsoft.com/office/drawing/2014/chart" uri="{C3380CC4-5D6E-409C-BE32-E72D297353CC}">
              <c16:uniqueId val="{00000000-1E08-474D-A272-848AB0325894}"/>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远澜银杏</a:t>
            </a:r>
            <a:r>
              <a:rPr lang="en-US" altLang="zh-CN" sz="1600"/>
              <a:t>1</a:t>
            </a:r>
            <a:r>
              <a:rPr lang="zh-CN" altLang="en-US" sz="1600"/>
              <a:t>号</a:t>
            </a:r>
            <a:endParaRPr lang="en-US" altLang="zh-CN" sz="1600"/>
          </a:p>
        </c:rich>
      </c:tx>
      <c:overlay val="0"/>
    </c:title>
    <c:autoTitleDeleted val="0"/>
    <c:plotArea>
      <c:layout/>
      <c:lineChart>
        <c:grouping val="standard"/>
        <c:varyColors val="0"/>
        <c:ser>
          <c:idx val="0"/>
          <c:order val="0"/>
          <c:tx>
            <c:strRef>
              <c:f>银杏1号!$B$20</c:f>
              <c:strCache>
                <c:ptCount val="1"/>
                <c:pt idx="0">
                  <c:v>累计净值</c:v>
                </c:pt>
              </c:strCache>
            </c:strRef>
          </c:tx>
          <c:marker>
            <c:symbol val="none"/>
          </c:marker>
          <c:cat>
            <c:numRef>
              <c:f>银杏1号!$A$21:$A$207</c:f>
              <c:numCache>
                <c:formatCode>m/d/yy</c:formatCode>
                <c:ptCount val="187"/>
                <c:pt idx="0">
                  <c:v>44049</c:v>
                </c:pt>
                <c:pt idx="1">
                  <c:v>44050</c:v>
                </c:pt>
                <c:pt idx="2">
                  <c:v>44053</c:v>
                </c:pt>
                <c:pt idx="3">
                  <c:v>44054</c:v>
                </c:pt>
                <c:pt idx="4">
                  <c:v>44055</c:v>
                </c:pt>
                <c:pt idx="5">
                  <c:v>44056</c:v>
                </c:pt>
                <c:pt idx="6">
                  <c:v>44057</c:v>
                </c:pt>
                <c:pt idx="7">
                  <c:v>44060</c:v>
                </c:pt>
                <c:pt idx="8">
                  <c:v>44061</c:v>
                </c:pt>
                <c:pt idx="9">
                  <c:v>44062</c:v>
                </c:pt>
                <c:pt idx="10">
                  <c:v>44063</c:v>
                </c:pt>
                <c:pt idx="11">
                  <c:v>44064</c:v>
                </c:pt>
                <c:pt idx="12">
                  <c:v>44067</c:v>
                </c:pt>
                <c:pt idx="13">
                  <c:v>44068</c:v>
                </c:pt>
                <c:pt idx="14">
                  <c:v>44069</c:v>
                </c:pt>
                <c:pt idx="15">
                  <c:v>44070</c:v>
                </c:pt>
                <c:pt idx="16">
                  <c:v>44071</c:v>
                </c:pt>
                <c:pt idx="17">
                  <c:v>44074</c:v>
                </c:pt>
                <c:pt idx="18">
                  <c:v>44075</c:v>
                </c:pt>
                <c:pt idx="19">
                  <c:v>44076</c:v>
                </c:pt>
                <c:pt idx="20">
                  <c:v>44077</c:v>
                </c:pt>
                <c:pt idx="21">
                  <c:v>44078</c:v>
                </c:pt>
                <c:pt idx="22">
                  <c:v>44081</c:v>
                </c:pt>
                <c:pt idx="23">
                  <c:v>44082</c:v>
                </c:pt>
                <c:pt idx="24">
                  <c:v>44083</c:v>
                </c:pt>
                <c:pt idx="25">
                  <c:v>44084</c:v>
                </c:pt>
                <c:pt idx="26">
                  <c:v>44085</c:v>
                </c:pt>
                <c:pt idx="27">
                  <c:v>44088</c:v>
                </c:pt>
                <c:pt idx="28">
                  <c:v>44089</c:v>
                </c:pt>
                <c:pt idx="29">
                  <c:v>44090</c:v>
                </c:pt>
                <c:pt idx="30">
                  <c:v>44091</c:v>
                </c:pt>
                <c:pt idx="31">
                  <c:v>44092</c:v>
                </c:pt>
                <c:pt idx="32">
                  <c:v>44095</c:v>
                </c:pt>
                <c:pt idx="33">
                  <c:v>44096</c:v>
                </c:pt>
                <c:pt idx="34">
                  <c:v>44097</c:v>
                </c:pt>
                <c:pt idx="35">
                  <c:v>44098</c:v>
                </c:pt>
                <c:pt idx="36">
                  <c:v>44099</c:v>
                </c:pt>
                <c:pt idx="37">
                  <c:v>44102</c:v>
                </c:pt>
                <c:pt idx="38">
                  <c:v>44103</c:v>
                </c:pt>
                <c:pt idx="39">
                  <c:v>44104</c:v>
                </c:pt>
                <c:pt idx="40">
                  <c:v>44113</c:v>
                </c:pt>
                <c:pt idx="41">
                  <c:v>44116</c:v>
                </c:pt>
                <c:pt idx="42">
                  <c:v>44117</c:v>
                </c:pt>
                <c:pt idx="43">
                  <c:v>44118</c:v>
                </c:pt>
                <c:pt idx="44">
                  <c:v>44119</c:v>
                </c:pt>
                <c:pt idx="45">
                  <c:v>44120</c:v>
                </c:pt>
                <c:pt idx="46">
                  <c:v>44123</c:v>
                </c:pt>
                <c:pt idx="47">
                  <c:v>44124</c:v>
                </c:pt>
                <c:pt idx="48">
                  <c:v>44125</c:v>
                </c:pt>
                <c:pt idx="49">
                  <c:v>44126</c:v>
                </c:pt>
                <c:pt idx="50">
                  <c:v>44127</c:v>
                </c:pt>
                <c:pt idx="51">
                  <c:v>44130</c:v>
                </c:pt>
                <c:pt idx="52">
                  <c:v>44131</c:v>
                </c:pt>
                <c:pt idx="53">
                  <c:v>44132</c:v>
                </c:pt>
                <c:pt idx="54">
                  <c:v>44133</c:v>
                </c:pt>
                <c:pt idx="55">
                  <c:v>44134</c:v>
                </c:pt>
                <c:pt idx="56">
                  <c:v>44137</c:v>
                </c:pt>
                <c:pt idx="57">
                  <c:v>44138</c:v>
                </c:pt>
                <c:pt idx="58">
                  <c:v>44139</c:v>
                </c:pt>
                <c:pt idx="59">
                  <c:v>44140</c:v>
                </c:pt>
                <c:pt idx="60">
                  <c:v>44141</c:v>
                </c:pt>
                <c:pt idx="61">
                  <c:v>44144</c:v>
                </c:pt>
                <c:pt idx="62">
                  <c:v>44145</c:v>
                </c:pt>
                <c:pt idx="63">
                  <c:v>44146</c:v>
                </c:pt>
                <c:pt idx="64">
                  <c:v>44147</c:v>
                </c:pt>
                <c:pt idx="65">
                  <c:v>44148</c:v>
                </c:pt>
                <c:pt idx="66">
                  <c:v>44151</c:v>
                </c:pt>
                <c:pt idx="67">
                  <c:v>44152</c:v>
                </c:pt>
                <c:pt idx="68">
                  <c:v>44153</c:v>
                </c:pt>
                <c:pt idx="69">
                  <c:v>44154</c:v>
                </c:pt>
                <c:pt idx="70">
                  <c:v>44155</c:v>
                </c:pt>
                <c:pt idx="71">
                  <c:v>44158</c:v>
                </c:pt>
                <c:pt idx="72">
                  <c:v>44159</c:v>
                </c:pt>
                <c:pt idx="73">
                  <c:v>44160</c:v>
                </c:pt>
                <c:pt idx="74">
                  <c:v>44161</c:v>
                </c:pt>
                <c:pt idx="75">
                  <c:v>44162</c:v>
                </c:pt>
                <c:pt idx="76">
                  <c:v>44165</c:v>
                </c:pt>
                <c:pt idx="77">
                  <c:v>44166</c:v>
                </c:pt>
                <c:pt idx="78">
                  <c:v>44167</c:v>
                </c:pt>
                <c:pt idx="79">
                  <c:v>44168</c:v>
                </c:pt>
                <c:pt idx="80">
                  <c:v>44169</c:v>
                </c:pt>
                <c:pt idx="81">
                  <c:v>44172</c:v>
                </c:pt>
                <c:pt idx="82">
                  <c:v>44173</c:v>
                </c:pt>
                <c:pt idx="83">
                  <c:v>44174</c:v>
                </c:pt>
                <c:pt idx="84">
                  <c:v>44175</c:v>
                </c:pt>
                <c:pt idx="85">
                  <c:v>44176</c:v>
                </c:pt>
                <c:pt idx="86">
                  <c:v>44179</c:v>
                </c:pt>
                <c:pt idx="87">
                  <c:v>44180</c:v>
                </c:pt>
                <c:pt idx="88">
                  <c:v>44181</c:v>
                </c:pt>
                <c:pt idx="89">
                  <c:v>44182</c:v>
                </c:pt>
                <c:pt idx="90">
                  <c:v>44183</c:v>
                </c:pt>
                <c:pt idx="91">
                  <c:v>44186</c:v>
                </c:pt>
                <c:pt idx="92">
                  <c:v>44187</c:v>
                </c:pt>
                <c:pt idx="93">
                  <c:v>44188</c:v>
                </c:pt>
                <c:pt idx="94">
                  <c:v>44189</c:v>
                </c:pt>
                <c:pt idx="95">
                  <c:v>44190</c:v>
                </c:pt>
                <c:pt idx="96">
                  <c:v>44193</c:v>
                </c:pt>
                <c:pt idx="97">
                  <c:v>44194</c:v>
                </c:pt>
                <c:pt idx="98">
                  <c:v>44195</c:v>
                </c:pt>
                <c:pt idx="99">
                  <c:v>44196</c:v>
                </c:pt>
                <c:pt idx="100">
                  <c:v>44200</c:v>
                </c:pt>
                <c:pt idx="101">
                  <c:v>44201</c:v>
                </c:pt>
                <c:pt idx="102">
                  <c:v>44202</c:v>
                </c:pt>
                <c:pt idx="103">
                  <c:v>44203</c:v>
                </c:pt>
                <c:pt idx="104">
                  <c:v>44204</c:v>
                </c:pt>
                <c:pt idx="105">
                  <c:v>44207</c:v>
                </c:pt>
                <c:pt idx="106">
                  <c:v>44208</c:v>
                </c:pt>
                <c:pt idx="107">
                  <c:v>44209</c:v>
                </c:pt>
                <c:pt idx="108">
                  <c:v>44210</c:v>
                </c:pt>
                <c:pt idx="109">
                  <c:v>44211</c:v>
                </c:pt>
                <c:pt idx="110">
                  <c:v>44214</c:v>
                </c:pt>
                <c:pt idx="111">
                  <c:v>44215</c:v>
                </c:pt>
                <c:pt idx="112">
                  <c:v>44216</c:v>
                </c:pt>
                <c:pt idx="113">
                  <c:v>44217</c:v>
                </c:pt>
                <c:pt idx="114">
                  <c:v>44218</c:v>
                </c:pt>
                <c:pt idx="115">
                  <c:v>44221</c:v>
                </c:pt>
                <c:pt idx="116">
                  <c:v>44222</c:v>
                </c:pt>
                <c:pt idx="117">
                  <c:v>44223</c:v>
                </c:pt>
                <c:pt idx="118">
                  <c:v>44224</c:v>
                </c:pt>
                <c:pt idx="119">
                  <c:v>44225</c:v>
                </c:pt>
                <c:pt idx="120">
                  <c:v>44228</c:v>
                </c:pt>
                <c:pt idx="121">
                  <c:v>44229</c:v>
                </c:pt>
                <c:pt idx="122">
                  <c:v>44230</c:v>
                </c:pt>
                <c:pt idx="123">
                  <c:v>44231</c:v>
                </c:pt>
                <c:pt idx="124">
                  <c:v>44232</c:v>
                </c:pt>
                <c:pt idx="125">
                  <c:v>44235</c:v>
                </c:pt>
                <c:pt idx="126">
                  <c:v>44236</c:v>
                </c:pt>
                <c:pt idx="127">
                  <c:v>44237</c:v>
                </c:pt>
                <c:pt idx="128">
                  <c:v>44245</c:v>
                </c:pt>
                <c:pt idx="129">
                  <c:v>44246</c:v>
                </c:pt>
                <c:pt idx="130">
                  <c:v>44249</c:v>
                </c:pt>
                <c:pt idx="131">
                  <c:v>44250</c:v>
                </c:pt>
                <c:pt idx="132">
                  <c:v>44251</c:v>
                </c:pt>
                <c:pt idx="133">
                  <c:v>44252</c:v>
                </c:pt>
                <c:pt idx="134">
                  <c:v>44253</c:v>
                </c:pt>
                <c:pt idx="135">
                  <c:v>44256</c:v>
                </c:pt>
                <c:pt idx="136">
                  <c:v>44257</c:v>
                </c:pt>
                <c:pt idx="137">
                  <c:v>44258</c:v>
                </c:pt>
                <c:pt idx="138">
                  <c:v>44259</c:v>
                </c:pt>
                <c:pt idx="139">
                  <c:v>44260</c:v>
                </c:pt>
                <c:pt idx="140">
                  <c:v>44263</c:v>
                </c:pt>
                <c:pt idx="141">
                  <c:v>44264</c:v>
                </c:pt>
                <c:pt idx="142">
                  <c:v>44265</c:v>
                </c:pt>
                <c:pt idx="143">
                  <c:v>44266</c:v>
                </c:pt>
                <c:pt idx="144">
                  <c:v>44267</c:v>
                </c:pt>
                <c:pt idx="145">
                  <c:v>44270</c:v>
                </c:pt>
                <c:pt idx="146">
                  <c:v>44271</c:v>
                </c:pt>
                <c:pt idx="147">
                  <c:v>44272</c:v>
                </c:pt>
                <c:pt idx="148">
                  <c:v>44273</c:v>
                </c:pt>
                <c:pt idx="149">
                  <c:v>44274</c:v>
                </c:pt>
                <c:pt idx="150">
                  <c:v>44277</c:v>
                </c:pt>
                <c:pt idx="151">
                  <c:v>44278</c:v>
                </c:pt>
                <c:pt idx="152">
                  <c:v>44279</c:v>
                </c:pt>
                <c:pt idx="153">
                  <c:v>44280</c:v>
                </c:pt>
                <c:pt idx="154">
                  <c:v>44281</c:v>
                </c:pt>
                <c:pt idx="155">
                  <c:v>44284</c:v>
                </c:pt>
                <c:pt idx="156">
                  <c:v>44285</c:v>
                </c:pt>
                <c:pt idx="157">
                  <c:v>44286</c:v>
                </c:pt>
                <c:pt idx="158">
                  <c:v>44287</c:v>
                </c:pt>
                <c:pt idx="159">
                  <c:v>44288</c:v>
                </c:pt>
                <c:pt idx="160">
                  <c:v>44292</c:v>
                </c:pt>
                <c:pt idx="161">
                  <c:v>44293</c:v>
                </c:pt>
                <c:pt idx="162">
                  <c:v>44294</c:v>
                </c:pt>
                <c:pt idx="163">
                  <c:v>44295</c:v>
                </c:pt>
                <c:pt idx="164">
                  <c:v>44298</c:v>
                </c:pt>
                <c:pt idx="165">
                  <c:v>44299</c:v>
                </c:pt>
                <c:pt idx="166">
                  <c:v>44300</c:v>
                </c:pt>
                <c:pt idx="167">
                  <c:v>44301</c:v>
                </c:pt>
                <c:pt idx="168">
                  <c:v>44302</c:v>
                </c:pt>
                <c:pt idx="169">
                  <c:v>44305</c:v>
                </c:pt>
                <c:pt idx="170">
                  <c:v>44306</c:v>
                </c:pt>
                <c:pt idx="171">
                  <c:v>44307</c:v>
                </c:pt>
                <c:pt idx="172">
                  <c:v>44308</c:v>
                </c:pt>
                <c:pt idx="173">
                  <c:v>44309</c:v>
                </c:pt>
                <c:pt idx="174">
                  <c:v>44312</c:v>
                </c:pt>
                <c:pt idx="175">
                  <c:v>44313</c:v>
                </c:pt>
                <c:pt idx="176">
                  <c:v>44314</c:v>
                </c:pt>
                <c:pt idx="177">
                  <c:v>44315</c:v>
                </c:pt>
                <c:pt idx="178">
                  <c:v>44316</c:v>
                </c:pt>
                <c:pt idx="179">
                  <c:v>44322</c:v>
                </c:pt>
                <c:pt idx="180">
                  <c:v>44323</c:v>
                </c:pt>
                <c:pt idx="181">
                  <c:v>44326</c:v>
                </c:pt>
                <c:pt idx="182">
                  <c:v>44327</c:v>
                </c:pt>
                <c:pt idx="183">
                  <c:v>44328</c:v>
                </c:pt>
                <c:pt idx="184">
                  <c:v>44329</c:v>
                </c:pt>
                <c:pt idx="185">
                  <c:v>44330</c:v>
                </c:pt>
                <c:pt idx="186">
                  <c:v>44333</c:v>
                </c:pt>
              </c:numCache>
            </c:numRef>
          </c:cat>
          <c:val>
            <c:numRef>
              <c:f>银杏1号!$B$21:$B$207</c:f>
              <c:numCache>
                <c:formatCode>0.0000_ </c:formatCode>
                <c:ptCount val="187"/>
                <c:pt idx="0">
                  <c:v>1.4770000000000001</c:v>
                </c:pt>
                <c:pt idx="1">
                  <c:v>1.464</c:v>
                </c:pt>
                <c:pt idx="2">
                  <c:v>1.454</c:v>
                </c:pt>
                <c:pt idx="3">
                  <c:v>1.4510000000000001</c:v>
                </c:pt>
                <c:pt idx="4">
                  <c:v>1.43</c:v>
                </c:pt>
                <c:pt idx="5">
                  <c:v>1.427</c:v>
                </c:pt>
                <c:pt idx="6">
                  <c:v>1.4139999999999999</c:v>
                </c:pt>
                <c:pt idx="7">
                  <c:v>1.4179999999999999</c:v>
                </c:pt>
                <c:pt idx="8">
                  <c:v>1.4219999999999999</c:v>
                </c:pt>
                <c:pt idx="9">
                  <c:v>1.415</c:v>
                </c:pt>
                <c:pt idx="10">
                  <c:v>1.413</c:v>
                </c:pt>
                <c:pt idx="11">
                  <c:v>1.413</c:v>
                </c:pt>
                <c:pt idx="12">
                  <c:v>1.4039999999999999</c:v>
                </c:pt>
                <c:pt idx="13">
                  <c:v>1.4039999999999999</c:v>
                </c:pt>
                <c:pt idx="14">
                  <c:v>1.411</c:v>
                </c:pt>
                <c:pt idx="15">
                  <c:v>1.4039999999999999</c:v>
                </c:pt>
                <c:pt idx="16">
                  <c:v>1.399</c:v>
                </c:pt>
                <c:pt idx="17">
                  <c:v>1.411</c:v>
                </c:pt>
                <c:pt idx="18">
                  <c:v>1.4139999999999999</c:v>
                </c:pt>
                <c:pt idx="19">
                  <c:v>1.4119999999999999</c:v>
                </c:pt>
                <c:pt idx="20">
                  <c:v>1.4139999999999999</c:v>
                </c:pt>
                <c:pt idx="21">
                  <c:v>1.407</c:v>
                </c:pt>
                <c:pt idx="22">
                  <c:v>1.4139999999999999</c:v>
                </c:pt>
                <c:pt idx="23">
                  <c:v>1.409</c:v>
                </c:pt>
                <c:pt idx="24">
                  <c:v>1.423</c:v>
                </c:pt>
                <c:pt idx="25">
                  <c:v>1.423</c:v>
                </c:pt>
                <c:pt idx="26">
                  <c:v>1.421</c:v>
                </c:pt>
                <c:pt idx="27">
                  <c:v>1.417</c:v>
                </c:pt>
                <c:pt idx="28">
                  <c:v>1.42</c:v>
                </c:pt>
                <c:pt idx="29">
                  <c:v>1.419</c:v>
                </c:pt>
                <c:pt idx="30">
                  <c:v>1.421</c:v>
                </c:pt>
                <c:pt idx="31">
                  <c:v>1.43</c:v>
                </c:pt>
                <c:pt idx="32">
                  <c:v>1.4319999999999999</c:v>
                </c:pt>
                <c:pt idx="33">
                  <c:v>1.4419999999999999</c:v>
                </c:pt>
                <c:pt idx="34">
                  <c:v>1.4370000000000001</c:v>
                </c:pt>
                <c:pt idx="35">
                  <c:v>1.4430000000000001</c:v>
                </c:pt>
                <c:pt idx="36">
                  <c:v>1.4350000000000001</c:v>
                </c:pt>
                <c:pt idx="37">
                  <c:v>1.431</c:v>
                </c:pt>
                <c:pt idx="38">
                  <c:v>1.42</c:v>
                </c:pt>
                <c:pt idx="39">
                  <c:v>1.4259999999999999</c:v>
                </c:pt>
                <c:pt idx="40">
                  <c:v>1.43</c:v>
                </c:pt>
                <c:pt idx="41">
                  <c:v>1.4750000000000001</c:v>
                </c:pt>
                <c:pt idx="42">
                  <c:v>1.4770000000000001</c:v>
                </c:pt>
                <c:pt idx="43">
                  <c:v>1.4730000000000001</c:v>
                </c:pt>
                <c:pt idx="44">
                  <c:v>1.4690000000000001</c:v>
                </c:pt>
                <c:pt idx="45">
                  <c:v>1.456</c:v>
                </c:pt>
                <c:pt idx="46">
                  <c:v>1.46</c:v>
                </c:pt>
                <c:pt idx="47">
                  <c:v>1.456</c:v>
                </c:pt>
                <c:pt idx="48">
                  <c:v>1.454</c:v>
                </c:pt>
                <c:pt idx="49">
                  <c:v>1.45</c:v>
                </c:pt>
                <c:pt idx="50">
                  <c:v>1.4470000000000001</c:v>
                </c:pt>
                <c:pt idx="51">
                  <c:v>1.448</c:v>
                </c:pt>
                <c:pt idx="52">
                  <c:v>1.4550000000000001</c:v>
                </c:pt>
                <c:pt idx="53">
                  <c:v>1.446</c:v>
                </c:pt>
                <c:pt idx="54">
                  <c:v>1.4590000000000001</c:v>
                </c:pt>
                <c:pt idx="55">
                  <c:v>1.4710000000000001</c:v>
                </c:pt>
                <c:pt idx="56">
                  <c:v>1.486</c:v>
                </c:pt>
                <c:pt idx="57">
                  <c:v>1.4850000000000001</c:v>
                </c:pt>
                <c:pt idx="58">
                  <c:v>1.4870000000000001</c:v>
                </c:pt>
                <c:pt idx="59">
                  <c:v>1.4870000000000001</c:v>
                </c:pt>
                <c:pt idx="60">
                  <c:v>1.4970000000000001</c:v>
                </c:pt>
                <c:pt idx="61">
                  <c:v>1.5209999999999999</c:v>
                </c:pt>
                <c:pt idx="62">
                  <c:v>1.5069999999999999</c:v>
                </c:pt>
                <c:pt idx="63">
                  <c:v>1.4990000000000001</c:v>
                </c:pt>
                <c:pt idx="64">
                  <c:v>1.5</c:v>
                </c:pt>
                <c:pt idx="65">
                  <c:v>1.504</c:v>
                </c:pt>
                <c:pt idx="66">
                  <c:v>1.516</c:v>
                </c:pt>
                <c:pt idx="67">
                  <c:v>1.5249999999999999</c:v>
                </c:pt>
                <c:pt idx="68">
                  <c:v>1.54</c:v>
                </c:pt>
                <c:pt idx="69">
                  <c:v>1.55</c:v>
                </c:pt>
                <c:pt idx="70">
                  <c:v>1.5529999999999999</c:v>
                </c:pt>
                <c:pt idx="71">
                  <c:v>1.5509999999999999</c:v>
                </c:pt>
                <c:pt idx="72">
                  <c:v>1.55</c:v>
                </c:pt>
                <c:pt idx="73">
                  <c:v>1.56</c:v>
                </c:pt>
                <c:pt idx="74">
                  <c:v>1.5589999999999999</c:v>
                </c:pt>
                <c:pt idx="75">
                  <c:v>1.57</c:v>
                </c:pt>
                <c:pt idx="76">
                  <c:v>1.5760000000000001</c:v>
                </c:pt>
                <c:pt idx="77">
                  <c:v>1.5820000000000001</c:v>
                </c:pt>
                <c:pt idx="78">
                  <c:v>1.5960000000000001</c:v>
                </c:pt>
                <c:pt idx="79">
                  <c:v>1.5860000000000001</c:v>
                </c:pt>
                <c:pt idx="80">
                  <c:v>1.57</c:v>
                </c:pt>
                <c:pt idx="81">
                  <c:v>1.5940000000000001</c:v>
                </c:pt>
                <c:pt idx="82">
                  <c:v>1.6</c:v>
                </c:pt>
                <c:pt idx="83">
                  <c:v>1.6160000000000001</c:v>
                </c:pt>
                <c:pt idx="84">
                  <c:v>1.6479999999999999</c:v>
                </c:pt>
                <c:pt idx="85">
                  <c:v>1.671</c:v>
                </c:pt>
                <c:pt idx="86">
                  <c:v>1.6579999999999999</c:v>
                </c:pt>
                <c:pt idx="87">
                  <c:v>1.655</c:v>
                </c:pt>
                <c:pt idx="88">
                  <c:v>1.659</c:v>
                </c:pt>
                <c:pt idx="89">
                  <c:v>1.6639999999999999</c:v>
                </c:pt>
                <c:pt idx="90">
                  <c:v>1.681</c:v>
                </c:pt>
                <c:pt idx="91">
                  <c:v>1.6970000000000001</c:v>
                </c:pt>
                <c:pt idx="92">
                  <c:v>1.6879999999999999</c:v>
                </c:pt>
                <c:pt idx="93">
                  <c:v>1.6859999999999999</c:v>
                </c:pt>
                <c:pt idx="94">
                  <c:v>1.6839999999999999</c:v>
                </c:pt>
                <c:pt idx="95">
                  <c:v>1.68</c:v>
                </c:pt>
                <c:pt idx="96">
                  <c:v>1.667</c:v>
                </c:pt>
                <c:pt idx="97">
                  <c:v>1.6519999999999999</c:v>
                </c:pt>
                <c:pt idx="98">
                  <c:v>1.655</c:v>
                </c:pt>
                <c:pt idx="99">
                  <c:v>1.6619999999999999</c:v>
                </c:pt>
                <c:pt idx="100">
                  <c:v>1.669</c:v>
                </c:pt>
                <c:pt idx="101">
                  <c:v>1.69</c:v>
                </c:pt>
                <c:pt idx="102">
                  <c:v>1.6879999999999999</c:v>
                </c:pt>
                <c:pt idx="103">
                  <c:v>1.696</c:v>
                </c:pt>
                <c:pt idx="104">
                  <c:v>1.702</c:v>
                </c:pt>
                <c:pt idx="105">
                  <c:v>1.7</c:v>
                </c:pt>
                <c:pt idx="106">
                  <c:v>1.6990000000000001</c:v>
                </c:pt>
                <c:pt idx="107">
                  <c:v>1.6850000000000001</c:v>
                </c:pt>
                <c:pt idx="108">
                  <c:v>1.677</c:v>
                </c:pt>
                <c:pt idx="109">
                  <c:v>1.67</c:v>
                </c:pt>
                <c:pt idx="110">
                  <c:v>1.657</c:v>
                </c:pt>
                <c:pt idx="111">
                  <c:v>1.655</c:v>
                </c:pt>
                <c:pt idx="112">
                  <c:v>1.645</c:v>
                </c:pt>
                <c:pt idx="113">
                  <c:v>1.6319999999999999</c:v>
                </c:pt>
                <c:pt idx="114">
                  <c:v>1.639</c:v>
                </c:pt>
                <c:pt idx="115">
                  <c:v>1.635</c:v>
                </c:pt>
                <c:pt idx="116">
                  <c:v>1.6359999999999999</c:v>
                </c:pt>
                <c:pt idx="117">
                  <c:v>1.6279999999999999</c:v>
                </c:pt>
                <c:pt idx="118">
                  <c:v>1.6359999999999999</c:v>
                </c:pt>
                <c:pt idx="119">
                  <c:v>1.635</c:v>
                </c:pt>
                <c:pt idx="120">
                  <c:v>1.609</c:v>
                </c:pt>
                <c:pt idx="121">
                  <c:v>1.615</c:v>
                </c:pt>
                <c:pt idx="122">
                  <c:v>1.6160000000000001</c:v>
                </c:pt>
                <c:pt idx="123">
                  <c:v>1.6060000000000001</c:v>
                </c:pt>
                <c:pt idx="124">
                  <c:v>1.617</c:v>
                </c:pt>
                <c:pt idx="125">
                  <c:v>1.6220000000000001</c:v>
                </c:pt>
                <c:pt idx="126">
                  <c:v>1.63</c:v>
                </c:pt>
                <c:pt idx="127">
                  <c:v>1.635</c:v>
                </c:pt>
                <c:pt idx="128">
                  <c:v>1.6779999999999999</c:v>
                </c:pt>
                <c:pt idx="129">
                  <c:v>1.69</c:v>
                </c:pt>
                <c:pt idx="130">
                  <c:v>1.7370000000000001</c:v>
                </c:pt>
                <c:pt idx="131">
                  <c:v>1.7509999999999999</c:v>
                </c:pt>
                <c:pt idx="132">
                  <c:v>1.752</c:v>
                </c:pt>
                <c:pt idx="133">
                  <c:v>1.774</c:v>
                </c:pt>
                <c:pt idx="134">
                  <c:v>1.7529999999999999</c:v>
                </c:pt>
                <c:pt idx="135">
                  <c:v>1.7589999999999999</c:v>
                </c:pt>
                <c:pt idx="136">
                  <c:v>1.7549999999999999</c:v>
                </c:pt>
                <c:pt idx="137">
                  <c:v>1.7629999999999999</c:v>
                </c:pt>
                <c:pt idx="138">
                  <c:v>1.764</c:v>
                </c:pt>
                <c:pt idx="139">
                  <c:v>1.746</c:v>
                </c:pt>
                <c:pt idx="140">
                  <c:v>1.7669999999999999</c:v>
                </c:pt>
                <c:pt idx="141">
                  <c:v>1.7649999999999999</c:v>
                </c:pt>
                <c:pt idx="142">
                  <c:v>1.7589999999999999</c:v>
                </c:pt>
                <c:pt idx="143">
                  <c:v>1.7529999999999999</c:v>
                </c:pt>
                <c:pt idx="144">
                  <c:v>1.7450000000000001</c:v>
                </c:pt>
                <c:pt idx="145">
                  <c:v>1.728</c:v>
                </c:pt>
                <c:pt idx="146">
                  <c:v>1.7310000000000001</c:v>
                </c:pt>
                <c:pt idx="147">
                  <c:v>1.712</c:v>
                </c:pt>
                <c:pt idx="148">
                  <c:v>1.7090000000000001</c:v>
                </c:pt>
                <c:pt idx="149">
                  <c:v>1.7130000000000001</c:v>
                </c:pt>
                <c:pt idx="150">
                  <c:v>1.7170000000000001</c:v>
                </c:pt>
                <c:pt idx="151">
                  <c:v>1.734</c:v>
                </c:pt>
                <c:pt idx="152">
                  <c:v>1.742</c:v>
                </c:pt>
                <c:pt idx="153">
                  <c:v>1.742</c:v>
                </c:pt>
                <c:pt idx="154">
                  <c:v>1.7370000000000001</c:v>
                </c:pt>
                <c:pt idx="155">
                  <c:v>1.7410000000000001</c:v>
                </c:pt>
                <c:pt idx="156">
                  <c:v>1.748</c:v>
                </c:pt>
                <c:pt idx="157">
                  <c:v>1.748</c:v>
                </c:pt>
                <c:pt idx="158">
                  <c:v>1.736</c:v>
                </c:pt>
                <c:pt idx="159">
                  <c:v>1.7330000000000001</c:v>
                </c:pt>
                <c:pt idx="160">
                  <c:v>1.7430000000000001</c:v>
                </c:pt>
                <c:pt idx="161">
                  <c:v>1.732</c:v>
                </c:pt>
                <c:pt idx="162">
                  <c:v>1.7130000000000001</c:v>
                </c:pt>
                <c:pt idx="163">
                  <c:v>1.7110000000000001</c:v>
                </c:pt>
                <c:pt idx="164">
                  <c:v>1.6919999999999999</c:v>
                </c:pt>
                <c:pt idx="165">
                  <c:v>1.7</c:v>
                </c:pt>
                <c:pt idx="166">
                  <c:v>1.704</c:v>
                </c:pt>
                <c:pt idx="167">
                  <c:v>1.7030000000000001</c:v>
                </c:pt>
                <c:pt idx="168">
                  <c:v>1.7170000000000001</c:v>
                </c:pt>
                <c:pt idx="169">
                  <c:v>1.7210000000000001</c:v>
                </c:pt>
                <c:pt idx="170">
                  <c:v>1.718</c:v>
                </c:pt>
                <c:pt idx="171">
                  <c:v>1.724</c:v>
                </c:pt>
                <c:pt idx="172">
                  <c:v>1.7410000000000001</c:v>
                </c:pt>
                <c:pt idx="173">
                  <c:v>1.7410000000000001</c:v>
                </c:pt>
                <c:pt idx="174">
                  <c:v>1.748</c:v>
                </c:pt>
                <c:pt idx="175">
                  <c:v>1.7609999999999999</c:v>
                </c:pt>
                <c:pt idx="176">
                  <c:v>1.744</c:v>
                </c:pt>
                <c:pt idx="177">
                  <c:v>1.7509999999999999</c:v>
                </c:pt>
                <c:pt idx="178">
                  <c:v>1.738</c:v>
                </c:pt>
                <c:pt idx="179">
                  <c:v>1.7629999999999999</c:v>
                </c:pt>
                <c:pt idx="180">
                  <c:v>1.827</c:v>
                </c:pt>
                <c:pt idx="181">
                  <c:v>1.879</c:v>
                </c:pt>
                <c:pt idx="182">
                  <c:v>1.891</c:v>
                </c:pt>
                <c:pt idx="183">
                  <c:v>1.9139999999999999</c:v>
                </c:pt>
                <c:pt idx="184">
                  <c:v>1.903</c:v>
                </c:pt>
                <c:pt idx="185">
                  <c:v>1.8839999999999999</c:v>
                </c:pt>
                <c:pt idx="186">
                  <c:v>1.8740000000000001</c:v>
                </c:pt>
              </c:numCache>
            </c:numRef>
          </c:val>
          <c:smooth val="0"/>
          <c:extLst>
            <c:ext xmlns:c16="http://schemas.microsoft.com/office/drawing/2014/chart" uri="{C3380CC4-5D6E-409C-BE32-E72D297353CC}">
              <c16:uniqueId val="{00000000-66FE-4649-B7AE-C1273AA17AF8}"/>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390000000000000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玉数聚配专享</a:t>
            </a:r>
            <a:r>
              <a:rPr lang="en-US" altLang="zh-CN" sz="1600"/>
              <a:t>2</a:t>
            </a:r>
            <a:r>
              <a:rPr lang="zh-CN" altLang="en-US" sz="1600"/>
              <a:t>号</a:t>
            </a:r>
            <a:endParaRPr lang="en-US" altLang="zh-CN" sz="1600"/>
          </a:p>
        </c:rich>
      </c:tx>
      <c:overlay val="0"/>
    </c:title>
    <c:autoTitleDeleted val="0"/>
    <c:plotArea>
      <c:layout/>
      <c:lineChart>
        <c:grouping val="standard"/>
        <c:varyColors val="0"/>
        <c:ser>
          <c:idx val="0"/>
          <c:order val="0"/>
          <c:tx>
            <c:strRef>
              <c:f>玉数聚配专享2号!$B$20</c:f>
              <c:strCache>
                <c:ptCount val="1"/>
                <c:pt idx="0">
                  <c:v>累计净值</c:v>
                </c:pt>
              </c:strCache>
            </c:strRef>
          </c:tx>
          <c:marker>
            <c:symbol val="none"/>
          </c:marker>
          <c:cat>
            <c:numRef>
              <c:f>玉数聚配专享2号!$A$21:$A$189</c:f>
              <c:numCache>
                <c:formatCode>m/d/yy</c:formatCode>
                <c:ptCount val="169"/>
                <c:pt idx="0">
                  <c:v>44074</c:v>
                </c:pt>
                <c:pt idx="1">
                  <c:v>44075</c:v>
                </c:pt>
                <c:pt idx="2">
                  <c:v>44076</c:v>
                </c:pt>
                <c:pt idx="3">
                  <c:v>44077</c:v>
                </c:pt>
                <c:pt idx="4">
                  <c:v>44078</c:v>
                </c:pt>
                <c:pt idx="5">
                  <c:v>44081</c:v>
                </c:pt>
                <c:pt idx="6">
                  <c:v>44082</c:v>
                </c:pt>
                <c:pt idx="7">
                  <c:v>44083</c:v>
                </c:pt>
                <c:pt idx="8">
                  <c:v>44084</c:v>
                </c:pt>
                <c:pt idx="9">
                  <c:v>44085</c:v>
                </c:pt>
                <c:pt idx="10">
                  <c:v>44088</c:v>
                </c:pt>
                <c:pt idx="11">
                  <c:v>44089</c:v>
                </c:pt>
                <c:pt idx="12">
                  <c:v>44090</c:v>
                </c:pt>
                <c:pt idx="13">
                  <c:v>44091</c:v>
                </c:pt>
                <c:pt idx="14">
                  <c:v>44092</c:v>
                </c:pt>
                <c:pt idx="15">
                  <c:v>44095</c:v>
                </c:pt>
                <c:pt idx="16">
                  <c:v>44096</c:v>
                </c:pt>
                <c:pt idx="17">
                  <c:v>44097</c:v>
                </c:pt>
                <c:pt idx="18">
                  <c:v>44098</c:v>
                </c:pt>
                <c:pt idx="19">
                  <c:v>44099</c:v>
                </c:pt>
                <c:pt idx="20">
                  <c:v>44102</c:v>
                </c:pt>
                <c:pt idx="21">
                  <c:v>44103</c:v>
                </c:pt>
                <c:pt idx="22">
                  <c:v>44104</c:v>
                </c:pt>
                <c:pt idx="23">
                  <c:v>44113</c:v>
                </c:pt>
                <c:pt idx="24">
                  <c:v>44116</c:v>
                </c:pt>
                <c:pt idx="25">
                  <c:v>44117</c:v>
                </c:pt>
                <c:pt idx="26">
                  <c:v>44118</c:v>
                </c:pt>
                <c:pt idx="27">
                  <c:v>44119</c:v>
                </c:pt>
                <c:pt idx="28">
                  <c:v>44120</c:v>
                </c:pt>
                <c:pt idx="29">
                  <c:v>44123</c:v>
                </c:pt>
                <c:pt idx="30">
                  <c:v>44124</c:v>
                </c:pt>
                <c:pt idx="31">
                  <c:v>44125</c:v>
                </c:pt>
                <c:pt idx="32">
                  <c:v>44126</c:v>
                </c:pt>
                <c:pt idx="33">
                  <c:v>44127</c:v>
                </c:pt>
                <c:pt idx="34">
                  <c:v>44130</c:v>
                </c:pt>
                <c:pt idx="35">
                  <c:v>44131</c:v>
                </c:pt>
                <c:pt idx="36">
                  <c:v>44132</c:v>
                </c:pt>
                <c:pt idx="37">
                  <c:v>44133</c:v>
                </c:pt>
                <c:pt idx="38">
                  <c:v>44134</c:v>
                </c:pt>
                <c:pt idx="39">
                  <c:v>44137</c:v>
                </c:pt>
                <c:pt idx="40">
                  <c:v>44138</c:v>
                </c:pt>
                <c:pt idx="41">
                  <c:v>44139</c:v>
                </c:pt>
                <c:pt idx="42">
                  <c:v>44140</c:v>
                </c:pt>
                <c:pt idx="43">
                  <c:v>44141</c:v>
                </c:pt>
                <c:pt idx="44">
                  <c:v>44144</c:v>
                </c:pt>
                <c:pt idx="45">
                  <c:v>44145</c:v>
                </c:pt>
                <c:pt idx="46">
                  <c:v>44146</c:v>
                </c:pt>
                <c:pt idx="47">
                  <c:v>44147</c:v>
                </c:pt>
                <c:pt idx="48">
                  <c:v>44148</c:v>
                </c:pt>
                <c:pt idx="49">
                  <c:v>44151</c:v>
                </c:pt>
                <c:pt idx="50">
                  <c:v>44152</c:v>
                </c:pt>
                <c:pt idx="51">
                  <c:v>44153</c:v>
                </c:pt>
                <c:pt idx="52">
                  <c:v>44154</c:v>
                </c:pt>
                <c:pt idx="53">
                  <c:v>44155</c:v>
                </c:pt>
                <c:pt idx="54">
                  <c:v>44158</c:v>
                </c:pt>
                <c:pt idx="55">
                  <c:v>44159</c:v>
                </c:pt>
                <c:pt idx="56">
                  <c:v>44160</c:v>
                </c:pt>
                <c:pt idx="57">
                  <c:v>44161</c:v>
                </c:pt>
                <c:pt idx="58">
                  <c:v>44162</c:v>
                </c:pt>
                <c:pt idx="59">
                  <c:v>44165</c:v>
                </c:pt>
                <c:pt idx="60">
                  <c:v>44166</c:v>
                </c:pt>
                <c:pt idx="61">
                  <c:v>44167</c:v>
                </c:pt>
                <c:pt idx="62">
                  <c:v>44168</c:v>
                </c:pt>
                <c:pt idx="63">
                  <c:v>44169</c:v>
                </c:pt>
                <c:pt idx="64">
                  <c:v>44172</c:v>
                </c:pt>
                <c:pt idx="65">
                  <c:v>44173</c:v>
                </c:pt>
                <c:pt idx="66">
                  <c:v>44174</c:v>
                </c:pt>
                <c:pt idx="67">
                  <c:v>44175</c:v>
                </c:pt>
                <c:pt idx="68">
                  <c:v>44176</c:v>
                </c:pt>
                <c:pt idx="69">
                  <c:v>44179</c:v>
                </c:pt>
                <c:pt idx="70">
                  <c:v>44180</c:v>
                </c:pt>
                <c:pt idx="71">
                  <c:v>44181</c:v>
                </c:pt>
                <c:pt idx="72">
                  <c:v>44182</c:v>
                </c:pt>
                <c:pt idx="73">
                  <c:v>44183</c:v>
                </c:pt>
                <c:pt idx="74">
                  <c:v>44186</c:v>
                </c:pt>
                <c:pt idx="75">
                  <c:v>44187</c:v>
                </c:pt>
                <c:pt idx="76">
                  <c:v>44188</c:v>
                </c:pt>
                <c:pt idx="77">
                  <c:v>44189</c:v>
                </c:pt>
                <c:pt idx="78">
                  <c:v>44190</c:v>
                </c:pt>
                <c:pt idx="79">
                  <c:v>44193</c:v>
                </c:pt>
                <c:pt idx="80">
                  <c:v>44194</c:v>
                </c:pt>
                <c:pt idx="81">
                  <c:v>44195</c:v>
                </c:pt>
                <c:pt idx="82">
                  <c:v>44196</c:v>
                </c:pt>
                <c:pt idx="83">
                  <c:v>44200</c:v>
                </c:pt>
                <c:pt idx="84">
                  <c:v>44201</c:v>
                </c:pt>
                <c:pt idx="85">
                  <c:v>44202</c:v>
                </c:pt>
                <c:pt idx="86">
                  <c:v>44203</c:v>
                </c:pt>
                <c:pt idx="87">
                  <c:v>44204</c:v>
                </c:pt>
                <c:pt idx="88">
                  <c:v>44207</c:v>
                </c:pt>
                <c:pt idx="89">
                  <c:v>44208</c:v>
                </c:pt>
                <c:pt idx="90">
                  <c:v>44209</c:v>
                </c:pt>
                <c:pt idx="91">
                  <c:v>44210</c:v>
                </c:pt>
                <c:pt idx="92">
                  <c:v>44211</c:v>
                </c:pt>
                <c:pt idx="93">
                  <c:v>44214</c:v>
                </c:pt>
                <c:pt idx="94">
                  <c:v>44215</c:v>
                </c:pt>
                <c:pt idx="95">
                  <c:v>44216</c:v>
                </c:pt>
                <c:pt idx="96">
                  <c:v>44217</c:v>
                </c:pt>
                <c:pt idx="97">
                  <c:v>44218</c:v>
                </c:pt>
                <c:pt idx="98">
                  <c:v>44221</c:v>
                </c:pt>
                <c:pt idx="99">
                  <c:v>44222</c:v>
                </c:pt>
                <c:pt idx="100">
                  <c:v>44223</c:v>
                </c:pt>
                <c:pt idx="101">
                  <c:v>44224</c:v>
                </c:pt>
                <c:pt idx="102">
                  <c:v>44225</c:v>
                </c:pt>
                <c:pt idx="103">
                  <c:v>44228</c:v>
                </c:pt>
                <c:pt idx="104">
                  <c:v>44229</c:v>
                </c:pt>
                <c:pt idx="105">
                  <c:v>44230</c:v>
                </c:pt>
                <c:pt idx="106">
                  <c:v>44231</c:v>
                </c:pt>
                <c:pt idx="107">
                  <c:v>44232</c:v>
                </c:pt>
                <c:pt idx="108">
                  <c:v>44235</c:v>
                </c:pt>
                <c:pt idx="109">
                  <c:v>44236</c:v>
                </c:pt>
                <c:pt idx="110">
                  <c:v>44237</c:v>
                </c:pt>
                <c:pt idx="111">
                  <c:v>44245</c:v>
                </c:pt>
                <c:pt idx="112">
                  <c:v>44246</c:v>
                </c:pt>
                <c:pt idx="113">
                  <c:v>44249</c:v>
                </c:pt>
                <c:pt idx="114">
                  <c:v>44250</c:v>
                </c:pt>
                <c:pt idx="115">
                  <c:v>44251</c:v>
                </c:pt>
                <c:pt idx="116">
                  <c:v>44252</c:v>
                </c:pt>
                <c:pt idx="117">
                  <c:v>44253</c:v>
                </c:pt>
                <c:pt idx="118">
                  <c:v>44256</c:v>
                </c:pt>
                <c:pt idx="119">
                  <c:v>44257</c:v>
                </c:pt>
                <c:pt idx="120">
                  <c:v>44258</c:v>
                </c:pt>
                <c:pt idx="121">
                  <c:v>44259</c:v>
                </c:pt>
                <c:pt idx="122">
                  <c:v>44260</c:v>
                </c:pt>
                <c:pt idx="123">
                  <c:v>44263</c:v>
                </c:pt>
                <c:pt idx="124">
                  <c:v>44264</c:v>
                </c:pt>
                <c:pt idx="125">
                  <c:v>44265</c:v>
                </c:pt>
                <c:pt idx="126">
                  <c:v>44266</c:v>
                </c:pt>
                <c:pt idx="127">
                  <c:v>44267</c:v>
                </c:pt>
                <c:pt idx="128">
                  <c:v>44270</c:v>
                </c:pt>
                <c:pt idx="129">
                  <c:v>44271</c:v>
                </c:pt>
                <c:pt idx="130">
                  <c:v>44272</c:v>
                </c:pt>
                <c:pt idx="131">
                  <c:v>44273</c:v>
                </c:pt>
                <c:pt idx="132">
                  <c:v>44274</c:v>
                </c:pt>
                <c:pt idx="133">
                  <c:v>44277</c:v>
                </c:pt>
                <c:pt idx="134">
                  <c:v>44278</c:v>
                </c:pt>
                <c:pt idx="135">
                  <c:v>44279</c:v>
                </c:pt>
                <c:pt idx="136">
                  <c:v>44280</c:v>
                </c:pt>
                <c:pt idx="137">
                  <c:v>44281</c:v>
                </c:pt>
                <c:pt idx="138">
                  <c:v>44284</c:v>
                </c:pt>
                <c:pt idx="139">
                  <c:v>44285</c:v>
                </c:pt>
                <c:pt idx="140">
                  <c:v>44286</c:v>
                </c:pt>
                <c:pt idx="141">
                  <c:v>44287</c:v>
                </c:pt>
                <c:pt idx="142">
                  <c:v>44288</c:v>
                </c:pt>
                <c:pt idx="143">
                  <c:v>44292</c:v>
                </c:pt>
                <c:pt idx="144">
                  <c:v>44293</c:v>
                </c:pt>
                <c:pt idx="145">
                  <c:v>44294</c:v>
                </c:pt>
                <c:pt idx="146">
                  <c:v>44295</c:v>
                </c:pt>
                <c:pt idx="147">
                  <c:v>44298</c:v>
                </c:pt>
                <c:pt idx="148">
                  <c:v>44299</c:v>
                </c:pt>
                <c:pt idx="149">
                  <c:v>44300</c:v>
                </c:pt>
                <c:pt idx="150">
                  <c:v>44301</c:v>
                </c:pt>
                <c:pt idx="151">
                  <c:v>44302</c:v>
                </c:pt>
                <c:pt idx="152">
                  <c:v>44305</c:v>
                </c:pt>
                <c:pt idx="153">
                  <c:v>44306</c:v>
                </c:pt>
                <c:pt idx="154">
                  <c:v>44307</c:v>
                </c:pt>
                <c:pt idx="155">
                  <c:v>44308</c:v>
                </c:pt>
                <c:pt idx="156">
                  <c:v>44309</c:v>
                </c:pt>
                <c:pt idx="157">
                  <c:v>44312</c:v>
                </c:pt>
                <c:pt idx="158">
                  <c:v>44313</c:v>
                </c:pt>
                <c:pt idx="159">
                  <c:v>44314</c:v>
                </c:pt>
                <c:pt idx="160">
                  <c:v>44315</c:v>
                </c:pt>
                <c:pt idx="161">
                  <c:v>44316</c:v>
                </c:pt>
                <c:pt idx="162">
                  <c:v>44322</c:v>
                </c:pt>
                <c:pt idx="163">
                  <c:v>44323</c:v>
                </c:pt>
                <c:pt idx="164">
                  <c:v>44326</c:v>
                </c:pt>
                <c:pt idx="165">
                  <c:v>44327</c:v>
                </c:pt>
                <c:pt idx="166">
                  <c:v>44328</c:v>
                </c:pt>
                <c:pt idx="167">
                  <c:v>44329</c:v>
                </c:pt>
                <c:pt idx="168">
                  <c:v>44330</c:v>
                </c:pt>
              </c:numCache>
            </c:numRef>
          </c:cat>
          <c:val>
            <c:numRef>
              <c:f>玉数聚配专享2号!$B$21:$B$189</c:f>
              <c:numCache>
                <c:formatCode>0.0000_ </c:formatCode>
                <c:ptCount val="169"/>
                <c:pt idx="0">
                  <c:v>1.0009999999999999</c:v>
                </c:pt>
                <c:pt idx="1">
                  <c:v>1.0069999999999999</c:v>
                </c:pt>
                <c:pt idx="2">
                  <c:v>1.0109999999999999</c:v>
                </c:pt>
                <c:pt idx="3">
                  <c:v>1.016</c:v>
                </c:pt>
                <c:pt idx="4">
                  <c:v>1.022</c:v>
                </c:pt>
                <c:pt idx="5">
                  <c:v>1.0229999999999999</c:v>
                </c:pt>
                <c:pt idx="6">
                  <c:v>1.0229999999999999</c:v>
                </c:pt>
                <c:pt idx="7">
                  <c:v>1.0229999999999999</c:v>
                </c:pt>
                <c:pt idx="8">
                  <c:v>1.024</c:v>
                </c:pt>
                <c:pt idx="9">
                  <c:v>1.0249999999999999</c:v>
                </c:pt>
                <c:pt idx="10">
                  <c:v>1.0309999999999999</c:v>
                </c:pt>
                <c:pt idx="11">
                  <c:v>1.028</c:v>
                </c:pt>
                <c:pt idx="12">
                  <c:v>1.0189999999999999</c:v>
                </c:pt>
                <c:pt idx="13">
                  <c:v>1.026</c:v>
                </c:pt>
                <c:pt idx="14">
                  <c:v>1.0169999999999999</c:v>
                </c:pt>
                <c:pt idx="15">
                  <c:v>1</c:v>
                </c:pt>
                <c:pt idx="16">
                  <c:v>1</c:v>
                </c:pt>
                <c:pt idx="17">
                  <c:v>0.996</c:v>
                </c:pt>
                <c:pt idx="18">
                  <c:v>0.98899999999999999</c:v>
                </c:pt>
                <c:pt idx="19">
                  <c:v>0.98499999999999999</c:v>
                </c:pt>
                <c:pt idx="20">
                  <c:v>0.98399999999999999</c:v>
                </c:pt>
                <c:pt idx="21">
                  <c:v>0.99299999999999999</c:v>
                </c:pt>
                <c:pt idx="22">
                  <c:v>0.98599999999999999</c:v>
                </c:pt>
                <c:pt idx="23">
                  <c:v>0.98199999999999998</c:v>
                </c:pt>
                <c:pt idx="24">
                  <c:v>0.96099999999999997</c:v>
                </c:pt>
                <c:pt idx="25">
                  <c:v>0.96899999999999997</c:v>
                </c:pt>
                <c:pt idx="26">
                  <c:v>0.96799999999999997</c:v>
                </c:pt>
                <c:pt idx="27">
                  <c:v>0.97199999999999998</c:v>
                </c:pt>
                <c:pt idx="28">
                  <c:v>0.97</c:v>
                </c:pt>
                <c:pt idx="29">
                  <c:v>0.96699999999999997</c:v>
                </c:pt>
                <c:pt idx="30">
                  <c:v>0.97699999999999998</c:v>
                </c:pt>
                <c:pt idx="31">
                  <c:v>0.97199999999999998</c:v>
                </c:pt>
                <c:pt idx="32">
                  <c:v>0.96799999999999997</c:v>
                </c:pt>
                <c:pt idx="33">
                  <c:v>0.95699999999999996</c:v>
                </c:pt>
                <c:pt idx="34">
                  <c:v>0.94099999999999995</c:v>
                </c:pt>
                <c:pt idx="35">
                  <c:v>0.94599999999999995</c:v>
                </c:pt>
                <c:pt idx="36">
                  <c:v>0.94899999999999995</c:v>
                </c:pt>
                <c:pt idx="37">
                  <c:v>0.96</c:v>
                </c:pt>
                <c:pt idx="38">
                  <c:v>0.95199999999999996</c:v>
                </c:pt>
                <c:pt idx="39">
                  <c:v>0.96099999999999997</c:v>
                </c:pt>
                <c:pt idx="40">
                  <c:v>0.96499999999999997</c:v>
                </c:pt>
                <c:pt idx="41">
                  <c:v>0.96899999999999997</c:v>
                </c:pt>
                <c:pt idx="42">
                  <c:v>0.96299999999999997</c:v>
                </c:pt>
                <c:pt idx="43">
                  <c:v>0.97</c:v>
                </c:pt>
                <c:pt idx="44">
                  <c:v>0.97199999999999998</c:v>
                </c:pt>
                <c:pt idx="45">
                  <c:v>0.95899999999999996</c:v>
                </c:pt>
                <c:pt idx="46">
                  <c:v>0.95799999999999996</c:v>
                </c:pt>
                <c:pt idx="47">
                  <c:v>0.95499999999999996</c:v>
                </c:pt>
                <c:pt idx="48">
                  <c:v>0.96599999999999997</c:v>
                </c:pt>
                <c:pt idx="49">
                  <c:v>0.96499999999999997</c:v>
                </c:pt>
                <c:pt idx="50">
                  <c:v>0.96499999999999997</c:v>
                </c:pt>
                <c:pt idx="51">
                  <c:v>0.96799999999999997</c:v>
                </c:pt>
                <c:pt idx="52">
                  <c:v>0.98199999999999998</c:v>
                </c:pt>
                <c:pt idx="53">
                  <c:v>0.97499999999999998</c:v>
                </c:pt>
                <c:pt idx="54">
                  <c:v>0.95099999999999996</c:v>
                </c:pt>
                <c:pt idx="55">
                  <c:v>0.94499999999999995</c:v>
                </c:pt>
                <c:pt idx="56">
                  <c:v>0.95599999999999996</c:v>
                </c:pt>
                <c:pt idx="57">
                  <c:v>0.95599999999999996</c:v>
                </c:pt>
                <c:pt idx="58">
                  <c:v>0.94899999999999995</c:v>
                </c:pt>
                <c:pt idx="59">
                  <c:v>0.93700000000000006</c:v>
                </c:pt>
                <c:pt idx="60">
                  <c:v>0.96199999999999997</c:v>
                </c:pt>
                <c:pt idx="61">
                  <c:v>0.96099999999999997</c:v>
                </c:pt>
                <c:pt idx="62">
                  <c:v>0.95299999999999996</c:v>
                </c:pt>
                <c:pt idx="63">
                  <c:v>0.95199999999999996</c:v>
                </c:pt>
                <c:pt idx="64">
                  <c:v>0.95899999999999996</c:v>
                </c:pt>
                <c:pt idx="65">
                  <c:v>0.95599999999999996</c:v>
                </c:pt>
                <c:pt idx="66">
                  <c:v>0.94899999999999995</c:v>
                </c:pt>
                <c:pt idx="67">
                  <c:v>0.94899999999999995</c:v>
                </c:pt>
                <c:pt idx="68">
                  <c:v>0.95599999999999996</c:v>
                </c:pt>
                <c:pt idx="69">
                  <c:v>0.93400000000000005</c:v>
                </c:pt>
                <c:pt idx="70">
                  <c:v>0.94299999999999995</c:v>
                </c:pt>
                <c:pt idx="71">
                  <c:v>0.95</c:v>
                </c:pt>
                <c:pt idx="72">
                  <c:v>0.96199999999999997</c:v>
                </c:pt>
                <c:pt idx="73">
                  <c:v>0.96099999999999997</c:v>
                </c:pt>
                <c:pt idx="74">
                  <c:v>0.97499999999999998</c:v>
                </c:pt>
                <c:pt idx="75">
                  <c:v>0.97399999999999998</c:v>
                </c:pt>
                <c:pt idx="76">
                  <c:v>0.97299999999999998</c:v>
                </c:pt>
                <c:pt idx="77">
                  <c:v>0.96</c:v>
                </c:pt>
                <c:pt idx="78">
                  <c:v>0.96399999999999997</c:v>
                </c:pt>
                <c:pt idx="79">
                  <c:v>0.96</c:v>
                </c:pt>
                <c:pt idx="80">
                  <c:v>0.95699999999999996</c:v>
                </c:pt>
                <c:pt idx="81">
                  <c:v>0.96599999999999997</c:v>
                </c:pt>
                <c:pt idx="82">
                  <c:v>0.98299999999999998</c:v>
                </c:pt>
                <c:pt idx="83">
                  <c:v>0.998</c:v>
                </c:pt>
                <c:pt idx="84">
                  <c:v>1.0109999999999999</c:v>
                </c:pt>
                <c:pt idx="85">
                  <c:v>1.016</c:v>
                </c:pt>
                <c:pt idx="86">
                  <c:v>1.0329999999999999</c:v>
                </c:pt>
                <c:pt idx="87">
                  <c:v>1.028</c:v>
                </c:pt>
                <c:pt idx="88">
                  <c:v>1.034</c:v>
                </c:pt>
                <c:pt idx="89">
                  <c:v>1.077</c:v>
                </c:pt>
                <c:pt idx="90">
                  <c:v>1.08</c:v>
                </c:pt>
                <c:pt idx="91">
                  <c:v>1.07</c:v>
                </c:pt>
                <c:pt idx="92">
                  <c:v>1.0680000000000001</c:v>
                </c:pt>
                <c:pt idx="93">
                  <c:v>1.071</c:v>
                </c:pt>
                <c:pt idx="94">
                  <c:v>1.0660000000000001</c:v>
                </c:pt>
                <c:pt idx="95">
                  <c:v>1.0660000000000001</c:v>
                </c:pt>
                <c:pt idx="96">
                  <c:v>1.06</c:v>
                </c:pt>
                <c:pt idx="97">
                  <c:v>1.0589999999999999</c:v>
                </c:pt>
                <c:pt idx="98">
                  <c:v>1.0529999999999999</c:v>
                </c:pt>
                <c:pt idx="99">
                  <c:v>1.0469999999999999</c:v>
                </c:pt>
                <c:pt idx="100">
                  <c:v>1.0449999999999999</c:v>
                </c:pt>
                <c:pt idx="101">
                  <c:v>1.0589999999999999</c:v>
                </c:pt>
                <c:pt idx="102">
                  <c:v>1.052</c:v>
                </c:pt>
                <c:pt idx="103">
                  <c:v>1.0469999999999999</c:v>
                </c:pt>
                <c:pt idx="104">
                  <c:v>1.054</c:v>
                </c:pt>
                <c:pt idx="105">
                  <c:v>1.0640000000000001</c:v>
                </c:pt>
                <c:pt idx="106">
                  <c:v>1.0569999999999999</c:v>
                </c:pt>
                <c:pt idx="107">
                  <c:v>1.0549999999999999</c:v>
                </c:pt>
                <c:pt idx="108">
                  <c:v>1.071</c:v>
                </c:pt>
                <c:pt idx="109">
                  <c:v>1.0740000000000001</c:v>
                </c:pt>
                <c:pt idx="110">
                  <c:v>1.06</c:v>
                </c:pt>
                <c:pt idx="111">
                  <c:v>1.0389999999999999</c:v>
                </c:pt>
                <c:pt idx="112">
                  <c:v>1.0389999999999999</c:v>
                </c:pt>
                <c:pt idx="113">
                  <c:v>1.04</c:v>
                </c:pt>
                <c:pt idx="114">
                  <c:v>1.0369999999999999</c:v>
                </c:pt>
                <c:pt idx="115">
                  <c:v>1.024</c:v>
                </c:pt>
                <c:pt idx="116">
                  <c:v>1.024</c:v>
                </c:pt>
                <c:pt idx="117">
                  <c:v>1.0149999999999999</c:v>
                </c:pt>
                <c:pt idx="118">
                  <c:v>1.016</c:v>
                </c:pt>
                <c:pt idx="119">
                  <c:v>1.0189999999999999</c:v>
                </c:pt>
                <c:pt idx="120">
                  <c:v>1.0089999999999999</c:v>
                </c:pt>
                <c:pt idx="121">
                  <c:v>1.012</c:v>
                </c:pt>
                <c:pt idx="122">
                  <c:v>1.01</c:v>
                </c:pt>
                <c:pt idx="123">
                  <c:v>1.0289999999999999</c:v>
                </c:pt>
                <c:pt idx="124">
                  <c:v>1.0229999999999999</c:v>
                </c:pt>
                <c:pt idx="125">
                  <c:v>1.0169999999999999</c:v>
                </c:pt>
                <c:pt idx="126">
                  <c:v>1.0329999999999999</c:v>
                </c:pt>
                <c:pt idx="127">
                  <c:v>1.0409999999999999</c:v>
                </c:pt>
                <c:pt idx="128">
                  <c:v>1.046</c:v>
                </c:pt>
                <c:pt idx="129">
                  <c:v>1.0429999999999999</c:v>
                </c:pt>
                <c:pt idx="130">
                  <c:v>1.0449999999999999</c:v>
                </c:pt>
                <c:pt idx="131">
                  <c:v>1.044</c:v>
                </c:pt>
                <c:pt idx="132">
                  <c:v>1.0349999999999999</c:v>
                </c:pt>
                <c:pt idx="133">
                  <c:v>1.032</c:v>
                </c:pt>
                <c:pt idx="134">
                  <c:v>1.0329999999999999</c:v>
                </c:pt>
                <c:pt idx="135">
                  <c:v>1.0289999999999999</c:v>
                </c:pt>
                <c:pt idx="136">
                  <c:v>1.0309999999999999</c:v>
                </c:pt>
                <c:pt idx="137">
                  <c:v>1.0580000000000001</c:v>
                </c:pt>
                <c:pt idx="138">
                  <c:v>1.054</c:v>
                </c:pt>
                <c:pt idx="139">
                  <c:v>1.0569999999999999</c:v>
                </c:pt>
                <c:pt idx="140">
                  <c:v>1.0580000000000001</c:v>
                </c:pt>
                <c:pt idx="141">
                  <c:v>1.0569999999999999</c:v>
                </c:pt>
                <c:pt idx="142">
                  <c:v>1.048</c:v>
                </c:pt>
                <c:pt idx="143">
                  <c:v>1.0449999999999999</c:v>
                </c:pt>
                <c:pt idx="144">
                  <c:v>1.0509999999999999</c:v>
                </c:pt>
                <c:pt idx="145">
                  <c:v>1.046</c:v>
                </c:pt>
                <c:pt idx="146">
                  <c:v>1.0529999999999999</c:v>
                </c:pt>
                <c:pt idx="147">
                  <c:v>1.0549999999999999</c:v>
                </c:pt>
                <c:pt idx="148">
                  <c:v>1.0509999999999999</c:v>
                </c:pt>
                <c:pt idx="149">
                  <c:v>1.0489999999999999</c:v>
                </c:pt>
                <c:pt idx="150">
                  <c:v>1.044</c:v>
                </c:pt>
                <c:pt idx="151">
                  <c:v>1.0409999999999999</c:v>
                </c:pt>
                <c:pt idx="152">
                  <c:v>1.0409999999999999</c:v>
                </c:pt>
                <c:pt idx="153">
                  <c:v>1.046</c:v>
                </c:pt>
                <c:pt idx="154">
                  <c:v>1.0409999999999999</c:v>
                </c:pt>
                <c:pt idx="155">
                  <c:v>1.0369999999999999</c:v>
                </c:pt>
                <c:pt idx="156">
                  <c:v>1.0329999999999999</c:v>
                </c:pt>
                <c:pt idx="157">
                  <c:v>1.0269999999999999</c:v>
                </c:pt>
                <c:pt idx="158">
                  <c:v>1.024</c:v>
                </c:pt>
                <c:pt idx="159">
                  <c:v>1.0229999999999999</c:v>
                </c:pt>
                <c:pt idx="160">
                  <c:v>1.0249999999999999</c:v>
                </c:pt>
                <c:pt idx="161">
                  <c:v>1.02</c:v>
                </c:pt>
                <c:pt idx="162">
                  <c:v>1.0169999999999999</c:v>
                </c:pt>
                <c:pt idx="163">
                  <c:v>1.016</c:v>
                </c:pt>
                <c:pt idx="164">
                  <c:v>1.022</c:v>
                </c:pt>
                <c:pt idx="165">
                  <c:v>1.02</c:v>
                </c:pt>
                <c:pt idx="166">
                  <c:v>1.0269999999999999</c:v>
                </c:pt>
                <c:pt idx="167">
                  <c:v>1.024</c:v>
                </c:pt>
                <c:pt idx="168">
                  <c:v>1.028</c:v>
                </c:pt>
              </c:numCache>
            </c:numRef>
          </c:val>
          <c:smooth val="0"/>
          <c:extLst>
            <c:ext xmlns:c16="http://schemas.microsoft.com/office/drawing/2014/chart" uri="{C3380CC4-5D6E-409C-BE32-E72D297353CC}">
              <c16:uniqueId val="{00000000-27A2-438D-8500-A84E303540DB}"/>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2"/>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燧石聚配专享一号</a:t>
            </a:r>
            <a:endParaRPr lang="en-US" altLang="zh-CN" sz="1600"/>
          </a:p>
        </c:rich>
      </c:tx>
      <c:overlay val="0"/>
    </c:title>
    <c:autoTitleDeleted val="0"/>
    <c:plotArea>
      <c:layout/>
      <c:lineChart>
        <c:grouping val="standard"/>
        <c:varyColors val="0"/>
        <c:ser>
          <c:idx val="0"/>
          <c:order val="0"/>
          <c:tx>
            <c:strRef>
              <c:f>燧石聚配专享一号!$B$20</c:f>
              <c:strCache>
                <c:ptCount val="1"/>
                <c:pt idx="0">
                  <c:v>累计净值</c:v>
                </c:pt>
              </c:strCache>
            </c:strRef>
          </c:tx>
          <c:marker>
            <c:symbol val="none"/>
          </c:marker>
          <c:cat>
            <c:numRef>
              <c:f>燧石聚配专享一号!$A$21:$A$140</c:f>
              <c:numCache>
                <c:formatCode>m/d/yy</c:formatCode>
                <c:ptCount val="120"/>
                <c:pt idx="0">
                  <c:v>44151</c:v>
                </c:pt>
                <c:pt idx="1">
                  <c:v>44152</c:v>
                </c:pt>
                <c:pt idx="2">
                  <c:v>44153</c:v>
                </c:pt>
                <c:pt idx="3">
                  <c:v>44154</c:v>
                </c:pt>
                <c:pt idx="4">
                  <c:v>44155</c:v>
                </c:pt>
                <c:pt idx="5">
                  <c:v>44158</c:v>
                </c:pt>
                <c:pt idx="6">
                  <c:v>44159</c:v>
                </c:pt>
                <c:pt idx="7">
                  <c:v>44160</c:v>
                </c:pt>
                <c:pt idx="8">
                  <c:v>44161</c:v>
                </c:pt>
                <c:pt idx="9">
                  <c:v>44162</c:v>
                </c:pt>
                <c:pt idx="10">
                  <c:v>44165</c:v>
                </c:pt>
                <c:pt idx="11">
                  <c:v>44166</c:v>
                </c:pt>
                <c:pt idx="12">
                  <c:v>44167</c:v>
                </c:pt>
                <c:pt idx="13">
                  <c:v>44168</c:v>
                </c:pt>
                <c:pt idx="14">
                  <c:v>44169</c:v>
                </c:pt>
                <c:pt idx="15">
                  <c:v>44172</c:v>
                </c:pt>
                <c:pt idx="16">
                  <c:v>44173</c:v>
                </c:pt>
                <c:pt idx="17">
                  <c:v>44174</c:v>
                </c:pt>
                <c:pt idx="18">
                  <c:v>44175</c:v>
                </c:pt>
                <c:pt idx="19">
                  <c:v>44176</c:v>
                </c:pt>
                <c:pt idx="20">
                  <c:v>44179</c:v>
                </c:pt>
                <c:pt idx="21">
                  <c:v>44180</c:v>
                </c:pt>
                <c:pt idx="22">
                  <c:v>44181</c:v>
                </c:pt>
                <c:pt idx="23">
                  <c:v>44182</c:v>
                </c:pt>
                <c:pt idx="24">
                  <c:v>44183</c:v>
                </c:pt>
                <c:pt idx="25">
                  <c:v>44186</c:v>
                </c:pt>
                <c:pt idx="26">
                  <c:v>44187</c:v>
                </c:pt>
                <c:pt idx="27">
                  <c:v>44188</c:v>
                </c:pt>
                <c:pt idx="28">
                  <c:v>44189</c:v>
                </c:pt>
                <c:pt idx="29">
                  <c:v>44190</c:v>
                </c:pt>
                <c:pt idx="30">
                  <c:v>44193</c:v>
                </c:pt>
                <c:pt idx="31">
                  <c:v>44194</c:v>
                </c:pt>
                <c:pt idx="32">
                  <c:v>44195</c:v>
                </c:pt>
                <c:pt idx="33">
                  <c:v>44196</c:v>
                </c:pt>
                <c:pt idx="34">
                  <c:v>44200</c:v>
                </c:pt>
                <c:pt idx="35">
                  <c:v>44201</c:v>
                </c:pt>
                <c:pt idx="36">
                  <c:v>44202</c:v>
                </c:pt>
                <c:pt idx="37">
                  <c:v>44203</c:v>
                </c:pt>
                <c:pt idx="38">
                  <c:v>44204</c:v>
                </c:pt>
                <c:pt idx="39">
                  <c:v>44207</c:v>
                </c:pt>
                <c:pt idx="40">
                  <c:v>44208</c:v>
                </c:pt>
                <c:pt idx="41">
                  <c:v>44209</c:v>
                </c:pt>
                <c:pt idx="42">
                  <c:v>44210</c:v>
                </c:pt>
                <c:pt idx="43">
                  <c:v>44211</c:v>
                </c:pt>
                <c:pt idx="44">
                  <c:v>44214</c:v>
                </c:pt>
                <c:pt idx="45">
                  <c:v>44215</c:v>
                </c:pt>
                <c:pt idx="46">
                  <c:v>44216</c:v>
                </c:pt>
                <c:pt idx="47">
                  <c:v>44217</c:v>
                </c:pt>
                <c:pt idx="48">
                  <c:v>44218</c:v>
                </c:pt>
                <c:pt idx="49">
                  <c:v>44221</c:v>
                </c:pt>
                <c:pt idx="50">
                  <c:v>44222</c:v>
                </c:pt>
                <c:pt idx="51">
                  <c:v>44223</c:v>
                </c:pt>
                <c:pt idx="52">
                  <c:v>44224</c:v>
                </c:pt>
                <c:pt idx="53">
                  <c:v>44225</c:v>
                </c:pt>
                <c:pt idx="54">
                  <c:v>44228</c:v>
                </c:pt>
                <c:pt idx="55">
                  <c:v>44229</c:v>
                </c:pt>
                <c:pt idx="56">
                  <c:v>44230</c:v>
                </c:pt>
                <c:pt idx="57">
                  <c:v>44231</c:v>
                </c:pt>
                <c:pt idx="58">
                  <c:v>44232</c:v>
                </c:pt>
                <c:pt idx="59">
                  <c:v>44235</c:v>
                </c:pt>
                <c:pt idx="60">
                  <c:v>44236</c:v>
                </c:pt>
                <c:pt idx="61">
                  <c:v>44237</c:v>
                </c:pt>
                <c:pt idx="62">
                  <c:v>44245</c:v>
                </c:pt>
                <c:pt idx="63">
                  <c:v>44246</c:v>
                </c:pt>
                <c:pt idx="64">
                  <c:v>44249</c:v>
                </c:pt>
                <c:pt idx="65">
                  <c:v>44250</c:v>
                </c:pt>
                <c:pt idx="66">
                  <c:v>44251</c:v>
                </c:pt>
                <c:pt idx="67">
                  <c:v>44252</c:v>
                </c:pt>
                <c:pt idx="68">
                  <c:v>44253</c:v>
                </c:pt>
                <c:pt idx="69">
                  <c:v>44256</c:v>
                </c:pt>
                <c:pt idx="70">
                  <c:v>44257</c:v>
                </c:pt>
                <c:pt idx="71">
                  <c:v>44258</c:v>
                </c:pt>
                <c:pt idx="72">
                  <c:v>44259</c:v>
                </c:pt>
                <c:pt idx="73">
                  <c:v>44260</c:v>
                </c:pt>
                <c:pt idx="74">
                  <c:v>44263</c:v>
                </c:pt>
                <c:pt idx="75">
                  <c:v>44264</c:v>
                </c:pt>
                <c:pt idx="76">
                  <c:v>44265</c:v>
                </c:pt>
                <c:pt idx="77">
                  <c:v>44266</c:v>
                </c:pt>
                <c:pt idx="78">
                  <c:v>44267</c:v>
                </c:pt>
                <c:pt idx="79">
                  <c:v>44270</c:v>
                </c:pt>
                <c:pt idx="80">
                  <c:v>44271</c:v>
                </c:pt>
                <c:pt idx="81">
                  <c:v>44272</c:v>
                </c:pt>
                <c:pt idx="82">
                  <c:v>44273</c:v>
                </c:pt>
                <c:pt idx="83">
                  <c:v>44274</c:v>
                </c:pt>
                <c:pt idx="84">
                  <c:v>44277</c:v>
                </c:pt>
                <c:pt idx="85">
                  <c:v>44278</c:v>
                </c:pt>
                <c:pt idx="86">
                  <c:v>44279</c:v>
                </c:pt>
                <c:pt idx="87">
                  <c:v>44280</c:v>
                </c:pt>
                <c:pt idx="88">
                  <c:v>44281</c:v>
                </c:pt>
                <c:pt idx="89">
                  <c:v>44284</c:v>
                </c:pt>
                <c:pt idx="90">
                  <c:v>44285</c:v>
                </c:pt>
                <c:pt idx="91">
                  <c:v>44286</c:v>
                </c:pt>
                <c:pt idx="92">
                  <c:v>44287</c:v>
                </c:pt>
                <c:pt idx="93">
                  <c:v>44288</c:v>
                </c:pt>
                <c:pt idx="94">
                  <c:v>44292</c:v>
                </c:pt>
                <c:pt idx="95">
                  <c:v>44293</c:v>
                </c:pt>
                <c:pt idx="96">
                  <c:v>44294</c:v>
                </c:pt>
                <c:pt idx="97">
                  <c:v>44295</c:v>
                </c:pt>
                <c:pt idx="98">
                  <c:v>44298</c:v>
                </c:pt>
                <c:pt idx="99">
                  <c:v>44299</c:v>
                </c:pt>
                <c:pt idx="100">
                  <c:v>44300</c:v>
                </c:pt>
                <c:pt idx="101">
                  <c:v>44301</c:v>
                </c:pt>
                <c:pt idx="102">
                  <c:v>44302</c:v>
                </c:pt>
                <c:pt idx="103">
                  <c:v>44305</c:v>
                </c:pt>
                <c:pt idx="104">
                  <c:v>44306</c:v>
                </c:pt>
                <c:pt idx="105">
                  <c:v>44307</c:v>
                </c:pt>
                <c:pt idx="106">
                  <c:v>44308</c:v>
                </c:pt>
                <c:pt idx="107">
                  <c:v>44309</c:v>
                </c:pt>
                <c:pt idx="108">
                  <c:v>44312</c:v>
                </c:pt>
                <c:pt idx="109">
                  <c:v>44313</c:v>
                </c:pt>
                <c:pt idx="110">
                  <c:v>44314</c:v>
                </c:pt>
                <c:pt idx="111">
                  <c:v>44315</c:v>
                </c:pt>
                <c:pt idx="112">
                  <c:v>44316</c:v>
                </c:pt>
                <c:pt idx="113">
                  <c:v>44322</c:v>
                </c:pt>
                <c:pt idx="114">
                  <c:v>44323</c:v>
                </c:pt>
                <c:pt idx="115">
                  <c:v>44326</c:v>
                </c:pt>
                <c:pt idx="116">
                  <c:v>44327</c:v>
                </c:pt>
                <c:pt idx="117">
                  <c:v>44328</c:v>
                </c:pt>
                <c:pt idx="118">
                  <c:v>44329</c:v>
                </c:pt>
                <c:pt idx="119">
                  <c:v>44330</c:v>
                </c:pt>
              </c:numCache>
            </c:numRef>
          </c:cat>
          <c:val>
            <c:numRef>
              <c:f>燧石聚配专享一号!$B$21:$B$140</c:f>
              <c:numCache>
                <c:formatCode>0.0000_ </c:formatCode>
                <c:ptCount val="120"/>
                <c:pt idx="0">
                  <c:v>1</c:v>
                </c:pt>
                <c:pt idx="1">
                  <c:v>0.998</c:v>
                </c:pt>
                <c:pt idx="2">
                  <c:v>0.998</c:v>
                </c:pt>
                <c:pt idx="3">
                  <c:v>0.998</c:v>
                </c:pt>
                <c:pt idx="4">
                  <c:v>0.998</c:v>
                </c:pt>
                <c:pt idx="5">
                  <c:v>0.997</c:v>
                </c:pt>
                <c:pt idx="6">
                  <c:v>0.996</c:v>
                </c:pt>
                <c:pt idx="7">
                  <c:v>0.996</c:v>
                </c:pt>
                <c:pt idx="8">
                  <c:v>0.996</c:v>
                </c:pt>
                <c:pt idx="9">
                  <c:v>0.997</c:v>
                </c:pt>
                <c:pt idx="10">
                  <c:v>0.998</c:v>
                </c:pt>
                <c:pt idx="11">
                  <c:v>0.998</c:v>
                </c:pt>
                <c:pt idx="12">
                  <c:v>1</c:v>
                </c:pt>
                <c:pt idx="13">
                  <c:v>0.99399999999999999</c:v>
                </c:pt>
                <c:pt idx="14">
                  <c:v>0.996</c:v>
                </c:pt>
                <c:pt idx="15">
                  <c:v>1.004</c:v>
                </c:pt>
                <c:pt idx="16">
                  <c:v>1.01</c:v>
                </c:pt>
                <c:pt idx="17">
                  <c:v>1.0149999999999999</c:v>
                </c:pt>
                <c:pt idx="18">
                  <c:v>1.0169999999999999</c:v>
                </c:pt>
                <c:pt idx="19">
                  <c:v>1.028</c:v>
                </c:pt>
                <c:pt idx="20">
                  <c:v>1.0209999999999999</c:v>
                </c:pt>
                <c:pt idx="21">
                  <c:v>1.016</c:v>
                </c:pt>
                <c:pt idx="22">
                  <c:v>1.0209999999999999</c:v>
                </c:pt>
                <c:pt idx="23">
                  <c:v>1.0229999999999999</c:v>
                </c:pt>
                <c:pt idx="24">
                  <c:v>1.034</c:v>
                </c:pt>
                <c:pt idx="25">
                  <c:v>1.044</c:v>
                </c:pt>
                <c:pt idx="26">
                  <c:v>1.0329999999999999</c:v>
                </c:pt>
                <c:pt idx="27">
                  <c:v>1.016</c:v>
                </c:pt>
                <c:pt idx="28">
                  <c:v>1.0209999999999999</c:v>
                </c:pt>
                <c:pt idx="29">
                  <c:v>1.0189999999999999</c:v>
                </c:pt>
                <c:pt idx="30">
                  <c:v>1.018</c:v>
                </c:pt>
                <c:pt idx="31">
                  <c:v>1.0189999999999999</c:v>
                </c:pt>
                <c:pt idx="32">
                  <c:v>1.016</c:v>
                </c:pt>
                <c:pt idx="33">
                  <c:v>1.0209999999999999</c:v>
                </c:pt>
                <c:pt idx="34">
                  <c:v>1.0289999999999999</c:v>
                </c:pt>
                <c:pt idx="35">
                  <c:v>1.024</c:v>
                </c:pt>
                <c:pt idx="36">
                  <c:v>1.0329999999999999</c:v>
                </c:pt>
                <c:pt idx="37">
                  <c:v>1.0409999999999999</c:v>
                </c:pt>
                <c:pt idx="38">
                  <c:v>1.0409999999999999</c:v>
                </c:pt>
                <c:pt idx="39">
                  <c:v>1.0389999999999999</c:v>
                </c:pt>
                <c:pt idx="40">
                  <c:v>1.032</c:v>
                </c:pt>
                <c:pt idx="41">
                  <c:v>1.0389999999999999</c:v>
                </c:pt>
                <c:pt idx="42">
                  <c:v>1.0389999999999999</c:v>
                </c:pt>
                <c:pt idx="43">
                  <c:v>1.034</c:v>
                </c:pt>
                <c:pt idx="44">
                  <c:v>1.0349999999999999</c:v>
                </c:pt>
                <c:pt idx="45">
                  <c:v>1.034</c:v>
                </c:pt>
                <c:pt idx="46">
                  <c:v>1.042</c:v>
                </c:pt>
                <c:pt idx="47">
                  <c:v>1.048</c:v>
                </c:pt>
                <c:pt idx="48">
                  <c:v>1.0389999999999999</c:v>
                </c:pt>
                <c:pt idx="49">
                  <c:v>1.056</c:v>
                </c:pt>
                <c:pt idx="50">
                  <c:v>1.0580000000000001</c:v>
                </c:pt>
                <c:pt idx="51">
                  <c:v>1.056</c:v>
                </c:pt>
                <c:pt idx="52">
                  <c:v>1.0429999999999999</c:v>
                </c:pt>
                <c:pt idx="53">
                  <c:v>1.0429999999999999</c:v>
                </c:pt>
                <c:pt idx="54">
                  <c:v>1.0449999999999999</c:v>
                </c:pt>
                <c:pt idx="55">
                  <c:v>1.0580000000000001</c:v>
                </c:pt>
                <c:pt idx="56">
                  <c:v>1.0640000000000001</c:v>
                </c:pt>
                <c:pt idx="57">
                  <c:v>1.0529999999999999</c:v>
                </c:pt>
                <c:pt idx="58">
                  <c:v>1.0469999999999999</c:v>
                </c:pt>
                <c:pt idx="59">
                  <c:v>1.046</c:v>
                </c:pt>
                <c:pt idx="60">
                  <c:v>1.0389999999999999</c:v>
                </c:pt>
                <c:pt idx="61">
                  <c:v>1.0329999999999999</c:v>
                </c:pt>
                <c:pt idx="62">
                  <c:v>1.024</c:v>
                </c:pt>
                <c:pt idx="63">
                  <c:v>1.026</c:v>
                </c:pt>
                <c:pt idx="64">
                  <c:v>1.026</c:v>
                </c:pt>
                <c:pt idx="65">
                  <c:v>1.03</c:v>
                </c:pt>
                <c:pt idx="66">
                  <c:v>1.03</c:v>
                </c:pt>
                <c:pt idx="67">
                  <c:v>1.06</c:v>
                </c:pt>
                <c:pt idx="68">
                  <c:v>1.0580000000000001</c:v>
                </c:pt>
                <c:pt idx="69">
                  <c:v>1.0469999999999999</c:v>
                </c:pt>
                <c:pt idx="70">
                  <c:v>1.0349999999999999</c:v>
                </c:pt>
                <c:pt idx="71">
                  <c:v>1.054</c:v>
                </c:pt>
                <c:pt idx="72">
                  <c:v>1.0509999999999999</c:v>
                </c:pt>
                <c:pt idx="73">
                  <c:v>1.0449999999999999</c:v>
                </c:pt>
                <c:pt idx="74">
                  <c:v>1.081</c:v>
                </c:pt>
                <c:pt idx="75">
                  <c:v>1.06</c:v>
                </c:pt>
                <c:pt idx="76">
                  <c:v>1.0509999999999999</c:v>
                </c:pt>
                <c:pt idx="77">
                  <c:v>1.054</c:v>
                </c:pt>
                <c:pt idx="78">
                  <c:v>1.069</c:v>
                </c:pt>
                <c:pt idx="79">
                  <c:v>1.069</c:v>
                </c:pt>
                <c:pt idx="80">
                  <c:v>1.0740000000000001</c:v>
                </c:pt>
                <c:pt idx="81">
                  <c:v>1.0620000000000001</c:v>
                </c:pt>
                <c:pt idx="82">
                  <c:v>1.0640000000000001</c:v>
                </c:pt>
                <c:pt idx="83">
                  <c:v>1.07</c:v>
                </c:pt>
                <c:pt idx="84">
                  <c:v>1.085</c:v>
                </c:pt>
                <c:pt idx="85">
                  <c:v>1.097</c:v>
                </c:pt>
                <c:pt idx="86">
                  <c:v>1.099</c:v>
                </c:pt>
                <c:pt idx="87">
                  <c:v>1.099</c:v>
                </c:pt>
                <c:pt idx="88">
                  <c:v>1.097</c:v>
                </c:pt>
                <c:pt idx="89">
                  <c:v>1.0840000000000001</c:v>
                </c:pt>
                <c:pt idx="90">
                  <c:v>1.0840000000000001</c:v>
                </c:pt>
                <c:pt idx="91">
                  <c:v>1.083</c:v>
                </c:pt>
                <c:pt idx="92">
                  <c:v>1.081</c:v>
                </c:pt>
                <c:pt idx="93">
                  <c:v>1.077</c:v>
                </c:pt>
                <c:pt idx="94">
                  <c:v>1.0720000000000001</c:v>
                </c:pt>
                <c:pt idx="95">
                  <c:v>1.06</c:v>
                </c:pt>
                <c:pt idx="96">
                  <c:v>1.0660000000000001</c:v>
                </c:pt>
                <c:pt idx="97">
                  <c:v>1.0629999999999999</c:v>
                </c:pt>
                <c:pt idx="98">
                  <c:v>1.0669999999999999</c:v>
                </c:pt>
                <c:pt idx="99">
                  <c:v>1.079</c:v>
                </c:pt>
                <c:pt idx="100">
                  <c:v>1.077</c:v>
                </c:pt>
                <c:pt idx="101">
                  <c:v>1.0649999999999999</c:v>
                </c:pt>
                <c:pt idx="102">
                  <c:v>1.0569999999999999</c:v>
                </c:pt>
                <c:pt idx="103">
                  <c:v>1.0569999999999999</c:v>
                </c:pt>
                <c:pt idx="104">
                  <c:v>1.0529999999999999</c:v>
                </c:pt>
                <c:pt idx="105">
                  <c:v>1.0489999999999999</c:v>
                </c:pt>
                <c:pt idx="106">
                  <c:v>1.0489999999999999</c:v>
                </c:pt>
                <c:pt idx="107">
                  <c:v>1.046</c:v>
                </c:pt>
                <c:pt idx="108">
                  <c:v>1.0569999999999999</c:v>
                </c:pt>
                <c:pt idx="109">
                  <c:v>1.069</c:v>
                </c:pt>
                <c:pt idx="110">
                  <c:v>1.0509999999999999</c:v>
                </c:pt>
                <c:pt idx="111">
                  <c:v>1.0580000000000001</c:v>
                </c:pt>
                <c:pt idx="112">
                  <c:v>1.0580000000000001</c:v>
                </c:pt>
                <c:pt idx="113">
                  <c:v>1.101</c:v>
                </c:pt>
                <c:pt idx="114">
                  <c:v>1.1379999999999999</c:v>
                </c:pt>
                <c:pt idx="115">
                  <c:v>1.181</c:v>
                </c:pt>
                <c:pt idx="116">
                  <c:v>1.177</c:v>
                </c:pt>
                <c:pt idx="117">
                  <c:v>1.2150000000000001</c:v>
                </c:pt>
                <c:pt idx="118">
                  <c:v>1.232</c:v>
                </c:pt>
                <c:pt idx="119">
                  <c:v>1.1439999999999999</c:v>
                </c:pt>
              </c:numCache>
            </c:numRef>
          </c:val>
          <c:smooth val="0"/>
          <c:extLst>
            <c:ext xmlns:c16="http://schemas.microsoft.com/office/drawing/2014/chart" uri="{C3380CC4-5D6E-409C-BE32-E72D297353CC}">
              <c16:uniqueId val="{00000000-AADB-4C0B-9993-BAAA3B273332}"/>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华云瑾尚二号</a:t>
            </a:r>
            <a:endParaRPr lang="en-US" altLang="zh-CN" sz="1600"/>
          </a:p>
        </c:rich>
      </c:tx>
      <c:overlay val="0"/>
    </c:title>
    <c:autoTitleDeleted val="0"/>
    <c:plotArea>
      <c:layout/>
      <c:lineChart>
        <c:grouping val="standard"/>
        <c:varyColors val="0"/>
        <c:ser>
          <c:idx val="0"/>
          <c:order val="0"/>
          <c:tx>
            <c:strRef>
              <c:f>华云瑾尚二号!$B$20</c:f>
              <c:strCache>
                <c:ptCount val="1"/>
                <c:pt idx="0">
                  <c:v>累计净值</c:v>
                </c:pt>
              </c:strCache>
            </c:strRef>
          </c:tx>
          <c:marker>
            <c:symbol val="none"/>
          </c:marker>
          <c:cat>
            <c:numRef>
              <c:f>华云瑾尚二号!$A$21:$A$200</c:f>
              <c:numCache>
                <c:formatCode>yyyy\-mm\-dd</c:formatCode>
                <c:ptCount val="180"/>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44113</c:v>
                </c:pt>
                <c:pt idx="34">
                  <c:v>44116</c:v>
                </c:pt>
                <c:pt idx="35">
                  <c:v>44117</c:v>
                </c:pt>
                <c:pt idx="36">
                  <c:v>44118</c:v>
                </c:pt>
                <c:pt idx="37">
                  <c:v>44119</c:v>
                </c:pt>
                <c:pt idx="38">
                  <c:v>44120</c:v>
                </c:pt>
                <c:pt idx="39">
                  <c:v>44123</c:v>
                </c:pt>
                <c:pt idx="40">
                  <c:v>44124</c:v>
                </c:pt>
                <c:pt idx="41">
                  <c:v>44125</c:v>
                </c:pt>
                <c:pt idx="42">
                  <c:v>44126</c:v>
                </c:pt>
                <c:pt idx="43">
                  <c:v>44127</c:v>
                </c:pt>
                <c:pt idx="44">
                  <c:v>44130</c:v>
                </c:pt>
                <c:pt idx="45">
                  <c:v>44131</c:v>
                </c:pt>
                <c:pt idx="46">
                  <c:v>44132</c:v>
                </c:pt>
                <c:pt idx="47">
                  <c:v>44133</c:v>
                </c:pt>
                <c:pt idx="48">
                  <c:v>44134</c:v>
                </c:pt>
                <c:pt idx="49">
                  <c:v>44137</c:v>
                </c:pt>
                <c:pt idx="50">
                  <c:v>44138</c:v>
                </c:pt>
                <c:pt idx="51">
                  <c:v>44139</c:v>
                </c:pt>
                <c:pt idx="52">
                  <c:v>44140</c:v>
                </c:pt>
                <c:pt idx="53">
                  <c:v>44141</c:v>
                </c:pt>
                <c:pt idx="54">
                  <c:v>44144</c:v>
                </c:pt>
                <c:pt idx="55">
                  <c:v>44145</c:v>
                </c:pt>
                <c:pt idx="56">
                  <c:v>44146</c:v>
                </c:pt>
                <c:pt idx="57">
                  <c:v>44147</c:v>
                </c:pt>
                <c:pt idx="58">
                  <c:v>44148</c:v>
                </c:pt>
                <c:pt idx="59">
                  <c:v>44151</c:v>
                </c:pt>
                <c:pt idx="60">
                  <c:v>44152</c:v>
                </c:pt>
                <c:pt idx="61">
                  <c:v>44153</c:v>
                </c:pt>
                <c:pt idx="62">
                  <c:v>44154</c:v>
                </c:pt>
                <c:pt idx="63">
                  <c:v>44155</c:v>
                </c:pt>
                <c:pt idx="64">
                  <c:v>44158</c:v>
                </c:pt>
                <c:pt idx="65">
                  <c:v>44159</c:v>
                </c:pt>
                <c:pt idx="66">
                  <c:v>44160</c:v>
                </c:pt>
                <c:pt idx="67">
                  <c:v>44161</c:v>
                </c:pt>
                <c:pt idx="68">
                  <c:v>44162</c:v>
                </c:pt>
                <c:pt idx="69">
                  <c:v>44165</c:v>
                </c:pt>
                <c:pt idx="70">
                  <c:v>44166</c:v>
                </c:pt>
                <c:pt idx="71">
                  <c:v>44167</c:v>
                </c:pt>
                <c:pt idx="72">
                  <c:v>44168</c:v>
                </c:pt>
                <c:pt idx="73">
                  <c:v>44169</c:v>
                </c:pt>
                <c:pt idx="74">
                  <c:v>44172</c:v>
                </c:pt>
                <c:pt idx="75">
                  <c:v>44173</c:v>
                </c:pt>
                <c:pt idx="76">
                  <c:v>44174</c:v>
                </c:pt>
                <c:pt idx="77">
                  <c:v>44175</c:v>
                </c:pt>
                <c:pt idx="78">
                  <c:v>44176</c:v>
                </c:pt>
                <c:pt idx="79">
                  <c:v>44179</c:v>
                </c:pt>
                <c:pt idx="80">
                  <c:v>44180</c:v>
                </c:pt>
                <c:pt idx="81">
                  <c:v>44181</c:v>
                </c:pt>
                <c:pt idx="82">
                  <c:v>44182</c:v>
                </c:pt>
                <c:pt idx="83">
                  <c:v>44183</c:v>
                </c:pt>
                <c:pt idx="84">
                  <c:v>44186</c:v>
                </c:pt>
                <c:pt idx="85">
                  <c:v>44187</c:v>
                </c:pt>
                <c:pt idx="86">
                  <c:v>44188</c:v>
                </c:pt>
                <c:pt idx="87">
                  <c:v>44189</c:v>
                </c:pt>
                <c:pt idx="88">
                  <c:v>44190</c:v>
                </c:pt>
                <c:pt idx="89">
                  <c:v>44193</c:v>
                </c:pt>
                <c:pt idx="90">
                  <c:v>44194</c:v>
                </c:pt>
                <c:pt idx="91">
                  <c:v>44195</c:v>
                </c:pt>
                <c:pt idx="92">
                  <c:v>44196</c:v>
                </c:pt>
                <c:pt idx="93">
                  <c:v>44200</c:v>
                </c:pt>
                <c:pt idx="94">
                  <c:v>44201</c:v>
                </c:pt>
                <c:pt idx="95">
                  <c:v>44202</c:v>
                </c:pt>
                <c:pt idx="96">
                  <c:v>44203</c:v>
                </c:pt>
                <c:pt idx="97">
                  <c:v>44204</c:v>
                </c:pt>
                <c:pt idx="98">
                  <c:v>44207</c:v>
                </c:pt>
                <c:pt idx="99">
                  <c:v>44208</c:v>
                </c:pt>
                <c:pt idx="100">
                  <c:v>44209</c:v>
                </c:pt>
                <c:pt idx="101">
                  <c:v>44210</c:v>
                </c:pt>
                <c:pt idx="102">
                  <c:v>44211</c:v>
                </c:pt>
                <c:pt idx="103">
                  <c:v>44214</c:v>
                </c:pt>
                <c:pt idx="104">
                  <c:v>44215</c:v>
                </c:pt>
                <c:pt idx="105">
                  <c:v>44216</c:v>
                </c:pt>
                <c:pt idx="106">
                  <c:v>44217</c:v>
                </c:pt>
                <c:pt idx="107">
                  <c:v>44218</c:v>
                </c:pt>
                <c:pt idx="108">
                  <c:v>44221</c:v>
                </c:pt>
                <c:pt idx="109">
                  <c:v>44222</c:v>
                </c:pt>
                <c:pt idx="110">
                  <c:v>44223</c:v>
                </c:pt>
                <c:pt idx="111">
                  <c:v>44224</c:v>
                </c:pt>
                <c:pt idx="112">
                  <c:v>44225</c:v>
                </c:pt>
                <c:pt idx="113">
                  <c:v>44228</c:v>
                </c:pt>
                <c:pt idx="114">
                  <c:v>44229</c:v>
                </c:pt>
                <c:pt idx="115">
                  <c:v>44230</c:v>
                </c:pt>
                <c:pt idx="116">
                  <c:v>44231</c:v>
                </c:pt>
                <c:pt idx="117">
                  <c:v>44232</c:v>
                </c:pt>
                <c:pt idx="118">
                  <c:v>44235</c:v>
                </c:pt>
                <c:pt idx="119">
                  <c:v>44236</c:v>
                </c:pt>
                <c:pt idx="120">
                  <c:v>44237</c:v>
                </c:pt>
                <c:pt idx="121">
                  <c:v>44245</c:v>
                </c:pt>
                <c:pt idx="122">
                  <c:v>44246</c:v>
                </c:pt>
                <c:pt idx="123">
                  <c:v>44249</c:v>
                </c:pt>
                <c:pt idx="124">
                  <c:v>44250</c:v>
                </c:pt>
                <c:pt idx="125">
                  <c:v>44251</c:v>
                </c:pt>
                <c:pt idx="126">
                  <c:v>44252</c:v>
                </c:pt>
                <c:pt idx="127">
                  <c:v>44253</c:v>
                </c:pt>
                <c:pt idx="128">
                  <c:v>44256</c:v>
                </c:pt>
                <c:pt idx="129">
                  <c:v>44257</c:v>
                </c:pt>
                <c:pt idx="130">
                  <c:v>44258</c:v>
                </c:pt>
                <c:pt idx="131">
                  <c:v>44259</c:v>
                </c:pt>
                <c:pt idx="132">
                  <c:v>44260</c:v>
                </c:pt>
                <c:pt idx="133">
                  <c:v>44263</c:v>
                </c:pt>
                <c:pt idx="134">
                  <c:v>44264</c:v>
                </c:pt>
                <c:pt idx="135">
                  <c:v>44265</c:v>
                </c:pt>
                <c:pt idx="136">
                  <c:v>44266</c:v>
                </c:pt>
                <c:pt idx="137">
                  <c:v>44267</c:v>
                </c:pt>
                <c:pt idx="138">
                  <c:v>44270</c:v>
                </c:pt>
                <c:pt idx="139">
                  <c:v>44271</c:v>
                </c:pt>
                <c:pt idx="140">
                  <c:v>44272</c:v>
                </c:pt>
                <c:pt idx="141">
                  <c:v>44273</c:v>
                </c:pt>
                <c:pt idx="142">
                  <c:v>44274</c:v>
                </c:pt>
                <c:pt idx="143">
                  <c:v>44277</c:v>
                </c:pt>
                <c:pt idx="144">
                  <c:v>44278</c:v>
                </c:pt>
                <c:pt idx="145">
                  <c:v>44279</c:v>
                </c:pt>
                <c:pt idx="146">
                  <c:v>44280</c:v>
                </c:pt>
                <c:pt idx="147">
                  <c:v>44281</c:v>
                </c:pt>
                <c:pt idx="148">
                  <c:v>44284</c:v>
                </c:pt>
                <c:pt idx="149">
                  <c:v>44285</c:v>
                </c:pt>
                <c:pt idx="150">
                  <c:v>44286</c:v>
                </c:pt>
                <c:pt idx="151">
                  <c:v>44287</c:v>
                </c:pt>
                <c:pt idx="152">
                  <c:v>44288</c:v>
                </c:pt>
                <c:pt idx="153">
                  <c:v>44292</c:v>
                </c:pt>
                <c:pt idx="154">
                  <c:v>44293</c:v>
                </c:pt>
                <c:pt idx="155">
                  <c:v>44294</c:v>
                </c:pt>
                <c:pt idx="156">
                  <c:v>44295</c:v>
                </c:pt>
                <c:pt idx="157">
                  <c:v>44298</c:v>
                </c:pt>
                <c:pt idx="158">
                  <c:v>44299</c:v>
                </c:pt>
                <c:pt idx="159">
                  <c:v>44300</c:v>
                </c:pt>
                <c:pt idx="160">
                  <c:v>44301</c:v>
                </c:pt>
                <c:pt idx="161">
                  <c:v>44302</c:v>
                </c:pt>
                <c:pt idx="162">
                  <c:v>44305</c:v>
                </c:pt>
                <c:pt idx="163">
                  <c:v>44306</c:v>
                </c:pt>
                <c:pt idx="164">
                  <c:v>44307</c:v>
                </c:pt>
                <c:pt idx="165">
                  <c:v>44308</c:v>
                </c:pt>
                <c:pt idx="166">
                  <c:v>44309</c:v>
                </c:pt>
                <c:pt idx="167">
                  <c:v>44312</c:v>
                </c:pt>
                <c:pt idx="168">
                  <c:v>44313</c:v>
                </c:pt>
                <c:pt idx="169">
                  <c:v>44314</c:v>
                </c:pt>
                <c:pt idx="170">
                  <c:v>44315</c:v>
                </c:pt>
                <c:pt idx="171">
                  <c:v>44316</c:v>
                </c:pt>
                <c:pt idx="172">
                  <c:v>44322</c:v>
                </c:pt>
                <c:pt idx="173">
                  <c:v>44323</c:v>
                </c:pt>
                <c:pt idx="174">
                  <c:v>44326</c:v>
                </c:pt>
                <c:pt idx="175">
                  <c:v>44327</c:v>
                </c:pt>
                <c:pt idx="176">
                  <c:v>44328</c:v>
                </c:pt>
                <c:pt idx="177">
                  <c:v>44329</c:v>
                </c:pt>
                <c:pt idx="178">
                  <c:v>44330</c:v>
                </c:pt>
                <c:pt idx="179">
                  <c:v>44333</c:v>
                </c:pt>
              </c:numCache>
            </c:numRef>
          </c:cat>
          <c:val>
            <c:numRef>
              <c:f>华云瑾尚二号!$B$21:$B$200</c:f>
              <c:numCache>
                <c:formatCode>0.0000_ </c:formatCode>
                <c:ptCount val="180"/>
                <c:pt idx="0">
                  <c:v>1</c:v>
                </c:pt>
                <c:pt idx="1">
                  <c:v>0.99990000000000001</c:v>
                </c:pt>
                <c:pt idx="2">
                  <c:v>0.99990000000000001</c:v>
                </c:pt>
                <c:pt idx="3">
                  <c:v>0.99980000000000002</c:v>
                </c:pt>
                <c:pt idx="4">
                  <c:v>0.99939999999999996</c:v>
                </c:pt>
                <c:pt idx="5">
                  <c:v>1.0018</c:v>
                </c:pt>
                <c:pt idx="6">
                  <c:v>1.0048999999999999</c:v>
                </c:pt>
                <c:pt idx="7">
                  <c:v>0.99950000000000006</c:v>
                </c:pt>
                <c:pt idx="8">
                  <c:v>1.0055000000000001</c:v>
                </c:pt>
                <c:pt idx="9">
                  <c:v>1.0128999999999999</c:v>
                </c:pt>
                <c:pt idx="10">
                  <c:v>1.0122</c:v>
                </c:pt>
                <c:pt idx="11">
                  <c:v>1.0154000000000001</c:v>
                </c:pt>
                <c:pt idx="12">
                  <c:v>1.0155000000000001</c:v>
                </c:pt>
                <c:pt idx="13">
                  <c:v>1.0148999999999999</c:v>
                </c:pt>
                <c:pt idx="14">
                  <c:v>1.0143</c:v>
                </c:pt>
                <c:pt idx="15">
                  <c:v>1.0031000000000001</c:v>
                </c:pt>
                <c:pt idx="16">
                  <c:v>1.0124</c:v>
                </c:pt>
                <c:pt idx="17">
                  <c:v>0.99319999999999997</c:v>
                </c:pt>
                <c:pt idx="18">
                  <c:v>1.0004999999999999</c:v>
                </c:pt>
                <c:pt idx="19">
                  <c:v>1.0139</c:v>
                </c:pt>
                <c:pt idx="20">
                  <c:v>1.0289999999999999</c:v>
                </c:pt>
                <c:pt idx="21">
                  <c:v>1.0367999999999999</c:v>
                </c:pt>
                <c:pt idx="22">
                  <c:v>1.0358000000000001</c:v>
                </c:pt>
                <c:pt idx="23">
                  <c:v>1.0326</c:v>
                </c:pt>
                <c:pt idx="24">
                  <c:v>1.0485</c:v>
                </c:pt>
                <c:pt idx="25">
                  <c:v>1.0458000000000001</c:v>
                </c:pt>
                <c:pt idx="26">
                  <c:v>1.0363</c:v>
                </c:pt>
                <c:pt idx="27">
                  <c:v>1.0428999999999999</c:v>
                </c:pt>
                <c:pt idx="28">
                  <c:v>1.0246999999999999</c:v>
                </c:pt>
                <c:pt idx="29">
                  <c:v>1.0277000000000001</c:v>
                </c:pt>
                <c:pt idx="30">
                  <c:v>1.0294000000000001</c:v>
                </c:pt>
                <c:pt idx="31">
                  <c:v>1.0298</c:v>
                </c:pt>
                <c:pt idx="32">
                  <c:v>1.0241</c:v>
                </c:pt>
                <c:pt idx="33">
                  <c:v>1.0687</c:v>
                </c:pt>
                <c:pt idx="34">
                  <c:v>1.0805</c:v>
                </c:pt>
                <c:pt idx="35">
                  <c:v>1.0842000000000001</c:v>
                </c:pt>
                <c:pt idx="36">
                  <c:v>1.0848</c:v>
                </c:pt>
                <c:pt idx="37">
                  <c:v>1.0851999999999999</c:v>
                </c:pt>
                <c:pt idx="38">
                  <c:v>1.0867</c:v>
                </c:pt>
                <c:pt idx="39">
                  <c:v>1.0925</c:v>
                </c:pt>
                <c:pt idx="40">
                  <c:v>1.0952999999999999</c:v>
                </c:pt>
                <c:pt idx="41">
                  <c:v>1.0945</c:v>
                </c:pt>
                <c:pt idx="42">
                  <c:v>1.0924</c:v>
                </c:pt>
                <c:pt idx="43">
                  <c:v>1.0899000000000001</c:v>
                </c:pt>
                <c:pt idx="44">
                  <c:v>1.0872999999999999</c:v>
                </c:pt>
                <c:pt idx="45">
                  <c:v>1.0891</c:v>
                </c:pt>
                <c:pt idx="46">
                  <c:v>1.0968</c:v>
                </c:pt>
                <c:pt idx="47">
                  <c:v>1.1032</c:v>
                </c:pt>
                <c:pt idx="48">
                  <c:v>1.0911</c:v>
                </c:pt>
                <c:pt idx="49">
                  <c:v>1.0965</c:v>
                </c:pt>
                <c:pt idx="50">
                  <c:v>1.1032999999999999</c:v>
                </c:pt>
                <c:pt idx="51">
                  <c:v>1.1109</c:v>
                </c:pt>
                <c:pt idx="52">
                  <c:v>1.1166</c:v>
                </c:pt>
                <c:pt idx="53">
                  <c:v>1.1188</c:v>
                </c:pt>
                <c:pt idx="54">
                  <c:v>1.1198999999999999</c:v>
                </c:pt>
                <c:pt idx="55">
                  <c:v>1.1204000000000001</c:v>
                </c:pt>
                <c:pt idx="56">
                  <c:v>1.1208</c:v>
                </c:pt>
                <c:pt idx="57">
                  <c:v>1.1228</c:v>
                </c:pt>
                <c:pt idx="58">
                  <c:v>1.1214999999999999</c:v>
                </c:pt>
                <c:pt idx="59">
                  <c:v>1.1287</c:v>
                </c:pt>
                <c:pt idx="60">
                  <c:v>1.1309</c:v>
                </c:pt>
                <c:pt idx="61">
                  <c:v>1.1303000000000001</c:v>
                </c:pt>
                <c:pt idx="62">
                  <c:v>1.1338999999999999</c:v>
                </c:pt>
                <c:pt idx="63">
                  <c:v>1.137</c:v>
                </c:pt>
                <c:pt idx="64">
                  <c:v>1.1417999999999999</c:v>
                </c:pt>
                <c:pt idx="65">
                  <c:v>1.1424000000000001</c:v>
                </c:pt>
                <c:pt idx="66">
                  <c:v>1.1403000000000001</c:v>
                </c:pt>
                <c:pt idx="67">
                  <c:v>1.1442000000000001</c:v>
                </c:pt>
                <c:pt idx="68">
                  <c:v>1.1494</c:v>
                </c:pt>
                <c:pt idx="69">
                  <c:v>1.1494</c:v>
                </c:pt>
                <c:pt idx="70">
                  <c:v>1.1497999999999999</c:v>
                </c:pt>
                <c:pt idx="71">
                  <c:v>1.1497999999999999</c:v>
                </c:pt>
                <c:pt idx="72">
                  <c:v>1.1512</c:v>
                </c:pt>
                <c:pt idx="73">
                  <c:v>1.1557999999999999</c:v>
                </c:pt>
                <c:pt idx="74">
                  <c:v>1.1580999999999999</c:v>
                </c:pt>
                <c:pt idx="75">
                  <c:v>1.1614</c:v>
                </c:pt>
                <c:pt idx="76">
                  <c:v>1.1575</c:v>
                </c:pt>
                <c:pt idx="77">
                  <c:v>1.159</c:v>
                </c:pt>
                <c:pt idx="78">
                  <c:v>1.1448</c:v>
                </c:pt>
                <c:pt idx="79">
                  <c:v>1.1568000000000001</c:v>
                </c:pt>
                <c:pt idx="80">
                  <c:v>1.159</c:v>
                </c:pt>
                <c:pt idx="81">
                  <c:v>1.1595</c:v>
                </c:pt>
                <c:pt idx="82">
                  <c:v>1.1659999999999999</c:v>
                </c:pt>
                <c:pt idx="83">
                  <c:v>1.167</c:v>
                </c:pt>
                <c:pt idx="84">
                  <c:v>1.1697</c:v>
                </c:pt>
                <c:pt idx="85">
                  <c:v>1.1635</c:v>
                </c:pt>
                <c:pt idx="86">
                  <c:v>1.1673</c:v>
                </c:pt>
                <c:pt idx="87">
                  <c:v>1.169</c:v>
                </c:pt>
                <c:pt idx="88">
                  <c:v>1.1731</c:v>
                </c:pt>
                <c:pt idx="89">
                  <c:v>1.1755</c:v>
                </c:pt>
                <c:pt idx="90">
                  <c:v>1.1736</c:v>
                </c:pt>
                <c:pt idx="91">
                  <c:v>1.1763999999999999</c:v>
                </c:pt>
                <c:pt idx="92">
                  <c:v>1.1778999999999999</c:v>
                </c:pt>
                <c:pt idx="93">
                  <c:v>1.1827000000000001</c:v>
                </c:pt>
                <c:pt idx="94">
                  <c:v>1.1879999999999999</c:v>
                </c:pt>
                <c:pt idx="95">
                  <c:v>1.1884999999999999</c:v>
                </c:pt>
                <c:pt idx="96">
                  <c:v>1.1899</c:v>
                </c:pt>
                <c:pt idx="97">
                  <c:v>1.1871</c:v>
                </c:pt>
                <c:pt idx="98">
                  <c:v>1.1888000000000001</c:v>
                </c:pt>
                <c:pt idx="99">
                  <c:v>1.2004999999999999</c:v>
                </c:pt>
                <c:pt idx="100">
                  <c:v>1.1989000000000001</c:v>
                </c:pt>
                <c:pt idx="101">
                  <c:v>1.1876</c:v>
                </c:pt>
                <c:pt idx="102">
                  <c:v>1.1914</c:v>
                </c:pt>
                <c:pt idx="103">
                  <c:v>1.2014</c:v>
                </c:pt>
                <c:pt idx="104">
                  <c:v>1.1869000000000001</c:v>
                </c:pt>
                <c:pt idx="105">
                  <c:v>1.1955</c:v>
                </c:pt>
                <c:pt idx="106">
                  <c:v>1.2036</c:v>
                </c:pt>
                <c:pt idx="107">
                  <c:v>1.2097</c:v>
                </c:pt>
                <c:pt idx="108">
                  <c:v>1.2141999999999999</c:v>
                </c:pt>
                <c:pt idx="109">
                  <c:v>1.2075</c:v>
                </c:pt>
                <c:pt idx="110">
                  <c:v>1.2081999999999999</c:v>
                </c:pt>
                <c:pt idx="111">
                  <c:v>1.1890000000000001</c:v>
                </c:pt>
                <c:pt idx="112">
                  <c:v>1.1878</c:v>
                </c:pt>
                <c:pt idx="113">
                  <c:v>1.1931</c:v>
                </c:pt>
                <c:pt idx="114">
                  <c:v>1.2009000000000001</c:v>
                </c:pt>
                <c:pt idx="115">
                  <c:v>1.2060999999999999</c:v>
                </c:pt>
                <c:pt idx="116">
                  <c:v>1.2039</c:v>
                </c:pt>
                <c:pt idx="117">
                  <c:v>1.2030000000000001</c:v>
                </c:pt>
                <c:pt idx="118">
                  <c:v>1.2094</c:v>
                </c:pt>
                <c:pt idx="119">
                  <c:v>1.2111000000000001</c:v>
                </c:pt>
                <c:pt idx="120">
                  <c:v>1.2092000000000001</c:v>
                </c:pt>
                <c:pt idx="121">
                  <c:v>1.2190000000000001</c:v>
                </c:pt>
                <c:pt idx="122">
                  <c:v>1.228</c:v>
                </c:pt>
                <c:pt idx="123">
                  <c:v>1.2072000000000001</c:v>
                </c:pt>
                <c:pt idx="124">
                  <c:v>1.2029000000000001</c:v>
                </c:pt>
                <c:pt idx="125">
                  <c:v>1.1789000000000001</c:v>
                </c:pt>
                <c:pt idx="126">
                  <c:v>1.1880999999999999</c:v>
                </c:pt>
                <c:pt idx="127">
                  <c:v>1.1807000000000001</c:v>
                </c:pt>
                <c:pt idx="128">
                  <c:v>1.1843999999999999</c:v>
                </c:pt>
                <c:pt idx="129">
                  <c:v>1.1930000000000001</c:v>
                </c:pt>
                <c:pt idx="130">
                  <c:v>1.1847000000000001</c:v>
                </c:pt>
                <c:pt idx="131">
                  <c:v>1.1868000000000001</c:v>
                </c:pt>
                <c:pt idx="132">
                  <c:v>1.1853</c:v>
                </c:pt>
                <c:pt idx="133">
                  <c:v>1.1863999999999999</c:v>
                </c:pt>
                <c:pt idx="134">
                  <c:v>1.1875</c:v>
                </c:pt>
                <c:pt idx="135">
                  <c:v>1.1918</c:v>
                </c:pt>
                <c:pt idx="136">
                  <c:v>1.1939</c:v>
                </c:pt>
                <c:pt idx="137">
                  <c:v>1.1997</c:v>
                </c:pt>
                <c:pt idx="138">
                  <c:v>1.2043999999999999</c:v>
                </c:pt>
                <c:pt idx="139">
                  <c:v>1.2074</c:v>
                </c:pt>
                <c:pt idx="140">
                  <c:v>1.2073</c:v>
                </c:pt>
                <c:pt idx="141">
                  <c:v>1.2097</c:v>
                </c:pt>
                <c:pt idx="142">
                  <c:v>1.2054</c:v>
                </c:pt>
                <c:pt idx="143">
                  <c:v>1.2136</c:v>
                </c:pt>
                <c:pt idx="144">
                  <c:v>1.2143999999999999</c:v>
                </c:pt>
                <c:pt idx="145">
                  <c:v>1.2102999999999999</c:v>
                </c:pt>
                <c:pt idx="146">
                  <c:v>1.2165999999999999</c:v>
                </c:pt>
                <c:pt idx="147">
                  <c:v>1.2206999999999999</c:v>
                </c:pt>
                <c:pt idx="148">
                  <c:v>1.2224999999999999</c:v>
                </c:pt>
                <c:pt idx="149">
                  <c:v>1.2238</c:v>
                </c:pt>
                <c:pt idx="150">
                  <c:v>1.2269000000000001</c:v>
                </c:pt>
                <c:pt idx="151">
                  <c:v>1.2313000000000001</c:v>
                </c:pt>
                <c:pt idx="152">
                  <c:v>1.2302</c:v>
                </c:pt>
                <c:pt idx="153">
                  <c:v>1.2316</c:v>
                </c:pt>
                <c:pt idx="154">
                  <c:v>1.2329000000000001</c:v>
                </c:pt>
                <c:pt idx="155">
                  <c:v>1.2367999999999999</c:v>
                </c:pt>
                <c:pt idx="156">
                  <c:v>1.2331000000000001</c:v>
                </c:pt>
                <c:pt idx="157">
                  <c:v>1.2235</c:v>
                </c:pt>
                <c:pt idx="158">
                  <c:v>1.2223999999999999</c:v>
                </c:pt>
                <c:pt idx="159">
                  <c:v>1.2265999999999999</c:v>
                </c:pt>
                <c:pt idx="160">
                  <c:v>1.2249000000000001</c:v>
                </c:pt>
                <c:pt idx="161">
                  <c:v>1.2294</c:v>
                </c:pt>
                <c:pt idx="162">
                  <c:v>1.2270000000000001</c:v>
                </c:pt>
                <c:pt idx="163">
                  <c:v>1.2287999999999999</c:v>
                </c:pt>
                <c:pt idx="164">
                  <c:v>1.2287999999999999</c:v>
                </c:pt>
                <c:pt idx="165">
                  <c:v>1.2293000000000001</c:v>
                </c:pt>
                <c:pt idx="166">
                  <c:v>1.2315</c:v>
                </c:pt>
                <c:pt idx="167">
                  <c:v>1.2290000000000001</c:v>
                </c:pt>
                <c:pt idx="168">
                  <c:v>1.2326999999999999</c:v>
                </c:pt>
                <c:pt idx="169">
                  <c:v>1.2371000000000001</c:v>
                </c:pt>
                <c:pt idx="170">
                  <c:v>1.2401</c:v>
                </c:pt>
                <c:pt idx="171">
                  <c:v>1.2407999999999999</c:v>
                </c:pt>
                <c:pt idx="172">
                  <c:v>1.2421</c:v>
                </c:pt>
                <c:pt idx="173">
                  <c:v>1.2369000000000001</c:v>
                </c:pt>
                <c:pt idx="174">
                  <c:v>1.2406999999999999</c:v>
                </c:pt>
                <c:pt idx="175">
                  <c:v>1.2395</c:v>
                </c:pt>
                <c:pt idx="176">
                  <c:v>1.2408999999999999</c:v>
                </c:pt>
                <c:pt idx="177">
                  <c:v>1.2372000000000001</c:v>
                </c:pt>
                <c:pt idx="178">
                  <c:v>1.242</c:v>
                </c:pt>
                <c:pt idx="179">
                  <c:v>1.2443</c:v>
                </c:pt>
              </c:numCache>
            </c:numRef>
          </c:val>
          <c:smooth val="0"/>
          <c:extLst>
            <c:ext xmlns:c16="http://schemas.microsoft.com/office/drawing/2014/chart" uri="{C3380CC4-5D6E-409C-BE32-E72D297353CC}">
              <c16:uniqueId val="{00000000-FBB7-4046-B7A0-A8F07AC8E0D9}"/>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yyyy\-mm\-dd"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量客长阳一号</a:t>
            </a:r>
            <a:endParaRPr lang="en-US" altLang="zh-CN" sz="1600"/>
          </a:p>
        </c:rich>
      </c:tx>
      <c:overlay val="0"/>
    </c:title>
    <c:autoTitleDeleted val="0"/>
    <c:plotArea>
      <c:layout/>
      <c:lineChart>
        <c:grouping val="standard"/>
        <c:varyColors val="0"/>
        <c:ser>
          <c:idx val="0"/>
          <c:order val="0"/>
          <c:tx>
            <c:strRef>
              <c:f>量客长阳一号!$B$20</c:f>
              <c:strCache>
                <c:ptCount val="1"/>
                <c:pt idx="0">
                  <c:v>累计净值</c:v>
                </c:pt>
              </c:strCache>
            </c:strRef>
          </c:tx>
          <c:marker>
            <c:symbol val="none"/>
          </c:marker>
          <c:cat>
            <c:numRef>
              <c:f>量客长阳一号!$A$21:$A$140</c:f>
              <c:numCache>
                <c:formatCode>m/d/yy</c:formatCode>
                <c:ptCount val="120"/>
                <c:pt idx="0">
                  <c:v>44151</c:v>
                </c:pt>
                <c:pt idx="1">
                  <c:v>44152</c:v>
                </c:pt>
                <c:pt idx="2">
                  <c:v>44153</c:v>
                </c:pt>
                <c:pt idx="3">
                  <c:v>44154</c:v>
                </c:pt>
                <c:pt idx="4">
                  <c:v>44155</c:v>
                </c:pt>
                <c:pt idx="5">
                  <c:v>44158</c:v>
                </c:pt>
                <c:pt idx="6">
                  <c:v>44159</c:v>
                </c:pt>
                <c:pt idx="7">
                  <c:v>44160</c:v>
                </c:pt>
                <c:pt idx="8">
                  <c:v>44161</c:v>
                </c:pt>
                <c:pt idx="9">
                  <c:v>44162</c:v>
                </c:pt>
                <c:pt idx="10">
                  <c:v>44165</c:v>
                </c:pt>
                <c:pt idx="11">
                  <c:v>44166</c:v>
                </c:pt>
                <c:pt idx="12">
                  <c:v>44167</c:v>
                </c:pt>
                <c:pt idx="13">
                  <c:v>44168</c:v>
                </c:pt>
                <c:pt idx="14">
                  <c:v>44169</c:v>
                </c:pt>
                <c:pt idx="15">
                  <c:v>44172</c:v>
                </c:pt>
                <c:pt idx="16">
                  <c:v>44173</c:v>
                </c:pt>
                <c:pt idx="17">
                  <c:v>44174</c:v>
                </c:pt>
                <c:pt idx="18">
                  <c:v>44175</c:v>
                </c:pt>
                <c:pt idx="19">
                  <c:v>44176</c:v>
                </c:pt>
                <c:pt idx="20">
                  <c:v>44179</c:v>
                </c:pt>
                <c:pt idx="21">
                  <c:v>44180</c:v>
                </c:pt>
                <c:pt idx="22">
                  <c:v>44181</c:v>
                </c:pt>
                <c:pt idx="23">
                  <c:v>44182</c:v>
                </c:pt>
                <c:pt idx="24">
                  <c:v>44183</c:v>
                </c:pt>
                <c:pt idx="25">
                  <c:v>44186</c:v>
                </c:pt>
                <c:pt idx="26">
                  <c:v>44187</c:v>
                </c:pt>
                <c:pt idx="27">
                  <c:v>44188</c:v>
                </c:pt>
                <c:pt idx="28">
                  <c:v>44189</c:v>
                </c:pt>
                <c:pt idx="29">
                  <c:v>44190</c:v>
                </c:pt>
                <c:pt idx="30">
                  <c:v>44193</c:v>
                </c:pt>
                <c:pt idx="31">
                  <c:v>44194</c:v>
                </c:pt>
                <c:pt idx="32">
                  <c:v>44195</c:v>
                </c:pt>
                <c:pt idx="33">
                  <c:v>44196</c:v>
                </c:pt>
                <c:pt idx="34">
                  <c:v>44200</c:v>
                </c:pt>
                <c:pt idx="35">
                  <c:v>44201</c:v>
                </c:pt>
                <c:pt idx="36">
                  <c:v>44202</c:v>
                </c:pt>
                <c:pt idx="37">
                  <c:v>44203</c:v>
                </c:pt>
                <c:pt idx="38">
                  <c:v>44204</c:v>
                </c:pt>
                <c:pt idx="39">
                  <c:v>44207</c:v>
                </c:pt>
                <c:pt idx="40">
                  <c:v>44208</c:v>
                </c:pt>
                <c:pt idx="41">
                  <c:v>44209</c:v>
                </c:pt>
                <c:pt idx="42">
                  <c:v>44210</c:v>
                </c:pt>
                <c:pt idx="43">
                  <c:v>44211</c:v>
                </c:pt>
                <c:pt idx="44">
                  <c:v>44214</c:v>
                </c:pt>
                <c:pt idx="45">
                  <c:v>44215</c:v>
                </c:pt>
                <c:pt idx="46">
                  <c:v>44216</c:v>
                </c:pt>
                <c:pt idx="47">
                  <c:v>44217</c:v>
                </c:pt>
                <c:pt idx="48">
                  <c:v>44218</c:v>
                </c:pt>
                <c:pt idx="49">
                  <c:v>44221</c:v>
                </c:pt>
                <c:pt idx="50">
                  <c:v>44222</c:v>
                </c:pt>
                <c:pt idx="51">
                  <c:v>44223</c:v>
                </c:pt>
                <c:pt idx="52">
                  <c:v>44224</c:v>
                </c:pt>
                <c:pt idx="53">
                  <c:v>44225</c:v>
                </c:pt>
                <c:pt idx="54">
                  <c:v>44228</c:v>
                </c:pt>
                <c:pt idx="55">
                  <c:v>44229</c:v>
                </c:pt>
                <c:pt idx="56">
                  <c:v>44230</c:v>
                </c:pt>
                <c:pt idx="57">
                  <c:v>44231</c:v>
                </c:pt>
                <c:pt idx="58">
                  <c:v>44232</c:v>
                </c:pt>
                <c:pt idx="59">
                  <c:v>44235</c:v>
                </c:pt>
                <c:pt idx="60">
                  <c:v>44236</c:v>
                </c:pt>
                <c:pt idx="61">
                  <c:v>44237</c:v>
                </c:pt>
                <c:pt idx="62">
                  <c:v>44245</c:v>
                </c:pt>
                <c:pt idx="63">
                  <c:v>44246</c:v>
                </c:pt>
                <c:pt idx="64">
                  <c:v>44249</c:v>
                </c:pt>
                <c:pt idx="65">
                  <c:v>44250</c:v>
                </c:pt>
                <c:pt idx="66">
                  <c:v>44251</c:v>
                </c:pt>
                <c:pt idx="67">
                  <c:v>44252</c:v>
                </c:pt>
                <c:pt idx="68">
                  <c:v>44253</c:v>
                </c:pt>
                <c:pt idx="69">
                  <c:v>44256</c:v>
                </c:pt>
                <c:pt idx="70">
                  <c:v>44257</c:v>
                </c:pt>
                <c:pt idx="71">
                  <c:v>44258</c:v>
                </c:pt>
                <c:pt idx="72">
                  <c:v>44259</c:v>
                </c:pt>
                <c:pt idx="73">
                  <c:v>44260</c:v>
                </c:pt>
                <c:pt idx="74">
                  <c:v>44263</c:v>
                </c:pt>
                <c:pt idx="75">
                  <c:v>44264</c:v>
                </c:pt>
                <c:pt idx="76">
                  <c:v>44265</c:v>
                </c:pt>
                <c:pt idx="77">
                  <c:v>44266</c:v>
                </c:pt>
                <c:pt idx="78">
                  <c:v>44267</c:v>
                </c:pt>
                <c:pt idx="79">
                  <c:v>44270</c:v>
                </c:pt>
                <c:pt idx="80">
                  <c:v>44271</c:v>
                </c:pt>
                <c:pt idx="81">
                  <c:v>44272</c:v>
                </c:pt>
                <c:pt idx="82">
                  <c:v>44273</c:v>
                </c:pt>
                <c:pt idx="83">
                  <c:v>44274</c:v>
                </c:pt>
                <c:pt idx="84">
                  <c:v>44277</c:v>
                </c:pt>
                <c:pt idx="85">
                  <c:v>44278</c:v>
                </c:pt>
                <c:pt idx="86">
                  <c:v>44279</c:v>
                </c:pt>
                <c:pt idx="87">
                  <c:v>44280</c:v>
                </c:pt>
                <c:pt idx="88">
                  <c:v>44281</c:v>
                </c:pt>
                <c:pt idx="89">
                  <c:v>44284</c:v>
                </c:pt>
                <c:pt idx="90">
                  <c:v>44285</c:v>
                </c:pt>
                <c:pt idx="91">
                  <c:v>44286</c:v>
                </c:pt>
                <c:pt idx="92">
                  <c:v>44287</c:v>
                </c:pt>
                <c:pt idx="93">
                  <c:v>44288</c:v>
                </c:pt>
                <c:pt idx="94">
                  <c:v>44292</c:v>
                </c:pt>
                <c:pt idx="95">
                  <c:v>44293</c:v>
                </c:pt>
                <c:pt idx="96">
                  <c:v>44294</c:v>
                </c:pt>
                <c:pt idx="97">
                  <c:v>44295</c:v>
                </c:pt>
                <c:pt idx="98">
                  <c:v>44298</c:v>
                </c:pt>
                <c:pt idx="99">
                  <c:v>44299</c:v>
                </c:pt>
                <c:pt idx="100">
                  <c:v>44300</c:v>
                </c:pt>
                <c:pt idx="101">
                  <c:v>44301</c:v>
                </c:pt>
                <c:pt idx="102">
                  <c:v>44302</c:v>
                </c:pt>
                <c:pt idx="103">
                  <c:v>44305</c:v>
                </c:pt>
                <c:pt idx="104">
                  <c:v>44306</c:v>
                </c:pt>
                <c:pt idx="105">
                  <c:v>44307</c:v>
                </c:pt>
                <c:pt idx="106">
                  <c:v>44308</c:v>
                </c:pt>
                <c:pt idx="107">
                  <c:v>44309</c:v>
                </c:pt>
                <c:pt idx="108">
                  <c:v>44312</c:v>
                </c:pt>
                <c:pt idx="109">
                  <c:v>44313</c:v>
                </c:pt>
                <c:pt idx="110">
                  <c:v>44314</c:v>
                </c:pt>
                <c:pt idx="111">
                  <c:v>44315</c:v>
                </c:pt>
                <c:pt idx="112">
                  <c:v>44316</c:v>
                </c:pt>
                <c:pt idx="113">
                  <c:v>44322</c:v>
                </c:pt>
                <c:pt idx="114">
                  <c:v>44323</c:v>
                </c:pt>
                <c:pt idx="115">
                  <c:v>44326</c:v>
                </c:pt>
                <c:pt idx="116">
                  <c:v>44327</c:v>
                </c:pt>
                <c:pt idx="117">
                  <c:v>44328</c:v>
                </c:pt>
                <c:pt idx="118">
                  <c:v>44329</c:v>
                </c:pt>
                <c:pt idx="119">
                  <c:v>44330</c:v>
                </c:pt>
              </c:numCache>
            </c:numRef>
          </c:cat>
          <c:val>
            <c:numRef>
              <c:f>量客长阳一号!$B$21:$B$140</c:f>
              <c:numCache>
                <c:formatCode>0.0000_ </c:formatCode>
                <c:ptCount val="120"/>
                <c:pt idx="0">
                  <c:v>1.0710999999999999</c:v>
                </c:pt>
                <c:pt idx="1">
                  <c:v>1.0706</c:v>
                </c:pt>
                <c:pt idx="2">
                  <c:v>1.0680000000000001</c:v>
                </c:pt>
                <c:pt idx="3">
                  <c:v>1.0648</c:v>
                </c:pt>
                <c:pt idx="4">
                  <c:v>1.0652999999999999</c:v>
                </c:pt>
                <c:pt idx="5">
                  <c:v>1.0683</c:v>
                </c:pt>
                <c:pt idx="6">
                  <c:v>1.0669</c:v>
                </c:pt>
                <c:pt idx="7">
                  <c:v>1.0668</c:v>
                </c:pt>
                <c:pt idx="8">
                  <c:v>1.0674999999999999</c:v>
                </c:pt>
                <c:pt idx="9">
                  <c:v>1.0669999999999999</c:v>
                </c:pt>
                <c:pt idx="10">
                  <c:v>1.0644</c:v>
                </c:pt>
                <c:pt idx="11">
                  <c:v>1.071</c:v>
                </c:pt>
                <c:pt idx="12">
                  <c:v>1.0726</c:v>
                </c:pt>
                <c:pt idx="13">
                  <c:v>1.0737000000000001</c:v>
                </c:pt>
                <c:pt idx="14">
                  <c:v>1.0739000000000001</c:v>
                </c:pt>
                <c:pt idx="15">
                  <c:v>1.0733999999999999</c:v>
                </c:pt>
                <c:pt idx="16">
                  <c:v>1.0719000000000001</c:v>
                </c:pt>
                <c:pt idx="17">
                  <c:v>1.0711999999999999</c:v>
                </c:pt>
                <c:pt idx="18">
                  <c:v>1.0738000000000001</c:v>
                </c:pt>
                <c:pt idx="19">
                  <c:v>1.0755999999999999</c:v>
                </c:pt>
                <c:pt idx="20">
                  <c:v>1.0760000000000001</c:v>
                </c:pt>
                <c:pt idx="21">
                  <c:v>1.0745</c:v>
                </c:pt>
                <c:pt idx="22">
                  <c:v>1.0738000000000001</c:v>
                </c:pt>
                <c:pt idx="23">
                  <c:v>1.0722</c:v>
                </c:pt>
                <c:pt idx="24">
                  <c:v>1.0709</c:v>
                </c:pt>
                <c:pt idx="25">
                  <c:v>1.0760000000000001</c:v>
                </c:pt>
                <c:pt idx="26">
                  <c:v>1.0736000000000001</c:v>
                </c:pt>
                <c:pt idx="27">
                  <c:v>1.0744</c:v>
                </c:pt>
                <c:pt idx="28">
                  <c:v>1.0740000000000001</c:v>
                </c:pt>
                <c:pt idx="29">
                  <c:v>1.0751999999999999</c:v>
                </c:pt>
                <c:pt idx="30">
                  <c:v>1.0734999999999999</c:v>
                </c:pt>
                <c:pt idx="31">
                  <c:v>1.0706</c:v>
                </c:pt>
                <c:pt idx="32">
                  <c:v>1.0753999999999999</c:v>
                </c:pt>
                <c:pt idx="33">
                  <c:v>1.0704</c:v>
                </c:pt>
                <c:pt idx="34">
                  <c:v>1.0780000000000001</c:v>
                </c:pt>
                <c:pt idx="35">
                  <c:v>1.0804</c:v>
                </c:pt>
                <c:pt idx="36">
                  <c:v>1.0824</c:v>
                </c:pt>
                <c:pt idx="37">
                  <c:v>1.0934999999999999</c:v>
                </c:pt>
                <c:pt idx="38">
                  <c:v>1.0996999999999999</c:v>
                </c:pt>
                <c:pt idx="39">
                  <c:v>1.0960000000000001</c:v>
                </c:pt>
                <c:pt idx="40">
                  <c:v>1.0994999999999999</c:v>
                </c:pt>
                <c:pt idx="41">
                  <c:v>1.0985</c:v>
                </c:pt>
                <c:pt idx="69">
                  <c:v>1.1440999999999999</c:v>
                </c:pt>
                <c:pt idx="70">
                  <c:v>1.1440999999999999</c:v>
                </c:pt>
                <c:pt idx="71">
                  <c:v>1.1468</c:v>
                </c:pt>
                <c:pt idx="72">
                  <c:v>1.1520999999999999</c:v>
                </c:pt>
                <c:pt idx="73">
                  <c:v>1.1545000000000001</c:v>
                </c:pt>
                <c:pt idx="74">
                  <c:v>1.1600999999999999</c:v>
                </c:pt>
                <c:pt idx="75">
                  <c:v>1.1567000000000001</c:v>
                </c:pt>
                <c:pt idx="76">
                  <c:v>1.1545000000000001</c:v>
                </c:pt>
                <c:pt idx="77">
                  <c:v>1.1563000000000001</c:v>
                </c:pt>
                <c:pt idx="78">
                  <c:v>1.1559999999999999</c:v>
                </c:pt>
                <c:pt idx="79">
                  <c:v>1.1529</c:v>
                </c:pt>
                <c:pt idx="80">
                  <c:v>1.1532</c:v>
                </c:pt>
                <c:pt idx="81">
                  <c:v>1.1547000000000001</c:v>
                </c:pt>
                <c:pt idx="82">
                  <c:v>1.1544000000000001</c:v>
                </c:pt>
                <c:pt idx="83">
                  <c:v>1.1581999999999999</c:v>
                </c:pt>
                <c:pt idx="84">
                  <c:v>1.1525000000000001</c:v>
                </c:pt>
                <c:pt idx="85">
                  <c:v>1.1488</c:v>
                </c:pt>
                <c:pt idx="86">
                  <c:v>1.153</c:v>
                </c:pt>
                <c:pt idx="87">
                  <c:v>1.1494</c:v>
                </c:pt>
                <c:pt idx="88">
                  <c:v>1.149</c:v>
                </c:pt>
                <c:pt idx="89">
                  <c:v>1.1448</c:v>
                </c:pt>
                <c:pt idx="90">
                  <c:v>1.1463000000000001</c:v>
                </c:pt>
                <c:pt idx="91">
                  <c:v>1.1446000000000001</c:v>
                </c:pt>
                <c:pt idx="92">
                  <c:v>1.1480999999999999</c:v>
                </c:pt>
                <c:pt idx="93">
                  <c:v>1.1503000000000001</c:v>
                </c:pt>
                <c:pt idx="94">
                  <c:v>1.1474</c:v>
                </c:pt>
                <c:pt idx="95">
                  <c:v>1.1488</c:v>
                </c:pt>
                <c:pt idx="96">
                  <c:v>1.1507000000000001</c:v>
                </c:pt>
                <c:pt idx="97">
                  <c:v>1.1512</c:v>
                </c:pt>
                <c:pt idx="98">
                  <c:v>1.1501999999999999</c:v>
                </c:pt>
                <c:pt idx="99">
                  <c:v>1.1500999999999999</c:v>
                </c:pt>
                <c:pt idx="100">
                  <c:v>1.1507000000000001</c:v>
                </c:pt>
                <c:pt idx="101">
                  <c:v>1.149</c:v>
                </c:pt>
                <c:pt idx="102">
                  <c:v>1.1475</c:v>
                </c:pt>
                <c:pt idx="103">
                  <c:v>1.1536</c:v>
                </c:pt>
                <c:pt idx="104">
                  <c:v>1.1535</c:v>
                </c:pt>
                <c:pt idx="105">
                  <c:v>1.1539999999999999</c:v>
                </c:pt>
                <c:pt idx="106">
                  <c:v>1.1534</c:v>
                </c:pt>
                <c:pt idx="107">
                  <c:v>1.1541999999999999</c:v>
                </c:pt>
                <c:pt idx="108">
                  <c:v>1.1525000000000001</c:v>
                </c:pt>
                <c:pt idx="109">
                  <c:v>1.1529</c:v>
                </c:pt>
                <c:pt idx="110">
                  <c:v>1.1532</c:v>
                </c:pt>
                <c:pt idx="111">
                  <c:v>1.1558999999999999</c:v>
                </c:pt>
                <c:pt idx="112">
                  <c:v>1.1565000000000001</c:v>
                </c:pt>
                <c:pt idx="113">
                  <c:v>1.1534</c:v>
                </c:pt>
                <c:pt idx="114">
                  <c:v>1.1534</c:v>
                </c:pt>
                <c:pt idx="115">
                  <c:v>1.1513</c:v>
                </c:pt>
                <c:pt idx="116">
                  <c:v>1.1528</c:v>
                </c:pt>
                <c:pt idx="117">
                  <c:v>1.1553</c:v>
                </c:pt>
                <c:pt idx="118">
                  <c:v>1.1520999999999999</c:v>
                </c:pt>
                <c:pt idx="119">
                  <c:v>1.1575</c:v>
                </c:pt>
              </c:numCache>
            </c:numRef>
          </c:val>
          <c:smooth val="0"/>
          <c:extLst>
            <c:ext xmlns:c16="http://schemas.microsoft.com/office/drawing/2014/chart" uri="{C3380CC4-5D6E-409C-BE32-E72D297353CC}">
              <c16:uniqueId val="{00000000-6572-4C33-AD66-468E7C4EB68F}"/>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05"/>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爱凡哲睿哲二号!$B$20</c:f>
              <c:strCache>
                <c:ptCount val="1"/>
                <c:pt idx="0">
                  <c:v>累计净值</c:v>
                </c:pt>
              </c:strCache>
            </c:strRef>
          </c:tx>
          <c:spPr>
            <a:ln w="28575" cap="rnd">
              <a:solidFill>
                <a:schemeClr val="accent1"/>
              </a:solidFill>
              <a:round/>
            </a:ln>
            <a:effectLst/>
          </c:spPr>
          <c:marker>
            <c:symbol val="none"/>
          </c:marker>
          <c:cat>
            <c:numRef>
              <c:f>爱凡哲睿哲二号!$A$21:$A$81</c:f>
              <c:numCache>
                <c:formatCode>m/d/yy</c:formatCode>
                <c:ptCount val="61"/>
                <c:pt idx="0">
                  <c:v>44236</c:v>
                </c:pt>
                <c:pt idx="1">
                  <c:v>44237</c:v>
                </c:pt>
                <c:pt idx="2">
                  <c:v>44245</c:v>
                </c:pt>
                <c:pt idx="3">
                  <c:v>44246</c:v>
                </c:pt>
                <c:pt idx="4">
                  <c:v>44249</c:v>
                </c:pt>
                <c:pt idx="5">
                  <c:v>44250</c:v>
                </c:pt>
                <c:pt idx="6">
                  <c:v>44251</c:v>
                </c:pt>
                <c:pt idx="7">
                  <c:v>44252</c:v>
                </c:pt>
                <c:pt idx="8">
                  <c:v>44253</c:v>
                </c:pt>
                <c:pt idx="9">
                  <c:v>44255</c:v>
                </c:pt>
                <c:pt idx="10">
                  <c:v>44256</c:v>
                </c:pt>
                <c:pt idx="11">
                  <c:v>44257</c:v>
                </c:pt>
                <c:pt idx="12">
                  <c:v>44258</c:v>
                </c:pt>
                <c:pt idx="13">
                  <c:v>44259</c:v>
                </c:pt>
                <c:pt idx="14">
                  <c:v>44260</c:v>
                </c:pt>
                <c:pt idx="15">
                  <c:v>44263</c:v>
                </c:pt>
                <c:pt idx="16">
                  <c:v>44264</c:v>
                </c:pt>
                <c:pt idx="17">
                  <c:v>44265</c:v>
                </c:pt>
                <c:pt idx="18">
                  <c:v>44266</c:v>
                </c:pt>
                <c:pt idx="19">
                  <c:v>44267</c:v>
                </c:pt>
                <c:pt idx="20">
                  <c:v>44270</c:v>
                </c:pt>
                <c:pt idx="21">
                  <c:v>44271</c:v>
                </c:pt>
                <c:pt idx="22">
                  <c:v>44272</c:v>
                </c:pt>
                <c:pt idx="23">
                  <c:v>44273</c:v>
                </c:pt>
                <c:pt idx="24">
                  <c:v>44274</c:v>
                </c:pt>
                <c:pt idx="25">
                  <c:v>44277</c:v>
                </c:pt>
                <c:pt idx="26">
                  <c:v>44278</c:v>
                </c:pt>
                <c:pt idx="27">
                  <c:v>44279</c:v>
                </c:pt>
                <c:pt idx="28">
                  <c:v>44280</c:v>
                </c:pt>
                <c:pt idx="29">
                  <c:v>44281</c:v>
                </c:pt>
                <c:pt idx="30">
                  <c:v>44284</c:v>
                </c:pt>
                <c:pt idx="31">
                  <c:v>44285</c:v>
                </c:pt>
                <c:pt idx="32">
                  <c:v>44286</c:v>
                </c:pt>
                <c:pt idx="33">
                  <c:v>44287</c:v>
                </c:pt>
                <c:pt idx="34">
                  <c:v>44288</c:v>
                </c:pt>
                <c:pt idx="35">
                  <c:v>44292</c:v>
                </c:pt>
                <c:pt idx="36">
                  <c:v>44293</c:v>
                </c:pt>
                <c:pt idx="37">
                  <c:v>44294</c:v>
                </c:pt>
                <c:pt idx="38">
                  <c:v>44295</c:v>
                </c:pt>
                <c:pt idx="39">
                  <c:v>44298</c:v>
                </c:pt>
                <c:pt idx="40">
                  <c:v>44299</c:v>
                </c:pt>
                <c:pt idx="41">
                  <c:v>44300</c:v>
                </c:pt>
                <c:pt idx="42">
                  <c:v>44301</c:v>
                </c:pt>
                <c:pt idx="43">
                  <c:v>44302</c:v>
                </c:pt>
                <c:pt idx="44">
                  <c:v>44305</c:v>
                </c:pt>
                <c:pt idx="45">
                  <c:v>44306</c:v>
                </c:pt>
                <c:pt idx="46">
                  <c:v>44307</c:v>
                </c:pt>
                <c:pt idx="47">
                  <c:v>44308</c:v>
                </c:pt>
                <c:pt idx="48">
                  <c:v>44309</c:v>
                </c:pt>
                <c:pt idx="49">
                  <c:v>44312</c:v>
                </c:pt>
                <c:pt idx="50">
                  <c:v>44313</c:v>
                </c:pt>
                <c:pt idx="51">
                  <c:v>44314</c:v>
                </c:pt>
                <c:pt idx="52">
                  <c:v>44315</c:v>
                </c:pt>
                <c:pt idx="53">
                  <c:v>44316</c:v>
                </c:pt>
                <c:pt idx="54">
                  <c:v>44322</c:v>
                </c:pt>
                <c:pt idx="55">
                  <c:v>44323</c:v>
                </c:pt>
                <c:pt idx="56">
                  <c:v>44326</c:v>
                </c:pt>
                <c:pt idx="57">
                  <c:v>44327</c:v>
                </c:pt>
                <c:pt idx="58">
                  <c:v>44328</c:v>
                </c:pt>
                <c:pt idx="59">
                  <c:v>44329</c:v>
                </c:pt>
                <c:pt idx="60">
                  <c:v>44330</c:v>
                </c:pt>
              </c:numCache>
            </c:numRef>
          </c:cat>
          <c:val>
            <c:numRef>
              <c:f>爱凡哲睿哲二号!$B$21:$B$81</c:f>
              <c:numCache>
                <c:formatCode>0.0000_ </c:formatCode>
                <c:ptCount val="61"/>
                <c:pt idx="0">
                  <c:v>1.087</c:v>
                </c:pt>
                <c:pt idx="1">
                  <c:v>1.0860000000000001</c:v>
                </c:pt>
                <c:pt idx="2">
                  <c:v>1.087</c:v>
                </c:pt>
                <c:pt idx="3">
                  <c:v>1.087</c:v>
                </c:pt>
                <c:pt idx="4">
                  <c:v>1.0860000000000001</c:v>
                </c:pt>
                <c:pt idx="5">
                  <c:v>1.093</c:v>
                </c:pt>
                <c:pt idx="6">
                  <c:v>1.0940000000000001</c:v>
                </c:pt>
                <c:pt idx="7">
                  <c:v>1.0920000000000001</c:v>
                </c:pt>
                <c:pt idx="8">
                  <c:v>1.093</c:v>
                </c:pt>
                <c:pt idx="9">
                  <c:v>1.093</c:v>
                </c:pt>
                <c:pt idx="10">
                  <c:v>1.0940000000000001</c:v>
                </c:pt>
                <c:pt idx="11">
                  <c:v>1.095</c:v>
                </c:pt>
                <c:pt idx="12">
                  <c:v>1.0940000000000001</c:v>
                </c:pt>
                <c:pt idx="13">
                  <c:v>1.0960000000000001</c:v>
                </c:pt>
                <c:pt idx="14">
                  <c:v>1.095</c:v>
                </c:pt>
                <c:pt idx="15">
                  <c:v>1.0960000000000001</c:v>
                </c:pt>
                <c:pt idx="16">
                  <c:v>1.0980000000000001</c:v>
                </c:pt>
                <c:pt idx="17">
                  <c:v>1.0980000000000001</c:v>
                </c:pt>
                <c:pt idx="18">
                  <c:v>1.099</c:v>
                </c:pt>
                <c:pt idx="19">
                  <c:v>1.101</c:v>
                </c:pt>
                <c:pt idx="20">
                  <c:v>1.1040000000000001</c:v>
                </c:pt>
                <c:pt idx="21">
                  <c:v>1.103</c:v>
                </c:pt>
                <c:pt idx="22">
                  <c:v>1.105</c:v>
                </c:pt>
                <c:pt idx="23">
                  <c:v>1.1040000000000001</c:v>
                </c:pt>
                <c:pt idx="24">
                  <c:v>1.1020000000000001</c:v>
                </c:pt>
                <c:pt idx="25">
                  <c:v>1.1000000000000001</c:v>
                </c:pt>
                <c:pt idx="26">
                  <c:v>1.0960000000000001</c:v>
                </c:pt>
                <c:pt idx="27">
                  <c:v>1.095</c:v>
                </c:pt>
                <c:pt idx="28">
                  <c:v>1.0980000000000001</c:v>
                </c:pt>
                <c:pt idx="29">
                  <c:v>1.099</c:v>
                </c:pt>
                <c:pt idx="30">
                  <c:v>1.1020000000000001</c:v>
                </c:pt>
                <c:pt idx="31">
                  <c:v>1.105</c:v>
                </c:pt>
                <c:pt idx="32">
                  <c:v>1.1040000000000001</c:v>
                </c:pt>
                <c:pt idx="33">
                  <c:v>1.1080000000000001</c:v>
                </c:pt>
                <c:pt idx="34">
                  <c:v>1.1100000000000001</c:v>
                </c:pt>
                <c:pt idx="35">
                  <c:v>1.107</c:v>
                </c:pt>
                <c:pt idx="36">
                  <c:v>1.1020000000000001</c:v>
                </c:pt>
                <c:pt idx="37">
                  <c:v>1.105</c:v>
                </c:pt>
                <c:pt idx="38">
                  <c:v>1.1060000000000001</c:v>
                </c:pt>
                <c:pt idx="39">
                  <c:v>1.1080000000000001</c:v>
                </c:pt>
                <c:pt idx="40">
                  <c:v>1.1040000000000001</c:v>
                </c:pt>
                <c:pt idx="41">
                  <c:v>1.097</c:v>
                </c:pt>
                <c:pt idx="42">
                  <c:v>1.0960000000000001</c:v>
                </c:pt>
                <c:pt idx="43">
                  <c:v>1.097</c:v>
                </c:pt>
                <c:pt idx="44">
                  <c:v>1.1000000000000001</c:v>
                </c:pt>
                <c:pt idx="45">
                  <c:v>1.101</c:v>
                </c:pt>
                <c:pt idx="46">
                  <c:v>1.101</c:v>
                </c:pt>
                <c:pt idx="47">
                  <c:v>1.101</c:v>
                </c:pt>
                <c:pt idx="48">
                  <c:v>1.1020000000000001</c:v>
                </c:pt>
                <c:pt idx="49">
                  <c:v>1.1040000000000001</c:v>
                </c:pt>
                <c:pt idx="50">
                  <c:v>1.1040000000000001</c:v>
                </c:pt>
                <c:pt idx="51">
                  <c:v>1.103</c:v>
                </c:pt>
                <c:pt idx="52">
                  <c:v>1.1040000000000001</c:v>
                </c:pt>
                <c:pt idx="53">
                  <c:v>1.1020000000000001</c:v>
                </c:pt>
                <c:pt idx="54">
                  <c:v>1.1020000000000001</c:v>
                </c:pt>
                <c:pt idx="55">
                  <c:v>1.1020000000000001</c:v>
                </c:pt>
                <c:pt idx="56">
                  <c:v>1.1040000000000001</c:v>
                </c:pt>
                <c:pt idx="57">
                  <c:v>1.1040000000000001</c:v>
                </c:pt>
                <c:pt idx="58">
                  <c:v>1.1060000000000001</c:v>
                </c:pt>
                <c:pt idx="59">
                  <c:v>1.107</c:v>
                </c:pt>
                <c:pt idx="60">
                  <c:v>1.109</c:v>
                </c:pt>
              </c:numCache>
            </c:numRef>
          </c:val>
          <c:smooth val="0"/>
          <c:extLst>
            <c:ext xmlns:c16="http://schemas.microsoft.com/office/drawing/2014/chart" uri="{C3380CC4-5D6E-409C-BE32-E72D297353CC}">
              <c16:uniqueId val="{00000000-26AB-436A-A35C-63F9D250458F}"/>
            </c:ext>
          </c:extLst>
        </c:ser>
        <c:dLbls>
          <c:showLegendKey val="0"/>
          <c:showVal val="0"/>
          <c:showCatName val="0"/>
          <c:showSerName val="0"/>
          <c:showPercent val="0"/>
          <c:showBubbleSize val="0"/>
        </c:dLbls>
        <c:smooth val="0"/>
        <c:axId val="790284143"/>
        <c:axId val="790290799"/>
      </c:lineChart>
      <c:catAx>
        <c:axId val="790284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90799"/>
        <c:crosses val="autoZero"/>
        <c:auto val="0"/>
        <c:lblAlgn val="ctr"/>
        <c:lblOffset val="100"/>
        <c:noMultiLvlLbl val="0"/>
      </c:catAx>
      <c:valAx>
        <c:axId val="790290799"/>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8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均泰衡山量化一号</a:t>
            </a:r>
            <a:endParaRPr lang="en-US" altLang="zh-CN" sz="1600"/>
          </a:p>
        </c:rich>
      </c:tx>
      <c:overlay val="0"/>
    </c:title>
    <c:autoTitleDeleted val="0"/>
    <c:plotArea>
      <c:layout/>
      <c:lineChart>
        <c:grouping val="standard"/>
        <c:varyColors val="0"/>
        <c:ser>
          <c:idx val="0"/>
          <c:order val="0"/>
          <c:tx>
            <c:strRef>
              <c:f>均泰衡山量化一号!$B$20</c:f>
              <c:strCache>
                <c:ptCount val="1"/>
                <c:pt idx="0">
                  <c:v>累计净值</c:v>
                </c:pt>
              </c:strCache>
            </c:strRef>
          </c:tx>
          <c:marker>
            <c:symbol val="none"/>
          </c:marker>
          <c:cat>
            <c:numRef>
              <c:f>均泰衡山量化一号!$A$21:$A$76</c:f>
              <c:numCache>
                <c:formatCode>m/d/yy</c:formatCode>
                <c:ptCount val="56"/>
                <c:pt idx="0">
                  <c:v>44251</c:v>
                </c:pt>
                <c:pt idx="1">
                  <c:v>44252</c:v>
                </c:pt>
                <c:pt idx="2">
                  <c:v>44253</c:v>
                </c:pt>
                <c:pt idx="3">
                  <c:v>44256</c:v>
                </c:pt>
                <c:pt idx="4">
                  <c:v>44257</c:v>
                </c:pt>
                <c:pt idx="5">
                  <c:v>44258</c:v>
                </c:pt>
                <c:pt idx="6">
                  <c:v>44259</c:v>
                </c:pt>
                <c:pt idx="7">
                  <c:v>44260</c:v>
                </c:pt>
                <c:pt idx="8">
                  <c:v>44263</c:v>
                </c:pt>
                <c:pt idx="9">
                  <c:v>44264</c:v>
                </c:pt>
                <c:pt idx="10">
                  <c:v>44265</c:v>
                </c:pt>
                <c:pt idx="11">
                  <c:v>44266</c:v>
                </c:pt>
                <c:pt idx="12">
                  <c:v>44267</c:v>
                </c:pt>
                <c:pt idx="13">
                  <c:v>44270</c:v>
                </c:pt>
                <c:pt idx="14">
                  <c:v>44271</c:v>
                </c:pt>
                <c:pt idx="15">
                  <c:v>44272</c:v>
                </c:pt>
                <c:pt idx="16">
                  <c:v>44273</c:v>
                </c:pt>
                <c:pt idx="17">
                  <c:v>44274</c:v>
                </c:pt>
                <c:pt idx="18">
                  <c:v>44277</c:v>
                </c:pt>
                <c:pt idx="19">
                  <c:v>44278</c:v>
                </c:pt>
                <c:pt idx="20">
                  <c:v>44279</c:v>
                </c:pt>
                <c:pt idx="21">
                  <c:v>44280</c:v>
                </c:pt>
                <c:pt idx="22">
                  <c:v>44281</c:v>
                </c:pt>
                <c:pt idx="23">
                  <c:v>44284</c:v>
                </c:pt>
                <c:pt idx="24">
                  <c:v>44285</c:v>
                </c:pt>
                <c:pt idx="25">
                  <c:v>44286</c:v>
                </c:pt>
                <c:pt idx="26">
                  <c:v>44287</c:v>
                </c:pt>
                <c:pt idx="27">
                  <c:v>44288</c:v>
                </c:pt>
                <c:pt idx="28">
                  <c:v>44292</c:v>
                </c:pt>
                <c:pt idx="29">
                  <c:v>44293</c:v>
                </c:pt>
                <c:pt idx="30">
                  <c:v>44294</c:v>
                </c:pt>
                <c:pt idx="31">
                  <c:v>44295</c:v>
                </c:pt>
                <c:pt idx="32">
                  <c:v>44298</c:v>
                </c:pt>
                <c:pt idx="33">
                  <c:v>44299</c:v>
                </c:pt>
                <c:pt idx="34">
                  <c:v>44300</c:v>
                </c:pt>
                <c:pt idx="35">
                  <c:v>44301</c:v>
                </c:pt>
                <c:pt idx="36">
                  <c:v>44302</c:v>
                </c:pt>
                <c:pt idx="37">
                  <c:v>44305</c:v>
                </c:pt>
                <c:pt idx="38">
                  <c:v>44306</c:v>
                </c:pt>
                <c:pt idx="39">
                  <c:v>44307</c:v>
                </c:pt>
                <c:pt idx="40">
                  <c:v>44308</c:v>
                </c:pt>
                <c:pt idx="41">
                  <c:v>44309</c:v>
                </c:pt>
                <c:pt idx="42">
                  <c:v>44312</c:v>
                </c:pt>
                <c:pt idx="43">
                  <c:v>44313</c:v>
                </c:pt>
                <c:pt idx="44">
                  <c:v>44314</c:v>
                </c:pt>
                <c:pt idx="45">
                  <c:v>44315</c:v>
                </c:pt>
                <c:pt idx="46">
                  <c:v>44316</c:v>
                </c:pt>
                <c:pt idx="47">
                  <c:v>44322</c:v>
                </c:pt>
                <c:pt idx="48">
                  <c:v>44323</c:v>
                </c:pt>
                <c:pt idx="49">
                  <c:v>44326</c:v>
                </c:pt>
                <c:pt idx="50">
                  <c:v>44327</c:v>
                </c:pt>
                <c:pt idx="51">
                  <c:v>44328</c:v>
                </c:pt>
                <c:pt idx="52">
                  <c:v>44329</c:v>
                </c:pt>
                <c:pt idx="53">
                  <c:v>44330</c:v>
                </c:pt>
                <c:pt idx="54">
                  <c:v>44333</c:v>
                </c:pt>
                <c:pt idx="55">
                  <c:v>44334</c:v>
                </c:pt>
              </c:numCache>
            </c:numRef>
          </c:cat>
          <c:val>
            <c:numRef>
              <c:f>均泰衡山量化一号!$B$21:$B$76</c:f>
              <c:numCache>
                <c:formatCode>0.0000_ </c:formatCode>
                <c:ptCount val="56"/>
                <c:pt idx="0">
                  <c:v>1.0129999999999999</c:v>
                </c:pt>
                <c:pt idx="1">
                  <c:v>1.02</c:v>
                </c:pt>
                <c:pt idx="2">
                  <c:v>1.01</c:v>
                </c:pt>
                <c:pt idx="3">
                  <c:v>1.004</c:v>
                </c:pt>
                <c:pt idx="4">
                  <c:v>1.0069999999999999</c:v>
                </c:pt>
                <c:pt idx="5">
                  <c:v>1.016</c:v>
                </c:pt>
                <c:pt idx="6">
                  <c:v>1.012</c:v>
                </c:pt>
                <c:pt idx="7">
                  <c:v>1.0089999999999999</c:v>
                </c:pt>
                <c:pt idx="8">
                  <c:v>1.0049999999999999</c:v>
                </c:pt>
                <c:pt idx="9">
                  <c:v>1.002</c:v>
                </c:pt>
                <c:pt idx="10">
                  <c:v>1.002</c:v>
                </c:pt>
                <c:pt idx="11">
                  <c:v>1</c:v>
                </c:pt>
                <c:pt idx="12">
                  <c:v>1.004</c:v>
                </c:pt>
                <c:pt idx="13">
                  <c:v>1</c:v>
                </c:pt>
                <c:pt idx="14">
                  <c:v>1.004</c:v>
                </c:pt>
                <c:pt idx="15">
                  <c:v>1.0049999999999999</c:v>
                </c:pt>
                <c:pt idx="16">
                  <c:v>1.0049999999999999</c:v>
                </c:pt>
                <c:pt idx="17">
                  <c:v>1.002</c:v>
                </c:pt>
                <c:pt idx="18">
                  <c:v>0.997</c:v>
                </c:pt>
                <c:pt idx="19">
                  <c:v>0.995</c:v>
                </c:pt>
                <c:pt idx="20">
                  <c:v>0.99399999999999999</c:v>
                </c:pt>
                <c:pt idx="21">
                  <c:v>0.995</c:v>
                </c:pt>
                <c:pt idx="22">
                  <c:v>0.997</c:v>
                </c:pt>
                <c:pt idx="23">
                  <c:v>0.999</c:v>
                </c:pt>
                <c:pt idx="24">
                  <c:v>0.997</c:v>
                </c:pt>
                <c:pt idx="25">
                  <c:v>0.997</c:v>
                </c:pt>
                <c:pt idx="26">
                  <c:v>0.999</c:v>
                </c:pt>
                <c:pt idx="27">
                  <c:v>1</c:v>
                </c:pt>
                <c:pt idx="28">
                  <c:v>0.999</c:v>
                </c:pt>
                <c:pt idx="29">
                  <c:v>0.998</c:v>
                </c:pt>
                <c:pt idx="30">
                  <c:v>0.999</c:v>
                </c:pt>
                <c:pt idx="31">
                  <c:v>1</c:v>
                </c:pt>
                <c:pt idx="32">
                  <c:v>1.0009999999999999</c:v>
                </c:pt>
                <c:pt idx="33">
                  <c:v>0.996</c:v>
                </c:pt>
                <c:pt idx="34">
                  <c:v>0.996</c:v>
                </c:pt>
                <c:pt idx="35">
                  <c:v>0.999</c:v>
                </c:pt>
                <c:pt idx="36">
                  <c:v>1.004</c:v>
                </c:pt>
                <c:pt idx="37">
                  <c:v>1.0069999999999999</c:v>
                </c:pt>
                <c:pt idx="38">
                  <c:v>1.0089999999999999</c:v>
                </c:pt>
                <c:pt idx="39">
                  <c:v>1.0089999999999999</c:v>
                </c:pt>
                <c:pt idx="40">
                  <c:v>1.006</c:v>
                </c:pt>
                <c:pt idx="41">
                  <c:v>1.008</c:v>
                </c:pt>
                <c:pt idx="42">
                  <c:v>1.0069999999999999</c:v>
                </c:pt>
                <c:pt idx="43">
                  <c:v>1.0069999999999999</c:v>
                </c:pt>
                <c:pt idx="44">
                  <c:v>1.008</c:v>
                </c:pt>
                <c:pt idx="45">
                  <c:v>1.01</c:v>
                </c:pt>
                <c:pt idx="46">
                  <c:v>1.0089999999999999</c:v>
                </c:pt>
                <c:pt idx="47">
                  <c:v>1.016</c:v>
                </c:pt>
                <c:pt idx="48">
                  <c:v>1.0129999999999999</c:v>
                </c:pt>
                <c:pt idx="49">
                  <c:v>1.016</c:v>
                </c:pt>
                <c:pt idx="50">
                  <c:v>1.006</c:v>
                </c:pt>
                <c:pt idx="51">
                  <c:v>1.006</c:v>
                </c:pt>
                <c:pt idx="52">
                  <c:v>1</c:v>
                </c:pt>
                <c:pt idx="53">
                  <c:v>1.002</c:v>
                </c:pt>
                <c:pt idx="54">
                  <c:v>1.012</c:v>
                </c:pt>
                <c:pt idx="55">
                  <c:v>1.016</c:v>
                </c:pt>
              </c:numCache>
            </c:numRef>
          </c:val>
          <c:smooth val="0"/>
          <c:extLst>
            <c:ext xmlns:c16="http://schemas.microsoft.com/office/drawing/2014/chart" uri="{C3380CC4-5D6E-409C-BE32-E72D297353CC}">
              <c16:uniqueId val="{00000000-9360-4A37-AAB2-354F2690A2B5}"/>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鼎一精粹!$B$20</c:f>
              <c:strCache>
                <c:ptCount val="1"/>
                <c:pt idx="0">
                  <c:v>累计净值</c:v>
                </c:pt>
              </c:strCache>
            </c:strRef>
          </c:tx>
          <c:spPr>
            <a:ln w="28575" cap="rnd">
              <a:solidFill>
                <a:schemeClr val="accent1"/>
              </a:solidFill>
              <a:round/>
            </a:ln>
            <a:effectLst/>
          </c:spPr>
          <c:marker>
            <c:symbol val="none"/>
          </c:marker>
          <c:cat>
            <c:numRef>
              <c:f>鼎一精粹!$A$21:$A$77</c:f>
              <c:numCache>
                <c:formatCode>m/d/yy</c:formatCode>
                <c:ptCount val="57"/>
                <c:pt idx="0">
                  <c:v>44249</c:v>
                </c:pt>
                <c:pt idx="1">
                  <c:v>44250</c:v>
                </c:pt>
                <c:pt idx="2">
                  <c:v>44251</c:v>
                </c:pt>
                <c:pt idx="3">
                  <c:v>44252</c:v>
                </c:pt>
                <c:pt idx="4">
                  <c:v>44253</c:v>
                </c:pt>
                <c:pt idx="5">
                  <c:v>44256</c:v>
                </c:pt>
                <c:pt idx="6">
                  <c:v>44257</c:v>
                </c:pt>
                <c:pt idx="7">
                  <c:v>44258</c:v>
                </c:pt>
                <c:pt idx="8">
                  <c:v>44259</c:v>
                </c:pt>
                <c:pt idx="9">
                  <c:v>44260</c:v>
                </c:pt>
                <c:pt idx="10">
                  <c:v>44263</c:v>
                </c:pt>
                <c:pt idx="11">
                  <c:v>44264</c:v>
                </c:pt>
                <c:pt idx="12">
                  <c:v>44265</c:v>
                </c:pt>
                <c:pt idx="13">
                  <c:v>44266</c:v>
                </c:pt>
                <c:pt idx="14">
                  <c:v>44267</c:v>
                </c:pt>
                <c:pt idx="15">
                  <c:v>44270</c:v>
                </c:pt>
                <c:pt idx="16">
                  <c:v>44271</c:v>
                </c:pt>
                <c:pt idx="17">
                  <c:v>44272</c:v>
                </c:pt>
                <c:pt idx="18">
                  <c:v>44273</c:v>
                </c:pt>
                <c:pt idx="19">
                  <c:v>44274</c:v>
                </c:pt>
                <c:pt idx="20">
                  <c:v>44277</c:v>
                </c:pt>
                <c:pt idx="21">
                  <c:v>44278</c:v>
                </c:pt>
                <c:pt idx="22">
                  <c:v>44279</c:v>
                </c:pt>
                <c:pt idx="23">
                  <c:v>44280</c:v>
                </c:pt>
                <c:pt idx="24">
                  <c:v>44281</c:v>
                </c:pt>
                <c:pt idx="25">
                  <c:v>44284</c:v>
                </c:pt>
                <c:pt idx="26">
                  <c:v>44285</c:v>
                </c:pt>
                <c:pt idx="27">
                  <c:v>44286</c:v>
                </c:pt>
                <c:pt idx="28">
                  <c:v>44287</c:v>
                </c:pt>
                <c:pt idx="29">
                  <c:v>44288</c:v>
                </c:pt>
                <c:pt idx="30">
                  <c:v>44292</c:v>
                </c:pt>
                <c:pt idx="31">
                  <c:v>44293</c:v>
                </c:pt>
                <c:pt idx="32">
                  <c:v>44294</c:v>
                </c:pt>
                <c:pt idx="33">
                  <c:v>44295</c:v>
                </c:pt>
                <c:pt idx="34">
                  <c:v>44298</c:v>
                </c:pt>
                <c:pt idx="35">
                  <c:v>44299</c:v>
                </c:pt>
                <c:pt idx="36">
                  <c:v>44300</c:v>
                </c:pt>
                <c:pt idx="37">
                  <c:v>44301</c:v>
                </c:pt>
                <c:pt idx="38">
                  <c:v>44302</c:v>
                </c:pt>
                <c:pt idx="39">
                  <c:v>44305</c:v>
                </c:pt>
                <c:pt idx="40">
                  <c:v>44306</c:v>
                </c:pt>
                <c:pt idx="41">
                  <c:v>44307</c:v>
                </c:pt>
                <c:pt idx="42">
                  <c:v>44308</c:v>
                </c:pt>
                <c:pt idx="43">
                  <c:v>44309</c:v>
                </c:pt>
                <c:pt idx="44">
                  <c:v>44312</c:v>
                </c:pt>
                <c:pt idx="45">
                  <c:v>44313</c:v>
                </c:pt>
                <c:pt idx="46">
                  <c:v>44314</c:v>
                </c:pt>
                <c:pt idx="47">
                  <c:v>44315</c:v>
                </c:pt>
                <c:pt idx="48">
                  <c:v>44316</c:v>
                </c:pt>
                <c:pt idx="49">
                  <c:v>44322</c:v>
                </c:pt>
                <c:pt idx="50">
                  <c:v>44323</c:v>
                </c:pt>
                <c:pt idx="51">
                  <c:v>44326</c:v>
                </c:pt>
                <c:pt idx="52">
                  <c:v>44327</c:v>
                </c:pt>
                <c:pt idx="53">
                  <c:v>44328</c:v>
                </c:pt>
                <c:pt idx="54">
                  <c:v>44329</c:v>
                </c:pt>
                <c:pt idx="55">
                  <c:v>44330</c:v>
                </c:pt>
                <c:pt idx="56">
                  <c:v>44333</c:v>
                </c:pt>
              </c:numCache>
            </c:numRef>
          </c:cat>
          <c:val>
            <c:numRef>
              <c:f>鼎一精粹!$B$21:$B$77</c:f>
              <c:numCache>
                <c:formatCode>0.0000_ </c:formatCode>
                <c:ptCount val="57"/>
                <c:pt idx="0">
                  <c:v>1</c:v>
                </c:pt>
                <c:pt idx="1">
                  <c:v>1</c:v>
                </c:pt>
                <c:pt idx="2">
                  <c:v>1</c:v>
                </c:pt>
                <c:pt idx="3">
                  <c:v>1</c:v>
                </c:pt>
                <c:pt idx="4">
                  <c:v>1</c:v>
                </c:pt>
                <c:pt idx="5">
                  <c:v>1</c:v>
                </c:pt>
                <c:pt idx="6">
                  <c:v>1</c:v>
                </c:pt>
                <c:pt idx="7">
                  <c:v>1</c:v>
                </c:pt>
                <c:pt idx="8">
                  <c:v>0.99929999999999997</c:v>
                </c:pt>
                <c:pt idx="9">
                  <c:v>0.99929999999999997</c:v>
                </c:pt>
                <c:pt idx="10">
                  <c:v>0.99919999999999998</c:v>
                </c:pt>
                <c:pt idx="11">
                  <c:v>0.99919999999999998</c:v>
                </c:pt>
                <c:pt idx="12">
                  <c:v>0.99909999999999999</c:v>
                </c:pt>
                <c:pt idx="13">
                  <c:v>0.99909999999999999</c:v>
                </c:pt>
                <c:pt idx="14">
                  <c:v>0.99909999999999999</c:v>
                </c:pt>
                <c:pt idx="15">
                  <c:v>1.0039</c:v>
                </c:pt>
                <c:pt idx="16">
                  <c:v>0.99990000000000001</c:v>
                </c:pt>
                <c:pt idx="17">
                  <c:v>0.99009999999999998</c:v>
                </c:pt>
                <c:pt idx="18">
                  <c:v>0.98860000000000003</c:v>
                </c:pt>
                <c:pt idx="19">
                  <c:v>0.98870000000000002</c:v>
                </c:pt>
                <c:pt idx="20">
                  <c:v>0.98599999999999999</c:v>
                </c:pt>
                <c:pt idx="21">
                  <c:v>0.99770000000000003</c:v>
                </c:pt>
                <c:pt idx="22">
                  <c:v>0.99129999999999996</c:v>
                </c:pt>
                <c:pt idx="23">
                  <c:v>0.98540000000000005</c:v>
                </c:pt>
                <c:pt idx="24">
                  <c:v>0.98640000000000005</c:v>
                </c:pt>
                <c:pt idx="25">
                  <c:v>0.96799999999999997</c:v>
                </c:pt>
                <c:pt idx="26">
                  <c:v>0.97050000000000003</c:v>
                </c:pt>
                <c:pt idx="27">
                  <c:v>0.97399999999999998</c:v>
                </c:pt>
                <c:pt idx="28">
                  <c:v>0.98809999999999998</c:v>
                </c:pt>
                <c:pt idx="29">
                  <c:v>1.02</c:v>
                </c:pt>
                <c:pt idx="30">
                  <c:v>1.0091000000000001</c:v>
                </c:pt>
                <c:pt idx="31">
                  <c:v>0.98280000000000001</c:v>
                </c:pt>
                <c:pt idx="32">
                  <c:v>0.99299999999999999</c:v>
                </c:pt>
                <c:pt idx="33">
                  <c:v>0.99160000000000004</c:v>
                </c:pt>
                <c:pt idx="34">
                  <c:v>0.97919999999999996</c:v>
                </c:pt>
                <c:pt idx="35">
                  <c:v>0.97989999999999999</c:v>
                </c:pt>
                <c:pt idx="36">
                  <c:v>0.96850000000000003</c:v>
                </c:pt>
                <c:pt idx="37">
                  <c:v>0.99619999999999997</c:v>
                </c:pt>
                <c:pt idx="38">
                  <c:v>1.0029999999999999</c:v>
                </c:pt>
                <c:pt idx="39">
                  <c:v>1.0129999999999999</c:v>
                </c:pt>
                <c:pt idx="40">
                  <c:v>1.018</c:v>
                </c:pt>
                <c:pt idx="41">
                  <c:v>1.0157</c:v>
                </c:pt>
                <c:pt idx="42">
                  <c:v>1.0221</c:v>
                </c:pt>
                <c:pt idx="43">
                  <c:v>1.0206999999999999</c:v>
                </c:pt>
                <c:pt idx="44">
                  <c:v>1.0251999999999999</c:v>
                </c:pt>
                <c:pt idx="45">
                  <c:v>1.0194000000000001</c:v>
                </c:pt>
                <c:pt idx="46">
                  <c:v>1.0259</c:v>
                </c:pt>
                <c:pt idx="47">
                  <c:v>1.0306999999999999</c:v>
                </c:pt>
                <c:pt idx="48">
                  <c:v>1.0293000000000001</c:v>
                </c:pt>
                <c:pt idx="49">
                  <c:v>1.0295000000000001</c:v>
                </c:pt>
                <c:pt idx="50">
                  <c:v>1.0306999999999999</c:v>
                </c:pt>
                <c:pt idx="51">
                  <c:v>1.0311999999999999</c:v>
                </c:pt>
                <c:pt idx="52">
                  <c:v>1.0378000000000001</c:v>
                </c:pt>
                <c:pt idx="53">
                  <c:v>1.0438000000000001</c:v>
                </c:pt>
                <c:pt idx="54">
                  <c:v>1.0477000000000001</c:v>
                </c:pt>
                <c:pt idx="55">
                  <c:v>1.0499000000000001</c:v>
                </c:pt>
                <c:pt idx="56">
                  <c:v>1.0515000000000001</c:v>
                </c:pt>
              </c:numCache>
            </c:numRef>
          </c:val>
          <c:smooth val="0"/>
          <c:extLst>
            <c:ext xmlns:c16="http://schemas.microsoft.com/office/drawing/2014/chart" uri="{C3380CC4-5D6E-409C-BE32-E72D297353CC}">
              <c16:uniqueId val="{00000000-C9C1-4FE5-9D63-25A5635D6384}"/>
            </c:ext>
          </c:extLst>
        </c:ser>
        <c:dLbls>
          <c:showLegendKey val="0"/>
          <c:showVal val="0"/>
          <c:showCatName val="0"/>
          <c:showSerName val="0"/>
          <c:showPercent val="0"/>
          <c:showBubbleSize val="0"/>
        </c:dLbls>
        <c:smooth val="0"/>
        <c:axId val="790284143"/>
        <c:axId val="790290799"/>
      </c:lineChart>
      <c:catAx>
        <c:axId val="790284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90799"/>
        <c:crosses val="autoZero"/>
        <c:auto val="0"/>
        <c:lblAlgn val="ctr"/>
        <c:lblOffset val="100"/>
        <c:noMultiLvlLbl val="0"/>
      </c:catAx>
      <c:valAx>
        <c:axId val="790290799"/>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8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知睿一号!$B$20</c:f>
              <c:strCache>
                <c:ptCount val="1"/>
                <c:pt idx="0">
                  <c:v>累计净值</c:v>
                </c:pt>
              </c:strCache>
            </c:strRef>
          </c:tx>
          <c:spPr>
            <a:ln w="28575" cap="rnd">
              <a:solidFill>
                <a:schemeClr val="accent1"/>
              </a:solidFill>
              <a:round/>
            </a:ln>
            <a:effectLst/>
          </c:spPr>
          <c:marker>
            <c:symbol val="none"/>
          </c:marker>
          <c:cat>
            <c:numRef>
              <c:f>知睿一号!$A$21:$A$50</c:f>
              <c:numCache>
                <c:formatCode>m/d/yy</c:formatCode>
                <c:ptCount val="30"/>
                <c:pt idx="0">
                  <c:v>44286</c:v>
                </c:pt>
                <c:pt idx="1">
                  <c:v>44287</c:v>
                </c:pt>
                <c:pt idx="2">
                  <c:v>44288</c:v>
                </c:pt>
                <c:pt idx="3">
                  <c:v>44292</c:v>
                </c:pt>
                <c:pt idx="4">
                  <c:v>44293</c:v>
                </c:pt>
                <c:pt idx="5">
                  <c:v>44294</c:v>
                </c:pt>
                <c:pt idx="6">
                  <c:v>44295</c:v>
                </c:pt>
                <c:pt idx="7">
                  <c:v>44298</c:v>
                </c:pt>
                <c:pt idx="8">
                  <c:v>44299</c:v>
                </c:pt>
                <c:pt idx="9">
                  <c:v>44300</c:v>
                </c:pt>
                <c:pt idx="10">
                  <c:v>44301</c:v>
                </c:pt>
                <c:pt idx="11">
                  <c:v>44302</c:v>
                </c:pt>
                <c:pt idx="12">
                  <c:v>44305</c:v>
                </c:pt>
                <c:pt idx="13">
                  <c:v>44306</c:v>
                </c:pt>
                <c:pt idx="14">
                  <c:v>44307</c:v>
                </c:pt>
                <c:pt idx="15">
                  <c:v>44308</c:v>
                </c:pt>
                <c:pt idx="16">
                  <c:v>44309</c:v>
                </c:pt>
                <c:pt idx="17">
                  <c:v>44312</c:v>
                </c:pt>
                <c:pt idx="18">
                  <c:v>44313</c:v>
                </c:pt>
                <c:pt idx="19">
                  <c:v>44314</c:v>
                </c:pt>
                <c:pt idx="20">
                  <c:v>44315</c:v>
                </c:pt>
                <c:pt idx="21">
                  <c:v>44316</c:v>
                </c:pt>
                <c:pt idx="22">
                  <c:v>44322</c:v>
                </c:pt>
                <c:pt idx="23">
                  <c:v>44323</c:v>
                </c:pt>
                <c:pt idx="24">
                  <c:v>44326</c:v>
                </c:pt>
                <c:pt idx="25">
                  <c:v>44327</c:v>
                </c:pt>
                <c:pt idx="26">
                  <c:v>44328</c:v>
                </c:pt>
                <c:pt idx="27">
                  <c:v>44329</c:v>
                </c:pt>
                <c:pt idx="28">
                  <c:v>44330</c:v>
                </c:pt>
                <c:pt idx="29">
                  <c:v>44333</c:v>
                </c:pt>
              </c:numCache>
            </c:numRef>
          </c:cat>
          <c:val>
            <c:numRef>
              <c:f>知睿一号!$B$21:$B$50</c:f>
              <c:numCache>
                <c:formatCode>0.0000_ </c:formatCode>
                <c:ptCount val="30"/>
                <c:pt idx="0">
                  <c:v>1</c:v>
                </c:pt>
                <c:pt idx="1">
                  <c:v>1</c:v>
                </c:pt>
                <c:pt idx="2">
                  <c:v>1</c:v>
                </c:pt>
                <c:pt idx="3">
                  <c:v>1</c:v>
                </c:pt>
                <c:pt idx="4">
                  <c:v>1</c:v>
                </c:pt>
                <c:pt idx="5">
                  <c:v>0.999</c:v>
                </c:pt>
                <c:pt idx="6">
                  <c:v>0.999</c:v>
                </c:pt>
                <c:pt idx="7">
                  <c:v>0.998</c:v>
                </c:pt>
                <c:pt idx="8">
                  <c:v>0.997</c:v>
                </c:pt>
                <c:pt idx="9">
                  <c:v>0.997</c:v>
                </c:pt>
                <c:pt idx="10">
                  <c:v>0.999</c:v>
                </c:pt>
                <c:pt idx="11">
                  <c:v>1.0009999999999999</c:v>
                </c:pt>
                <c:pt idx="12">
                  <c:v>1</c:v>
                </c:pt>
                <c:pt idx="13">
                  <c:v>1.002</c:v>
                </c:pt>
                <c:pt idx="14">
                  <c:v>1.0029999999999999</c:v>
                </c:pt>
                <c:pt idx="15">
                  <c:v>1.0029999999999999</c:v>
                </c:pt>
                <c:pt idx="16">
                  <c:v>1.0049999999999999</c:v>
                </c:pt>
                <c:pt idx="17">
                  <c:v>1.0069999999999999</c:v>
                </c:pt>
                <c:pt idx="18">
                  <c:v>1.0069999999999999</c:v>
                </c:pt>
                <c:pt idx="19">
                  <c:v>0.998</c:v>
                </c:pt>
                <c:pt idx="20">
                  <c:v>1.0009999999999999</c:v>
                </c:pt>
                <c:pt idx="21">
                  <c:v>1.004</c:v>
                </c:pt>
                <c:pt idx="22">
                  <c:v>1.0209999999999999</c:v>
                </c:pt>
                <c:pt idx="23">
                  <c:v>1.02</c:v>
                </c:pt>
                <c:pt idx="24">
                  <c:v>1.022</c:v>
                </c:pt>
                <c:pt idx="25">
                  <c:v>1.024</c:v>
                </c:pt>
                <c:pt idx="26">
                  <c:v>1.028</c:v>
                </c:pt>
                <c:pt idx="27">
                  <c:v>1.03</c:v>
                </c:pt>
                <c:pt idx="28">
                  <c:v>1.028</c:v>
                </c:pt>
                <c:pt idx="29">
                  <c:v>1.03</c:v>
                </c:pt>
              </c:numCache>
            </c:numRef>
          </c:val>
          <c:smooth val="0"/>
          <c:extLst>
            <c:ext xmlns:c16="http://schemas.microsoft.com/office/drawing/2014/chart" uri="{C3380CC4-5D6E-409C-BE32-E72D297353CC}">
              <c16:uniqueId val="{00000000-05D8-43B7-9EC8-67BA3D41824A}"/>
            </c:ext>
          </c:extLst>
        </c:ser>
        <c:dLbls>
          <c:showLegendKey val="0"/>
          <c:showVal val="0"/>
          <c:showCatName val="0"/>
          <c:showSerName val="0"/>
          <c:showPercent val="0"/>
          <c:showBubbleSize val="0"/>
        </c:dLbls>
        <c:smooth val="0"/>
        <c:axId val="790284143"/>
        <c:axId val="790290799"/>
      </c:lineChart>
      <c:catAx>
        <c:axId val="790284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90799"/>
        <c:crosses val="autoZero"/>
        <c:auto val="0"/>
        <c:lblAlgn val="ctr"/>
        <c:lblOffset val="100"/>
        <c:noMultiLvlLbl val="0"/>
      </c:catAx>
      <c:valAx>
        <c:axId val="790290799"/>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8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鼎一超越!$B$20</c:f>
              <c:strCache>
                <c:ptCount val="1"/>
                <c:pt idx="0">
                  <c:v>累计净值</c:v>
                </c:pt>
              </c:strCache>
            </c:strRef>
          </c:tx>
          <c:spPr>
            <a:ln w="28575" cap="rnd">
              <a:solidFill>
                <a:schemeClr val="accent1"/>
              </a:solidFill>
              <a:round/>
            </a:ln>
            <a:effectLst/>
          </c:spPr>
          <c:marker>
            <c:symbol val="none"/>
          </c:marker>
          <c:cat>
            <c:numRef>
              <c:f>鼎一超越!$A$21:$A$34</c:f>
              <c:numCache>
                <c:formatCode>m/d/yy</c:formatCode>
                <c:ptCount val="14"/>
                <c:pt idx="0">
                  <c:v>44309</c:v>
                </c:pt>
                <c:pt idx="1">
                  <c:v>44312</c:v>
                </c:pt>
                <c:pt idx="2">
                  <c:v>44313</c:v>
                </c:pt>
                <c:pt idx="3">
                  <c:v>44314</c:v>
                </c:pt>
                <c:pt idx="4">
                  <c:v>44315</c:v>
                </c:pt>
                <c:pt idx="5">
                  <c:v>44316</c:v>
                </c:pt>
                <c:pt idx="6">
                  <c:v>44322</c:v>
                </c:pt>
                <c:pt idx="7">
                  <c:v>44323</c:v>
                </c:pt>
                <c:pt idx="8">
                  <c:v>44326</c:v>
                </c:pt>
                <c:pt idx="9">
                  <c:v>44327</c:v>
                </c:pt>
                <c:pt idx="10">
                  <c:v>44328</c:v>
                </c:pt>
                <c:pt idx="11">
                  <c:v>44329</c:v>
                </c:pt>
                <c:pt idx="12">
                  <c:v>44330</c:v>
                </c:pt>
                <c:pt idx="13">
                  <c:v>44333</c:v>
                </c:pt>
              </c:numCache>
            </c:numRef>
          </c:cat>
          <c:val>
            <c:numRef>
              <c:f>鼎一超越!$B$21:$B$34</c:f>
              <c:numCache>
                <c:formatCode>0.0000_ </c:formatCode>
                <c:ptCount val="14"/>
                <c:pt idx="0">
                  <c:v>0.88529999999999998</c:v>
                </c:pt>
                <c:pt idx="1">
                  <c:v>0.89090000000000003</c:v>
                </c:pt>
                <c:pt idx="2">
                  <c:v>0.90080000000000005</c:v>
                </c:pt>
                <c:pt idx="3">
                  <c:v>0.88400000000000001</c:v>
                </c:pt>
                <c:pt idx="4">
                  <c:v>0.89019999999999999</c:v>
                </c:pt>
                <c:pt idx="5">
                  <c:v>0.88429999999999997</c:v>
                </c:pt>
                <c:pt idx="6">
                  <c:v>0.89649999999999996</c:v>
                </c:pt>
                <c:pt idx="7">
                  <c:v>0.89290000000000003</c:v>
                </c:pt>
                <c:pt idx="8">
                  <c:v>0.92220000000000002</c:v>
                </c:pt>
                <c:pt idx="9">
                  <c:v>0.91369999999999996</c:v>
                </c:pt>
                <c:pt idx="10">
                  <c:v>0.90849999999999997</c:v>
                </c:pt>
                <c:pt idx="11">
                  <c:v>0.87739999999999996</c:v>
                </c:pt>
                <c:pt idx="12">
                  <c:v>0.90720000000000001</c:v>
                </c:pt>
                <c:pt idx="13">
                  <c:v>0.90329999999999999</c:v>
                </c:pt>
              </c:numCache>
            </c:numRef>
          </c:val>
          <c:smooth val="0"/>
          <c:extLst>
            <c:ext xmlns:c16="http://schemas.microsoft.com/office/drawing/2014/chart" uri="{C3380CC4-5D6E-409C-BE32-E72D297353CC}">
              <c16:uniqueId val="{00000000-B3BD-407F-B355-8A0ADF824A6A}"/>
            </c:ext>
          </c:extLst>
        </c:ser>
        <c:dLbls>
          <c:showLegendKey val="0"/>
          <c:showVal val="0"/>
          <c:showCatName val="0"/>
          <c:showSerName val="0"/>
          <c:showPercent val="0"/>
          <c:showBubbleSize val="0"/>
        </c:dLbls>
        <c:smooth val="0"/>
        <c:axId val="790284143"/>
        <c:axId val="790290799"/>
      </c:lineChart>
      <c:catAx>
        <c:axId val="790284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90799"/>
        <c:crosses val="autoZero"/>
        <c:auto val="0"/>
        <c:lblAlgn val="ctr"/>
        <c:lblOffset val="100"/>
        <c:noMultiLvlLbl val="0"/>
      </c:catAx>
      <c:valAx>
        <c:axId val="790290799"/>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8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400"/>
              <a:t>子基金</a:t>
            </a:r>
            <a:r>
              <a:rPr lang="en-US" altLang="zh-CN" sz="1400"/>
              <a:t>A</a:t>
            </a:r>
          </a:p>
        </c:rich>
      </c:tx>
      <c:overlay val="0"/>
    </c:title>
    <c:autoTitleDeleted val="0"/>
    <c:plotArea>
      <c:layout/>
      <c:lineChart>
        <c:grouping val="standard"/>
        <c:varyColors val="0"/>
        <c:ser>
          <c:idx val="0"/>
          <c:order val="0"/>
          <c:tx>
            <c:strRef>
              <c:f>爱凡哲六号!$B$20</c:f>
              <c:strCache>
                <c:ptCount val="1"/>
                <c:pt idx="0">
                  <c:v>累计净值</c:v>
                </c:pt>
              </c:strCache>
            </c:strRef>
          </c:tx>
          <c:spPr>
            <a:ln>
              <a:solidFill>
                <a:srgbClr val="FF0000"/>
              </a:solidFill>
            </a:ln>
          </c:spPr>
          <c:marker>
            <c:symbol val="none"/>
          </c:marker>
          <c:cat>
            <c:numRef>
              <c:f>爱凡哲六号!$A$21:$A$387</c:f>
              <c:numCache>
                <c:formatCode>m/d/yy</c:formatCode>
                <c:ptCount val="367"/>
                <c:pt idx="0">
                  <c:v>43698</c:v>
                </c:pt>
                <c:pt idx="1">
                  <c:v>43699</c:v>
                </c:pt>
                <c:pt idx="2">
                  <c:v>43700</c:v>
                </c:pt>
                <c:pt idx="3">
                  <c:v>43703</c:v>
                </c:pt>
                <c:pt idx="4">
                  <c:v>43704</c:v>
                </c:pt>
                <c:pt idx="5">
                  <c:v>43705</c:v>
                </c:pt>
                <c:pt idx="6">
                  <c:v>43706</c:v>
                </c:pt>
                <c:pt idx="7">
                  <c:v>43707</c:v>
                </c:pt>
                <c:pt idx="8">
                  <c:v>43710</c:v>
                </c:pt>
                <c:pt idx="9">
                  <c:v>43711</c:v>
                </c:pt>
                <c:pt idx="10">
                  <c:v>43712</c:v>
                </c:pt>
                <c:pt idx="11">
                  <c:v>43713</c:v>
                </c:pt>
                <c:pt idx="12">
                  <c:v>43714</c:v>
                </c:pt>
                <c:pt idx="13">
                  <c:v>43717</c:v>
                </c:pt>
                <c:pt idx="14">
                  <c:v>43718</c:v>
                </c:pt>
                <c:pt idx="15">
                  <c:v>43719</c:v>
                </c:pt>
                <c:pt idx="16">
                  <c:v>43720</c:v>
                </c:pt>
                <c:pt idx="17">
                  <c:v>43724</c:v>
                </c:pt>
                <c:pt idx="18">
                  <c:v>43725</c:v>
                </c:pt>
                <c:pt idx="19">
                  <c:v>43726</c:v>
                </c:pt>
                <c:pt idx="20">
                  <c:v>43727</c:v>
                </c:pt>
                <c:pt idx="21">
                  <c:v>43728</c:v>
                </c:pt>
                <c:pt idx="22">
                  <c:v>43731</c:v>
                </c:pt>
                <c:pt idx="23">
                  <c:v>43732</c:v>
                </c:pt>
                <c:pt idx="24">
                  <c:v>43733</c:v>
                </c:pt>
                <c:pt idx="25">
                  <c:v>43734</c:v>
                </c:pt>
                <c:pt idx="26">
                  <c:v>43735</c:v>
                </c:pt>
                <c:pt idx="27">
                  <c:v>43738</c:v>
                </c:pt>
                <c:pt idx="28">
                  <c:v>43746</c:v>
                </c:pt>
                <c:pt idx="29">
                  <c:v>43747</c:v>
                </c:pt>
                <c:pt idx="30">
                  <c:v>43748</c:v>
                </c:pt>
                <c:pt idx="31">
                  <c:v>43749</c:v>
                </c:pt>
                <c:pt idx="32">
                  <c:v>43752</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43780</c:v>
                </c:pt>
                <c:pt idx="53">
                  <c:v>43781</c:v>
                </c:pt>
                <c:pt idx="54">
                  <c:v>43782</c:v>
                </c:pt>
                <c:pt idx="55">
                  <c:v>43783</c:v>
                </c:pt>
                <c:pt idx="56">
                  <c:v>43784</c:v>
                </c:pt>
                <c:pt idx="57">
                  <c:v>43787</c:v>
                </c:pt>
                <c:pt idx="58">
                  <c:v>43788</c:v>
                </c:pt>
                <c:pt idx="59">
                  <c:v>43789</c:v>
                </c:pt>
                <c:pt idx="60">
                  <c:v>43790</c:v>
                </c:pt>
                <c:pt idx="61">
                  <c:v>43791</c:v>
                </c:pt>
                <c:pt idx="62">
                  <c:v>43794</c:v>
                </c:pt>
                <c:pt idx="63">
                  <c:v>43795</c:v>
                </c:pt>
                <c:pt idx="64">
                  <c:v>43796</c:v>
                </c:pt>
                <c:pt idx="65">
                  <c:v>43797</c:v>
                </c:pt>
                <c:pt idx="66">
                  <c:v>43798</c:v>
                </c:pt>
                <c:pt idx="67">
                  <c:v>43801</c:v>
                </c:pt>
                <c:pt idx="68">
                  <c:v>43802</c:v>
                </c:pt>
                <c:pt idx="69">
                  <c:v>43803</c:v>
                </c:pt>
                <c:pt idx="70">
                  <c:v>43804</c:v>
                </c:pt>
                <c:pt idx="71">
                  <c:v>43805</c:v>
                </c:pt>
                <c:pt idx="72">
                  <c:v>43808</c:v>
                </c:pt>
                <c:pt idx="73">
                  <c:v>43809</c:v>
                </c:pt>
                <c:pt idx="74">
                  <c:v>43810</c:v>
                </c:pt>
                <c:pt idx="75">
                  <c:v>43811</c:v>
                </c:pt>
                <c:pt idx="76">
                  <c:v>43812</c:v>
                </c:pt>
                <c:pt idx="77">
                  <c:v>43815</c:v>
                </c:pt>
                <c:pt idx="78">
                  <c:v>43816</c:v>
                </c:pt>
                <c:pt idx="79">
                  <c:v>43817</c:v>
                </c:pt>
                <c:pt idx="80">
                  <c:v>43818</c:v>
                </c:pt>
                <c:pt idx="81">
                  <c:v>43819</c:v>
                </c:pt>
                <c:pt idx="82">
                  <c:v>43822</c:v>
                </c:pt>
                <c:pt idx="83">
                  <c:v>43823</c:v>
                </c:pt>
                <c:pt idx="84">
                  <c:v>43824</c:v>
                </c:pt>
                <c:pt idx="85">
                  <c:v>43825</c:v>
                </c:pt>
                <c:pt idx="86">
                  <c:v>43826</c:v>
                </c:pt>
                <c:pt idx="87">
                  <c:v>43829</c:v>
                </c:pt>
                <c:pt idx="88">
                  <c:v>43830</c:v>
                </c:pt>
                <c:pt idx="89">
                  <c:v>43832</c:v>
                </c:pt>
                <c:pt idx="90">
                  <c:v>43833</c:v>
                </c:pt>
                <c:pt idx="91">
                  <c:v>43836</c:v>
                </c:pt>
                <c:pt idx="92">
                  <c:v>43837</c:v>
                </c:pt>
                <c:pt idx="93">
                  <c:v>43838</c:v>
                </c:pt>
                <c:pt idx="94">
                  <c:v>43839</c:v>
                </c:pt>
                <c:pt idx="95">
                  <c:v>43840</c:v>
                </c:pt>
                <c:pt idx="96">
                  <c:v>43843</c:v>
                </c:pt>
                <c:pt idx="97">
                  <c:v>43844</c:v>
                </c:pt>
                <c:pt idx="98">
                  <c:v>43845</c:v>
                </c:pt>
                <c:pt idx="99">
                  <c:v>43846</c:v>
                </c:pt>
                <c:pt idx="100">
                  <c:v>43847</c:v>
                </c:pt>
                <c:pt idx="101">
                  <c:v>43850</c:v>
                </c:pt>
                <c:pt idx="102">
                  <c:v>43851</c:v>
                </c:pt>
                <c:pt idx="103">
                  <c:v>43852</c:v>
                </c:pt>
                <c:pt idx="104">
                  <c:v>43853</c:v>
                </c:pt>
                <c:pt idx="105">
                  <c:v>43864</c:v>
                </c:pt>
                <c:pt idx="106">
                  <c:v>43865</c:v>
                </c:pt>
                <c:pt idx="107">
                  <c:v>43866</c:v>
                </c:pt>
                <c:pt idx="108">
                  <c:v>43867</c:v>
                </c:pt>
                <c:pt idx="109">
                  <c:v>43868</c:v>
                </c:pt>
                <c:pt idx="110">
                  <c:v>43871</c:v>
                </c:pt>
                <c:pt idx="111">
                  <c:v>43872</c:v>
                </c:pt>
                <c:pt idx="112">
                  <c:v>43873</c:v>
                </c:pt>
                <c:pt idx="113">
                  <c:v>43874</c:v>
                </c:pt>
                <c:pt idx="114">
                  <c:v>43875</c:v>
                </c:pt>
                <c:pt idx="115">
                  <c:v>43878</c:v>
                </c:pt>
                <c:pt idx="116">
                  <c:v>43879</c:v>
                </c:pt>
                <c:pt idx="117">
                  <c:v>43880</c:v>
                </c:pt>
                <c:pt idx="118">
                  <c:v>43881</c:v>
                </c:pt>
                <c:pt idx="119">
                  <c:v>43882</c:v>
                </c:pt>
                <c:pt idx="120">
                  <c:v>43885</c:v>
                </c:pt>
                <c:pt idx="121">
                  <c:v>43886</c:v>
                </c:pt>
                <c:pt idx="122">
                  <c:v>43887</c:v>
                </c:pt>
                <c:pt idx="123">
                  <c:v>43888</c:v>
                </c:pt>
                <c:pt idx="124">
                  <c:v>43889</c:v>
                </c:pt>
                <c:pt idx="125">
                  <c:v>43892</c:v>
                </c:pt>
                <c:pt idx="126">
                  <c:v>43893</c:v>
                </c:pt>
                <c:pt idx="127">
                  <c:v>43894</c:v>
                </c:pt>
                <c:pt idx="128">
                  <c:v>43895</c:v>
                </c:pt>
                <c:pt idx="129">
                  <c:v>43896</c:v>
                </c:pt>
                <c:pt idx="130">
                  <c:v>43899</c:v>
                </c:pt>
                <c:pt idx="131">
                  <c:v>43900</c:v>
                </c:pt>
                <c:pt idx="132">
                  <c:v>43901</c:v>
                </c:pt>
                <c:pt idx="133">
                  <c:v>43902</c:v>
                </c:pt>
                <c:pt idx="134">
                  <c:v>43903</c:v>
                </c:pt>
                <c:pt idx="135">
                  <c:v>43906</c:v>
                </c:pt>
                <c:pt idx="136">
                  <c:v>43907</c:v>
                </c:pt>
                <c:pt idx="137">
                  <c:v>43908</c:v>
                </c:pt>
                <c:pt idx="138">
                  <c:v>43909</c:v>
                </c:pt>
                <c:pt idx="139">
                  <c:v>43910</c:v>
                </c:pt>
                <c:pt idx="140">
                  <c:v>43913</c:v>
                </c:pt>
                <c:pt idx="141">
                  <c:v>43914</c:v>
                </c:pt>
                <c:pt idx="142">
                  <c:v>43915</c:v>
                </c:pt>
                <c:pt idx="143">
                  <c:v>43916</c:v>
                </c:pt>
                <c:pt idx="144">
                  <c:v>43917</c:v>
                </c:pt>
                <c:pt idx="145">
                  <c:v>43920</c:v>
                </c:pt>
                <c:pt idx="146">
                  <c:v>43921</c:v>
                </c:pt>
                <c:pt idx="147">
                  <c:v>43922</c:v>
                </c:pt>
                <c:pt idx="148">
                  <c:v>43923</c:v>
                </c:pt>
                <c:pt idx="149">
                  <c:v>43924</c:v>
                </c:pt>
                <c:pt idx="150">
                  <c:v>43928</c:v>
                </c:pt>
                <c:pt idx="151">
                  <c:v>43929</c:v>
                </c:pt>
                <c:pt idx="152">
                  <c:v>43930</c:v>
                </c:pt>
                <c:pt idx="153">
                  <c:v>43931</c:v>
                </c:pt>
                <c:pt idx="154">
                  <c:v>43934</c:v>
                </c:pt>
                <c:pt idx="155">
                  <c:v>43935</c:v>
                </c:pt>
                <c:pt idx="156">
                  <c:v>43936</c:v>
                </c:pt>
                <c:pt idx="157">
                  <c:v>43937</c:v>
                </c:pt>
                <c:pt idx="158">
                  <c:v>43938</c:v>
                </c:pt>
                <c:pt idx="159">
                  <c:v>43941</c:v>
                </c:pt>
                <c:pt idx="160">
                  <c:v>43942</c:v>
                </c:pt>
                <c:pt idx="161">
                  <c:v>43943</c:v>
                </c:pt>
                <c:pt idx="162">
                  <c:v>43944</c:v>
                </c:pt>
                <c:pt idx="163">
                  <c:v>43945</c:v>
                </c:pt>
                <c:pt idx="164">
                  <c:v>43948</c:v>
                </c:pt>
                <c:pt idx="165">
                  <c:v>43949</c:v>
                </c:pt>
                <c:pt idx="166">
                  <c:v>43950</c:v>
                </c:pt>
                <c:pt idx="167">
                  <c:v>43951</c:v>
                </c:pt>
                <c:pt idx="168">
                  <c:v>43957</c:v>
                </c:pt>
                <c:pt idx="169">
                  <c:v>43958</c:v>
                </c:pt>
                <c:pt idx="170">
                  <c:v>43959</c:v>
                </c:pt>
                <c:pt idx="171">
                  <c:v>43962</c:v>
                </c:pt>
                <c:pt idx="172">
                  <c:v>43963</c:v>
                </c:pt>
                <c:pt idx="173">
                  <c:v>43964</c:v>
                </c:pt>
                <c:pt idx="174">
                  <c:v>43965</c:v>
                </c:pt>
                <c:pt idx="175">
                  <c:v>43966</c:v>
                </c:pt>
                <c:pt idx="176">
                  <c:v>43969</c:v>
                </c:pt>
                <c:pt idx="177">
                  <c:v>43970</c:v>
                </c:pt>
                <c:pt idx="178">
                  <c:v>43971</c:v>
                </c:pt>
                <c:pt idx="179">
                  <c:v>43972</c:v>
                </c:pt>
                <c:pt idx="180">
                  <c:v>43973</c:v>
                </c:pt>
                <c:pt idx="181">
                  <c:v>43976</c:v>
                </c:pt>
                <c:pt idx="182">
                  <c:v>43977</c:v>
                </c:pt>
                <c:pt idx="183">
                  <c:v>43978</c:v>
                </c:pt>
                <c:pt idx="184">
                  <c:v>43979</c:v>
                </c:pt>
                <c:pt idx="185">
                  <c:v>43980</c:v>
                </c:pt>
                <c:pt idx="186">
                  <c:v>43983</c:v>
                </c:pt>
                <c:pt idx="187">
                  <c:v>43984</c:v>
                </c:pt>
                <c:pt idx="188">
                  <c:v>43985</c:v>
                </c:pt>
                <c:pt idx="189">
                  <c:v>43986</c:v>
                </c:pt>
                <c:pt idx="190">
                  <c:v>43987</c:v>
                </c:pt>
                <c:pt idx="191">
                  <c:v>43990</c:v>
                </c:pt>
                <c:pt idx="192">
                  <c:v>43991</c:v>
                </c:pt>
                <c:pt idx="193">
                  <c:v>43992</c:v>
                </c:pt>
                <c:pt idx="194">
                  <c:v>43993</c:v>
                </c:pt>
                <c:pt idx="195">
                  <c:v>43994</c:v>
                </c:pt>
                <c:pt idx="196">
                  <c:v>43997</c:v>
                </c:pt>
                <c:pt idx="197">
                  <c:v>43998</c:v>
                </c:pt>
                <c:pt idx="198">
                  <c:v>43999</c:v>
                </c:pt>
                <c:pt idx="199">
                  <c:v>44000</c:v>
                </c:pt>
                <c:pt idx="200">
                  <c:v>44001</c:v>
                </c:pt>
                <c:pt idx="201">
                  <c:v>44004</c:v>
                </c:pt>
                <c:pt idx="202">
                  <c:v>44005</c:v>
                </c:pt>
                <c:pt idx="203">
                  <c:v>44006</c:v>
                </c:pt>
                <c:pt idx="204">
                  <c:v>44011</c:v>
                </c:pt>
                <c:pt idx="205">
                  <c:v>44012</c:v>
                </c:pt>
                <c:pt idx="206">
                  <c:v>44013</c:v>
                </c:pt>
                <c:pt idx="207">
                  <c:v>44014</c:v>
                </c:pt>
                <c:pt idx="208">
                  <c:v>44015</c:v>
                </c:pt>
                <c:pt idx="209">
                  <c:v>44018</c:v>
                </c:pt>
                <c:pt idx="210">
                  <c:v>44019</c:v>
                </c:pt>
                <c:pt idx="211">
                  <c:v>44020</c:v>
                </c:pt>
                <c:pt idx="212">
                  <c:v>44021</c:v>
                </c:pt>
                <c:pt idx="213">
                  <c:v>44022</c:v>
                </c:pt>
                <c:pt idx="214">
                  <c:v>44025</c:v>
                </c:pt>
                <c:pt idx="215">
                  <c:v>44026</c:v>
                </c:pt>
                <c:pt idx="216">
                  <c:v>44027</c:v>
                </c:pt>
                <c:pt idx="217">
                  <c:v>44028</c:v>
                </c:pt>
                <c:pt idx="218">
                  <c:v>44029</c:v>
                </c:pt>
                <c:pt idx="219">
                  <c:v>44032</c:v>
                </c:pt>
                <c:pt idx="220">
                  <c:v>44033</c:v>
                </c:pt>
                <c:pt idx="221">
                  <c:v>44034</c:v>
                </c:pt>
                <c:pt idx="222">
                  <c:v>44035</c:v>
                </c:pt>
                <c:pt idx="223">
                  <c:v>44036</c:v>
                </c:pt>
                <c:pt idx="224">
                  <c:v>44039</c:v>
                </c:pt>
                <c:pt idx="225">
                  <c:v>44040</c:v>
                </c:pt>
                <c:pt idx="226">
                  <c:v>44041</c:v>
                </c:pt>
                <c:pt idx="227">
                  <c:v>44042</c:v>
                </c:pt>
                <c:pt idx="228">
                  <c:v>44043</c:v>
                </c:pt>
                <c:pt idx="229">
                  <c:v>44046</c:v>
                </c:pt>
                <c:pt idx="230">
                  <c:v>44047</c:v>
                </c:pt>
                <c:pt idx="231">
                  <c:v>44048</c:v>
                </c:pt>
                <c:pt idx="232">
                  <c:v>44049</c:v>
                </c:pt>
                <c:pt idx="233">
                  <c:v>44050</c:v>
                </c:pt>
                <c:pt idx="234">
                  <c:v>44053</c:v>
                </c:pt>
                <c:pt idx="235">
                  <c:v>44054</c:v>
                </c:pt>
                <c:pt idx="236">
                  <c:v>44055</c:v>
                </c:pt>
                <c:pt idx="237">
                  <c:v>44056</c:v>
                </c:pt>
                <c:pt idx="238">
                  <c:v>44057</c:v>
                </c:pt>
                <c:pt idx="239">
                  <c:v>44060</c:v>
                </c:pt>
                <c:pt idx="240">
                  <c:v>44061</c:v>
                </c:pt>
                <c:pt idx="241">
                  <c:v>44062</c:v>
                </c:pt>
                <c:pt idx="242">
                  <c:v>44063</c:v>
                </c:pt>
                <c:pt idx="243">
                  <c:v>44064</c:v>
                </c:pt>
                <c:pt idx="244">
                  <c:v>44067</c:v>
                </c:pt>
                <c:pt idx="245">
                  <c:v>44068</c:v>
                </c:pt>
                <c:pt idx="246">
                  <c:v>44069</c:v>
                </c:pt>
                <c:pt idx="247">
                  <c:v>44070</c:v>
                </c:pt>
                <c:pt idx="248">
                  <c:v>44071</c:v>
                </c:pt>
                <c:pt idx="249">
                  <c:v>44074</c:v>
                </c:pt>
                <c:pt idx="250">
                  <c:v>44075</c:v>
                </c:pt>
                <c:pt idx="251">
                  <c:v>44076</c:v>
                </c:pt>
                <c:pt idx="252">
                  <c:v>44077</c:v>
                </c:pt>
                <c:pt idx="253">
                  <c:v>44078</c:v>
                </c:pt>
                <c:pt idx="254">
                  <c:v>44081</c:v>
                </c:pt>
                <c:pt idx="255">
                  <c:v>44082</c:v>
                </c:pt>
                <c:pt idx="256">
                  <c:v>44083</c:v>
                </c:pt>
                <c:pt idx="257">
                  <c:v>44084</c:v>
                </c:pt>
                <c:pt idx="258">
                  <c:v>44085</c:v>
                </c:pt>
                <c:pt idx="259">
                  <c:v>44088</c:v>
                </c:pt>
                <c:pt idx="260">
                  <c:v>44089</c:v>
                </c:pt>
                <c:pt idx="261">
                  <c:v>44090</c:v>
                </c:pt>
                <c:pt idx="262">
                  <c:v>44091</c:v>
                </c:pt>
                <c:pt idx="263">
                  <c:v>44092</c:v>
                </c:pt>
                <c:pt idx="264">
                  <c:v>44095</c:v>
                </c:pt>
                <c:pt idx="265">
                  <c:v>44096</c:v>
                </c:pt>
                <c:pt idx="266">
                  <c:v>44097</c:v>
                </c:pt>
                <c:pt idx="267">
                  <c:v>44098</c:v>
                </c:pt>
                <c:pt idx="268">
                  <c:v>44099</c:v>
                </c:pt>
                <c:pt idx="269">
                  <c:v>44102</c:v>
                </c:pt>
                <c:pt idx="270">
                  <c:v>44103</c:v>
                </c:pt>
                <c:pt idx="271">
                  <c:v>44104</c:v>
                </c:pt>
                <c:pt idx="272">
                  <c:v>44113</c:v>
                </c:pt>
                <c:pt idx="273">
                  <c:v>44116</c:v>
                </c:pt>
                <c:pt idx="274">
                  <c:v>44117</c:v>
                </c:pt>
                <c:pt idx="275">
                  <c:v>44118</c:v>
                </c:pt>
                <c:pt idx="276">
                  <c:v>44119</c:v>
                </c:pt>
                <c:pt idx="277">
                  <c:v>44120</c:v>
                </c:pt>
                <c:pt idx="278">
                  <c:v>44123</c:v>
                </c:pt>
                <c:pt idx="279">
                  <c:v>44124</c:v>
                </c:pt>
                <c:pt idx="280">
                  <c:v>44125</c:v>
                </c:pt>
                <c:pt idx="281">
                  <c:v>44126</c:v>
                </c:pt>
                <c:pt idx="282">
                  <c:v>44127</c:v>
                </c:pt>
                <c:pt idx="283">
                  <c:v>44130</c:v>
                </c:pt>
                <c:pt idx="284">
                  <c:v>44131</c:v>
                </c:pt>
                <c:pt idx="285">
                  <c:v>44132</c:v>
                </c:pt>
                <c:pt idx="286">
                  <c:v>44133</c:v>
                </c:pt>
                <c:pt idx="287">
                  <c:v>44134</c:v>
                </c:pt>
                <c:pt idx="288">
                  <c:v>44137</c:v>
                </c:pt>
                <c:pt idx="289">
                  <c:v>44138</c:v>
                </c:pt>
                <c:pt idx="290">
                  <c:v>44139</c:v>
                </c:pt>
                <c:pt idx="291">
                  <c:v>44140</c:v>
                </c:pt>
                <c:pt idx="292">
                  <c:v>44141</c:v>
                </c:pt>
                <c:pt idx="293">
                  <c:v>44144</c:v>
                </c:pt>
                <c:pt idx="294">
                  <c:v>44145</c:v>
                </c:pt>
                <c:pt idx="295">
                  <c:v>44146</c:v>
                </c:pt>
                <c:pt idx="296">
                  <c:v>44147</c:v>
                </c:pt>
                <c:pt idx="297">
                  <c:v>44148</c:v>
                </c:pt>
                <c:pt idx="298">
                  <c:v>44151</c:v>
                </c:pt>
                <c:pt idx="299">
                  <c:v>44152</c:v>
                </c:pt>
                <c:pt idx="300">
                  <c:v>44153</c:v>
                </c:pt>
                <c:pt idx="301">
                  <c:v>44154</c:v>
                </c:pt>
                <c:pt idx="302">
                  <c:v>44155</c:v>
                </c:pt>
                <c:pt idx="303">
                  <c:v>44158</c:v>
                </c:pt>
                <c:pt idx="304">
                  <c:v>44159</c:v>
                </c:pt>
                <c:pt idx="305">
                  <c:v>44160</c:v>
                </c:pt>
                <c:pt idx="306">
                  <c:v>44161</c:v>
                </c:pt>
                <c:pt idx="307">
                  <c:v>44162</c:v>
                </c:pt>
                <c:pt idx="308">
                  <c:v>44165</c:v>
                </c:pt>
                <c:pt idx="309">
                  <c:v>44166</c:v>
                </c:pt>
                <c:pt idx="310">
                  <c:v>44167</c:v>
                </c:pt>
                <c:pt idx="311">
                  <c:v>44168</c:v>
                </c:pt>
                <c:pt idx="312">
                  <c:v>44169</c:v>
                </c:pt>
                <c:pt idx="313">
                  <c:v>44172</c:v>
                </c:pt>
                <c:pt idx="314">
                  <c:v>44173</c:v>
                </c:pt>
                <c:pt idx="315">
                  <c:v>44174</c:v>
                </c:pt>
                <c:pt idx="316">
                  <c:v>44175</c:v>
                </c:pt>
                <c:pt idx="317">
                  <c:v>44176</c:v>
                </c:pt>
                <c:pt idx="318">
                  <c:v>44179</c:v>
                </c:pt>
                <c:pt idx="319">
                  <c:v>44180</c:v>
                </c:pt>
                <c:pt idx="320">
                  <c:v>44181</c:v>
                </c:pt>
                <c:pt idx="321">
                  <c:v>44182</c:v>
                </c:pt>
                <c:pt idx="322">
                  <c:v>44183</c:v>
                </c:pt>
                <c:pt idx="323">
                  <c:v>44186</c:v>
                </c:pt>
                <c:pt idx="324">
                  <c:v>44187</c:v>
                </c:pt>
                <c:pt idx="325">
                  <c:v>44188</c:v>
                </c:pt>
                <c:pt idx="326">
                  <c:v>44189</c:v>
                </c:pt>
                <c:pt idx="327">
                  <c:v>44190</c:v>
                </c:pt>
                <c:pt idx="328">
                  <c:v>44193</c:v>
                </c:pt>
                <c:pt idx="329">
                  <c:v>44194</c:v>
                </c:pt>
                <c:pt idx="330">
                  <c:v>44195</c:v>
                </c:pt>
                <c:pt idx="331">
                  <c:v>44196</c:v>
                </c:pt>
                <c:pt idx="332">
                  <c:v>44200</c:v>
                </c:pt>
                <c:pt idx="333">
                  <c:v>44201</c:v>
                </c:pt>
                <c:pt idx="334">
                  <c:v>44202</c:v>
                </c:pt>
                <c:pt idx="335">
                  <c:v>44203</c:v>
                </c:pt>
                <c:pt idx="336">
                  <c:v>44204</c:v>
                </c:pt>
                <c:pt idx="337">
                  <c:v>44207</c:v>
                </c:pt>
                <c:pt idx="338">
                  <c:v>44208</c:v>
                </c:pt>
                <c:pt idx="339">
                  <c:v>44209</c:v>
                </c:pt>
                <c:pt idx="340">
                  <c:v>44210</c:v>
                </c:pt>
                <c:pt idx="341">
                  <c:v>44211</c:v>
                </c:pt>
                <c:pt idx="342">
                  <c:v>44214</c:v>
                </c:pt>
                <c:pt idx="343">
                  <c:v>44215</c:v>
                </c:pt>
                <c:pt idx="344">
                  <c:v>44216</c:v>
                </c:pt>
                <c:pt idx="345">
                  <c:v>44217</c:v>
                </c:pt>
                <c:pt idx="346">
                  <c:v>44218</c:v>
                </c:pt>
                <c:pt idx="347">
                  <c:v>44221</c:v>
                </c:pt>
                <c:pt idx="348">
                  <c:v>44222</c:v>
                </c:pt>
                <c:pt idx="349">
                  <c:v>44223</c:v>
                </c:pt>
                <c:pt idx="350">
                  <c:v>44224</c:v>
                </c:pt>
                <c:pt idx="351">
                  <c:v>44225</c:v>
                </c:pt>
                <c:pt idx="352">
                  <c:v>44228</c:v>
                </c:pt>
                <c:pt idx="353">
                  <c:v>44229</c:v>
                </c:pt>
                <c:pt idx="354">
                  <c:v>44230</c:v>
                </c:pt>
                <c:pt idx="355">
                  <c:v>44231</c:v>
                </c:pt>
                <c:pt idx="356">
                  <c:v>44232</c:v>
                </c:pt>
                <c:pt idx="357">
                  <c:v>44235</c:v>
                </c:pt>
                <c:pt idx="358">
                  <c:v>44236</c:v>
                </c:pt>
                <c:pt idx="359">
                  <c:v>44237</c:v>
                </c:pt>
                <c:pt idx="360">
                  <c:v>44245</c:v>
                </c:pt>
                <c:pt idx="361">
                  <c:v>44246</c:v>
                </c:pt>
                <c:pt idx="362">
                  <c:v>44249</c:v>
                </c:pt>
                <c:pt idx="363">
                  <c:v>44250</c:v>
                </c:pt>
                <c:pt idx="364">
                  <c:v>44251</c:v>
                </c:pt>
                <c:pt idx="365">
                  <c:v>44252</c:v>
                </c:pt>
                <c:pt idx="366">
                  <c:v>44253</c:v>
                </c:pt>
              </c:numCache>
            </c:numRef>
          </c:cat>
          <c:val>
            <c:numRef>
              <c:f>爱凡哲六号!$B$21:$B$387</c:f>
              <c:numCache>
                <c:formatCode>0.0000_ </c:formatCode>
                <c:ptCount val="367"/>
                <c:pt idx="0">
                  <c:v>1</c:v>
                </c:pt>
                <c:pt idx="1">
                  <c:v>1</c:v>
                </c:pt>
                <c:pt idx="2">
                  <c:v>1</c:v>
                </c:pt>
                <c:pt idx="3">
                  <c:v>1</c:v>
                </c:pt>
                <c:pt idx="4">
                  <c:v>1.0009999999999999</c:v>
                </c:pt>
                <c:pt idx="5">
                  <c:v>1.002</c:v>
                </c:pt>
                <c:pt idx="6">
                  <c:v>1.0029999999999999</c:v>
                </c:pt>
                <c:pt idx="7">
                  <c:v>1.002</c:v>
                </c:pt>
                <c:pt idx="8">
                  <c:v>1.0009999999999999</c:v>
                </c:pt>
                <c:pt idx="9">
                  <c:v>1.0069999999999999</c:v>
                </c:pt>
                <c:pt idx="10">
                  <c:v>1.008</c:v>
                </c:pt>
                <c:pt idx="11">
                  <c:v>1.0049999999999999</c:v>
                </c:pt>
                <c:pt idx="12">
                  <c:v>1.006</c:v>
                </c:pt>
                <c:pt idx="13">
                  <c:v>1.006</c:v>
                </c:pt>
                <c:pt idx="14">
                  <c:v>1.0069999999999999</c:v>
                </c:pt>
                <c:pt idx="15">
                  <c:v>1.006</c:v>
                </c:pt>
                <c:pt idx="16">
                  <c:v>1.0069999999999999</c:v>
                </c:pt>
                <c:pt idx="17">
                  <c:v>1.008</c:v>
                </c:pt>
                <c:pt idx="18">
                  <c:v>1.0069999999999999</c:v>
                </c:pt>
                <c:pt idx="19">
                  <c:v>1.0089999999999999</c:v>
                </c:pt>
                <c:pt idx="20">
                  <c:v>1.008</c:v>
                </c:pt>
                <c:pt idx="21">
                  <c:v>1.008</c:v>
                </c:pt>
                <c:pt idx="22">
                  <c:v>1.008</c:v>
                </c:pt>
                <c:pt idx="23">
                  <c:v>1.01</c:v>
                </c:pt>
                <c:pt idx="24">
                  <c:v>1.0129999999999999</c:v>
                </c:pt>
                <c:pt idx="25">
                  <c:v>1.01</c:v>
                </c:pt>
                <c:pt idx="26">
                  <c:v>1.0109999999999999</c:v>
                </c:pt>
                <c:pt idx="27">
                  <c:v>1.0109999999999999</c:v>
                </c:pt>
                <c:pt idx="28">
                  <c:v>1.0129999999999999</c:v>
                </c:pt>
                <c:pt idx="29">
                  <c:v>1.016</c:v>
                </c:pt>
                <c:pt idx="30">
                  <c:v>1.016</c:v>
                </c:pt>
                <c:pt idx="31">
                  <c:v>1.014</c:v>
                </c:pt>
                <c:pt idx="32">
                  <c:v>1.018</c:v>
                </c:pt>
                <c:pt idx="33">
                  <c:v>1.0249999999999999</c:v>
                </c:pt>
                <c:pt idx="34">
                  <c:v>1.022</c:v>
                </c:pt>
                <c:pt idx="35">
                  <c:v>1.0189999999999999</c:v>
                </c:pt>
                <c:pt idx="36">
                  <c:v>1.0209999999999999</c:v>
                </c:pt>
                <c:pt idx="37">
                  <c:v>1.0209999999999999</c:v>
                </c:pt>
                <c:pt idx="38">
                  <c:v>1.0169999999999999</c:v>
                </c:pt>
                <c:pt idx="39">
                  <c:v>1.0149999999999999</c:v>
                </c:pt>
                <c:pt idx="40">
                  <c:v>1.024</c:v>
                </c:pt>
                <c:pt idx="41">
                  <c:v>1.0229999999999999</c:v>
                </c:pt>
                <c:pt idx="42">
                  <c:v>1.028</c:v>
                </c:pt>
                <c:pt idx="43">
                  <c:v>1.0209999999999999</c:v>
                </c:pt>
                <c:pt idx="44">
                  <c:v>1.0289999999999999</c:v>
                </c:pt>
                <c:pt idx="45">
                  <c:v>1.0309999999999999</c:v>
                </c:pt>
                <c:pt idx="46">
                  <c:v>1.0249999999999999</c:v>
                </c:pt>
                <c:pt idx="47">
                  <c:v>1.026</c:v>
                </c:pt>
                <c:pt idx="48">
                  <c:v>1.0289999999999999</c:v>
                </c:pt>
                <c:pt idx="49">
                  <c:v>1.0269999999999999</c:v>
                </c:pt>
                <c:pt idx="50">
                  <c:v>1.0249999999999999</c:v>
                </c:pt>
                <c:pt idx="51">
                  <c:v>1.0309999999999999</c:v>
                </c:pt>
                <c:pt idx="52">
                  <c:v>1.03</c:v>
                </c:pt>
                <c:pt idx="53">
                  <c:v>1.024</c:v>
                </c:pt>
                <c:pt idx="54">
                  <c:v>1.026</c:v>
                </c:pt>
                <c:pt idx="55">
                  <c:v>1.024</c:v>
                </c:pt>
                <c:pt idx="56">
                  <c:v>1.0269999999999999</c:v>
                </c:pt>
                <c:pt idx="57">
                  <c:v>1.03</c:v>
                </c:pt>
                <c:pt idx="58">
                  <c:v>1.03</c:v>
                </c:pt>
                <c:pt idx="59">
                  <c:v>1.0309999999999999</c:v>
                </c:pt>
                <c:pt idx="60">
                  <c:v>1.0309999999999999</c:v>
                </c:pt>
                <c:pt idx="61">
                  <c:v>1.0389999999999999</c:v>
                </c:pt>
                <c:pt idx="62">
                  <c:v>1.04</c:v>
                </c:pt>
                <c:pt idx="63">
                  <c:v>1.0389999999999999</c:v>
                </c:pt>
                <c:pt idx="64">
                  <c:v>1.0409999999999999</c:v>
                </c:pt>
                <c:pt idx="65">
                  <c:v>1.042</c:v>
                </c:pt>
                <c:pt idx="66">
                  <c:v>1.0429999999999999</c:v>
                </c:pt>
                <c:pt idx="67">
                  <c:v>1.044</c:v>
                </c:pt>
                <c:pt idx="68">
                  <c:v>1.046</c:v>
                </c:pt>
                <c:pt idx="69">
                  <c:v>1.0469999999999999</c:v>
                </c:pt>
                <c:pt idx="70">
                  <c:v>1.046</c:v>
                </c:pt>
                <c:pt idx="71">
                  <c:v>1.048</c:v>
                </c:pt>
                <c:pt idx="72">
                  <c:v>1.042</c:v>
                </c:pt>
                <c:pt idx="73">
                  <c:v>1.0449999999999999</c:v>
                </c:pt>
                <c:pt idx="74">
                  <c:v>1.0469999999999999</c:v>
                </c:pt>
                <c:pt idx="75">
                  <c:v>1.05</c:v>
                </c:pt>
                <c:pt idx="76">
                  <c:v>1.05</c:v>
                </c:pt>
                <c:pt idx="77">
                  <c:v>1.05</c:v>
                </c:pt>
                <c:pt idx="78">
                  <c:v>1.05</c:v>
                </c:pt>
                <c:pt idx="79">
                  <c:v>1.0489999999999999</c:v>
                </c:pt>
                <c:pt idx="80">
                  <c:v>1.052</c:v>
                </c:pt>
                <c:pt idx="81">
                  <c:v>1.0509999999999999</c:v>
                </c:pt>
                <c:pt idx="82">
                  <c:v>1.05</c:v>
                </c:pt>
                <c:pt idx="83">
                  <c:v>1.0549999999999999</c:v>
                </c:pt>
                <c:pt idx="84">
                  <c:v>1.0549999999999999</c:v>
                </c:pt>
                <c:pt idx="85">
                  <c:v>1.056</c:v>
                </c:pt>
                <c:pt idx="86">
                  <c:v>1.0549999999999999</c:v>
                </c:pt>
                <c:pt idx="87">
                  <c:v>1.0529999999999999</c:v>
                </c:pt>
                <c:pt idx="88">
                  <c:v>1.0529999999999999</c:v>
                </c:pt>
                <c:pt idx="89">
                  <c:v>1.0549999999999999</c:v>
                </c:pt>
                <c:pt idx="90">
                  <c:v>1.056</c:v>
                </c:pt>
                <c:pt idx="91">
                  <c:v>1.0569999999999999</c:v>
                </c:pt>
                <c:pt idx="92">
                  <c:v>1.0580000000000001</c:v>
                </c:pt>
                <c:pt idx="93">
                  <c:v>1.06</c:v>
                </c:pt>
                <c:pt idx="94">
                  <c:v>1.056</c:v>
                </c:pt>
                <c:pt idx="95">
                  <c:v>1.0569999999999999</c:v>
                </c:pt>
                <c:pt idx="96">
                  <c:v>1.0589999999999999</c:v>
                </c:pt>
                <c:pt idx="97">
                  <c:v>1.06</c:v>
                </c:pt>
                <c:pt idx="98">
                  <c:v>1.0589999999999999</c:v>
                </c:pt>
                <c:pt idx="99">
                  <c:v>1.0609999999999999</c:v>
                </c:pt>
                <c:pt idx="100">
                  <c:v>1.0609999999999999</c:v>
                </c:pt>
                <c:pt idx="101">
                  <c:v>1.0649999999999999</c:v>
                </c:pt>
                <c:pt idx="102">
                  <c:v>1.0649999999999999</c:v>
                </c:pt>
                <c:pt idx="103">
                  <c:v>1.0649999999999999</c:v>
                </c:pt>
                <c:pt idx="104">
                  <c:v>1.0649999999999999</c:v>
                </c:pt>
                <c:pt idx="105">
                  <c:v>1.0649999999999999</c:v>
                </c:pt>
                <c:pt idx="106">
                  <c:v>1.0649999999999999</c:v>
                </c:pt>
                <c:pt idx="107">
                  <c:v>1.0649999999999999</c:v>
                </c:pt>
                <c:pt idx="108">
                  <c:v>1.0649999999999999</c:v>
                </c:pt>
                <c:pt idx="109">
                  <c:v>1.0649999999999999</c:v>
                </c:pt>
                <c:pt idx="110">
                  <c:v>1.0649999999999999</c:v>
                </c:pt>
                <c:pt idx="111">
                  <c:v>1.0660000000000001</c:v>
                </c:pt>
                <c:pt idx="112">
                  <c:v>1.0680000000000001</c:v>
                </c:pt>
                <c:pt idx="113">
                  <c:v>1.0680000000000001</c:v>
                </c:pt>
                <c:pt idx="114">
                  <c:v>1.0669999999999999</c:v>
                </c:pt>
                <c:pt idx="115">
                  <c:v>1.0669999999999999</c:v>
                </c:pt>
                <c:pt idx="116">
                  <c:v>1.0669999999999999</c:v>
                </c:pt>
                <c:pt idx="117">
                  <c:v>1.069</c:v>
                </c:pt>
                <c:pt idx="118">
                  <c:v>1.07</c:v>
                </c:pt>
                <c:pt idx="119">
                  <c:v>1.0720000000000001</c:v>
                </c:pt>
                <c:pt idx="120">
                  <c:v>1.073</c:v>
                </c:pt>
                <c:pt idx="121">
                  <c:v>1.075</c:v>
                </c:pt>
                <c:pt idx="122">
                  <c:v>1.0760000000000001</c:v>
                </c:pt>
                <c:pt idx="123">
                  <c:v>1.073</c:v>
                </c:pt>
                <c:pt idx="124">
                  <c:v>1.0720000000000001</c:v>
                </c:pt>
                <c:pt idx="125">
                  <c:v>1.069</c:v>
                </c:pt>
                <c:pt idx="126">
                  <c:v>1.069</c:v>
                </c:pt>
                <c:pt idx="127">
                  <c:v>1.069</c:v>
                </c:pt>
                <c:pt idx="128">
                  <c:v>1.0720000000000001</c:v>
                </c:pt>
                <c:pt idx="129">
                  <c:v>1.0740000000000001</c:v>
                </c:pt>
                <c:pt idx="130">
                  <c:v>1.0740000000000001</c:v>
                </c:pt>
                <c:pt idx="131">
                  <c:v>1.0760000000000001</c:v>
                </c:pt>
                <c:pt idx="132">
                  <c:v>1.0840000000000001</c:v>
                </c:pt>
                <c:pt idx="133">
                  <c:v>1.0820000000000001</c:v>
                </c:pt>
                <c:pt idx="134">
                  <c:v>1.0880000000000001</c:v>
                </c:pt>
                <c:pt idx="135">
                  <c:v>1.0840000000000001</c:v>
                </c:pt>
                <c:pt idx="136">
                  <c:v>1.0880000000000001</c:v>
                </c:pt>
                <c:pt idx="137">
                  <c:v>1.0940000000000001</c:v>
                </c:pt>
                <c:pt idx="138">
                  <c:v>1.101</c:v>
                </c:pt>
                <c:pt idx="139">
                  <c:v>1.107</c:v>
                </c:pt>
                <c:pt idx="140">
                  <c:v>1.103</c:v>
                </c:pt>
                <c:pt idx="141">
                  <c:v>1.1060000000000001</c:v>
                </c:pt>
                <c:pt idx="142">
                  <c:v>1.1080000000000001</c:v>
                </c:pt>
                <c:pt idx="143">
                  <c:v>1.101</c:v>
                </c:pt>
                <c:pt idx="144">
                  <c:v>1.1060000000000001</c:v>
                </c:pt>
                <c:pt idx="145">
                  <c:v>1.1100000000000001</c:v>
                </c:pt>
                <c:pt idx="146">
                  <c:v>1.1120000000000001</c:v>
                </c:pt>
                <c:pt idx="147">
                  <c:v>1.115</c:v>
                </c:pt>
                <c:pt idx="148">
                  <c:v>1.119</c:v>
                </c:pt>
                <c:pt idx="149">
                  <c:v>1.1200000000000001</c:v>
                </c:pt>
                <c:pt idx="150">
                  <c:v>1.1220000000000001</c:v>
                </c:pt>
                <c:pt idx="151">
                  <c:v>1.1240000000000001</c:v>
                </c:pt>
                <c:pt idx="152">
                  <c:v>1.121</c:v>
                </c:pt>
                <c:pt idx="153">
                  <c:v>1.121</c:v>
                </c:pt>
                <c:pt idx="154">
                  <c:v>1.1200000000000001</c:v>
                </c:pt>
                <c:pt idx="155">
                  <c:v>1.1220000000000001</c:v>
                </c:pt>
                <c:pt idx="156">
                  <c:v>1.127</c:v>
                </c:pt>
                <c:pt idx="157">
                  <c:v>1.135</c:v>
                </c:pt>
                <c:pt idx="158">
                  <c:v>1.1399999999999999</c:v>
                </c:pt>
                <c:pt idx="159">
                  <c:v>1.1439999999999999</c:v>
                </c:pt>
                <c:pt idx="160">
                  <c:v>1.151</c:v>
                </c:pt>
                <c:pt idx="161">
                  <c:v>1.151</c:v>
                </c:pt>
                <c:pt idx="162">
                  <c:v>1.153</c:v>
                </c:pt>
                <c:pt idx="163">
                  <c:v>1.153</c:v>
                </c:pt>
                <c:pt idx="164">
                  <c:v>1.1539999999999999</c:v>
                </c:pt>
                <c:pt idx="165">
                  <c:v>1.1499999999999999</c:v>
                </c:pt>
                <c:pt idx="166">
                  <c:v>1.1519999999999999</c:v>
                </c:pt>
                <c:pt idx="167">
                  <c:v>1.145</c:v>
                </c:pt>
                <c:pt idx="168">
                  <c:v>1.159</c:v>
                </c:pt>
                <c:pt idx="169">
                  <c:v>1.1619999999999999</c:v>
                </c:pt>
                <c:pt idx="170">
                  <c:v>1.161</c:v>
                </c:pt>
                <c:pt idx="171">
                  <c:v>1.163</c:v>
                </c:pt>
                <c:pt idx="172">
                  <c:v>1.1639999999999999</c:v>
                </c:pt>
                <c:pt idx="173">
                  <c:v>1.163</c:v>
                </c:pt>
                <c:pt idx="174">
                  <c:v>1.165</c:v>
                </c:pt>
                <c:pt idx="175">
                  <c:v>1.167</c:v>
                </c:pt>
                <c:pt idx="176">
                  <c:v>1.17</c:v>
                </c:pt>
                <c:pt idx="177">
                  <c:v>1.17</c:v>
                </c:pt>
                <c:pt idx="178">
                  <c:v>1.173</c:v>
                </c:pt>
                <c:pt idx="179">
                  <c:v>1.173</c:v>
                </c:pt>
                <c:pt idx="180">
                  <c:v>1.177</c:v>
                </c:pt>
                <c:pt idx="181">
                  <c:v>1.1779999999999999</c:v>
                </c:pt>
                <c:pt idx="182">
                  <c:v>1.1850000000000001</c:v>
                </c:pt>
                <c:pt idx="183">
                  <c:v>1.1850000000000001</c:v>
                </c:pt>
                <c:pt idx="184">
                  <c:v>1.1879999999999999</c:v>
                </c:pt>
                <c:pt idx="185">
                  <c:v>1.1859999999999999</c:v>
                </c:pt>
                <c:pt idx="186">
                  <c:v>1.19</c:v>
                </c:pt>
                <c:pt idx="187">
                  <c:v>1.1879999999999999</c:v>
                </c:pt>
                <c:pt idx="188">
                  <c:v>1.1850000000000001</c:v>
                </c:pt>
                <c:pt idx="189">
                  <c:v>1.1819999999999999</c:v>
                </c:pt>
                <c:pt idx="190">
                  <c:v>1.1850000000000001</c:v>
                </c:pt>
                <c:pt idx="191">
                  <c:v>1.1879999999999999</c:v>
                </c:pt>
                <c:pt idx="192">
                  <c:v>1.1890000000000001</c:v>
                </c:pt>
                <c:pt idx="193">
                  <c:v>1.1879999999999999</c:v>
                </c:pt>
                <c:pt idx="194">
                  <c:v>1.1890000000000001</c:v>
                </c:pt>
                <c:pt idx="195">
                  <c:v>1.1890000000000001</c:v>
                </c:pt>
                <c:pt idx="196">
                  <c:v>1.1910000000000001</c:v>
                </c:pt>
                <c:pt idx="197">
                  <c:v>1.1950000000000001</c:v>
                </c:pt>
                <c:pt idx="198">
                  <c:v>1.196</c:v>
                </c:pt>
                <c:pt idx="199">
                  <c:v>1.1950000000000001</c:v>
                </c:pt>
                <c:pt idx="200">
                  <c:v>1.19</c:v>
                </c:pt>
                <c:pt idx="201">
                  <c:v>1.1910000000000001</c:v>
                </c:pt>
                <c:pt idx="202">
                  <c:v>1.198</c:v>
                </c:pt>
                <c:pt idx="203">
                  <c:v>1.202</c:v>
                </c:pt>
                <c:pt idx="204">
                  <c:v>1.204</c:v>
                </c:pt>
                <c:pt idx="205">
                  <c:v>1.204</c:v>
                </c:pt>
                <c:pt idx="206">
                  <c:v>1.2050000000000001</c:v>
                </c:pt>
                <c:pt idx="207">
                  <c:v>1.202</c:v>
                </c:pt>
                <c:pt idx="208">
                  <c:v>1.204</c:v>
                </c:pt>
                <c:pt idx="209">
                  <c:v>1.2050000000000001</c:v>
                </c:pt>
                <c:pt idx="210">
                  <c:v>1.216</c:v>
                </c:pt>
                <c:pt idx="211">
                  <c:v>1.222</c:v>
                </c:pt>
                <c:pt idx="212">
                  <c:v>1.224</c:v>
                </c:pt>
                <c:pt idx="213">
                  <c:v>1.23</c:v>
                </c:pt>
                <c:pt idx="214">
                  <c:v>1.23</c:v>
                </c:pt>
                <c:pt idx="215">
                  <c:v>1.2310000000000001</c:v>
                </c:pt>
                <c:pt idx="216">
                  <c:v>1.2330000000000001</c:v>
                </c:pt>
                <c:pt idx="217">
                  <c:v>1.2430000000000001</c:v>
                </c:pt>
                <c:pt idx="218">
                  <c:v>1.2490000000000001</c:v>
                </c:pt>
                <c:pt idx="219">
                  <c:v>1.2529999999999999</c:v>
                </c:pt>
                <c:pt idx="220">
                  <c:v>1.254</c:v>
                </c:pt>
                <c:pt idx="221">
                  <c:v>1.258</c:v>
                </c:pt>
                <c:pt idx="222">
                  <c:v>1.2609999999999999</c:v>
                </c:pt>
                <c:pt idx="223">
                  <c:v>1.2629999999999999</c:v>
                </c:pt>
                <c:pt idx="224">
                  <c:v>1.2649999999999999</c:v>
                </c:pt>
                <c:pt idx="225">
                  <c:v>1.264</c:v>
                </c:pt>
                <c:pt idx="226">
                  <c:v>1.2629999999999999</c:v>
                </c:pt>
                <c:pt idx="227">
                  <c:v>1.264</c:v>
                </c:pt>
                <c:pt idx="228">
                  <c:v>1.266</c:v>
                </c:pt>
                <c:pt idx="229">
                  <c:v>1.266</c:v>
                </c:pt>
                <c:pt idx="230">
                  <c:v>1.2669999999999999</c:v>
                </c:pt>
                <c:pt idx="231">
                  <c:v>1.268</c:v>
                </c:pt>
                <c:pt idx="232">
                  <c:v>1.272</c:v>
                </c:pt>
                <c:pt idx="233">
                  <c:v>1.2709999999999999</c:v>
                </c:pt>
                <c:pt idx="234">
                  <c:v>1.2729999999999999</c:v>
                </c:pt>
                <c:pt idx="235">
                  <c:v>1.2729999999999999</c:v>
                </c:pt>
                <c:pt idx="236">
                  <c:v>1.276</c:v>
                </c:pt>
                <c:pt idx="237">
                  <c:v>1.2749999999999999</c:v>
                </c:pt>
                <c:pt idx="238">
                  <c:v>1.2769999999999999</c:v>
                </c:pt>
                <c:pt idx="239">
                  <c:v>1.2729999999999999</c:v>
                </c:pt>
                <c:pt idx="240">
                  <c:v>1.27</c:v>
                </c:pt>
                <c:pt idx="241">
                  <c:v>1.272</c:v>
                </c:pt>
                <c:pt idx="242">
                  <c:v>1.2709999999999999</c:v>
                </c:pt>
                <c:pt idx="243">
                  <c:v>1.2709999999999999</c:v>
                </c:pt>
                <c:pt idx="244">
                  <c:v>1.2729999999999999</c:v>
                </c:pt>
                <c:pt idx="245">
                  <c:v>1.274</c:v>
                </c:pt>
                <c:pt idx="246">
                  <c:v>1.272</c:v>
                </c:pt>
                <c:pt idx="247">
                  <c:v>1.2729999999999999</c:v>
                </c:pt>
                <c:pt idx="248">
                  <c:v>1.274</c:v>
                </c:pt>
                <c:pt idx="249">
                  <c:v>1.2729999999999999</c:v>
                </c:pt>
                <c:pt idx="250">
                  <c:v>1.2729999999999999</c:v>
                </c:pt>
                <c:pt idx="251">
                  <c:v>1.2729999999999999</c:v>
                </c:pt>
                <c:pt idx="252">
                  <c:v>1.276</c:v>
                </c:pt>
                <c:pt idx="253">
                  <c:v>1.2749999999999999</c:v>
                </c:pt>
                <c:pt idx="254">
                  <c:v>1.278</c:v>
                </c:pt>
                <c:pt idx="255">
                  <c:v>1.2769999999999999</c:v>
                </c:pt>
                <c:pt idx="256">
                  <c:v>1.28</c:v>
                </c:pt>
                <c:pt idx="257">
                  <c:v>1.2789999999999999</c:v>
                </c:pt>
                <c:pt idx="258">
                  <c:v>1.2809999999999999</c:v>
                </c:pt>
                <c:pt idx="259">
                  <c:v>1.2829999999999999</c:v>
                </c:pt>
                <c:pt idx="260">
                  <c:v>1.284</c:v>
                </c:pt>
                <c:pt idx="261">
                  <c:v>1.2849999999999999</c:v>
                </c:pt>
                <c:pt idx="262">
                  <c:v>1.286</c:v>
                </c:pt>
                <c:pt idx="263">
                  <c:v>1.2829999999999999</c:v>
                </c:pt>
                <c:pt idx="264">
                  <c:v>1.28</c:v>
                </c:pt>
                <c:pt idx="265">
                  <c:v>1.286</c:v>
                </c:pt>
                <c:pt idx="266">
                  <c:v>1.2849999999999999</c:v>
                </c:pt>
                <c:pt idx="267">
                  <c:v>1.2809999999999999</c:v>
                </c:pt>
                <c:pt idx="268">
                  <c:v>1.276</c:v>
                </c:pt>
                <c:pt idx="269">
                  <c:v>1.2749999999999999</c:v>
                </c:pt>
                <c:pt idx="270">
                  <c:v>1.276</c:v>
                </c:pt>
                <c:pt idx="271">
                  <c:v>1.276</c:v>
                </c:pt>
                <c:pt idx="272">
                  <c:v>1.2789999999999999</c:v>
                </c:pt>
                <c:pt idx="273">
                  <c:v>1.2789999999999999</c:v>
                </c:pt>
                <c:pt idx="274">
                  <c:v>1.28</c:v>
                </c:pt>
                <c:pt idx="275">
                  <c:v>1.2809999999999999</c:v>
                </c:pt>
                <c:pt idx="276">
                  <c:v>1.28</c:v>
                </c:pt>
                <c:pt idx="277">
                  <c:v>1.2829999999999999</c:v>
                </c:pt>
                <c:pt idx="278">
                  <c:v>1.284</c:v>
                </c:pt>
                <c:pt idx="279">
                  <c:v>1.284</c:v>
                </c:pt>
                <c:pt idx="280">
                  <c:v>1.2849999999999999</c:v>
                </c:pt>
                <c:pt idx="281">
                  <c:v>1.2849999999999999</c:v>
                </c:pt>
                <c:pt idx="282">
                  <c:v>1.2829999999999999</c:v>
                </c:pt>
                <c:pt idx="283">
                  <c:v>1.2849999999999999</c:v>
                </c:pt>
                <c:pt idx="284">
                  <c:v>1.2849999999999999</c:v>
                </c:pt>
                <c:pt idx="285">
                  <c:v>1.286</c:v>
                </c:pt>
                <c:pt idx="286">
                  <c:v>1.288</c:v>
                </c:pt>
                <c:pt idx="287">
                  <c:v>1.2929999999999999</c:v>
                </c:pt>
                <c:pt idx="288">
                  <c:v>1.294</c:v>
                </c:pt>
                <c:pt idx="289">
                  <c:v>1.2969999999999999</c:v>
                </c:pt>
                <c:pt idx="290">
                  <c:v>1.298</c:v>
                </c:pt>
                <c:pt idx="291">
                  <c:v>1.2989999999999999</c:v>
                </c:pt>
                <c:pt idx="292">
                  <c:v>1.3</c:v>
                </c:pt>
                <c:pt idx="293">
                  <c:v>1.3029999999999999</c:v>
                </c:pt>
                <c:pt idx="294">
                  <c:v>1.3080000000000001</c:v>
                </c:pt>
                <c:pt idx="295">
                  <c:v>1.3129999999999999</c:v>
                </c:pt>
                <c:pt idx="296">
                  <c:v>1.31</c:v>
                </c:pt>
                <c:pt idx="297">
                  <c:v>1.3140000000000001</c:v>
                </c:pt>
                <c:pt idx="298">
                  <c:v>1.3169999999999999</c:v>
                </c:pt>
                <c:pt idx="299">
                  <c:v>1.3169999999999999</c:v>
                </c:pt>
                <c:pt idx="300">
                  <c:v>1.3169999999999999</c:v>
                </c:pt>
                <c:pt idx="301">
                  <c:v>1.3169999999999999</c:v>
                </c:pt>
                <c:pt idx="302">
                  <c:v>1.3160000000000001</c:v>
                </c:pt>
                <c:pt idx="303">
                  <c:v>1.3120000000000001</c:v>
                </c:pt>
                <c:pt idx="304">
                  <c:v>1.306</c:v>
                </c:pt>
                <c:pt idx="305">
                  <c:v>1.306</c:v>
                </c:pt>
                <c:pt idx="306">
                  <c:v>1.3140000000000001</c:v>
                </c:pt>
                <c:pt idx="307">
                  <c:v>1.3149999999999999</c:v>
                </c:pt>
                <c:pt idx="308">
                  <c:v>1.319</c:v>
                </c:pt>
                <c:pt idx="309">
                  <c:v>1.3129999999999999</c:v>
                </c:pt>
                <c:pt idx="310">
                  <c:v>1.302</c:v>
                </c:pt>
                <c:pt idx="311">
                  <c:v>1.3009999999999999</c:v>
                </c:pt>
                <c:pt idx="312">
                  <c:v>1.3009999999999999</c:v>
                </c:pt>
                <c:pt idx="313">
                  <c:v>1.3009999999999999</c:v>
                </c:pt>
                <c:pt idx="314">
                  <c:v>1.304</c:v>
                </c:pt>
                <c:pt idx="315">
                  <c:v>1.3069999999999999</c:v>
                </c:pt>
                <c:pt idx="316">
                  <c:v>1.3080000000000001</c:v>
                </c:pt>
                <c:pt idx="317">
                  <c:v>1.3120000000000001</c:v>
                </c:pt>
                <c:pt idx="318">
                  <c:v>1.3120000000000001</c:v>
                </c:pt>
                <c:pt idx="319">
                  <c:v>1.3140000000000001</c:v>
                </c:pt>
                <c:pt idx="320">
                  <c:v>1.3149999999999999</c:v>
                </c:pt>
                <c:pt idx="321">
                  <c:v>1.3160000000000001</c:v>
                </c:pt>
                <c:pt idx="322">
                  <c:v>1.3169999999999999</c:v>
                </c:pt>
                <c:pt idx="323">
                  <c:v>1.3140000000000001</c:v>
                </c:pt>
                <c:pt idx="324">
                  <c:v>1.3169999999999999</c:v>
                </c:pt>
                <c:pt idx="325">
                  <c:v>1.327</c:v>
                </c:pt>
                <c:pt idx="326">
                  <c:v>1.325</c:v>
                </c:pt>
                <c:pt idx="327">
                  <c:v>1.3149999999999999</c:v>
                </c:pt>
                <c:pt idx="328">
                  <c:v>1.3140000000000001</c:v>
                </c:pt>
                <c:pt idx="329">
                  <c:v>1.3129999999999999</c:v>
                </c:pt>
                <c:pt idx="330">
                  <c:v>1.3169999999999999</c:v>
                </c:pt>
                <c:pt idx="331">
                  <c:v>1.3149999999999999</c:v>
                </c:pt>
                <c:pt idx="332">
                  <c:v>1.3129999999999999</c:v>
                </c:pt>
                <c:pt idx="333">
                  <c:v>1.3120000000000001</c:v>
                </c:pt>
                <c:pt idx="334">
                  <c:v>1.3140000000000001</c:v>
                </c:pt>
                <c:pt idx="335">
                  <c:v>1.3089999999999999</c:v>
                </c:pt>
                <c:pt idx="336">
                  <c:v>1.3009999999999999</c:v>
                </c:pt>
                <c:pt idx="337">
                  <c:v>1.3089999999999999</c:v>
                </c:pt>
                <c:pt idx="338">
                  <c:v>1.3120000000000001</c:v>
                </c:pt>
                <c:pt idx="339">
                  <c:v>1.3120000000000001</c:v>
                </c:pt>
                <c:pt idx="340">
                  <c:v>1.3160000000000001</c:v>
                </c:pt>
                <c:pt idx="341">
                  <c:v>1.325</c:v>
                </c:pt>
                <c:pt idx="342">
                  <c:v>1.32</c:v>
                </c:pt>
                <c:pt idx="343">
                  <c:v>1.319</c:v>
                </c:pt>
                <c:pt idx="344">
                  <c:v>1.3180000000000001</c:v>
                </c:pt>
                <c:pt idx="345">
                  <c:v>1.32</c:v>
                </c:pt>
                <c:pt idx="346">
                  <c:v>1.319</c:v>
                </c:pt>
                <c:pt idx="347">
                  <c:v>1.3260000000000001</c:v>
                </c:pt>
                <c:pt idx="348">
                  <c:v>1.327</c:v>
                </c:pt>
                <c:pt idx="349">
                  <c:v>1.329</c:v>
                </c:pt>
                <c:pt idx="350">
                  <c:v>1.329</c:v>
                </c:pt>
                <c:pt idx="351">
                  <c:v>1.331</c:v>
                </c:pt>
                <c:pt idx="352">
                  <c:v>1.3320000000000001</c:v>
                </c:pt>
                <c:pt idx="353">
                  <c:v>1.3360000000000001</c:v>
                </c:pt>
                <c:pt idx="354">
                  <c:v>1.335</c:v>
                </c:pt>
                <c:pt idx="355">
                  <c:v>1.3360000000000001</c:v>
                </c:pt>
                <c:pt idx="356">
                  <c:v>1.3340000000000001</c:v>
                </c:pt>
                <c:pt idx="357">
                  <c:v>1.335</c:v>
                </c:pt>
                <c:pt idx="358">
                  <c:v>1.337</c:v>
                </c:pt>
                <c:pt idx="359">
                  <c:v>1.3360000000000001</c:v>
                </c:pt>
                <c:pt idx="360">
                  <c:v>1.337</c:v>
                </c:pt>
                <c:pt idx="361">
                  <c:v>1.34</c:v>
                </c:pt>
                <c:pt idx="362">
                  <c:v>1.341</c:v>
                </c:pt>
                <c:pt idx="363">
                  <c:v>1.341</c:v>
                </c:pt>
                <c:pt idx="364">
                  <c:v>1.3420000000000001</c:v>
                </c:pt>
                <c:pt idx="365">
                  <c:v>1.341</c:v>
                </c:pt>
                <c:pt idx="366">
                  <c:v>1.345</c:v>
                </c:pt>
              </c:numCache>
            </c:numRef>
          </c:val>
          <c:smooth val="0"/>
          <c:extLst>
            <c:ext xmlns:c16="http://schemas.microsoft.com/office/drawing/2014/chart" uri="{C3380CC4-5D6E-409C-BE32-E72D297353CC}">
              <c16:uniqueId val="{00000000-E9E2-4598-B2DA-458304A59FFE}"/>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鹏鑫二号!$B$20</c:f>
              <c:strCache>
                <c:ptCount val="1"/>
                <c:pt idx="0">
                  <c:v>累计净值</c:v>
                </c:pt>
              </c:strCache>
            </c:strRef>
          </c:tx>
          <c:spPr>
            <a:ln w="28575" cap="rnd">
              <a:solidFill>
                <a:schemeClr val="accent1"/>
              </a:solidFill>
              <a:round/>
            </a:ln>
            <a:effectLst/>
          </c:spPr>
          <c:marker>
            <c:symbol val="none"/>
          </c:marker>
          <c:cat>
            <c:numRef>
              <c:f>鹏鑫二号!$A$21:$A$31</c:f>
              <c:numCache>
                <c:formatCode>m/d/yy</c:formatCode>
                <c:ptCount val="11"/>
                <c:pt idx="0">
                  <c:v>44313</c:v>
                </c:pt>
                <c:pt idx="1">
                  <c:v>44314</c:v>
                </c:pt>
                <c:pt idx="2">
                  <c:v>44315</c:v>
                </c:pt>
                <c:pt idx="3">
                  <c:v>44316</c:v>
                </c:pt>
                <c:pt idx="4">
                  <c:v>44322</c:v>
                </c:pt>
                <c:pt idx="5">
                  <c:v>44323</c:v>
                </c:pt>
                <c:pt idx="6">
                  <c:v>44326</c:v>
                </c:pt>
                <c:pt idx="7">
                  <c:v>44327</c:v>
                </c:pt>
                <c:pt idx="8">
                  <c:v>44328</c:v>
                </c:pt>
                <c:pt idx="9">
                  <c:v>44329</c:v>
                </c:pt>
                <c:pt idx="10">
                  <c:v>44330</c:v>
                </c:pt>
              </c:numCache>
            </c:numRef>
          </c:cat>
          <c:val>
            <c:numRef>
              <c:f>鹏鑫二号!$B$21:$B$31</c:f>
              <c:numCache>
                <c:formatCode>0.0000_ </c:formatCode>
                <c:ptCount val="11"/>
                <c:pt idx="0">
                  <c:v>1.2529999999999999</c:v>
                </c:pt>
                <c:pt idx="1">
                  <c:v>1.2529999999999999</c:v>
                </c:pt>
                <c:pt idx="2">
                  <c:v>1.2509999999999999</c:v>
                </c:pt>
                <c:pt idx="3">
                  <c:v>1.252</c:v>
                </c:pt>
                <c:pt idx="4">
                  <c:v>1.2509999999999999</c:v>
                </c:pt>
                <c:pt idx="5">
                  <c:v>1.2529999999999999</c:v>
                </c:pt>
                <c:pt idx="6">
                  <c:v>1.2529999999999999</c:v>
                </c:pt>
                <c:pt idx="7">
                  <c:v>1.252</c:v>
                </c:pt>
                <c:pt idx="8">
                  <c:v>1.252</c:v>
                </c:pt>
                <c:pt idx="9">
                  <c:v>1.2529999999999999</c:v>
                </c:pt>
                <c:pt idx="10">
                  <c:v>1.254</c:v>
                </c:pt>
              </c:numCache>
            </c:numRef>
          </c:val>
          <c:smooth val="0"/>
          <c:extLst>
            <c:ext xmlns:c16="http://schemas.microsoft.com/office/drawing/2014/chart" uri="{C3380CC4-5D6E-409C-BE32-E72D297353CC}">
              <c16:uniqueId val="{00000000-209D-4188-991D-A3E58CE208C0}"/>
            </c:ext>
          </c:extLst>
        </c:ser>
        <c:dLbls>
          <c:showLegendKey val="0"/>
          <c:showVal val="0"/>
          <c:showCatName val="0"/>
          <c:showSerName val="0"/>
          <c:showPercent val="0"/>
          <c:showBubbleSize val="0"/>
        </c:dLbls>
        <c:smooth val="0"/>
        <c:axId val="790284143"/>
        <c:axId val="790290799"/>
      </c:lineChart>
      <c:catAx>
        <c:axId val="790284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90799"/>
        <c:crosses val="autoZero"/>
        <c:auto val="0"/>
        <c:lblAlgn val="ctr"/>
        <c:lblOffset val="100"/>
        <c:noMultiLvlLbl val="0"/>
      </c:catAx>
      <c:valAx>
        <c:axId val="790290799"/>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8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同余1号!$B$20</c:f>
              <c:strCache>
                <c:ptCount val="1"/>
                <c:pt idx="0">
                  <c:v>累计净值</c:v>
                </c:pt>
              </c:strCache>
            </c:strRef>
          </c:tx>
          <c:spPr>
            <a:ln w="28575" cap="rnd">
              <a:solidFill>
                <a:schemeClr val="accent1"/>
              </a:solidFill>
              <a:round/>
            </a:ln>
            <a:effectLst/>
          </c:spPr>
          <c:marker>
            <c:symbol val="none"/>
          </c:marker>
          <c:cat>
            <c:numRef>
              <c:f>同余1号!$A$21:$A$30</c:f>
              <c:numCache>
                <c:formatCode>m/d/yy</c:formatCode>
                <c:ptCount val="10"/>
                <c:pt idx="0">
                  <c:v>44314</c:v>
                </c:pt>
                <c:pt idx="1">
                  <c:v>44315</c:v>
                </c:pt>
                <c:pt idx="2">
                  <c:v>44316</c:v>
                </c:pt>
                <c:pt idx="3">
                  <c:v>44322</c:v>
                </c:pt>
                <c:pt idx="4">
                  <c:v>44323</c:v>
                </c:pt>
                <c:pt idx="5">
                  <c:v>44326</c:v>
                </c:pt>
                <c:pt idx="6">
                  <c:v>44327</c:v>
                </c:pt>
                <c:pt idx="7">
                  <c:v>44328</c:v>
                </c:pt>
                <c:pt idx="8">
                  <c:v>44329</c:v>
                </c:pt>
                <c:pt idx="9">
                  <c:v>44330</c:v>
                </c:pt>
              </c:numCache>
            </c:numRef>
          </c:cat>
          <c:val>
            <c:numRef>
              <c:f>同余1号!$B$21:$B$30</c:f>
              <c:numCache>
                <c:formatCode>0.0000_ </c:formatCode>
                <c:ptCount val="10"/>
                <c:pt idx="0">
                  <c:v>0.999</c:v>
                </c:pt>
                <c:pt idx="1">
                  <c:v>0.999</c:v>
                </c:pt>
                <c:pt idx="2">
                  <c:v>0.99890000000000001</c:v>
                </c:pt>
                <c:pt idx="3">
                  <c:v>0.99819999999999998</c:v>
                </c:pt>
                <c:pt idx="4">
                  <c:v>0.99809999999999999</c:v>
                </c:pt>
                <c:pt idx="5">
                  <c:v>0.99709999999999999</c:v>
                </c:pt>
                <c:pt idx="6">
                  <c:v>0.99709999999999999</c:v>
                </c:pt>
                <c:pt idx="7">
                  <c:v>0.997</c:v>
                </c:pt>
                <c:pt idx="8">
                  <c:v>0.99690000000000001</c:v>
                </c:pt>
                <c:pt idx="9">
                  <c:v>0.99690000000000001</c:v>
                </c:pt>
              </c:numCache>
            </c:numRef>
          </c:val>
          <c:smooth val="0"/>
          <c:extLst>
            <c:ext xmlns:c16="http://schemas.microsoft.com/office/drawing/2014/chart" uri="{C3380CC4-5D6E-409C-BE32-E72D297353CC}">
              <c16:uniqueId val="{00000000-0332-4394-90FE-2FDC15917910}"/>
            </c:ext>
          </c:extLst>
        </c:ser>
        <c:dLbls>
          <c:showLegendKey val="0"/>
          <c:showVal val="0"/>
          <c:showCatName val="0"/>
          <c:showSerName val="0"/>
          <c:showPercent val="0"/>
          <c:showBubbleSize val="0"/>
        </c:dLbls>
        <c:smooth val="0"/>
        <c:axId val="790284143"/>
        <c:axId val="790290799"/>
      </c:lineChart>
      <c:catAx>
        <c:axId val="790284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90799"/>
        <c:crosses val="autoZero"/>
        <c:auto val="0"/>
        <c:lblAlgn val="ctr"/>
        <c:lblOffset val="100"/>
        <c:noMultiLvlLbl val="0"/>
      </c:catAx>
      <c:valAx>
        <c:axId val="790290799"/>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028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ltLang="en-US"/>
              <a:t>三号</a:t>
            </a:r>
          </a:p>
        </c:rich>
      </c:tx>
      <c:layout>
        <c:manualLayout>
          <c:xMode val="edge"/>
          <c:yMode val="edge"/>
          <c:x val="0.42143515079483002"/>
          <c:y val="0"/>
        </c:manualLayout>
      </c:layout>
      <c:overlay val="0"/>
    </c:title>
    <c:autoTitleDeleted val="0"/>
    <c:plotArea>
      <c:layout>
        <c:manualLayout>
          <c:layoutTarget val="inner"/>
          <c:xMode val="edge"/>
          <c:yMode val="edge"/>
          <c:x val="0.104999122108021"/>
          <c:y val="0.13185708332419399"/>
          <c:w val="0.86984364518757595"/>
          <c:h val="0.76736458082015502"/>
        </c:manualLayout>
      </c:layout>
      <c:lineChart>
        <c:grouping val="standard"/>
        <c:varyColors val="0"/>
        <c:ser>
          <c:idx val="0"/>
          <c:order val="0"/>
          <c:tx>
            <c:strRef>
              <c:f>合绎塑造者三号!$B$19</c:f>
              <c:strCache>
                <c:ptCount val="1"/>
                <c:pt idx="0">
                  <c:v>累计净值</c:v>
                </c:pt>
              </c:strCache>
            </c:strRef>
          </c:tx>
          <c:marker>
            <c:symbol val="none"/>
          </c:marker>
          <c:cat>
            <c:numRef>
              <c:f>合绎塑造者三号!$A$20:$A$22</c:f>
              <c:numCache>
                <c:formatCode>yyyy\-mm\-dd</c:formatCode>
                <c:ptCount val="3"/>
                <c:pt idx="0">
                  <c:v>44295</c:v>
                </c:pt>
                <c:pt idx="1">
                  <c:v>44302</c:v>
                </c:pt>
                <c:pt idx="2">
                  <c:v>44309</c:v>
                </c:pt>
              </c:numCache>
            </c:numRef>
          </c:cat>
          <c:val>
            <c:numRef>
              <c:f>合绎塑造者三号!$B$20:$B$22</c:f>
              <c:numCache>
                <c:formatCode>0.0000_);[Red]\(0.0000\)</c:formatCode>
                <c:ptCount val="3"/>
                <c:pt idx="0">
                  <c:v>1</c:v>
                </c:pt>
                <c:pt idx="1">
                  <c:v>1.012</c:v>
                </c:pt>
                <c:pt idx="2" formatCode="0.0000_ ">
                  <c:v>1.0229999999999999</c:v>
                </c:pt>
              </c:numCache>
            </c:numRef>
          </c:val>
          <c:smooth val="0"/>
          <c:extLst>
            <c:ext xmlns:c16="http://schemas.microsoft.com/office/drawing/2014/chart" uri="{C3380CC4-5D6E-409C-BE32-E72D297353CC}">
              <c16:uniqueId val="{00000000-BE55-402E-873C-45984DC49922}"/>
            </c:ext>
          </c:extLst>
        </c:ser>
        <c:dLbls>
          <c:showLegendKey val="0"/>
          <c:showVal val="0"/>
          <c:showCatName val="0"/>
          <c:showSerName val="0"/>
          <c:showPercent val="0"/>
          <c:showBubbleSize val="0"/>
        </c:dLbls>
        <c:smooth val="0"/>
        <c:axId val="2083925904"/>
        <c:axId val="2083926992"/>
      </c:lineChart>
      <c:catAx>
        <c:axId val="2083925904"/>
        <c:scaling>
          <c:orientation val="minMax"/>
        </c:scaling>
        <c:delete val="0"/>
        <c:axPos val="b"/>
        <c:numFmt formatCode="yyyy\-mm\-d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2083926992"/>
        <c:crosses val="autoZero"/>
        <c:auto val="0"/>
        <c:lblAlgn val="ctr"/>
        <c:lblOffset val="100"/>
        <c:noMultiLvlLbl val="1"/>
      </c:catAx>
      <c:valAx>
        <c:axId val="2083926992"/>
        <c:scaling>
          <c:orientation val="minMax"/>
          <c:min val="0.999"/>
        </c:scaling>
        <c:delete val="0"/>
        <c:axPos val="l"/>
        <c:majorGridlines/>
        <c:numFmt formatCode="0.0000_);[Red]\(0.000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2083925904"/>
        <c:crosses val="autoZero"/>
        <c:crossBetween val="between"/>
      </c:valAx>
    </c:plotArea>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集微投资</a:t>
            </a:r>
            <a:r>
              <a:rPr lang="en-US" altLang="zh-CN"/>
              <a:t>2</a:t>
            </a:r>
            <a:r>
              <a:rPr lang="zh-CN" altLang="en-US"/>
              <a:t>期</a:t>
            </a:r>
          </a:p>
        </c:rich>
      </c:tx>
      <c:overlay val="0"/>
    </c:title>
    <c:autoTitleDeleted val="0"/>
    <c:plotArea>
      <c:layout/>
      <c:lineChart>
        <c:grouping val="standard"/>
        <c:varyColors val="0"/>
        <c:ser>
          <c:idx val="0"/>
          <c:order val="0"/>
          <c:tx>
            <c:strRef>
              <c:f>集微投资2期!$B$19</c:f>
              <c:strCache>
                <c:ptCount val="1"/>
                <c:pt idx="0">
                  <c:v>累计净值</c:v>
                </c:pt>
              </c:strCache>
            </c:strRef>
          </c:tx>
          <c:marker>
            <c:symbol val="none"/>
          </c:marker>
          <c:cat>
            <c:numRef>
              <c:f>集微投资2期!$A$20:$A$32</c:f>
              <c:numCache>
                <c:formatCode>yyyy\-mm\-dd</c:formatCode>
                <c:ptCount val="13"/>
                <c:pt idx="0">
                  <c:v>44232</c:v>
                </c:pt>
                <c:pt idx="1">
                  <c:v>44237</c:v>
                </c:pt>
                <c:pt idx="2">
                  <c:v>44246</c:v>
                </c:pt>
                <c:pt idx="3">
                  <c:v>44253</c:v>
                </c:pt>
                <c:pt idx="4">
                  <c:v>44260</c:v>
                </c:pt>
                <c:pt idx="5">
                  <c:v>44267</c:v>
                </c:pt>
                <c:pt idx="6">
                  <c:v>44274</c:v>
                </c:pt>
                <c:pt idx="7">
                  <c:v>44281</c:v>
                </c:pt>
                <c:pt idx="8">
                  <c:v>44288</c:v>
                </c:pt>
                <c:pt idx="9">
                  <c:v>44295</c:v>
                </c:pt>
                <c:pt idx="10">
                  <c:v>44302</c:v>
                </c:pt>
                <c:pt idx="11">
                  <c:v>44309</c:v>
                </c:pt>
                <c:pt idx="12">
                  <c:v>44316</c:v>
                </c:pt>
              </c:numCache>
            </c:numRef>
          </c:cat>
          <c:val>
            <c:numRef>
              <c:f>集微投资2期!$B$20:$B$32</c:f>
              <c:numCache>
                <c:formatCode>0.0000_ </c:formatCode>
                <c:ptCount val="13"/>
                <c:pt idx="0">
                  <c:v>1.0096000000000001</c:v>
                </c:pt>
                <c:pt idx="1">
                  <c:v>1.0213000000000001</c:v>
                </c:pt>
                <c:pt idx="2">
                  <c:v>1.0432999999999999</c:v>
                </c:pt>
                <c:pt idx="3">
                  <c:v>1.0612999999999999</c:v>
                </c:pt>
                <c:pt idx="4">
                  <c:v>1.0558000000000001</c:v>
                </c:pt>
                <c:pt idx="5">
                  <c:v>1.0707</c:v>
                </c:pt>
                <c:pt idx="6">
                  <c:v>1.0616000000000001</c:v>
                </c:pt>
                <c:pt idx="7">
                  <c:v>1.07</c:v>
                </c:pt>
                <c:pt idx="8">
                  <c:v>1.0765</c:v>
                </c:pt>
                <c:pt idx="9">
                  <c:v>1.0766</c:v>
                </c:pt>
                <c:pt idx="10">
                  <c:v>1.0802</c:v>
                </c:pt>
                <c:pt idx="11">
                  <c:v>1.0868</c:v>
                </c:pt>
              </c:numCache>
            </c:numRef>
          </c:val>
          <c:smooth val="0"/>
          <c:extLst>
            <c:ext xmlns:c16="http://schemas.microsoft.com/office/drawing/2014/chart" uri="{C3380CC4-5D6E-409C-BE32-E72D297353CC}">
              <c16:uniqueId val="{00000000-5257-4DF6-AE6E-0FE86612A7D7}"/>
            </c:ext>
          </c:extLst>
        </c:ser>
        <c:dLbls>
          <c:showLegendKey val="0"/>
          <c:showVal val="0"/>
          <c:showCatName val="0"/>
          <c:showSerName val="0"/>
          <c:showPercent val="0"/>
          <c:showBubbleSize val="0"/>
        </c:dLbls>
        <c:smooth val="0"/>
        <c:axId val="620294496"/>
        <c:axId val="620295056"/>
      </c:lineChart>
      <c:catAx>
        <c:axId val="620294496"/>
        <c:scaling>
          <c:orientation val="minMax"/>
        </c:scaling>
        <c:delete val="0"/>
        <c:axPos val="b"/>
        <c:numFmt formatCode="yyyy\-mm\-dd" sourceLinked="1"/>
        <c:majorTickMark val="out"/>
        <c:minorTickMark val="none"/>
        <c:tickLblPos val="nextTo"/>
        <c:crossAx val="620295056"/>
        <c:crosses val="autoZero"/>
        <c:auto val="0"/>
        <c:lblAlgn val="ctr"/>
        <c:lblOffset val="100"/>
        <c:noMultiLvlLbl val="1"/>
      </c:catAx>
      <c:valAx>
        <c:axId val="620295056"/>
        <c:scaling>
          <c:orientation val="minMax"/>
          <c:min val="0.99"/>
        </c:scaling>
        <c:delete val="0"/>
        <c:axPos val="l"/>
        <c:majorGridlines/>
        <c:numFmt formatCode="0.0000_ " sourceLinked="1"/>
        <c:majorTickMark val="out"/>
        <c:minorTickMark val="none"/>
        <c:tickLblPos val="nextTo"/>
        <c:crossAx val="620294496"/>
        <c:crosses val="autoZero"/>
        <c:crossBetween val="between"/>
      </c:valAx>
    </c:plotArea>
    <c:legend>
      <c:legendPos val="b"/>
      <c:overlay val="0"/>
    </c:legend>
    <c:plotVisOnly val="1"/>
    <c:dispBlanksAs val="gap"/>
    <c:showDLblsOverMax val="0"/>
  </c:chart>
  <c:printSettings>
    <c:headerFooter/>
    <c:pageMargins b="0.75000000000000488" l="0.70000000000000062" r="0.70000000000000062" t="0.75000000000000488"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量典长青二号</a:t>
            </a:r>
            <a:endParaRPr lang="en-US" altLang="zh-CN" sz="1600"/>
          </a:p>
        </c:rich>
      </c:tx>
      <c:overlay val="0"/>
    </c:title>
    <c:autoTitleDeleted val="0"/>
    <c:plotArea>
      <c:layout/>
      <c:lineChart>
        <c:grouping val="standard"/>
        <c:varyColors val="0"/>
        <c:ser>
          <c:idx val="0"/>
          <c:order val="0"/>
          <c:tx>
            <c:strRef>
              <c:f>量典长青二号!$B$20</c:f>
              <c:strCache>
                <c:ptCount val="1"/>
                <c:pt idx="0">
                  <c:v>累计净值</c:v>
                </c:pt>
              </c:strCache>
            </c:strRef>
          </c:tx>
          <c:marker>
            <c:symbol val="none"/>
          </c:marker>
          <c:cat>
            <c:numRef>
              <c:f>量典长青二号!$A$21:$A$198</c:f>
              <c:numCache>
                <c:formatCode>m/d/yy</c:formatCode>
                <c:ptCount val="178"/>
                <c:pt idx="0">
                  <c:v>44061</c:v>
                </c:pt>
                <c:pt idx="1">
                  <c:v>44062</c:v>
                </c:pt>
                <c:pt idx="2">
                  <c:v>44063</c:v>
                </c:pt>
                <c:pt idx="3">
                  <c:v>44064</c:v>
                </c:pt>
                <c:pt idx="4">
                  <c:v>44067</c:v>
                </c:pt>
                <c:pt idx="5">
                  <c:v>44068</c:v>
                </c:pt>
                <c:pt idx="6">
                  <c:v>44069</c:v>
                </c:pt>
                <c:pt idx="7">
                  <c:v>44070</c:v>
                </c:pt>
                <c:pt idx="8">
                  <c:v>44071</c:v>
                </c:pt>
                <c:pt idx="9">
                  <c:v>44074</c:v>
                </c:pt>
                <c:pt idx="10">
                  <c:v>44075</c:v>
                </c:pt>
                <c:pt idx="11">
                  <c:v>44076</c:v>
                </c:pt>
                <c:pt idx="12">
                  <c:v>44077</c:v>
                </c:pt>
                <c:pt idx="13">
                  <c:v>44078</c:v>
                </c:pt>
                <c:pt idx="14">
                  <c:v>44081</c:v>
                </c:pt>
                <c:pt idx="15">
                  <c:v>44082</c:v>
                </c:pt>
                <c:pt idx="16">
                  <c:v>44083</c:v>
                </c:pt>
                <c:pt idx="17">
                  <c:v>44084</c:v>
                </c:pt>
                <c:pt idx="18">
                  <c:v>44085</c:v>
                </c:pt>
                <c:pt idx="19">
                  <c:v>44088</c:v>
                </c:pt>
                <c:pt idx="20">
                  <c:v>44089</c:v>
                </c:pt>
                <c:pt idx="21">
                  <c:v>44090</c:v>
                </c:pt>
                <c:pt idx="22">
                  <c:v>44091</c:v>
                </c:pt>
                <c:pt idx="23">
                  <c:v>44092</c:v>
                </c:pt>
                <c:pt idx="24">
                  <c:v>44095</c:v>
                </c:pt>
                <c:pt idx="25">
                  <c:v>44096</c:v>
                </c:pt>
                <c:pt idx="26">
                  <c:v>44097</c:v>
                </c:pt>
                <c:pt idx="27">
                  <c:v>44098</c:v>
                </c:pt>
                <c:pt idx="28">
                  <c:v>44099</c:v>
                </c:pt>
                <c:pt idx="29">
                  <c:v>44102</c:v>
                </c:pt>
                <c:pt idx="30">
                  <c:v>44103</c:v>
                </c:pt>
                <c:pt idx="31">
                  <c:v>44104</c:v>
                </c:pt>
                <c:pt idx="32">
                  <c:v>44113</c:v>
                </c:pt>
                <c:pt idx="33">
                  <c:v>44116</c:v>
                </c:pt>
                <c:pt idx="34">
                  <c:v>44117</c:v>
                </c:pt>
                <c:pt idx="35">
                  <c:v>44118</c:v>
                </c:pt>
                <c:pt idx="36">
                  <c:v>44119</c:v>
                </c:pt>
                <c:pt idx="37">
                  <c:v>44120</c:v>
                </c:pt>
                <c:pt idx="38">
                  <c:v>44123</c:v>
                </c:pt>
                <c:pt idx="39">
                  <c:v>44124</c:v>
                </c:pt>
                <c:pt idx="40">
                  <c:v>44125</c:v>
                </c:pt>
                <c:pt idx="41">
                  <c:v>44126</c:v>
                </c:pt>
                <c:pt idx="42">
                  <c:v>44127</c:v>
                </c:pt>
                <c:pt idx="43">
                  <c:v>44130</c:v>
                </c:pt>
                <c:pt idx="44">
                  <c:v>44131</c:v>
                </c:pt>
                <c:pt idx="45">
                  <c:v>44132</c:v>
                </c:pt>
                <c:pt idx="46">
                  <c:v>44133</c:v>
                </c:pt>
                <c:pt idx="47">
                  <c:v>44134</c:v>
                </c:pt>
                <c:pt idx="48">
                  <c:v>44137</c:v>
                </c:pt>
                <c:pt idx="49">
                  <c:v>44138</c:v>
                </c:pt>
                <c:pt idx="50">
                  <c:v>44139</c:v>
                </c:pt>
                <c:pt idx="51">
                  <c:v>44140</c:v>
                </c:pt>
                <c:pt idx="52">
                  <c:v>44141</c:v>
                </c:pt>
                <c:pt idx="53">
                  <c:v>44144</c:v>
                </c:pt>
                <c:pt idx="54">
                  <c:v>44145</c:v>
                </c:pt>
                <c:pt idx="55">
                  <c:v>44146</c:v>
                </c:pt>
                <c:pt idx="56">
                  <c:v>44147</c:v>
                </c:pt>
                <c:pt idx="57">
                  <c:v>44148</c:v>
                </c:pt>
                <c:pt idx="58">
                  <c:v>44151</c:v>
                </c:pt>
                <c:pt idx="59">
                  <c:v>44152</c:v>
                </c:pt>
                <c:pt idx="60">
                  <c:v>44153</c:v>
                </c:pt>
                <c:pt idx="61">
                  <c:v>44154</c:v>
                </c:pt>
                <c:pt idx="62">
                  <c:v>44155</c:v>
                </c:pt>
                <c:pt idx="63">
                  <c:v>44158</c:v>
                </c:pt>
                <c:pt idx="64">
                  <c:v>44159</c:v>
                </c:pt>
                <c:pt idx="65">
                  <c:v>44160</c:v>
                </c:pt>
                <c:pt idx="66">
                  <c:v>44161</c:v>
                </c:pt>
                <c:pt idx="67">
                  <c:v>44162</c:v>
                </c:pt>
                <c:pt idx="68">
                  <c:v>44165</c:v>
                </c:pt>
                <c:pt idx="69">
                  <c:v>44166</c:v>
                </c:pt>
                <c:pt idx="70">
                  <c:v>44167</c:v>
                </c:pt>
                <c:pt idx="71">
                  <c:v>44168</c:v>
                </c:pt>
                <c:pt idx="72">
                  <c:v>44169</c:v>
                </c:pt>
                <c:pt idx="73">
                  <c:v>44172</c:v>
                </c:pt>
                <c:pt idx="74">
                  <c:v>44173</c:v>
                </c:pt>
                <c:pt idx="75">
                  <c:v>44174</c:v>
                </c:pt>
                <c:pt idx="76">
                  <c:v>44175</c:v>
                </c:pt>
                <c:pt idx="77">
                  <c:v>44176</c:v>
                </c:pt>
                <c:pt idx="78">
                  <c:v>44179</c:v>
                </c:pt>
                <c:pt idx="79">
                  <c:v>44180</c:v>
                </c:pt>
                <c:pt idx="80">
                  <c:v>44181</c:v>
                </c:pt>
                <c:pt idx="81">
                  <c:v>44182</c:v>
                </c:pt>
                <c:pt idx="82">
                  <c:v>44183</c:v>
                </c:pt>
                <c:pt idx="83">
                  <c:v>44186</c:v>
                </c:pt>
                <c:pt idx="84">
                  <c:v>44187</c:v>
                </c:pt>
                <c:pt idx="85">
                  <c:v>44188</c:v>
                </c:pt>
                <c:pt idx="86">
                  <c:v>44189</c:v>
                </c:pt>
                <c:pt idx="87">
                  <c:v>44190</c:v>
                </c:pt>
                <c:pt idx="88">
                  <c:v>44193</c:v>
                </c:pt>
                <c:pt idx="89">
                  <c:v>44194</c:v>
                </c:pt>
                <c:pt idx="90">
                  <c:v>44195</c:v>
                </c:pt>
                <c:pt idx="91">
                  <c:v>44196</c:v>
                </c:pt>
                <c:pt idx="92">
                  <c:v>44200</c:v>
                </c:pt>
                <c:pt idx="93">
                  <c:v>44201</c:v>
                </c:pt>
                <c:pt idx="94">
                  <c:v>44202</c:v>
                </c:pt>
                <c:pt idx="95">
                  <c:v>44203</c:v>
                </c:pt>
                <c:pt idx="96">
                  <c:v>44204</c:v>
                </c:pt>
                <c:pt idx="97">
                  <c:v>44207</c:v>
                </c:pt>
                <c:pt idx="98">
                  <c:v>44208</c:v>
                </c:pt>
                <c:pt idx="99">
                  <c:v>44209</c:v>
                </c:pt>
                <c:pt idx="100">
                  <c:v>44210</c:v>
                </c:pt>
                <c:pt idx="101">
                  <c:v>44211</c:v>
                </c:pt>
                <c:pt idx="102">
                  <c:v>44214</c:v>
                </c:pt>
                <c:pt idx="103">
                  <c:v>44215</c:v>
                </c:pt>
                <c:pt idx="104">
                  <c:v>44216</c:v>
                </c:pt>
                <c:pt idx="105">
                  <c:v>44217</c:v>
                </c:pt>
                <c:pt idx="106">
                  <c:v>44218</c:v>
                </c:pt>
                <c:pt idx="107">
                  <c:v>44221</c:v>
                </c:pt>
                <c:pt idx="108">
                  <c:v>44222</c:v>
                </c:pt>
                <c:pt idx="109">
                  <c:v>44223</c:v>
                </c:pt>
                <c:pt idx="110">
                  <c:v>44224</c:v>
                </c:pt>
                <c:pt idx="111">
                  <c:v>44225</c:v>
                </c:pt>
                <c:pt idx="112">
                  <c:v>44228</c:v>
                </c:pt>
                <c:pt idx="113">
                  <c:v>44229</c:v>
                </c:pt>
                <c:pt idx="114">
                  <c:v>44230</c:v>
                </c:pt>
                <c:pt idx="115">
                  <c:v>44231</c:v>
                </c:pt>
                <c:pt idx="116">
                  <c:v>44232</c:v>
                </c:pt>
                <c:pt idx="117">
                  <c:v>44235</c:v>
                </c:pt>
                <c:pt idx="118">
                  <c:v>44236</c:v>
                </c:pt>
                <c:pt idx="119">
                  <c:v>44237</c:v>
                </c:pt>
                <c:pt idx="120">
                  <c:v>44245</c:v>
                </c:pt>
                <c:pt idx="121">
                  <c:v>44246</c:v>
                </c:pt>
                <c:pt idx="122">
                  <c:v>44249</c:v>
                </c:pt>
                <c:pt idx="123">
                  <c:v>44250</c:v>
                </c:pt>
                <c:pt idx="124">
                  <c:v>44251</c:v>
                </c:pt>
                <c:pt idx="125">
                  <c:v>44252</c:v>
                </c:pt>
                <c:pt idx="126">
                  <c:v>44253</c:v>
                </c:pt>
                <c:pt idx="127">
                  <c:v>44256</c:v>
                </c:pt>
                <c:pt idx="128">
                  <c:v>44257</c:v>
                </c:pt>
                <c:pt idx="129">
                  <c:v>44258</c:v>
                </c:pt>
                <c:pt idx="130">
                  <c:v>44259</c:v>
                </c:pt>
                <c:pt idx="131">
                  <c:v>44260</c:v>
                </c:pt>
                <c:pt idx="132">
                  <c:v>44263</c:v>
                </c:pt>
                <c:pt idx="133">
                  <c:v>44264</c:v>
                </c:pt>
                <c:pt idx="134">
                  <c:v>44265</c:v>
                </c:pt>
                <c:pt idx="135">
                  <c:v>44266</c:v>
                </c:pt>
                <c:pt idx="136">
                  <c:v>44267</c:v>
                </c:pt>
                <c:pt idx="137">
                  <c:v>44270</c:v>
                </c:pt>
                <c:pt idx="138">
                  <c:v>44271</c:v>
                </c:pt>
                <c:pt idx="139">
                  <c:v>44272</c:v>
                </c:pt>
                <c:pt idx="140">
                  <c:v>44273</c:v>
                </c:pt>
                <c:pt idx="141">
                  <c:v>44274</c:v>
                </c:pt>
                <c:pt idx="142">
                  <c:v>44277</c:v>
                </c:pt>
                <c:pt idx="143">
                  <c:v>44278</c:v>
                </c:pt>
                <c:pt idx="144">
                  <c:v>44279</c:v>
                </c:pt>
                <c:pt idx="145">
                  <c:v>44280</c:v>
                </c:pt>
                <c:pt idx="146">
                  <c:v>44281</c:v>
                </c:pt>
                <c:pt idx="147">
                  <c:v>44284</c:v>
                </c:pt>
                <c:pt idx="148">
                  <c:v>44285</c:v>
                </c:pt>
                <c:pt idx="149">
                  <c:v>44286</c:v>
                </c:pt>
                <c:pt idx="150">
                  <c:v>44287</c:v>
                </c:pt>
                <c:pt idx="151">
                  <c:v>44288</c:v>
                </c:pt>
                <c:pt idx="152">
                  <c:v>44292</c:v>
                </c:pt>
                <c:pt idx="153">
                  <c:v>44293</c:v>
                </c:pt>
                <c:pt idx="154">
                  <c:v>44294</c:v>
                </c:pt>
                <c:pt idx="155">
                  <c:v>44295</c:v>
                </c:pt>
                <c:pt idx="156">
                  <c:v>44298</c:v>
                </c:pt>
                <c:pt idx="157">
                  <c:v>44299</c:v>
                </c:pt>
                <c:pt idx="158">
                  <c:v>44300</c:v>
                </c:pt>
                <c:pt idx="159">
                  <c:v>44301</c:v>
                </c:pt>
                <c:pt idx="160">
                  <c:v>44302</c:v>
                </c:pt>
                <c:pt idx="161">
                  <c:v>44305</c:v>
                </c:pt>
                <c:pt idx="162">
                  <c:v>44306</c:v>
                </c:pt>
                <c:pt idx="163">
                  <c:v>44307</c:v>
                </c:pt>
                <c:pt idx="164">
                  <c:v>44308</c:v>
                </c:pt>
                <c:pt idx="165">
                  <c:v>44309</c:v>
                </c:pt>
                <c:pt idx="166">
                  <c:v>44312</c:v>
                </c:pt>
                <c:pt idx="167">
                  <c:v>44313</c:v>
                </c:pt>
                <c:pt idx="168">
                  <c:v>44314</c:v>
                </c:pt>
                <c:pt idx="169">
                  <c:v>44315</c:v>
                </c:pt>
                <c:pt idx="170">
                  <c:v>44316</c:v>
                </c:pt>
                <c:pt idx="171">
                  <c:v>44322</c:v>
                </c:pt>
                <c:pt idx="172">
                  <c:v>44323</c:v>
                </c:pt>
                <c:pt idx="173">
                  <c:v>44326</c:v>
                </c:pt>
                <c:pt idx="174">
                  <c:v>44327</c:v>
                </c:pt>
                <c:pt idx="175">
                  <c:v>44328</c:v>
                </c:pt>
                <c:pt idx="176">
                  <c:v>44329</c:v>
                </c:pt>
                <c:pt idx="177">
                  <c:v>44330</c:v>
                </c:pt>
              </c:numCache>
            </c:numRef>
          </c:cat>
          <c:val>
            <c:numRef>
              <c:f>量典长青二号!$B$21:$B$198</c:f>
              <c:numCache>
                <c:formatCode>0.0000_ </c:formatCode>
                <c:ptCount val="178"/>
                <c:pt idx="0">
                  <c:v>0.99880000000000002</c:v>
                </c:pt>
                <c:pt idx="1">
                  <c:v>0.99939999999999996</c:v>
                </c:pt>
                <c:pt idx="2">
                  <c:v>0.99950000000000006</c:v>
                </c:pt>
                <c:pt idx="3">
                  <c:v>0.99919999999999998</c:v>
                </c:pt>
                <c:pt idx="4">
                  <c:v>0.99829999999999997</c:v>
                </c:pt>
                <c:pt idx="5">
                  <c:v>0.99970000000000003</c:v>
                </c:pt>
                <c:pt idx="6">
                  <c:v>1.0012000000000001</c:v>
                </c:pt>
                <c:pt idx="7">
                  <c:v>1.0006999999999999</c:v>
                </c:pt>
                <c:pt idx="8">
                  <c:v>1.0019</c:v>
                </c:pt>
                <c:pt idx="9">
                  <c:v>1.0022</c:v>
                </c:pt>
                <c:pt idx="10">
                  <c:v>1.0008999999999999</c:v>
                </c:pt>
                <c:pt idx="11">
                  <c:v>1.0032000000000001</c:v>
                </c:pt>
                <c:pt idx="12">
                  <c:v>1.0032000000000001</c:v>
                </c:pt>
                <c:pt idx="13">
                  <c:v>1.0023</c:v>
                </c:pt>
                <c:pt idx="14">
                  <c:v>1.0041</c:v>
                </c:pt>
                <c:pt idx="15">
                  <c:v>1.0045999999999999</c:v>
                </c:pt>
                <c:pt idx="16">
                  <c:v>1.0027999999999999</c:v>
                </c:pt>
                <c:pt idx="17">
                  <c:v>1.004</c:v>
                </c:pt>
                <c:pt idx="18">
                  <c:v>1.004</c:v>
                </c:pt>
                <c:pt idx="19">
                  <c:v>1.0042</c:v>
                </c:pt>
                <c:pt idx="20">
                  <c:v>1.006</c:v>
                </c:pt>
                <c:pt idx="21">
                  <c:v>1.0059</c:v>
                </c:pt>
                <c:pt idx="22">
                  <c:v>1.0088999999999999</c:v>
                </c:pt>
                <c:pt idx="23">
                  <c:v>1.0095000000000001</c:v>
                </c:pt>
                <c:pt idx="24">
                  <c:v>1.0102</c:v>
                </c:pt>
                <c:pt idx="25">
                  <c:v>1.0082</c:v>
                </c:pt>
                <c:pt idx="26">
                  <c:v>1.0111000000000001</c:v>
                </c:pt>
                <c:pt idx="27">
                  <c:v>1.0085999999999999</c:v>
                </c:pt>
                <c:pt idx="28">
                  <c:v>1.0097</c:v>
                </c:pt>
                <c:pt idx="29">
                  <c:v>1.0112000000000001</c:v>
                </c:pt>
                <c:pt idx="30">
                  <c:v>1.0143</c:v>
                </c:pt>
                <c:pt idx="31">
                  <c:v>1.0103</c:v>
                </c:pt>
                <c:pt idx="32">
                  <c:v>1.0166999999999999</c:v>
                </c:pt>
                <c:pt idx="33">
                  <c:v>1.0208999999999999</c:v>
                </c:pt>
                <c:pt idx="34">
                  <c:v>1.0185999999999999</c:v>
                </c:pt>
                <c:pt idx="35">
                  <c:v>1.0195000000000001</c:v>
                </c:pt>
                <c:pt idx="36">
                  <c:v>1.0195000000000001</c:v>
                </c:pt>
                <c:pt idx="37">
                  <c:v>1.0194000000000001</c:v>
                </c:pt>
                <c:pt idx="38">
                  <c:v>1.0234000000000001</c:v>
                </c:pt>
                <c:pt idx="39">
                  <c:v>1.0227999999999999</c:v>
                </c:pt>
                <c:pt idx="40">
                  <c:v>1.02</c:v>
                </c:pt>
                <c:pt idx="41">
                  <c:v>1.0232000000000001</c:v>
                </c:pt>
                <c:pt idx="42">
                  <c:v>1.0218</c:v>
                </c:pt>
                <c:pt idx="43">
                  <c:v>1.0204</c:v>
                </c:pt>
                <c:pt idx="44">
                  <c:v>1.0241</c:v>
                </c:pt>
                <c:pt idx="45">
                  <c:v>1.0226999999999999</c:v>
                </c:pt>
                <c:pt idx="46">
                  <c:v>1.026</c:v>
                </c:pt>
                <c:pt idx="47">
                  <c:v>1.0239</c:v>
                </c:pt>
                <c:pt idx="48">
                  <c:v>1.0214000000000001</c:v>
                </c:pt>
                <c:pt idx="49">
                  <c:v>1.0256000000000001</c:v>
                </c:pt>
                <c:pt idx="50">
                  <c:v>1.0294000000000001</c:v>
                </c:pt>
                <c:pt idx="51">
                  <c:v>1.0223</c:v>
                </c:pt>
                <c:pt idx="52">
                  <c:v>1.0223</c:v>
                </c:pt>
                <c:pt idx="53">
                  <c:v>1.026</c:v>
                </c:pt>
                <c:pt idx="54">
                  <c:v>1.0235000000000001</c:v>
                </c:pt>
                <c:pt idx="55">
                  <c:v>1.0239</c:v>
                </c:pt>
                <c:pt idx="56">
                  <c:v>1.0266999999999999</c:v>
                </c:pt>
                <c:pt idx="57">
                  <c:v>1.0270999999999999</c:v>
                </c:pt>
                <c:pt idx="58">
                  <c:v>1.024</c:v>
                </c:pt>
                <c:pt idx="59">
                  <c:v>1.0275000000000001</c:v>
                </c:pt>
                <c:pt idx="60">
                  <c:v>1.0219</c:v>
                </c:pt>
                <c:pt idx="61">
                  <c:v>1.0242</c:v>
                </c:pt>
                <c:pt idx="62">
                  <c:v>1.0299</c:v>
                </c:pt>
                <c:pt idx="63">
                  <c:v>1.0333000000000001</c:v>
                </c:pt>
                <c:pt idx="64">
                  <c:v>1.0295000000000001</c:v>
                </c:pt>
                <c:pt idx="65">
                  <c:v>1.0285</c:v>
                </c:pt>
                <c:pt idx="66">
                  <c:v>1.0224</c:v>
                </c:pt>
                <c:pt idx="67">
                  <c:v>1.026</c:v>
                </c:pt>
                <c:pt idx="68">
                  <c:v>1.03</c:v>
                </c:pt>
                <c:pt idx="69">
                  <c:v>1.0351999999999999</c:v>
                </c:pt>
                <c:pt idx="70">
                  <c:v>1.0330999999999999</c:v>
                </c:pt>
                <c:pt idx="71">
                  <c:v>1.0358000000000001</c:v>
                </c:pt>
                <c:pt idx="72">
                  <c:v>1.0366</c:v>
                </c:pt>
                <c:pt idx="73">
                  <c:v>1.0355000000000001</c:v>
                </c:pt>
                <c:pt idx="74">
                  <c:v>1.0364</c:v>
                </c:pt>
                <c:pt idx="75">
                  <c:v>1.0317000000000001</c:v>
                </c:pt>
                <c:pt idx="76">
                  <c:v>1.0324</c:v>
                </c:pt>
                <c:pt idx="77">
                  <c:v>1.0228999999999999</c:v>
                </c:pt>
                <c:pt idx="78">
                  <c:v>1.0285</c:v>
                </c:pt>
                <c:pt idx="79">
                  <c:v>1.0314000000000001</c:v>
                </c:pt>
                <c:pt idx="80">
                  <c:v>1.0295000000000001</c:v>
                </c:pt>
                <c:pt idx="81">
                  <c:v>1.0344</c:v>
                </c:pt>
                <c:pt idx="82">
                  <c:v>1.0351999999999999</c:v>
                </c:pt>
                <c:pt idx="83">
                  <c:v>1.0395000000000001</c:v>
                </c:pt>
                <c:pt idx="84">
                  <c:v>1.0363</c:v>
                </c:pt>
                <c:pt idx="85">
                  <c:v>1.0390999999999999</c:v>
                </c:pt>
                <c:pt idx="86">
                  <c:v>1.0369999999999999</c:v>
                </c:pt>
                <c:pt idx="87">
                  <c:v>1.0383</c:v>
                </c:pt>
                <c:pt idx="88">
                  <c:v>1.0425</c:v>
                </c:pt>
                <c:pt idx="89">
                  <c:v>1.0425</c:v>
                </c:pt>
                <c:pt idx="90">
                  <c:v>1.0425</c:v>
                </c:pt>
                <c:pt idx="91">
                  <c:v>1.0428999999999999</c:v>
                </c:pt>
                <c:pt idx="92">
                  <c:v>1.0450999999999999</c:v>
                </c:pt>
                <c:pt idx="93">
                  <c:v>1.0476000000000001</c:v>
                </c:pt>
                <c:pt idx="94">
                  <c:v>1.0476000000000001</c:v>
                </c:pt>
                <c:pt idx="95">
                  <c:v>1.0468999999999999</c:v>
                </c:pt>
                <c:pt idx="96">
                  <c:v>1.0456000000000001</c:v>
                </c:pt>
                <c:pt idx="97">
                  <c:v>1.0488999999999999</c:v>
                </c:pt>
                <c:pt idx="98">
                  <c:v>1.0505</c:v>
                </c:pt>
                <c:pt idx="99">
                  <c:v>1.0528</c:v>
                </c:pt>
                <c:pt idx="100">
                  <c:v>1.0528</c:v>
                </c:pt>
                <c:pt idx="101">
                  <c:v>1.0537000000000001</c:v>
                </c:pt>
                <c:pt idx="102">
                  <c:v>1.0582</c:v>
                </c:pt>
                <c:pt idx="103">
                  <c:v>1.0492999999999999</c:v>
                </c:pt>
                <c:pt idx="104">
                  <c:v>1.0536000000000001</c:v>
                </c:pt>
                <c:pt idx="105">
                  <c:v>1.0591999999999999</c:v>
                </c:pt>
                <c:pt idx="106">
                  <c:v>1.0627</c:v>
                </c:pt>
                <c:pt idx="107">
                  <c:v>1.0647</c:v>
                </c:pt>
                <c:pt idx="108">
                  <c:v>1.0622</c:v>
                </c:pt>
                <c:pt idx="109">
                  <c:v>1.0621</c:v>
                </c:pt>
                <c:pt idx="110">
                  <c:v>1.0532999999999999</c:v>
                </c:pt>
                <c:pt idx="111">
                  <c:v>1.0510999999999999</c:v>
                </c:pt>
                <c:pt idx="112">
                  <c:v>1.0551999999999999</c:v>
                </c:pt>
                <c:pt idx="113">
                  <c:v>1.06</c:v>
                </c:pt>
                <c:pt idx="114">
                  <c:v>1.0630999999999999</c:v>
                </c:pt>
                <c:pt idx="115">
                  <c:v>1.0630999999999999</c:v>
                </c:pt>
                <c:pt idx="116">
                  <c:v>1.0624</c:v>
                </c:pt>
                <c:pt idx="117">
                  <c:v>1.0639000000000001</c:v>
                </c:pt>
                <c:pt idx="118">
                  <c:v>1.0607</c:v>
                </c:pt>
                <c:pt idx="119">
                  <c:v>1.0466</c:v>
                </c:pt>
                <c:pt idx="120">
                  <c:v>1.0578000000000001</c:v>
                </c:pt>
                <c:pt idx="121">
                  <c:v>1.0583</c:v>
                </c:pt>
                <c:pt idx="122">
                  <c:v>1.0679000000000001</c:v>
                </c:pt>
                <c:pt idx="123">
                  <c:v>1.0651999999999999</c:v>
                </c:pt>
                <c:pt idx="124">
                  <c:v>1.0544</c:v>
                </c:pt>
                <c:pt idx="125">
                  <c:v>1.0537000000000001</c:v>
                </c:pt>
                <c:pt idx="126">
                  <c:v>1.0321</c:v>
                </c:pt>
                <c:pt idx="127">
                  <c:v>1.0407</c:v>
                </c:pt>
                <c:pt idx="128">
                  <c:v>1.0346</c:v>
                </c:pt>
                <c:pt idx="129">
                  <c:v>1.0474000000000001</c:v>
                </c:pt>
                <c:pt idx="130">
                  <c:v>1.016</c:v>
                </c:pt>
                <c:pt idx="131">
                  <c:v>1.0133000000000001</c:v>
                </c:pt>
                <c:pt idx="132">
                  <c:v>0.98299999999999998</c:v>
                </c:pt>
                <c:pt idx="133">
                  <c:v>0.95099999999999996</c:v>
                </c:pt>
                <c:pt idx="134">
                  <c:v>0.9698</c:v>
                </c:pt>
                <c:pt idx="135">
                  <c:v>0.97040000000000004</c:v>
                </c:pt>
                <c:pt idx="136">
                  <c:v>0.97070000000000001</c:v>
                </c:pt>
                <c:pt idx="137">
                  <c:v>0.95740000000000003</c:v>
                </c:pt>
                <c:pt idx="138">
                  <c:v>0.95989999999999998</c:v>
                </c:pt>
                <c:pt idx="139">
                  <c:v>0.96260000000000001</c:v>
                </c:pt>
                <c:pt idx="140">
                  <c:v>0.96519999999999995</c:v>
                </c:pt>
                <c:pt idx="141">
                  <c:v>0.95699999999999996</c:v>
                </c:pt>
                <c:pt idx="142">
                  <c:v>0.95340000000000003</c:v>
                </c:pt>
                <c:pt idx="143">
                  <c:v>0.94689999999999996</c:v>
                </c:pt>
                <c:pt idx="144">
                  <c:v>0.94199999999999995</c:v>
                </c:pt>
                <c:pt idx="145">
                  <c:v>0.94869999999999999</c:v>
                </c:pt>
                <c:pt idx="146">
                  <c:v>0.95469999999999999</c:v>
                </c:pt>
                <c:pt idx="147">
                  <c:v>0.95199999999999996</c:v>
                </c:pt>
                <c:pt idx="148">
                  <c:v>0.95689999999999997</c:v>
                </c:pt>
                <c:pt idx="149">
                  <c:v>0.95720000000000005</c:v>
                </c:pt>
                <c:pt idx="150">
                  <c:v>0.9607</c:v>
                </c:pt>
                <c:pt idx="151">
                  <c:v>0.96020000000000005</c:v>
                </c:pt>
                <c:pt idx="152">
                  <c:v>0.95940000000000003</c:v>
                </c:pt>
                <c:pt idx="153">
                  <c:v>0.96120000000000005</c:v>
                </c:pt>
                <c:pt idx="154">
                  <c:v>0.96460000000000001</c:v>
                </c:pt>
                <c:pt idx="155">
                  <c:v>0.96240000000000003</c:v>
                </c:pt>
                <c:pt idx="156">
                  <c:v>0.95820000000000005</c:v>
                </c:pt>
                <c:pt idx="157">
                  <c:v>0.95199999999999996</c:v>
                </c:pt>
                <c:pt idx="158">
                  <c:v>0.95750000000000002</c:v>
                </c:pt>
                <c:pt idx="159">
                  <c:v>0.95550000000000002</c:v>
                </c:pt>
                <c:pt idx="160">
                  <c:v>0.95809999999999995</c:v>
                </c:pt>
                <c:pt idx="161">
                  <c:v>0.96689999999999998</c:v>
                </c:pt>
                <c:pt idx="162">
                  <c:v>0.96779999999999999</c:v>
                </c:pt>
                <c:pt idx="163">
                  <c:v>0.96889999999999998</c:v>
                </c:pt>
                <c:pt idx="164">
                  <c:v>0.96799999999999997</c:v>
                </c:pt>
                <c:pt idx="165">
                  <c:v>0.96550000000000002</c:v>
                </c:pt>
                <c:pt idx="166">
                  <c:v>0.96909999999999996</c:v>
                </c:pt>
                <c:pt idx="167">
                  <c:v>0.96450000000000002</c:v>
                </c:pt>
                <c:pt idx="168">
                  <c:v>0.95750000000000002</c:v>
                </c:pt>
                <c:pt idx="169">
                  <c:v>0.96279999999999999</c:v>
                </c:pt>
                <c:pt idx="170">
                  <c:v>0.96350000000000002</c:v>
                </c:pt>
                <c:pt idx="171">
                  <c:v>0.96550000000000002</c:v>
                </c:pt>
                <c:pt idx="172">
                  <c:v>0.96060000000000001</c:v>
                </c:pt>
                <c:pt idx="173">
                  <c:v>0.96419999999999995</c:v>
                </c:pt>
                <c:pt idx="174">
                  <c:v>0.96799999999999997</c:v>
                </c:pt>
                <c:pt idx="175">
                  <c:v>0.96899999999999997</c:v>
                </c:pt>
                <c:pt idx="176">
                  <c:v>0.96799999999999997</c:v>
                </c:pt>
                <c:pt idx="177">
                  <c:v>0.97119999999999995</c:v>
                </c:pt>
              </c:numCache>
            </c:numRef>
          </c:val>
          <c:smooth val="0"/>
          <c:extLst>
            <c:ext xmlns:c16="http://schemas.microsoft.com/office/drawing/2014/chart" uri="{C3380CC4-5D6E-409C-BE32-E72D297353CC}">
              <c16:uniqueId val="{00000000-EF93-44ED-B659-6003681EDB69}"/>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4000000000000006"/>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筹优量化</a:t>
            </a:r>
            <a:endParaRPr lang="en-US" altLang="zh-CN" sz="1600"/>
          </a:p>
        </c:rich>
      </c:tx>
      <c:overlay val="0"/>
    </c:title>
    <c:autoTitleDeleted val="0"/>
    <c:plotArea>
      <c:layout/>
      <c:lineChart>
        <c:grouping val="standard"/>
        <c:varyColors val="0"/>
        <c:ser>
          <c:idx val="0"/>
          <c:order val="0"/>
          <c:tx>
            <c:strRef>
              <c:f>筹优量化!$B$20</c:f>
              <c:strCache>
                <c:ptCount val="1"/>
                <c:pt idx="0">
                  <c:v>累计净值</c:v>
                </c:pt>
              </c:strCache>
            </c:strRef>
          </c:tx>
          <c:marker>
            <c:symbol val="none"/>
          </c:marker>
          <c:cat>
            <c:numRef>
              <c:f>筹优量化!$A$21:$A$403</c:f>
              <c:numCache>
                <c:formatCode>m/d/yy</c:formatCode>
                <c:ptCount val="383"/>
                <c:pt idx="0">
                  <c:v>43747</c:v>
                </c:pt>
                <c:pt idx="1">
                  <c:v>43748</c:v>
                </c:pt>
                <c:pt idx="2">
                  <c:v>43749</c:v>
                </c:pt>
                <c:pt idx="3">
                  <c:v>43752</c:v>
                </c:pt>
                <c:pt idx="4">
                  <c:v>43753</c:v>
                </c:pt>
                <c:pt idx="5">
                  <c:v>43754</c:v>
                </c:pt>
                <c:pt idx="6">
                  <c:v>43755</c:v>
                </c:pt>
                <c:pt idx="7">
                  <c:v>43756</c:v>
                </c:pt>
                <c:pt idx="8">
                  <c:v>43759</c:v>
                </c:pt>
                <c:pt idx="9">
                  <c:v>43760</c:v>
                </c:pt>
                <c:pt idx="10">
                  <c:v>43761</c:v>
                </c:pt>
                <c:pt idx="11">
                  <c:v>43762</c:v>
                </c:pt>
                <c:pt idx="12">
                  <c:v>43763</c:v>
                </c:pt>
                <c:pt idx="13">
                  <c:v>43766</c:v>
                </c:pt>
                <c:pt idx="14">
                  <c:v>43767</c:v>
                </c:pt>
                <c:pt idx="15">
                  <c:v>43768</c:v>
                </c:pt>
                <c:pt idx="16">
                  <c:v>43769</c:v>
                </c:pt>
                <c:pt idx="17">
                  <c:v>43770</c:v>
                </c:pt>
                <c:pt idx="18">
                  <c:v>43773</c:v>
                </c:pt>
                <c:pt idx="19">
                  <c:v>43774</c:v>
                </c:pt>
                <c:pt idx="20">
                  <c:v>43775</c:v>
                </c:pt>
                <c:pt idx="21">
                  <c:v>43776</c:v>
                </c:pt>
                <c:pt idx="22">
                  <c:v>43777</c:v>
                </c:pt>
                <c:pt idx="23">
                  <c:v>43780</c:v>
                </c:pt>
                <c:pt idx="24">
                  <c:v>43781</c:v>
                </c:pt>
                <c:pt idx="25">
                  <c:v>43782</c:v>
                </c:pt>
                <c:pt idx="26">
                  <c:v>43783</c:v>
                </c:pt>
                <c:pt idx="27">
                  <c:v>43784</c:v>
                </c:pt>
                <c:pt idx="28">
                  <c:v>43787</c:v>
                </c:pt>
                <c:pt idx="29">
                  <c:v>43788</c:v>
                </c:pt>
                <c:pt idx="30">
                  <c:v>43789</c:v>
                </c:pt>
                <c:pt idx="31">
                  <c:v>43790</c:v>
                </c:pt>
                <c:pt idx="32">
                  <c:v>43791</c:v>
                </c:pt>
                <c:pt idx="33">
                  <c:v>43794</c:v>
                </c:pt>
                <c:pt idx="34">
                  <c:v>43795</c:v>
                </c:pt>
                <c:pt idx="35">
                  <c:v>43796</c:v>
                </c:pt>
                <c:pt idx="36">
                  <c:v>43797</c:v>
                </c:pt>
                <c:pt idx="37">
                  <c:v>43798</c:v>
                </c:pt>
                <c:pt idx="38">
                  <c:v>43801</c:v>
                </c:pt>
                <c:pt idx="39">
                  <c:v>43802</c:v>
                </c:pt>
                <c:pt idx="40">
                  <c:v>43803</c:v>
                </c:pt>
                <c:pt idx="41">
                  <c:v>43804</c:v>
                </c:pt>
                <c:pt idx="42">
                  <c:v>43805</c:v>
                </c:pt>
                <c:pt idx="43">
                  <c:v>43808</c:v>
                </c:pt>
                <c:pt idx="44">
                  <c:v>43809</c:v>
                </c:pt>
                <c:pt idx="45">
                  <c:v>43810</c:v>
                </c:pt>
                <c:pt idx="46">
                  <c:v>43811</c:v>
                </c:pt>
                <c:pt idx="47">
                  <c:v>43812</c:v>
                </c:pt>
                <c:pt idx="48">
                  <c:v>43815</c:v>
                </c:pt>
                <c:pt idx="49">
                  <c:v>43816</c:v>
                </c:pt>
                <c:pt idx="50">
                  <c:v>43817</c:v>
                </c:pt>
                <c:pt idx="51">
                  <c:v>43818</c:v>
                </c:pt>
                <c:pt idx="52">
                  <c:v>43819</c:v>
                </c:pt>
                <c:pt idx="53">
                  <c:v>43822</c:v>
                </c:pt>
                <c:pt idx="54">
                  <c:v>43823</c:v>
                </c:pt>
                <c:pt idx="55">
                  <c:v>43824</c:v>
                </c:pt>
                <c:pt idx="56">
                  <c:v>43825</c:v>
                </c:pt>
                <c:pt idx="57">
                  <c:v>43826</c:v>
                </c:pt>
                <c:pt idx="58">
                  <c:v>43829</c:v>
                </c:pt>
                <c:pt idx="59">
                  <c:v>43830</c:v>
                </c:pt>
                <c:pt idx="60">
                  <c:v>43832</c:v>
                </c:pt>
                <c:pt idx="61">
                  <c:v>43833</c:v>
                </c:pt>
                <c:pt idx="62">
                  <c:v>43836</c:v>
                </c:pt>
                <c:pt idx="63">
                  <c:v>43837</c:v>
                </c:pt>
                <c:pt idx="64">
                  <c:v>43838</c:v>
                </c:pt>
                <c:pt idx="65">
                  <c:v>43839</c:v>
                </c:pt>
                <c:pt idx="66">
                  <c:v>43840</c:v>
                </c:pt>
                <c:pt idx="67">
                  <c:v>43843</c:v>
                </c:pt>
                <c:pt idx="68">
                  <c:v>43844</c:v>
                </c:pt>
                <c:pt idx="69">
                  <c:v>43845</c:v>
                </c:pt>
                <c:pt idx="70">
                  <c:v>43846</c:v>
                </c:pt>
                <c:pt idx="71">
                  <c:v>43847</c:v>
                </c:pt>
                <c:pt idx="72">
                  <c:v>43850</c:v>
                </c:pt>
                <c:pt idx="73">
                  <c:v>43851</c:v>
                </c:pt>
                <c:pt idx="74">
                  <c:v>43852</c:v>
                </c:pt>
                <c:pt idx="75">
                  <c:v>43853</c:v>
                </c:pt>
                <c:pt idx="76">
                  <c:v>43864</c:v>
                </c:pt>
                <c:pt idx="77">
                  <c:v>43865</c:v>
                </c:pt>
                <c:pt idx="78">
                  <c:v>43866</c:v>
                </c:pt>
                <c:pt idx="79">
                  <c:v>43867</c:v>
                </c:pt>
                <c:pt idx="80">
                  <c:v>43868</c:v>
                </c:pt>
                <c:pt idx="81">
                  <c:v>43871</c:v>
                </c:pt>
                <c:pt idx="82">
                  <c:v>43872</c:v>
                </c:pt>
                <c:pt idx="83">
                  <c:v>43873</c:v>
                </c:pt>
                <c:pt idx="84">
                  <c:v>43874</c:v>
                </c:pt>
                <c:pt idx="85">
                  <c:v>43875</c:v>
                </c:pt>
                <c:pt idx="86">
                  <c:v>43878</c:v>
                </c:pt>
                <c:pt idx="87">
                  <c:v>43879</c:v>
                </c:pt>
                <c:pt idx="88">
                  <c:v>43880</c:v>
                </c:pt>
                <c:pt idx="89">
                  <c:v>43881</c:v>
                </c:pt>
                <c:pt idx="90">
                  <c:v>43882</c:v>
                </c:pt>
                <c:pt idx="91">
                  <c:v>43885</c:v>
                </c:pt>
                <c:pt idx="92">
                  <c:v>43886</c:v>
                </c:pt>
                <c:pt idx="93">
                  <c:v>43887</c:v>
                </c:pt>
                <c:pt idx="94">
                  <c:v>43888</c:v>
                </c:pt>
                <c:pt idx="95">
                  <c:v>43889</c:v>
                </c:pt>
                <c:pt idx="96">
                  <c:v>43892</c:v>
                </c:pt>
                <c:pt idx="97">
                  <c:v>43893</c:v>
                </c:pt>
                <c:pt idx="98">
                  <c:v>43894</c:v>
                </c:pt>
                <c:pt idx="99">
                  <c:v>43895</c:v>
                </c:pt>
                <c:pt idx="100">
                  <c:v>43896</c:v>
                </c:pt>
                <c:pt idx="101">
                  <c:v>43899</c:v>
                </c:pt>
                <c:pt idx="102">
                  <c:v>43900</c:v>
                </c:pt>
                <c:pt idx="103">
                  <c:v>43901</c:v>
                </c:pt>
                <c:pt idx="104">
                  <c:v>43902</c:v>
                </c:pt>
                <c:pt idx="105">
                  <c:v>43903</c:v>
                </c:pt>
                <c:pt idx="106">
                  <c:v>43906</c:v>
                </c:pt>
                <c:pt idx="107">
                  <c:v>43907</c:v>
                </c:pt>
                <c:pt idx="108">
                  <c:v>43908</c:v>
                </c:pt>
                <c:pt idx="109">
                  <c:v>43909</c:v>
                </c:pt>
                <c:pt idx="110">
                  <c:v>43910</c:v>
                </c:pt>
                <c:pt idx="111">
                  <c:v>43913</c:v>
                </c:pt>
                <c:pt idx="112">
                  <c:v>43914</c:v>
                </c:pt>
                <c:pt idx="113">
                  <c:v>43915</c:v>
                </c:pt>
                <c:pt idx="114">
                  <c:v>43916</c:v>
                </c:pt>
                <c:pt idx="115">
                  <c:v>43917</c:v>
                </c:pt>
                <c:pt idx="116">
                  <c:v>43920</c:v>
                </c:pt>
                <c:pt idx="117">
                  <c:v>43921</c:v>
                </c:pt>
                <c:pt idx="118">
                  <c:v>43922</c:v>
                </c:pt>
                <c:pt idx="119">
                  <c:v>43923</c:v>
                </c:pt>
                <c:pt idx="120">
                  <c:v>43924</c:v>
                </c:pt>
                <c:pt idx="121">
                  <c:v>43928</c:v>
                </c:pt>
                <c:pt idx="122">
                  <c:v>43929</c:v>
                </c:pt>
                <c:pt idx="123">
                  <c:v>43930</c:v>
                </c:pt>
                <c:pt idx="124">
                  <c:v>43931</c:v>
                </c:pt>
                <c:pt idx="125">
                  <c:v>43934</c:v>
                </c:pt>
                <c:pt idx="126">
                  <c:v>43935</c:v>
                </c:pt>
                <c:pt idx="127">
                  <c:v>43936</c:v>
                </c:pt>
                <c:pt idx="128">
                  <c:v>43937</c:v>
                </c:pt>
                <c:pt idx="129">
                  <c:v>43938</c:v>
                </c:pt>
                <c:pt idx="130">
                  <c:v>43941</c:v>
                </c:pt>
                <c:pt idx="131">
                  <c:v>43942</c:v>
                </c:pt>
                <c:pt idx="132">
                  <c:v>43943</c:v>
                </c:pt>
                <c:pt idx="133">
                  <c:v>43944</c:v>
                </c:pt>
                <c:pt idx="134">
                  <c:v>43945</c:v>
                </c:pt>
                <c:pt idx="135">
                  <c:v>43948</c:v>
                </c:pt>
                <c:pt idx="136">
                  <c:v>43949</c:v>
                </c:pt>
                <c:pt idx="137">
                  <c:v>43950</c:v>
                </c:pt>
                <c:pt idx="138">
                  <c:v>43951</c:v>
                </c:pt>
                <c:pt idx="139">
                  <c:v>43957</c:v>
                </c:pt>
                <c:pt idx="140">
                  <c:v>43958</c:v>
                </c:pt>
                <c:pt idx="141">
                  <c:v>43959</c:v>
                </c:pt>
                <c:pt idx="142">
                  <c:v>43962</c:v>
                </c:pt>
                <c:pt idx="143">
                  <c:v>43963</c:v>
                </c:pt>
                <c:pt idx="144">
                  <c:v>43964</c:v>
                </c:pt>
                <c:pt idx="145">
                  <c:v>43965</c:v>
                </c:pt>
                <c:pt idx="146">
                  <c:v>43966</c:v>
                </c:pt>
                <c:pt idx="147">
                  <c:v>43969</c:v>
                </c:pt>
                <c:pt idx="148">
                  <c:v>43970</c:v>
                </c:pt>
                <c:pt idx="149">
                  <c:v>43971</c:v>
                </c:pt>
                <c:pt idx="150">
                  <c:v>43972</c:v>
                </c:pt>
                <c:pt idx="151">
                  <c:v>43973</c:v>
                </c:pt>
                <c:pt idx="152">
                  <c:v>43976</c:v>
                </c:pt>
                <c:pt idx="153">
                  <c:v>43977</c:v>
                </c:pt>
                <c:pt idx="154">
                  <c:v>43978</c:v>
                </c:pt>
                <c:pt idx="155">
                  <c:v>43979</c:v>
                </c:pt>
                <c:pt idx="156">
                  <c:v>43980</c:v>
                </c:pt>
                <c:pt idx="157">
                  <c:v>43983</c:v>
                </c:pt>
                <c:pt idx="158">
                  <c:v>43984</c:v>
                </c:pt>
                <c:pt idx="159">
                  <c:v>43985</c:v>
                </c:pt>
                <c:pt idx="160">
                  <c:v>43986</c:v>
                </c:pt>
                <c:pt idx="161">
                  <c:v>43987</c:v>
                </c:pt>
                <c:pt idx="162">
                  <c:v>43990</c:v>
                </c:pt>
                <c:pt idx="163">
                  <c:v>43991</c:v>
                </c:pt>
                <c:pt idx="164">
                  <c:v>43992</c:v>
                </c:pt>
                <c:pt idx="165">
                  <c:v>43993</c:v>
                </c:pt>
                <c:pt idx="166">
                  <c:v>43994</c:v>
                </c:pt>
                <c:pt idx="167">
                  <c:v>43997</c:v>
                </c:pt>
                <c:pt idx="168">
                  <c:v>43998</c:v>
                </c:pt>
                <c:pt idx="169">
                  <c:v>43999</c:v>
                </c:pt>
                <c:pt idx="170">
                  <c:v>44000</c:v>
                </c:pt>
                <c:pt idx="171">
                  <c:v>44001</c:v>
                </c:pt>
                <c:pt idx="172">
                  <c:v>44004</c:v>
                </c:pt>
                <c:pt idx="173">
                  <c:v>44005</c:v>
                </c:pt>
                <c:pt idx="174">
                  <c:v>44006</c:v>
                </c:pt>
                <c:pt idx="175">
                  <c:v>44011</c:v>
                </c:pt>
                <c:pt idx="176">
                  <c:v>44012</c:v>
                </c:pt>
                <c:pt idx="177">
                  <c:v>44013</c:v>
                </c:pt>
                <c:pt idx="178">
                  <c:v>44014</c:v>
                </c:pt>
                <c:pt idx="179">
                  <c:v>44015</c:v>
                </c:pt>
                <c:pt idx="180">
                  <c:v>44018</c:v>
                </c:pt>
                <c:pt idx="181">
                  <c:v>44019</c:v>
                </c:pt>
                <c:pt idx="182">
                  <c:v>44020</c:v>
                </c:pt>
                <c:pt idx="183">
                  <c:v>44021</c:v>
                </c:pt>
                <c:pt idx="184">
                  <c:v>44022</c:v>
                </c:pt>
                <c:pt idx="185">
                  <c:v>44025</c:v>
                </c:pt>
                <c:pt idx="186">
                  <c:v>44026</c:v>
                </c:pt>
                <c:pt idx="187">
                  <c:v>44027</c:v>
                </c:pt>
                <c:pt idx="188">
                  <c:v>44028</c:v>
                </c:pt>
                <c:pt idx="189">
                  <c:v>44029</c:v>
                </c:pt>
                <c:pt idx="190">
                  <c:v>44032</c:v>
                </c:pt>
                <c:pt idx="191">
                  <c:v>44033</c:v>
                </c:pt>
                <c:pt idx="192">
                  <c:v>44034</c:v>
                </c:pt>
                <c:pt idx="193">
                  <c:v>44035</c:v>
                </c:pt>
                <c:pt idx="194">
                  <c:v>44036</c:v>
                </c:pt>
                <c:pt idx="195">
                  <c:v>44039</c:v>
                </c:pt>
                <c:pt idx="196">
                  <c:v>44040</c:v>
                </c:pt>
                <c:pt idx="197">
                  <c:v>44041</c:v>
                </c:pt>
                <c:pt idx="198">
                  <c:v>44042</c:v>
                </c:pt>
                <c:pt idx="199">
                  <c:v>44043</c:v>
                </c:pt>
                <c:pt idx="200">
                  <c:v>44046</c:v>
                </c:pt>
                <c:pt idx="201">
                  <c:v>44047</c:v>
                </c:pt>
                <c:pt idx="202">
                  <c:v>44048</c:v>
                </c:pt>
                <c:pt idx="203">
                  <c:v>44049</c:v>
                </c:pt>
                <c:pt idx="204">
                  <c:v>44050</c:v>
                </c:pt>
                <c:pt idx="205">
                  <c:v>44053</c:v>
                </c:pt>
                <c:pt idx="206">
                  <c:v>44054</c:v>
                </c:pt>
                <c:pt idx="207">
                  <c:v>44055</c:v>
                </c:pt>
                <c:pt idx="208">
                  <c:v>44056</c:v>
                </c:pt>
                <c:pt idx="209">
                  <c:v>44057</c:v>
                </c:pt>
                <c:pt idx="210">
                  <c:v>44060</c:v>
                </c:pt>
                <c:pt idx="211">
                  <c:v>44061</c:v>
                </c:pt>
                <c:pt idx="212">
                  <c:v>44062</c:v>
                </c:pt>
                <c:pt idx="213">
                  <c:v>44063</c:v>
                </c:pt>
                <c:pt idx="214">
                  <c:v>44064</c:v>
                </c:pt>
                <c:pt idx="215">
                  <c:v>44067</c:v>
                </c:pt>
                <c:pt idx="216">
                  <c:v>44068</c:v>
                </c:pt>
                <c:pt idx="217">
                  <c:v>44069</c:v>
                </c:pt>
                <c:pt idx="218">
                  <c:v>44070</c:v>
                </c:pt>
                <c:pt idx="219">
                  <c:v>44071</c:v>
                </c:pt>
                <c:pt idx="220">
                  <c:v>44074</c:v>
                </c:pt>
                <c:pt idx="221">
                  <c:v>44075</c:v>
                </c:pt>
                <c:pt idx="222">
                  <c:v>44076</c:v>
                </c:pt>
                <c:pt idx="223">
                  <c:v>44077</c:v>
                </c:pt>
                <c:pt idx="224">
                  <c:v>44078</c:v>
                </c:pt>
                <c:pt idx="225">
                  <c:v>44081</c:v>
                </c:pt>
                <c:pt idx="226">
                  <c:v>44082</c:v>
                </c:pt>
                <c:pt idx="227">
                  <c:v>44083</c:v>
                </c:pt>
                <c:pt idx="228">
                  <c:v>44084</c:v>
                </c:pt>
                <c:pt idx="229">
                  <c:v>44085</c:v>
                </c:pt>
                <c:pt idx="230">
                  <c:v>44088</c:v>
                </c:pt>
                <c:pt idx="231">
                  <c:v>44089</c:v>
                </c:pt>
                <c:pt idx="232">
                  <c:v>44090</c:v>
                </c:pt>
                <c:pt idx="233">
                  <c:v>44091</c:v>
                </c:pt>
                <c:pt idx="234">
                  <c:v>44092</c:v>
                </c:pt>
                <c:pt idx="235">
                  <c:v>44095</c:v>
                </c:pt>
                <c:pt idx="236">
                  <c:v>44096</c:v>
                </c:pt>
                <c:pt idx="237">
                  <c:v>44097</c:v>
                </c:pt>
                <c:pt idx="238">
                  <c:v>44098</c:v>
                </c:pt>
                <c:pt idx="239">
                  <c:v>44099</c:v>
                </c:pt>
                <c:pt idx="240">
                  <c:v>44102</c:v>
                </c:pt>
                <c:pt idx="241">
                  <c:v>44103</c:v>
                </c:pt>
                <c:pt idx="242">
                  <c:v>44104</c:v>
                </c:pt>
                <c:pt idx="243">
                  <c:v>44113</c:v>
                </c:pt>
                <c:pt idx="244">
                  <c:v>44116</c:v>
                </c:pt>
                <c:pt idx="245">
                  <c:v>44117</c:v>
                </c:pt>
                <c:pt idx="246">
                  <c:v>44118</c:v>
                </c:pt>
                <c:pt idx="247">
                  <c:v>44119</c:v>
                </c:pt>
                <c:pt idx="248">
                  <c:v>44120</c:v>
                </c:pt>
                <c:pt idx="249">
                  <c:v>44123</c:v>
                </c:pt>
                <c:pt idx="250">
                  <c:v>44124</c:v>
                </c:pt>
                <c:pt idx="251">
                  <c:v>44125</c:v>
                </c:pt>
                <c:pt idx="252">
                  <c:v>44126</c:v>
                </c:pt>
                <c:pt idx="253">
                  <c:v>44127</c:v>
                </c:pt>
                <c:pt idx="254">
                  <c:v>44130</c:v>
                </c:pt>
                <c:pt idx="255">
                  <c:v>44131</c:v>
                </c:pt>
                <c:pt idx="256">
                  <c:v>44132</c:v>
                </c:pt>
                <c:pt idx="257">
                  <c:v>44133</c:v>
                </c:pt>
                <c:pt idx="258">
                  <c:v>44134</c:v>
                </c:pt>
                <c:pt idx="259">
                  <c:v>44137</c:v>
                </c:pt>
                <c:pt idx="260">
                  <c:v>44138</c:v>
                </c:pt>
                <c:pt idx="261">
                  <c:v>44139</c:v>
                </c:pt>
                <c:pt idx="262">
                  <c:v>44140</c:v>
                </c:pt>
                <c:pt idx="263">
                  <c:v>44141</c:v>
                </c:pt>
                <c:pt idx="264">
                  <c:v>44144</c:v>
                </c:pt>
                <c:pt idx="265">
                  <c:v>44145</c:v>
                </c:pt>
                <c:pt idx="266">
                  <c:v>44146</c:v>
                </c:pt>
                <c:pt idx="267">
                  <c:v>44147</c:v>
                </c:pt>
                <c:pt idx="268">
                  <c:v>44148</c:v>
                </c:pt>
                <c:pt idx="269">
                  <c:v>44151</c:v>
                </c:pt>
                <c:pt idx="270">
                  <c:v>44152</c:v>
                </c:pt>
                <c:pt idx="271">
                  <c:v>44153</c:v>
                </c:pt>
                <c:pt idx="272">
                  <c:v>44154</c:v>
                </c:pt>
                <c:pt idx="273">
                  <c:v>44155</c:v>
                </c:pt>
                <c:pt idx="274">
                  <c:v>44158</c:v>
                </c:pt>
                <c:pt idx="275">
                  <c:v>44159</c:v>
                </c:pt>
                <c:pt idx="276">
                  <c:v>44160</c:v>
                </c:pt>
                <c:pt idx="277">
                  <c:v>44161</c:v>
                </c:pt>
                <c:pt idx="278">
                  <c:v>44162</c:v>
                </c:pt>
                <c:pt idx="279">
                  <c:v>44165</c:v>
                </c:pt>
                <c:pt idx="280">
                  <c:v>44166</c:v>
                </c:pt>
                <c:pt idx="281">
                  <c:v>44167</c:v>
                </c:pt>
                <c:pt idx="282">
                  <c:v>44168</c:v>
                </c:pt>
                <c:pt idx="283">
                  <c:v>44169</c:v>
                </c:pt>
                <c:pt idx="284">
                  <c:v>44172</c:v>
                </c:pt>
                <c:pt idx="285">
                  <c:v>44173</c:v>
                </c:pt>
                <c:pt idx="286">
                  <c:v>44174</c:v>
                </c:pt>
                <c:pt idx="287">
                  <c:v>44175</c:v>
                </c:pt>
                <c:pt idx="288">
                  <c:v>44176</c:v>
                </c:pt>
                <c:pt idx="289">
                  <c:v>44179</c:v>
                </c:pt>
                <c:pt idx="290">
                  <c:v>44180</c:v>
                </c:pt>
                <c:pt idx="291">
                  <c:v>44181</c:v>
                </c:pt>
                <c:pt idx="292">
                  <c:v>44182</c:v>
                </c:pt>
                <c:pt idx="293">
                  <c:v>44183</c:v>
                </c:pt>
                <c:pt idx="294">
                  <c:v>44186</c:v>
                </c:pt>
                <c:pt idx="295">
                  <c:v>44187</c:v>
                </c:pt>
                <c:pt idx="296">
                  <c:v>44188</c:v>
                </c:pt>
                <c:pt idx="297">
                  <c:v>44189</c:v>
                </c:pt>
                <c:pt idx="298">
                  <c:v>44190</c:v>
                </c:pt>
                <c:pt idx="299">
                  <c:v>44193</c:v>
                </c:pt>
                <c:pt idx="300">
                  <c:v>44194</c:v>
                </c:pt>
                <c:pt idx="301">
                  <c:v>44195</c:v>
                </c:pt>
                <c:pt idx="302">
                  <c:v>44196</c:v>
                </c:pt>
                <c:pt idx="303">
                  <c:v>44200</c:v>
                </c:pt>
                <c:pt idx="304">
                  <c:v>44201</c:v>
                </c:pt>
                <c:pt idx="305">
                  <c:v>44202</c:v>
                </c:pt>
                <c:pt idx="306">
                  <c:v>44203</c:v>
                </c:pt>
                <c:pt idx="307">
                  <c:v>44204</c:v>
                </c:pt>
                <c:pt idx="308">
                  <c:v>44207</c:v>
                </c:pt>
                <c:pt idx="309">
                  <c:v>44208</c:v>
                </c:pt>
                <c:pt idx="310">
                  <c:v>44209</c:v>
                </c:pt>
                <c:pt idx="311">
                  <c:v>44210</c:v>
                </c:pt>
                <c:pt idx="312">
                  <c:v>44211</c:v>
                </c:pt>
                <c:pt idx="313">
                  <c:v>44214</c:v>
                </c:pt>
                <c:pt idx="314">
                  <c:v>44215</c:v>
                </c:pt>
                <c:pt idx="315">
                  <c:v>44216</c:v>
                </c:pt>
                <c:pt idx="316">
                  <c:v>44217</c:v>
                </c:pt>
                <c:pt idx="317">
                  <c:v>44218</c:v>
                </c:pt>
                <c:pt idx="318">
                  <c:v>44221</c:v>
                </c:pt>
                <c:pt idx="319">
                  <c:v>44222</c:v>
                </c:pt>
                <c:pt idx="320">
                  <c:v>44223</c:v>
                </c:pt>
                <c:pt idx="321">
                  <c:v>44224</c:v>
                </c:pt>
                <c:pt idx="322">
                  <c:v>44225</c:v>
                </c:pt>
                <c:pt idx="323">
                  <c:v>44228</c:v>
                </c:pt>
                <c:pt idx="324">
                  <c:v>44229</c:v>
                </c:pt>
                <c:pt idx="325">
                  <c:v>44230</c:v>
                </c:pt>
                <c:pt idx="326">
                  <c:v>44231</c:v>
                </c:pt>
                <c:pt idx="327">
                  <c:v>44232</c:v>
                </c:pt>
                <c:pt idx="328">
                  <c:v>44235</c:v>
                </c:pt>
                <c:pt idx="329">
                  <c:v>44236</c:v>
                </c:pt>
                <c:pt idx="330">
                  <c:v>44237</c:v>
                </c:pt>
                <c:pt idx="331">
                  <c:v>44245</c:v>
                </c:pt>
                <c:pt idx="332">
                  <c:v>44246</c:v>
                </c:pt>
                <c:pt idx="333">
                  <c:v>44249</c:v>
                </c:pt>
                <c:pt idx="334">
                  <c:v>44250</c:v>
                </c:pt>
                <c:pt idx="335">
                  <c:v>44251</c:v>
                </c:pt>
                <c:pt idx="336">
                  <c:v>44252</c:v>
                </c:pt>
                <c:pt idx="337">
                  <c:v>44253</c:v>
                </c:pt>
                <c:pt idx="338">
                  <c:v>44256</c:v>
                </c:pt>
                <c:pt idx="339">
                  <c:v>44257</c:v>
                </c:pt>
                <c:pt idx="340">
                  <c:v>44258</c:v>
                </c:pt>
                <c:pt idx="341">
                  <c:v>44259</c:v>
                </c:pt>
                <c:pt idx="342">
                  <c:v>44260</c:v>
                </c:pt>
                <c:pt idx="343">
                  <c:v>44263</c:v>
                </c:pt>
                <c:pt idx="344">
                  <c:v>44264</c:v>
                </c:pt>
                <c:pt idx="345">
                  <c:v>44265</c:v>
                </c:pt>
                <c:pt idx="346">
                  <c:v>44266</c:v>
                </c:pt>
                <c:pt idx="347">
                  <c:v>44267</c:v>
                </c:pt>
                <c:pt idx="348">
                  <c:v>44270</c:v>
                </c:pt>
                <c:pt idx="349">
                  <c:v>44271</c:v>
                </c:pt>
                <c:pt idx="350">
                  <c:v>44272</c:v>
                </c:pt>
                <c:pt idx="351">
                  <c:v>44273</c:v>
                </c:pt>
                <c:pt idx="352">
                  <c:v>44274</c:v>
                </c:pt>
                <c:pt idx="353">
                  <c:v>44277</c:v>
                </c:pt>
                <c:pt idx="354">
                  <c:v>44278</c:v>
                </c:pt>
                <c:pt idx="355">
                  <c:v>44279</c:v>
                </c:pt>
                <c:pt idx="356">
                  <c:v>44280</c:v>
                </c:pt>
                <c:pt idx="357">
                  <c:v>44281</c:v>
                </c:pt>
                <c:pt idx="358">
                  <c:v>44284</c:v>
                </c:pt>
                <c:pt idx="359">
                  <c:v>44285</c:v>
                </c:pt>
                <c:pt idx="360">
                  <c:v>44286</c:v>
                </c:pt>
                <c:pt idx="361">
                  <c:v>44287</c:v>
                </c:pt>
                <c:pt idx="362">
                  <c:v>44288</c:v>
                </c:pt>
                <c:pt idx="363">
                  <c:v>44292</c:v>
                </c:pt>
                <c:pt idx="364">
                  <c:v>44293</c:v>
                </c:pt>
                <c:pt idx="365">
                  <c:v>44294</c:v>
                </c:pt>
                <c:pt idx="366">
                  <c:v>44295</c:v>
                </c:pt>
                <c:pt idx="367">
                  <c:v>44298</c:v>
                </c:pt>
                <c:pt idx="368">
                  <c:v>44299</c:v>
                </c:pt>
                <c:pt idx="369">
                  <c:v>44300</c:v>
                </c:pt>
                <c:pt idx="370">
                  <c:v>44301</c:v>
                </c:pt>
                <c:pt idx="371">
                  <c:v>44302</c:v>
                </c:pt>
                <c:pt idx="372">
                  <c:v>44305</c:v>
                </c:pt>
                <c:pt idx="373">
                  <c:v>44306</c:v>
                </c:pt>
                <c:pt idx="374">
                  <c:v>44307</c:v>
                </c:pt>
                <c:pt idx="375">
                  <c:v>44308</c:v>
                </c:pt>
                <c:pt idx="376">
                  <c:v>44309</c:v>
                </c:pt>
                <c:pt idx="377">
                  <c:v>44312</c:v>
                </c:pt>
                <c:pt idx="378">
                  <c:v>44313</c:v>
                </c:pt>
                <c:pt idx="379">
                  <c:v>44314</c:v>
                </c:pt>
                <c:pt idx="380">
                  <c:v>44315</c:v>
                </c:pt>
                <c:pt idx="381">
                  <c:v>44316</c:v>
                </c:pt>
                <c:pt idx="382">
                  <c:v>44322</c:v>
                </c:pt>
              </c:numCache>
            </c:numRef>
          </c:cat>
          <c:val>
            <c:numRef>
              <c:f>筹优量化!$B$21:$B$403</c:f>
              <c:numCache>
                <c:formatCode>0.0000_ </c:formatCode>
                <c:ptCount val="383"/>
                <c:pt idx="0">
                  <c:v>1.1866000000000001</c:v>
                </c:pt>
                <c:pt idx="1">
                  <c:v>1.194</c:v>
                </c:pt>
                <c:pt idx="2">
                  <c:v>1.1895</c:v>
                </c:pt>
                <c:pt idx="3">
                  <c:v>1.1919999999999999</c:v>
                </c:pt>
                <c:pt idx="4">
                  <c:v>1.1865000000000001</c:v>
                </c:pt>
                <c:pt idx="5">
                  <c:v>1.1878</c:v>
                </c:pt>
                <c:pt idx="6">
                  <c:v>1.1907000000000001</c:v>
                </c:pt>
                <c:pt idx="7">
                  <c:v>1.1907000000000001</c:v>
                </c:pt>
                <c:pt idx="8">
                  <c:v>1.1888000000000001</c:v>
                </c:pt>
                <c:pt idx="9">
                  <c:v>1.1913</c:v>
                </c:pt>
                <c:pt idx="10">
                  <c:v>1.1896</c:v>
                </c:pt>
                <c:pt idx="11">
                  <c:v>1.1884999999999999</c:v>
                </c:pt>
                <c:pt idx="12">
                  <c:v>1.1896</c:v>
                </c:pt>
                <c:pt idx="13">
                  <c:v>1.1970000000000001</c:v>
                </c:pt>
                <c:pt idx="14">
                  <c:v>1.1953</c:v>
                </c:pt>
                <c:pt idx="15">
                  <c:v>1.1996</c:v>
                </c:pt>
                <c:pt idx="16">
                  <c:v>1.1956</c:v>
                </c:pt>
                <c:pt idx="17">
                  <c:v>1.1966000000000001</c:v>
                </c:pt>
                <c:pt idx="18">
                  <c:v>1.2010000000000001</c:v>
                </c:pt>
                <c:pt idx="19">
                  <c:v>1.1980999999999999</c:v>
                </c:pt>
                <c:pt idx="20">
                  <c:v>1.196</c:v>
                </c:pt>
                <c:pt idx="21">
                  <c:v>1.1963999999999999</c:v>
                </c:pt>
                <c:pt idx="22">
                  <c:v>1.1953</c:v>
                </c:pt>
                <c:pt idx="23">
                  <c:v>1.1938</c:v>
                </c:pt>
                <c:pt idx="24">
                  <c:v>1.1978</c:v>
                </c:pt>
                <c:pt idx="25">
                  <c:v>1.1976</c:v>
                </c:pt>
                <c:pt idx="26">
                  <c:v>1.2030000000000001</c:v>
                </c:pt>
                <c:pt idx="27">
                  <c:v>1.1994</c:v>
                </c:pt>
                <c:pt idx="28">
                  <c:v>1.2039</c:v>
                </c:pt>
                <c:pt idx="29">
                  <c:v>1.2088000000000001</c:v>
                </c:pt>
                <c:pt idx="30">
                  <c:v>1.2067000000000001</c:v>
                </c:pt>
                <c:pt idx="31">
                  <c:v>1.2038</c:v>
                </c:pt>
                <c:pt idx="32">
                  <c:v>1.1957</c:v>
                </c:pt>
                <c:pt idx="33">
                  <c:v>1.1794</c:v>
                </c:pt>
                <c:pt idx="34">
                  <c:v>1.1816</c:v>
                </c:pt>
                <c:pt idx="35">
                  <c:v>1.1811</c:v>
                </c:pt>
                <c:pt idx="36">
                  <c:v>1.1815</c:v>
                </c:pt>
                <c:pt idx="37">
                  <c:v>1.1797</c:v>
                </c:pt>
                <c:pt idx="38">
                  <c:v>1.1802999999999999</c:v>
                </c:pt>
                <c:pt idx="39">
                  <c:v>1.1826000000000001</c:v>
                </c:pt>
                <c:pt idx="40">
                  <c:v>1.1849000000000001</c:v>
                </c:pt>
                <c:pt idx="41">
                  <c:v>1.1890000000000001</c:v>
                </c:pt>
                <c:pt idx="42">
                  <c:v>1.1888000000000001</c:v>
                </c:pt>
                <c:pt idx="43">
                  <c:v>1.1877</c:v>
                </c:pt>
                <c:pt idx="44">
                  <c:v>1.1879999999999999</c:v>
                </c:pt>
                <c:pt idx="45">
                  <c:v>1.1898</c:v>
                </c:pt>
                <c:pt idx="46">
                  <c:v>1.1930000000000001</c:v>
                </c:pt>
                <c:pt idx="47">
                  <c:v>1.1961999999999999</c:v>
                </c:pt>
                <c:pt idx="48">
                  <c:v>1.1994</c:v>
                </c:pt>
                <c:pt idx="49">
                  <c:v>1.1973</c:v>
                </c:pt>
                <c:pt idx="50">
                  <c:v>1.1994</c:v>
                </c:pt>
                <c:pt idx="51">
                  <c:v>1.1975</c:v>
                </c:pt>
                <c:pt idx="52">
                  <c:v>1.1908000000000001</c:v>
                </c:pt>
                <c:pt idx="53">
                  <c:v>1.1907000000000001</c:v>
                </c:pt>
                <c:pt idx="54">
                  <c:v>1.1952</c:v>
                </c:pt>
                <c:pt idx="55">
                  <c:v>1.2014</c:v>
                </c:pt>
                <c:pt idx="56">
                  <c:v>1.2020999999999999</c:v>
                </c:pt>
                <c:pt idx="57">
                  <c:v>1.1960999999999999</c:v>
                </c:pt>
                <c:pt idx="58">
                  <c:v>1.1871</c:v>
                </c:pt>
                <c:pt idx="59">
                  <c:v>1.1902999999999999</c:v>
                </c:pt>
                <c:pt idx="60">
                  <c:v>1.1937</c:v>
                </c:pt>
                <c:pt idx="61">
                  <c:v>1.1976</c:v>
                </c:pt>
                <c:pt idx="62">
                  <c:v>1.1966000000000001</c:v>
                </c:pt>
                <c:pt idx="63">
                  <c:v>1.1969000000000001</c:v>
                </c:pt>
                <c:pt idx="64">
                  <c:v>1.1947000000000001</c:v>
                </c:pt>
                <c:pt idx="65">
                  <c:v>1.202</c:v>
                </c:pt>
                <c:pt idx="66">
                  <c:v>1.2047000000000001</c:v>
                </c:pt>
                <c:pt idx="67">
                  <c:v>1.2070000000000001</c:v>
                </c:pt>
                <c:pt idx="68">
                  <c:v>1.2058</c:v>
                </c:pt>
                <c:pt idx="69">
                  <c:v>1.2121999999999999</c:v>
                </c:pt>
                <c:pt idx="70">
                  <c:v>1.2119</c:v>
                </c:pt>
                <c:pt idx="71">
                  <c:v>1.2126999999999999</c:v>
                </c:pt>
                <c:pt idx="72">
                  <c:v>1.2132000000000001</c:v>
                </c:pt>
                <c:pt idx="73">
                  <c:v>1.2157</c:v>
                </c:pt>
                <c:pt idx="74">
                  <c:v>1.2172000000000001</c:v>
                </c:pt>
                <c:pt idx="75">
                  <c:v>1.2184999999999999</c:v>
                </c:pt>
                <c:pt idx="76">
                  <c:v>1.2156</c:v>
                </c:pt>
                <c:pt idx="77">
                  <c:v>1.206</c:v>
                </c:pt>
                <c:pt idx="78">
                  <c:v>1.2097</c:v>
                </c:pt>
                <c:pt idx="79">
                  <c:v>1.2130000000000001</c:v>
                </c:pt>
                <c:pt idx="80">
                  <c:v>1.2183999999999999</c:v>
                </c:pt>
                <c:pt idx="81">
                  <c:v>1.224</c:v>
                </c:pt>
                <c:pt idx="82">
                  <c:v>1.2270000000000001</c:v>
                </c:pt>
                <c:pt idx="83">
                  <c:v>1.2303999999999999</c:v>
                </c:pt>
                <c:pt idx="84">
                  <c:v>1.2355</c:v>
                </c:pt>
                <c:pt idx="85">
                  <c:v>1.2419</c:v>
                </c:pt>
                <c:pt idx="86">
                  <c:v>1.2484</c:v>
                </c:pt>
                <c:pt idx="87">
                  <c:v>1.2676000000000001</c:v>
                </c:pt>
                <c:pt idx="88">
                  <c:v>1.2705</c:v>
                </c:pt>
                <c:pt idx="89">
                  <c:v>1.2776000000000001</c:v>
                </c:pt>
                <c:pt idx="90">
                  <c:v>1.28</c:v>
                </c:pt>
                <c:pt idx="91">
                  <c:v>1.2988</c:v>
                </c:pt>
                <c:pt idx="92">
                  <c:v>1.2967</c:v>
                </c:pt>
                <c:pt idx="93">
                  <c:v>1.2814000000000001</c:v>
                </c:pt>
                <c:pt idx="94">
                  <c:v>1.2859</c:v>
                </c:pt>
                <c:pt idx="95">
                  <c:v>1.2679</c:v>
                </c:pt>
                <c:pt idx="96">
                  <c:v>1.2764</c:v>
                </c:pt>
                <c:pt idx="97">
                  <c:v>1.2866</c:v>
                </c:pt>
                <c:pt idx="98">
                  <c:v>1.2916000000000001</c:v>
                </c:pt>
                <c:pt idx="99">
                  <c:v>1.2942</c:v>
                </c:pt>
                <c:pt idx="100">
                  <c:v>1.2870999999999999</c:v>
                </c:pt>
                <c:pt idx="101">
                  <c:v>1.2827</c:v>
                </c:pt>
                <c:pt idx="102">
                  <c:v>1.2948999999999999</c:v>
                </c:pt>
                <c:pt idx="103">
                  <c:v>1.2921</c:v>
                </c:pt>
                <c:pt idx="104">
                  <c:v>1.2894000000000001</c:v>
                </c:pt>
                <c:pt idx="105">
                  <c:v>1.292</c:v>
                </c:pt>
                <c:pt idx="106">
                  <c:v>1.2858000000000001</c:v>
                </c:pt>
                <c:pt idx="107">
                  <c:v>1.2903</c:v>
                </c:pt>
                <c:pt idx="108">
                  <c:v>1.2911999999999999</c:v>
                </c:pt>
                <c:pt idx="109">
                  <c:v>1.2998000000000001</c:v>
                </c:pt>
                <c:pt idx="110">
                  <c:v>1.3012999999999999</c:v>
                </c:pt>
                <c:pt idx="111">
                  <c:v>1.2946</c:v>
                </c:pt>
                <c:pt idx="112">
                  <c:v>1.3024</c:v>
                </c:pt>
                <c:pt idx="113">
                  <c:v>1.3059000000000001</c:v>
                </c:pt>
                <c:pt idx="114">
                  <c:v>1.3073999999999999</c:v>
                </c:pt>
                <c:pt idx="115">
                  <c:v>1.3039000000000001</c:v>
                </c:pt>
                <c:pt idx="116">
                  <c:v>1.3</c:v>
                </c:pt>
                <c:pt idx="117">
                  <c:v>1.3042</c:v>
                </c:pt>
                <c:pt idx="118">
                  <c:v>1.3078000000000001</c:v>
                </c:pt>
                <c:pt idx="119">
                  <c:v>1.3082</c:v>
                </c:pt>
                <c:pt idx="120">
                  <c:v>1.3120000000000001</c:v>
                </c:pt>
                <c:pt idx="121">
                  <c:v>1.3183</c:v>
                </c:pt>
                <c:pt idx="122">
                  <c:v>1.3159000000000001</c:v>
                </c:pt>
                <c:pt idx="123">
                  <c:v>1.3184</c:v>
                </c:pt>
                <c:pt idx="124">
                  <c:v>1.3067</c:v>
                </c:pt>
                <c:pt idx="125">
                  <c:v>1.3047</c:v>
                </c:pt>
                <c:pt idx="126">
                  <c:v>1.3089999999999999</c:v>
                </c:pt>
                <c:pt idx="127">
                  <c:v>1.3073999999999999</c:v>
                </c:pt>
                <c:pt idx="128">
                  <c:v>1.3091999999999999</c:v>
                </c:pt>
                <c:pt idx="129">
                  <c:v>1.3084</c:v>
                </c:pt>
                <c:pt idx="130">
                  <c:v>1.3150999999999999</c:v>
                </c:pt>
                <c:pt idx="131">
                  <c:v>1.3150999999999999</c:v>
                </c:pt>
                <c:pt idx="132">
                  <c:v>1.3178000000000001</c:v>
                </c:pt>
                <c:pt idx="133">
                  <c:v>1.3150999999999999</c:v>
                </c:pt>
                <c:pt idx="134">
                  <c:v>1.3081</c:v>
                </c:pt>
                <c:pt idx="135">
                  <c:v>1.3082</c:v>
                </c:pt>
                <c:pt idx="136">
                  <c:v>1.3109999999999999</c:v>
                </c:pt>
                <c:pt idx="137">
                  <c:v>1.3048</c:v>
                </c:pt>
                <c:pt idx="138">
                  <c:v>1.3046</c:v>
                </c:pt>
                <c:pt idx="139">
                  <c:v>1.3160000000000001</c:v>
                </c:pt>
                <c:pt idx="140">
                  <c:v>1.3174999999999999</c:v>
                </c:pt>
                <c:pt idx="141">
                  <c:v>1.3180000000000001</c:v>
                </c:pt>
                <c:pt idx="142">
                  <c:v>1.3197000000000001</c:v>
                </c:pt>
                <c:pt idx="143">
                  <c:v>1.3229</c:v>
                </c:pt>
                <c:pt idx="144">
                  <c:v>1.3270999999999999</c:v>
                </c:pt>
                <c:pt idx="145">
                  <c:v>1.3249</c:v>
                </c:pt>
                <c:pt idx="146">
                  <c:v>1.3304</c:v>
                </c:pt>
                <c:pt idx="147">
                  <c:v>1.3322000000000001</c:v>
                </c:pt>
                <c:pt idx="148">
                  <c:v>1.3376999999999999</c:v>
                </c:pt>
                <c:pt idx="149">
                  <c:v>1.3319000000000001</c:v>
                </c:pt>
                <c:pt idx="150">
                  <c:v>1.325</c:v>
                </c:pt>
                <c:pt idx="151">
                  <c:v>1.3228</c:v>
                </c:pt>
                <c:pt idx="152">
                  <c:v>1.3260000000000001</c:v>
                </c:pt>
                <c:pt idx="153">
                  <c:v>1.3354999999999999</c:v>
                </c:pt>
                <c:pt idx="154">
                  <c:v>1.3303</c:v>
                </c:pt>
                <c:pt idx="155">
                  <c:v>1.3310999999999999</c:v>
                </c:pt>
                <c:pt idx="156">
                  <c:v>1.3347</c:v>
                </c:pt>
                <c:pt idx="157">
                  <c:v>1.3380000000000001</c:v>
                </c:pt>
                <c:pt idx="158">
                  <c:v>1.3376999999999999</c:v>
                </c:pt>
                <c:pt idx="159">
                  <c:v>1.3443000000000001</c:v>
                </c:pt>
                <c:pt idx="160">
                  <c:v>1.3416999999999999</c:v>
                </c:pt>
                <c:pt idx="161">
                  <c:v>1.3405</c:v>
                </c:pt>
                <c:pt idx="162">
                  <c:v>1.3382000000000001</c:v>
                </c:pt>
                <c:pt idx="163">
                  <c:v>1.3379000000000001</c:v>
                </c:pt>
                <c:pt idx="164">
                  <c:v>1.3389</c:v>
                </c:pt>
                <c:pt idx="165">
                  <c:v>1.341</c:v>
                </c:pt>
                <c:pt idx="166">
                  <c:v>1.3421000000000001</c:v>
                </c:pt>
                <c:pt idx="167">
                  <c:v>1.3424</c:v>
                </c:pt>
                <c:pt idx="168">
                  <c:v>1.3506</c:v>
                </c:pt>
                <c:pt idx="169">
                  <c:v>1.3452</c:v>
                </c:pt>
                <c:pt idx="170">
                  <c:v>1.3414999999999999</c:v>
                </c:pt>
                <c:pt idx="171">
                  <c:v>1.3438000000000001</c:v>
                </c:pt>
                <c:pt idx="172">
                  <c:v>1.3553999999999999</c:v>
                </c:pt>
                <c:pt idx="173">
                  <c:v>1.3566</c:v>
                </c:pt>
                <c:pt idx="174">
                  <c:v>1.3544</c:v>
                </c:pt>
                <c:pt idx="175">
                  <c:v>1.3584000000000001</c:v>
                </c:pt>
                <c:pt idx="176">
                  <c:v>1.3641000000000001</c:v>
                </c:pt>
                <c:pt idx="177">
                  <c:v>1.3613</c:v>
                </c:pt>
                <c:pt idx="178">
                  <c:v>1.3503000000000001</c:v>
                </c:pt>
                <c:pt idx="179">
                  <c:v>1.3466</c:v>
                </c:pt>
                <c:pt idx="180">
                  <c:v>1.3337000000000001</c:v>
                </c:pt>
                <c:pt idx="181">
                  <c:v>1.3411999999999999</c:v>
                </c:pt>
                <c:pt idx="182">
                  <c:v>1.3525</c:v>
                </c:pt>
                <c:pt idx="183">
                  <c:v>1.3641000000000001</c:v>
                </c:pt>
                <c:pt idx="184">
                  <c:v>1.3720000000000001</c:v>
                </c:pt>
                <c:pt idx="185">
                  <c:v>1.3791</c:v>
                </c:pt>
                <c:pt idx="186">
                  <c:v>1.3867</c:v>
                </c:pt>
                <c:pt idx="187">
                  <c:v>1.3774999999999999</c:v>
                </c:pt>
                <c:pt idx="188">
                  <c:v>1.3619000000000001</c:v>
                </c:pt>
                <c:pt idx="189">
                  <c:v>1.3644000000000001</c:v>
                </c:pt>
                <c:pt idx="190">
                  <c:v>1.3675999999999999</c:v>
                </c:pt>
                <c:pt idx="191">
                  <c:v>1.3728</c:v>
                </c:pt>
                <c:pt idx="192">
                  <c:v>1.3747</c:v>
                </c:pt>
                <c:pt idx="193">
                  <c:v>1.3752</c:v>
                </c:pt>
                <c:pt idx="194">
                  <c:v>1.3686</c:v>
                </c:pt>
                <c:pt idx="195">
                  <c:v>1.3758999999999999</c:v>
                </c:pt>
                <c:pt idx="196">
                  <c:v>1.3834</c:v>
                </c:pt>
                <c:pt idx="197">
                  <c:v>1.3854</c:v>
                </c:pt>
                <c:pt idx="198">
                  <c:v>1.3806</c:v>
                </c:pt>
                <c:pt idx="199">
                  <c:v>1.3876999999999999</c:v>
                </c:pt>
                <c:pt idx="200">
                  <c:v>1.3971</c:v>
                </c:pt>
                <c:pt idx="201">
                  <c:v>1.3936999999999999</c:v>
                </c:pt>
                <c:pt idx="202">
                  <c:v>1.4024000000000001</c:v>
                </c:pt>
                <c:pt idx="203">
                  <c:v>1.4016999999999999</c:v>
                </c:pt>
                <c:pt idx="204">
                  <c:v>1.3998999999999999</c:v>
                </c:pt>
                <c:pt idx="205">
                  <c:v>1.3928</c:v>
                </c:pt>
                <c:pt idx="206">
                  <c:v>1.3891</c:v>
                </c:pt>
                <c:pt idx="207">
                  <c:v>1.3889</c:v>
                </c:pt>
                <c:pt idx="208">
                  <c:v>1.3861000000000001</c:v>
                </c:pt>
                <c:pt idx="209">
                  <c:v>1.3811</c:v>
                </c:pt>
                <c:pt idx="210">
                  <c:v>1.3907</c:v>
                </c:pt>
                <c:pt idx="211">
                  <c:v>1.3953</c:v>
                </c:pt>
                <c:pt idx="212">
                  <c:v>1.3909</c:v>
                </c:pt>
                <c:pt idx="213">
                  <c:v>1.3863000000000001</c:v>
                </c:pt>
                <c:pt idx="214">
                  <c:v>1.3866000000000001</c:v>
                </c:pt>
                <c:pt idx="215">
                  <c:v>1.3925000000000001</c:v>
                </c:pt>
                <c:pt idx="216">
                  <c:v>1.3936999999999999</c:v>
                </c:pt>
                <c:pt idx="217">
                  <c:v>1.3789</c:v>
                </c:pt>
                <c:pt idx="218">
                  <c:v>1.3854</c:v>
                </c:pt>
                <c:pt idx="219">
                  <c:v>1.3839999999999999</c:v>
                </c:pt>
                <c:pt idx="220">
                  <c:v>1.3904000000000001</c:v>
                </c:pt>
                <c:pt idx="221">
                  <c:v>1.3895999999999999</c:v>
                </c:pt>
                <c:pt idx="222">
                  <c:v>1.3912</c:v>
                </c:pt>
                <c:pt idx="223">
                  <c:v>1.3869</c:v>
                </c:pt>
                <c:pt idx="224">
                  <c:v>1.3911</c:v>
                </c:pt>
                <c:pt idx="225">
                  <c:v>1.3885000000000001</c:v>
                </c:pt>
                <c:pt idx="226">
                  <c:v>1.3803000000000001</c:v>
                </c:pt>
                <c:pt idx="227">
                  <c:v>1.3665</c:v>
                </c:pt>
                <c:pt idx="228">
                  <c:v>1.3446</c:v>
                </c:pt>
                <c:pt idx="229">
                  <c:v>1.3553999999999999</c:v>
                </c:pt>
                <c:pt idx="230">
                  <c:v>1.3691</c:v>
                </c:pt>
                <c:pt idx="231">
                  <c:v>1.3722000000000001</c:v>
                </c:pt>
                <c:pt idx="232">
                  <c:v>1.3640000000000001</c:v>
                </c:pt>
                <c:pt idx="233">
                  <c:v>1.3613999999999999</c:v>
                </c:pt>
                <c:pt idx="234">
                  <c:v>1.3597999999999999</c:v>
                </c:pt>
                <c:pt idx="235">
                  <c:v>1.3673999999999999</c:v>
                </c:pt>
                <c:pt idx="236">
                  <c:v>1.3645</c:v>
                </c:pt>
                <c:pt idx="237">
                  <c:v>1.3713</c:v>
                </c:pt>
                <c:pt idx="238">
                  <c:v>1.3632</c:v>
                </c:pt>
                <c:pt idx="239">
                  <c:v>1.3595999999999999</c:v>
                </c:pt>
                <c:pt idx="240">
                  <c:v>1.3495999999999999</c:v>
                </c:pt>
                <c:pt idx="241">
                  <c:v>1.3560000000000001</c:v>
                </c:pt>
                <c:pt idx="242">
                  <c:v>1.3638999999999999</c:v>
                </c:pt>
                <c:pt idx="243">
                  <c:v>1.3702000000000001</c:v>
                </c:pt>
                <c:pt idx="244">
                  <c:v>1.3795999999999999</c:v>
                </c:pt>
                <c:pt idx="245">
                  <c:v>1.3838999999999999</c:v>
                </c:pt>
                <c:pt idx="246">
                  <c:v>1.3796999999999999</c:v>
                </c:pt>
                <c:pt idx="247">
                  <c:v>1.3748</c:v>
                </c:pt>
                <c:pt idx="248">
                  <c:v>1.3809</c:v>
                </c:pt>
                <c:pt idx="249">
                  <c:v>1.3882000000000001</c:v>
                </c:pt>
                <c:pt idx="250">
                  <c:v>1.3902000000000001</c:v>
                </c:pt>
                <c:pt idx="251">
                  <c:v>1.3835999999999999</c:v>
                </c:pt>
                <c:pt idx="252">
                  <c:v>1.3887</c:v>
                </c:pt>
                <c:pt idx="253">
                  <c:v>1.3831</c:v>
                </c:pt>
                <c:pt idx="254">
                  <c:v>1.3882000000000001</c:v>
                </c:pt>
                <c:pt idx="255">
                  <c:v>1.3922000000000001</c:v>
                </c:pt>
                <c:pt idx="256">
                  <c:v>1.3894</c:v>
                </c:pt>
                <c:pt idx="257">
                  <c:v>1.3853</c:v>
                </c:pt>
                <c:pt idx="258">
                  <c:v>1.3761000000000001</c:v>
                </c:pt>
                <c:pt idx="259">
                  <c:v>1.3759999999999999</c:v>
                </c:pt>
                <c:pt idx="260">
                  <c:v>1.381</c:v>
                </c:pt>
                <c:pt idx="261">
                  <c:v>1.3785000000000001</c:v>
                </c:pt>
                <c:pt idx="262">
                  <c:v>1.3758999999999999</c:v>
                </c:pt>
                <c:pt idx="263">
                  <c:v>1.3709</c:v>
                </c:pt>
                <c:pt idx="264">
                  <c:v>1.3826000000000001</c:v>
                </c:pt>
                <c:pt idx="265">
                  <c:v>1.3777999999999999</c:v>
                </c:pt>
                <c:pt idx="266">
                  <c:v>1.3689</c:v>
                </c:pt>
                <c:pt idx="267">
                  <c:v>1.3701000000000001</c:v>
                </c:pt>
                <c:pt idx="268">
                  <c:v>1.3655999999999999</c:v>
                </c:pt>
                <c:pt idx="269">
                  <c:v>1.3552999999999999</c:v>
                </c:pt>
                <c:pt idx="270">
                  <c:v>1.3498000000000001</c:v>
                </c:pt>
                <c:pt idx="271">
                  <c:v>1.3507</c:v>
                </c:pt>
                <c:pt idx="272">
                  <c:v>1.3561000000000001</c:v>
                </c:pt>
                <c:pt idx="273">
                  <c:v>1.3534999999999999</c:v>
                </c:pt>
                <c:pt idx="274">
                  <c:v>1.3548</c:v>
                </c:pt>
                <c:pt idx="275">
                  <c:v>1.3565</c:v>
                </c:pt>
                <c:pt idx="276">
                  <c:v>1.3523000000000001</c:v>
                </c:pt>
                <c:pt idx="277">
                  <c:v>1.3515999999999999</c:v>
                </c:pt>
                <c:pt idx="278">
                  <c:v>1.3480000000000001</c:v>
                </c:pt>
                <c:pt idx="279">
                  <c:v>1.3489</c:v>
                </c:pt>
                <c:pt idx="280">
                  <c:v>1.3495999999999999</c:v>
                </c:pt>
                <c:pt idx="281">
                  <c:v>1.349</c:v>
                </c:pt>
                <c:pt idx="282">
                  <c:v>1.3426</c:v>
                </c:pt>
                <c:pt idx="283">
                  <c:v>1.3418000000000001</c:v>
                </c:pt>
                <c:pt idx="284">
                  <c:v>1.3439000000000001</c:v>
                </c:pt>
                <c:pt idx="285">
                  <c:v>1.3409</c:v>
                </c:pt>
                <c:pt idx="286">
                  <c:v>1.3394999999999999</c:v>
                </c:pt>
                <c:pt idx="287">
                  <c:v>1.3411</c:v>
                </c:pt>
                <c:pt idx="288">
                  <c:v>1.3402000000000001</c:v>
                </c:pt>
                <c:pt idx="289">
                  <c:v>1.3411999999999999</c:v>
                </c:pt>
                <c:pt idx="290">
                  <c:v>1.3426</c:v>
                </c:pt>
                <c:pt idx="291">
                  <c:v>1.3383</c:v>
                </c:pt>
                <c:pt idx="292">
                  <c:v>1.3373999999999999</c:v>
                </c:pt>
                <c:pt idx="293">
                  <c:v>1.3415999999999999</c:v>
                </c:pt>
                <c:pt idx="294">
                  <c:v>1.3401000000000001</c:v>
                </c:pt>
                <c:pt idx="295">
                  <c:v>1.3387</c:v>
                </c:pt>
                <c:pt idx="296">
                  <c:v>1.3443000000000001</c:v>
                </c:pt>
                <c:pt idx="297">
                  <c:v>1.3433999999999999</c:v>
                </c:pt>
                <c:pt idx="298">
                  <c:v>1.3415999999999999</c:v>
                </c:pt>
                <c:pt idx="299">
                  <c:v>1.3372999999999999</c:v>
                </c:pt>
                <c:pt idx="300">
                  <c:v>1.3351999999999999</c:v>
                </c:pt>
                <c:pt idx="301">
                  <c:v>1.3327</c:v>
                </c:pt>
                <c:pt idx="302">
                  <c:v>1.3352999999999999</c:v>
                </c:pt>
                <c:pt idx="303">
                  <c:v>1.3362000000000001</c:v>
                </c:pt>
                <c:pt idx="304">
                  <c:v>1.3343</c:v>
                </c:pt>
                <c:pt idx="305">
                  <c:v>1.33</c:v>
                </c:pt>
                <c:pt idx="306">
                  <c:v>1.3144</c:v>
                </c:pt>
                <c:pt idx="307">
                  <c:v>1.3134999999999999</c:v>
                </c:pt>
                <c:pt idx="308">
                  <c:v>1.3121</c:v>
                </c:pt>
                <c:pt idx="309">
                  <c:v>1.32</c:v>
                </c:pt>
                <c:pt idx="310">
                  <c:v>1.3204</c:v>
                </c:pt>
                <c:pt idx="311">
                  <c:v>1.32</c:v>
                </c:pt>
                <c:pt idx="312">
                  <c:v>1.3298000000000001</c:v>
                </c:pt>
                <c:pt idx="313">
                  <c:v>1.3345</c:v>
                </c:pt>
                <c:pt idx="314">
                  <c:v>1.3346</c:v>
                </c:pt>
                <c:pt idx="315">
                  <c:v>1.3326</c:v>
                </c:pt>
                <c:pt idx="316">
                  <c:v>1.3317000000000001</c:v>
                </c:pt>
                <c:pt idx="317">
                  <c:v>1.3302</c:v>
                </c:pt>
                <c:pt idx="318">
                  <c:v>1.3302</c:v>
                </c:pt>
                <c:pt idx="319">
                  <c:v>1.3310999999999999</c:v>
                </c:pt>
                <c:pt idx="320">
                  <c:v>1.3315999999999999</c:v>
                </c:pt>
                <c:pt idx="321">
                  <c:v>1.33</c:v>
                </c:pt>
                <c:pt idx="322">
                  <c:v>1.3307</c:v>
                </c:pt>
                <c:pt idx="323">
                  <c:v>1.3331</c:v>
                </c:pt>
                <c:pt idx="324">
                  <c:v>1.3365</c:v>
                </c:pt>
                <c:pt idx="325">
                  <c:v>1.3349</c:v>
                </c:pt>
                <c:pt idx="326">
                  <c:v>1.3343</c:v>
                </c:pt>
                <c:pt idx="327">
                  <c:v>1.3346</c:v>
                </c:pt>
                <c:pt idx="328">
                  <c:v>1.3351</c:v>
                </c:pt>
                <c:pt idx="329">
                  <c:v>1.3363</c:v>
                </c:pt>
                <c:pt idx="330">
                  <c:v>1.3333999999999999</c:v>
                </c:pt>
                <c:pt idx="331">
                  <c:v>1.3293999999999999</c:v>
                </c:pt>
                <c:pt idx="332">
                  <c:v>1.3268</c:v>
                </c:pt>
                <c:pt idx="333">
                  <c:v>1.3288</c:v>
                </c:pt>
                <c:pt idx="334">
                  <c:v>1.3269</c:v>
                </c:pt>
                <c:pt idx="335">
                  <c:v>1.3265</c:v>
                </c:pt>
                <c:pt idx="336">
                  <c:v>1.3289</c:v>
                </c:pt>
                <c:pt idx="337">
                  <c:v>1.3333999999999999</c:v>
                </c:pt>
                <c:pt idx="338">
                  <c:v>1.3362000000000001</c:v>
                </c:pt>
                <c:pt idx="339">
                  <c:v>1.335</c:v>
                </c:pt>
                <c:pt idx="340">
                  <c:v>1.3360000000000001</c:v>
                </c:pt>
                <c:pt idx="341">
                  <c:v>1.3380000000000001</c:v>
                </c:pt>
                <c:pt idx="342">
                  <c:v>1.341</c:v>
                </c:pt>
                <c:pt idx="343">
                  <c:v>1.3447</c:v>
                </c:pt>
                <c:pt idx="344">
                  <c:v>1.3431999999999999</c:v>
                </c:pt>
                <c:pt idx="345">
                  <c:v>1.3472999999999999</c:v>
                </c:pt>
                <c:pt idx="346">
                  <c:v>1.3466</c:v>
                </c:pt>
                <c:pt idx="347">
                  <c:v>1.3469</c:v>
                </c:pt>
                <c:pt idx="348">
                  <c:v>1.3452999999999999</c:v>
                </c:pt>
                <c:pt idx="349">
                  <c:v>1.3488</c:v>
                </c:pt>
                <c:pt idx="350">
                  <c:v>1.3512999999999999</c:v>
                </c:pt>
                <c:pt idx="351">
                  <c:v>1.3527</c:v>
                </c:pt>
                <c:pt idx="352">
                  <c:v>1.3523000000000001</c:v>
                </c:pt>
                <c:pt idx="353">
                  <c:v>1.3549</c:v>
                </c:pt>
                <c:pt idx="354">
                  <c:v>1.3549</c:v>
                </c:pt>
                <c:pt idx="355">
                  <c:v>1.3507</c:v>
                </c:pt>
                <c:pt idx="356">
                  <c:v>1.3506</c:v>
                </c:pt>
                <c:pt idx="357">
                  <c:v>1.3547</c:v>
                </c:pt>
                <c:pt idx="358">
                  <c:v>1.3553999999999999</c:v>
                </c:pt>
                <c:pt idx="359">
                  <c:v>1.3555999999999999</c:v>
                </c:pt>
                <c:pt idx="360">
                  <c:v>1.3544</c:v>
                </c:pt>
                <c:pt idx="361">
                  <c:v>1.3553999999999999</c:v>
                </c:pt>
                <c:pt idx="362">
                  <c:v>1.3557999999999999</c:v>
                </c:pt>
                <c:pt idx="363">
                  <c:v>1.3568</c:v>
                </c:pt>
                <c:pt idx="364">
                  <c:v>1.355</c:v>
                </c:pt>
                <c:pt idx="365">
                  <c:v>1.355</c:v>
                </c:pt>
                <c:pt idx="366">
                  <c:v>1.3532999999999999</c:v>
                </c:pt>
                <c:pt idx="367">
                  <c:v>1.3512</c:v>
                </c:pt>
                <c:pt idx="368">
                  <c:v>1.3515999999999999</c:v>
                </c:pt>
                <c:pt idx="369">
                  <c:v>1.353</c:v>
                </c:pt>
                <c:pt idx="370">
                  <c:v>1.3519000000000001</c:v>
                </c:pt>
                <c:pt idx="371">
                  <c:v>1.3472999999999999</c:v>
                </c:pt>
                <c:pt idx="372">
                  <c:v>1.3531</c:v>
                </c:pt>
                <c:pt idx="373">
                  <c:v>1.3528</c:v>
                </c:pt>
                <c:pt idx="374">
                  <c:v>1.3551</c:v>
                </c:pt>
                <c:pt idx="375">
                  <c:v>1.3571</c:v>
                </c:pt>
                <c:pt idx="376">
                  <c:v>1.3567</c:v>
                </c:pt>
                <c:pt idx="377">
                  <c:v>1.3593</c:v>
                </c:pt>
                <c:pt idx="378">
                  <c:v>1.3604000000000001</c:v>
                </c:pt>
                <c:pt idx="379">
                  <c:v>1.3603000000000001</c:v>
                </c:pt>
                <c:pt idx="380">
                  <c:v>1.3635999999999999</c:v>
                </c:pt>
                <c:pt idx="381">
                  <c:v>1.3586</c:v>
                </c:pt>
                <c:pt idx="382">
                  <c:v>1.3607</c:v>
                </c:pt>
              </c:numCache>
            </c:numRef>
          </c:val>
          <c:smooth val="0"/>
          <c:extLst>
            <c:ext xmlns:c16="http://schemas.microsoft.com/office/drawing/2014/chart" uri="{C3380CC4-5D6E-409C-BE32-E72D297353CC}">
              <c16:uniqueId val="{00000000-DEBB-4866-B764-EE0FACF979EE}"/>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1200000000000001"/>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洛书瑞乾元封</a:t>
            </a:r>
            <a:endParaRPr lang="en-US" altLang="zh-CN" sz="1600"/>
          </a:p>
        </c:rich>
      </c:tx>
      <c:overlay val="0"/>
    </c:title>
    <c:autoTitleDeleted val="0"/>
    <c:plotArea>
      <c:layout/>
      <c:lineChart>
        <c:grouping val="standard"/>
        <c:varyColors val="0"/>
        <c:ser>
          <c:idx val="0"/>
          <c:order val="0"/>
          <c:tx>
            <c:strRef>
              <c:f>洛书瑞乾元封!$B$20</c:f>
              <c:strCache>
                <c:ptCount val="1"/>
                <c:pt idx="0">
                  <c:v>累计净值</c:v>
                </c:pt>
              </c:strCache>
            </c:strRef>
          </c:tx>
          <c:marker>
            <c:symbol val="none"/>
          </c:marker>
          <c:cat>
            <c:numRef>
              <c:f>洛书瑞乾元封!$A$21:$A$438</c:f>
              <c:numCache>
                <c:formatCode>m/d/yy</c:formatCode>
                <c:ptCount val="418"/>
                <c:pt idx="0">
                  <c:v>43698</c:v>
                </c:pt>
                <c:pt idx="1">
                  <c:v>43699</c:v>
                </c:pt>
                <c:pt idx="2">
                  <c:v>43700</c:v>
                </c:pt>
                <c:pt idx="3">
                  <c:v>43703</c:v>
                </c:pt>
                <c:pt idx="4">
                  <c:v>43704</c:v>
                </c:pt>
                <c:pt idx="5">
                  <c:v>43705</c:v>
                </c:pt>
                <c:pt idx="6">
                  <c:v>43706</c:v>
                </c:pt>
                <c:pt idx="7">
                  <c:v>43707</c:v>
                </c:pt>
                <c:pt idx="8">
                  <c:v>43710</c:v>
                </c:pt>
                <c:pt idx="9">
                  <c:v>43711</c:v>
                </c:pt>
                <c:pt idx="10">
                  <c:v>43712</c:v>
                </c:pt>
                <c:pt idx="11">
                  <c:v>43713</c:v>
                </c:pt>
                <c:pt idx="12">
                  <c:v>43714</c:v>
                </c:pt>
                <c:pt idx="13">
                  <c:v>43717</c:v>
                </c:pt>
                <c:pt idx="14">
                  <c:v>43718</c:v>
                </c:pt>
                <c:pt idx="15">
                  <c:v>43719</c:v>
                </c:pt>
                <c:pt idx="16">
                  <c:v>43720</c:v>
                </c:pt>
                <c:pt idx="17">
                  <c:v>43724</c:v>
                </c:pt>
                <c:pt idx="18">
                  <c:v>43725</c:v>
                </c:pt>
                <c:pt idx="19">
                  <c:v>43726</c:v>
                </c:pt>
                <c:pt idx="20">
                  <c:v>43727</c:v>
                </c:pt>
                <c:pt idx="21">
                  <c:v>43728</c:v>
                </c:pt>
                <c:pt idx="22">
                  <c:v>43731</c:v>
                </c:pt>
                <c:pt idx="23">
                  <c:v>43732</c:v>
                </c:pt>
                <c:pt idx="24">
                  <c:v>43733</c:v>
                </c:pt>
                <c:pt idx="25">
                  <c:v>43734</c:v>
                </c:pt>
                <c:pt idx="26">
                  <c:v>43735</c:v>
                </c:pt>
                <c:pt idx="27">
                  <c:v>43738</c:v>
                </c:pt>
                <c:pt idx="28">
                  <c:v>43746</c:v>
                </c:pt>
                <c:pt idx="29">
                  <c:v>43747</c:v>
                </c:pt>
                <c:pt idx="30">
                  <c:v>43748</c:v>
                </c:pt>
                <c:pt idx="31">
                  <c:v>43749</c:v>
                </c:pt>
                <c:pt idx="32">
                  <c:v>43752</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43780</c:v>
                </c:pt>
                <c:pt idx="53">
                  <c:v>43781</c:v>
                </c:pt>
                <c:pt idx="54">
                  <c:v>43782</c:v>
                </c:pt>
                <c:pt idx="55">
                  <c:v>43783</c:v>
                </c:pt>
                <c:pt idx="56">
                  <c:v>43784</c:v>
                </c:pt>
                <c:pt idx="57">
                  <c:v>43787</c:v>
                </c:pt>
                <c:pt idx="58">
                  <c:v>43788</c:v>
                </c:pt>
                <c:pt idx="59">
                  <c:v>43789</c:v>
                </c:pt>
                <c:pt idx="60">
                  <c:v>43790</c:v>
                </c:pt>
                <c:pt idx="61">
                  <c:v>43791</c:v>
                </c:pt>
                <c:pt idx="62">
                  <c:v>43794</c:v>
                </c:pt>
                <c:pt idx="63">
                  <c:v>43795</c:v>
                </c:pt>
                <c:pt idx="64">
                  <c:v>43796</c:v>
                </c:pt>
                <c:pt idx="65">
                  <c:v>43797</c:v>
                </c:pt>
                <c:pt idx="66">
                  <c:v>43798</c:v>
                </c:pt>
                <c:pt idx="67">
                  <c:v>43801</c:v>
                </c:pt>
                <c:pt idx="68">
                  <c:v>43802</c:v>
                </c:pt>
                <c:pt idx="69">
                  <c:v>43803</c:v>
                </c:pt>
                <c:pt idx="70">
                  <c:v>43804</c:v>
                </c:pt>
                <c:pt idx="71">
                  <c:v>43805</c:v>
                </c:pt>
                <c:pt idx="72">
                  <c:v>43808</c:v>
                </c:pt>
                <c:pt idx="73">
                  <c:v>43809</c:v>
                </c:pt>
                <c:pt idx="74">
                  <c:v>43810</c:v>
                </c:pt>
                <c:pt idx="75">
                  <c:v>43811</c:v>
                </c:pt>
                <c:pt idx="76">
                  <c:v>43812</c:v>
                </c:pt>
                <c:pt idx="77">
                  <c:v>43815</c:v>
                </c:pt>
                <c:pt idx="78">
                  <c:v>43816</c:v>
                </c:pt>
                <c:pt idx="79">
                  <c:v>43817</c:v>
                </c:pt>
                <c:pt idx="80">
                  <c:v>43818</c:v>
                </c:pt>
                <c:pt idx="81">
                  <c:v>43819</c:v>
                </c:pt>
                <c:pt idx="82">
                  <c:v>43822</c:v>
                </c:pt>
                <c:pt idx="83">
                  <c:v>43823</c:v>
                </c:pt>
                <c:pt idx="84">
                  <c:v>43824</c:v>
                </c:pt>
                <c:pt idx="85">
                  <c:v>43825</c:v>
                </c:pt>
                <c:pt idx="86">
                  <c:v>43826</c:v>
                </c:pt>
                <c:pt idx="87">
                  <c:v>43829</c:v>
                </c:pt>
                <c:pt idx="88">
                  <c:v>43830</c:v>
                </c:pt>
                <c:pt idx="89">
                  <c:v>43832</c:v>
                </c:pt>
                <c:pt idx="90">
                  <c:v>43833</c:v>
                </c:pt>
                <c:pt idx="91">
                  <c:v>43836</c:v>
                </c:pt>
                <c:pt idx="92">
                  <c:v>43837</c:v>
                </c:pt>
                <c:pt idx="93">
                  <c:v>43838</c:v>
                </c:pt>
                <c:pt idx="94">
                  <c:v>43839</c:v>
                </c:pt>
                <c:pt idx="95">
                  <c:v>43840</c:v>
                </c:pt>
                <c:pt idx="96">
                  <c:v>43843</c:v>
                </c:pt>
                <c:pt idx="97">
                  <c:v>43844</c:v>
                </c:pt>
                <c:pt idx="98">
                  <c:v>43845</c:v>
                </c:pt>
                <c:pt idx="99">
                  <c:v>43846</c:v>
                </c:pt>
                <c:pt idx="100">
                  <c:v>43847</c:v>
                </c:pt>
                <c:pt idx="101">
                  <c:v>43850</c:v>
                </c:pt>
                <c:pt idx="102">
                  <c:v>43851</c:v>
                </c:pt>
                <c:pt idx="103">
                  <c:v>43852</c:v>
                </c:pt>
                <c:pt idx="104">
                  <c:v>43853</c:v>
                </c:pt>
                <c:pt idx="105">
                  <c:v>43864</c:v>
                </c:pt>
                <c:pt idx="106">
                  <c:v>43865</c:v>
                </c:pt>
                <c:pt idx="107">
                  <c:v>43866</c:v>
                </c:pt>
                <c:pt idx="108">
                  <c:v>43867</c:v>
                </c:pt>
                <c:pt idx="109">
                  <c:v>43868</c:v>
                </c:pt>
                <c:pt idx="110">
                  <c:v>43871</c:v>
                </c:pt>
                <c:pt idx="111">
                  <c:v>43872</c:v>
                </c:pt>
                <c:pt idx="112">
                  <c:v>43873</c:v>
                </c:pt>
                <c:pt idx="113">
                  <c:v>43874</c:v>
                </c:pt>
                <c:pt idx="114">
                  <c:v>43875</c:v>
                </c:pt>
                <c:pt idx="115">
                  <c:v>43878</c:v>
                </c:pt>
                <c:pt idx="116">
                  <c:v>43879</c:v>
                </c:pt>
                <c:pt idx="117">
                  <c:v>43880</c:v>
                </c:pt>
                <c:pt idx="118">
                  <c:v>43881</c:v>
                </c:pt>
                <c:pt idx="119">
                  <c:v>43882</c:v>
                </c:pt>
                <c:pt idx="120">
                  <c:v>43885</c:v>
                </c:pt>
                <c:pt idx="121">
                  <c:v>43886</c:v>
                </c:pt>
                <c:pt idx="122">
                  <c:v>43887</c:v>
                </c:pt>
                <c:pt idx="123">
                  <c:v>43888</c:v>
                </c:pt>
                <c:pt idx="124">
                  <c:v>43889</c:v>
                </c:pt>
                <c:pt idx="125">
                  <c:v>43892</c:v>
                </c:pt>
                <c:pt idx="126">
                  <c:v>43893</c:v>
                </c:pt>
                <c:pt idx="127">
                  <c:v>43894</c:v>
                </c:pt>
                <c:pt idx="128">
                  <c:v>43895</c:v>
                </c:pt>
                <c:pt idx="129">
                  <c:v>43896</c:v>
                </c:pt>
                <c:pt idx="130">
                  <c:v>43899</c:v>
                </c:pt>
                <c:pt idx="131">
                  <c:v>43900</c:v>
                </c:pt>
                <c:pt idx="132">
                  <c:v>43901</c:v>
                </c:pt>
                <c:pt idx="133">
                  <c:v>43902</c:v>
                </c:pt>
                <c:pt idx="134">
                  <c:v>43903</c:v>
                </c:pt>
                <c:pt idx="135">
                  <c:v>43906</c:v>
                </c:pt>
                <c:pt idx="136">
                  <c:v>43907</c:v>
                </c:pt>
                <c:pt idx="137">
                  <c:v>43908</c:v>
                </c:pt>
                <c:pt idx="138">
                  <c:v>43909</c:v>
                </c:pt>
                <c:pt idx="139">
                  <c:v>43910</c:v>
                </c:pt>
                <c:pt idx="140">
                  <c:v>43913</c:v>
                </c:pt>
                <c:pt idx="141">
                  <c:v>43914</c:v>
                </c:pt>
                <c:pt idx="142">
                  <c:v>43915</c:v>
                </c:pt>
                <c:pt idx="143">
                  <c:v>43916</c:v>
                </c:pt>
                <c:pt idx="144">
                  <c:v>43917</c:v>
                </c:pt>
                <c:pt idx="145">
                  <c:v>43920</c:v>
                </c:pt>
                <c:pt idx="146">
                  <c:v>43921</c:v>
                </c:pt>
                <c:pt idx="147">
                  <c:v>43922</c:v>
                </c:pt>
                <c:pt idx="148">
                  <c:v>43923</c:v>
                </c:pt>
                <c:pt idx="149">
                  <c:v>43924</c:v>
                </c:pt>
                <c:pt idx="150">
                  <c:v>43928</c:v>
                </c:pt>
                <c:pt idx="151">
                  <c:v>43929</c:v>
                </c:pt>
                <c:pt idx="152">
                  <c:v>43930</c:v>
                </c:pt>
                <c:pt idx="153">
                  <c:v>43931</c:v>
                </c:pt>
                <c:pt idx="154">
                  <c:v>43934</c:v>
                </c:pt>
                <c:pt idx="155">
                  <c:v>43935</c:v>
                </c:pt>
                <c:pt idx="156">
                  <c:v>43936</c:v>
                </c:pt>
                <c:pt idx="157">
                  <c:v>43937</c:v>
                </c:pt>
                <c:pt idx="158">
                  <c:v>43938</c:v>
                </c:pt>
                <c:pt idx="159">
                  <c:v>43941</c:v>
                </c:pt>
                <c:pt idx="160">
                  <c:v>43942</c:v>
                </c:pt>
                <c:pt idx="161">
                  <c:v>43943</c:v>
                </c:pt>
                <c:pt idx="162">
                  <c:v>43944</c:v>
                </c:pt>
                <c:pt idx="163">
                  <c:v>43945</c:v>
                </c:pt>
                <c:pt idx="164">
                  <c:v>43948</c:v>
                </c:pt>
                <c:pt idx="165">
                  <c:v>43949</c:v>
                </c:pt>
                <c:pt idx="166">
                  <c:v>43950</c:v>
                </c:pt>
                <c:pt idx="167">
                  <c:v>43951</c:v>
                </c:pt>
                <c:pt idx="168">
                  <c:v>43957</c:v>
                </c:pt>
                <c:pt idx="169">
                  <c:v>43958</c:v>
                </c:pt>
                <c:pt idx="170">
                  <c:v>43959</c:v>
                </c:pt>
                <c:pt idx="171">
                  <c:v>43962</c:v>
                </c:pt>
                <c:pt idx="172">
                  <c:v>43963</c:v>
                </c:pt>
                <c:pt idx="173">
                  <c:v>43964</c:v>
                </c:pt>
                <c:pt idx="174">
                  <c:v>43965</c:v>
                </c:pt>
                <c:pt idx="175">
                  <c:v>43966</c:v>
                </c:pt>
                <c:pt idx="176">
                  <c:v>43969</c:v>
                </c:pt>
                <c:pt idx="177">
                  <c:v>43970</c:v>
                </c:pt>
                <c:pt idx="178">
                  <c:v>43971</c:v>
                </c:pt>
                <c:pt idx="179">
                  <c:v>43972</c:v>
                </c:pt>
                <c:pt idx="180">
                  <c:v>43973</c:v>
                </c:pt>
                <c:pt idx="181">
                  <c:v>43976</c:v>
                </c:pt>
                <c:pt idx="182">
                  <c:v>43977</c:v>
                </c:pt>
                <c:pt idx="183">
                  <c:v>43978</c:v>
                </c:pt>
                <c:pt idx="184">
                  <c:v>43979</c:v>
                </c:pt>
                <c:pt idx="185">
                  <c:v>43980</c:v>
                </c:pt>
                <c:pt idx="186">
                  <c:v>43983</c:v>
                </c:pt>
                <c:pt idx="187">
                  <c:v>43984</c:v>
                </c:pt>
                <c:pt idx="188">
                  <c:v>43985</c:v>
                </c:pt>
                <c:pt idx="189">
                  <c:v>43986</c:v>
                </c:pt>
                <c:pt idx="190">
                  <c:v>43987</c:v>
                </c:pt>
                <c:pt idx="191">
                  <c:v>43990</c:v>
                </c:pt>
                <c:pt idx="192">
                  <c:v>43991</c:v>
                </c:pt>
                <c:pt idx="193">
                  <c:v>43992</c:v>
                </c:pt>
                <c:pt idx="194">
                  <c:v>43993</c:v>
                </c:pt>
                <c:pt idx="195">
                  <c:v>43994</c:v>
                </c:pt>
                <c:pt idx="196">
                  <c:v>43997</c:v>
                </c:pt>
                <c:pt idx="197">
                  <c:v>43998</c:v>
                </c:pt>
                <c:pt idx="198">
                  <c:v>43999</c:v>
                </c:pt>
                <c:pt idx="199">
                  <c:v>44000</c:v>
                </c:pt>
                <c:pt idx="200">
                  <c:v>44001</c:v>
                </c:pt>
                <c:pt idx="201">
                  <c:v>44004</c:v>
                </c:pt>
                <c:pt idx="202">
                  <c:v>44005</c:v>
                </c:pt>
                <c:pt idx="203">
                  <c:v>44006</c:v>
                </c:pt>
                <c:pt idx="204">
                  <c:v>44011</c:v>
                </c:pt>
                <c:pt idx="205">
                  <c:v>44012</c:v>
                </c:pt>
                <c:pt idx="206">
                  <c:v>44013</c:v>
                </c:pt>
                <c:pt idx="207">
                  <c:v>44014</c:v>
                </c:pt>
                <c:pt idx="208">
                  <c:v>44015</c:v>
                </c:pt>
                <c:pt idx="209">
                  <c:v>44018</c:v>
                </c:pt>
                <c:pt idx="210">
                  <c:v>44019</c:v>
                </c:pt>
                <c:pt idx="211">
                  <c:v>44020</c:v>
                </c:pt>
                <c:pt idx="212">
                  <c:v>44021</c:v>
                </c:pt>
                <c:pt idx="213">
                  <c:v>44022</c:v>
                </c:pt>
                <c:pt idx="214">
                  <c:v>44025</c:v>
                </c:pt>
                <c:pt idx="215">
                  <c:v>44026</c:v>
                </c:pt>
                <c:pt idx="216">
                  <c:v>44027</c:v>
                </c:pt>
                <c:pt idx="217">
                  <c:v>44028</c:v>
                </c:pt>
                <c:pt idx="218">
                  <c:v>44029</c:v>
                </c:pt>
                <c:pt idx="219">
                  <c:v>44032</c:v>
                </c:pt>
                <c:pt idx="220">
                  <c:v>44033</c:v>
                </c:pt>
                <c:pt idx="221">
                  <c:v>44034</c:v>
                </c:pt>
                <c:pt idx="222">
                  <c:v>44035</c:v>
                </c:pt>
                <c:pt idx="223">
                  <c:v>44036</c:v>
                </c:pt>
                <c:pt idx="224">
                  <c:v>44039</c:v>
                </c:pt>
                <c:pt idx="225">
                  <c:v>44040</c:v>
                </c:pt>
                <c:pt idx="226">
                  <c:v>44041</c:v>
                </c:pt>
                <c:pt idx="227">
                  <c:v>44042</c:v>
                </c:pt>
                <c:pt idx="228">
                  <c:v>44043</c:v>
                </c:pt>
                <c:pt idx="229">
                  <c:v>44046</c:v>
                </c:pt>
                <c:pt idx="230">
                  <c:v>44047</c:v>
                </c:pt>
                <c:pt idx="231">
                  <c:v>44048</c:v>
                </c:pt>
                <c:pt idx="232">
                  <c:v>44049</c:v>
                </c:pt>
                <c:pt idx="233">
                  <c:v>44050</c:v>
                </c:pt>
                <c:pt idx="234">
                  <c:v>44053</c:v>
                </c:pt>
                <c:pt idx="235">
                  <c:v>44054</c:v>
                </c:pt>
                <c:pt idx="236">
                  <c:v>44055</c:v>
                </c:pt>
                <c:pt idx="237">
                  <c:v>44056</c:v>
                </c:pt>
                <c:pt idx="238">
                  <c:v>44057</c:v>
                </c:pt>
                <c:pt idx="239">
                  <c:v>44060</c:v>
                </c:pt>
                <c:pt idx="240">
                  <c:v>44061</c:v>
                </c:pt>
                <c:pt idx="241">
                  <c:v>44062</c:v>
                </c:pt>
                <c:pt idx="242">
                  <c:v>44063</c:v>
                </c:pt>
                <c:pt idx="243">
                  <c:v>44064</c:v>
                </c:pt>
                <c:pt idx="244">
                  <c:v>44067</c:v>
                </c:pt>
                <c:pt idx="245">
                  <c:v>44068</c:v>
                </c:pt>
                <c:pt idx="246">
                  <c:v>44069</c:v>
                </c:pt>
                <c:pt idx="247">
                  <c:v>44070</c:v>
                </c:pt>
                <c:pt idx="248">
                  <c:v>44071</c:v>
                </c:pt>
                <c:pt idx="249">
                  <c:v>44074</c:v>
                </c:pt>
                <c:pt idx="250">
                  <c:v>44075</c:v>
                </c:pt>
                <c:pt idx="251">
                  <c:v>44076</c:v>
                </c:pt>
                <c:pt idx="252">
                  <c:v>44077</c:v>
                </c:pt>
                <c:pt idx="253">
                  <c:v>44078</c:v>
                </c:pt>
                <c:pt idx="254">
                  <c:v>44081</c:v>
                </c:pt>
                <c:pt idx="255">
                  <c:v>44082</c:v>
                </c:pt>
                <c:pt idx="256">
                  <c:v>44083</c:v>
                </c:pt>
                <c:pt idx="257">
                  <c:v>44084</c:v>
                </c:pt>
                <c:pt idx="258">
                  <c:v>44085</c:v>
                </c:pt>
                <c:pt idx="259">
                  <c:v>44088</c:v>
                </c:pt>
                <c:pt idx="260">
                  <c:v>44089</c:v>
                </c:pt>
                <c:pt idx="261">
                  <c:v>44090</c:v>
                </c:pt>
                <c:pt idx="262">
                  <c:v>44091</c:v>
                </c:pt>
                <c:pt idx="263">
                  <c:v>44092</c:v>
                </c:pt>
                <c:pt idx="264">
                  <c:v>44095</c:v>
                </c:pt>
                <c:pt idx="265">
                  <c:v>44096</c:v>
                </c:pt>
                <c:pt idx="266">
                  <c:v>44097</c:v>
                </c:pt>
                <c:pt idx="267">
                  <c:v>44098</c:v>
                </c:pt>
                <c:pt idx="268">
                  <c:v>44099</c:v>
                </c:pt>
                <c:pt idx="269">
                  <c:v>44102</c:v>
                </c:pt>
                <c:pt idx="270">
                  <c:v>44103</c:v>
                </c:pt>
                <c:pt idx="271">
                  <c:v>44104</c:v>
                </c:pt>
                <c:pt idx="272">
                  <c:v>44113</c:v>
                </c:pt>
                <c:pt idx="273">
                  <c:v>44116</c:v>
                </c:pt>
                <c:pt idx="274">
                  <c:v>44117</c:v>
                </c:pt>
                <c:pt idx="275">
                  <c:v>44118</c:v>
                </c:pt>
                <c:pt idx="276">
                  <c:v>44119</c:v>
                </c:pt>
                <c:pt idx="277">
                  <c:v>44120</c:v>
                </c:pt>
                <c:pt idx="278">
                  <c:v>44123</c:v>
                </c:pt>
                <c:pt idx="279">
                  <c:v>44124</c:v>
                </c:pt>
                <c:pt idx="280">
                  <c:v>44125</c:v>
                </c:pt>
                <c:pt idx="281">
                  <c:v>44126</c:v>
                </c:pt>
                <c:pt idx="282">
                  <c:v>44127</c:v>
                </c:pt>
                <c:pt idx="283">
                  <c:v>44130</c:v>
                </c:pt>
                <c:pt idx="284">
                  <c:v>44131</c:v>
                </c:pt>
                <c:pt idx="285">
                  <c:v>44132</c:v>
                </c:pt>
                <c:pt idx="286">
                  <c:v>44133</c:v>
                </c:pt>
                <c:pt idx="287">
                  <c:v>44134</c:v>
                </c:pt>
                <c:pt idx="288">
                  <c:v>44137</c:v>
                </c:pt>
                <c:pt idx="289">
                  <c:v>44138</c:v>
                </c:pt>
                <c:pt idx="290">
                  <c:v>44139</c:v>
                </c:pt>
                <c:pt idx="291">
                  <c:v>44140</c:v>
                </c:pt>
                <c:pt idx="292">
                  <c:v>44141</c:v>
                </c:pt>
                <c:pt idx="293">
                  <c:v>44144</c:v>
                </c:pt>
                <c:pt idx="294">
                  <c:v>44145</c:v>
                </c:pt>
                <c:pt idx="295">
                  <c:v>44146</c:v>
                </c:pt>
                <c:pt idx="296">
                  <c:v>44147</c:v>
                </c:pt>
                <c:pt idx="297">
                  <c:v>44148</c:v>
                </c:pt>
                <c:pt idx="298">
                  <c:v>44151</c:v>
                </c:pt>
                <c:pt idx="299">
                  <c:v>44152</c:v>
                </c:pt>
                <c:pt idx="300">
                  <c:v>44153</c:v>
                </c:pt>
                <c:pt idx="301">
                  <c:v>44154</c:v>
                </c:pt>
                <c:pt idx="302">
                  <c:v>44155</c:v>
                </c:pt>
                <c:pt idx="303">
                  <c:v>44158</c:v>
                </c:pt>
                <c:pt idx="304">
                  <c:v>44159</c:v>
                </c:pt>
                <c:pt idx="305">
                  <c:v>44160</c:v>
                </c:pt>
                <c:pt idx="306">
                  <c:v>44161</c:v>
                </c:pt>
                <c:pt idx="307">
                  <c:v>44162</c:v>
                </c:pt>
                <c:pt idx="308">
                  <c:v>44165</c:v>
                </c:pt>
                <c:pt idx="309">
                  <c:v>44166</c:v>
                </c:pt>
                <c:pt idx="310">
                  <c:v>44167</c:v>
                </c:pt>
                <c:pt idx="311">
                  <c:v>44168</c:v>
                </c:pt>
                <c:pt idx="312">
                  <c:v>44169</c:v>
                </c:pt>
                <c:pt idx="313">
                  <c:v>44172</c:v>
                </c:pt>
                <c:pt idx="314">
                  <c:v>44173</c:v>
                </c:pt>
                <c:pt idx="315">
                  <c:v>44174</c:v>
                </c:pt>
                <c:pt idx="316">
                  <c:v>44175</c:v>
                </c:pt>
                <c:pt idx="317">
                  <c:v>44176</c:v>
                </c:pt>
                <c:pt idx="318">
                  <c:v>44179</c:v>
                </c:pt>
                <c:pt idx="319">
                  <c:v>44180</c:v>
                </c:pt>
                <c:pt idx="320">
                  <c:v>44181</c:v>
                </c:pt>
                <c:pt idx="321">
                  <c:v>44182</c:v>
                </c:pt>
                <c:pt idx="322">
                  <c:v>44183</c:v>
                </c:pt>
                <c:pt idx="323">
                  <c:v>44186</c:v>
                </c:pt>
                <c:pt idx="324">
                  <c:v>44187</c:v>
                </c:pt>
                <c:pt idx="325">
                  <c:v>44188</c:v>
                </c:pt>
                <c:pt idx="326">
                  <c:v>44189</c:v>
                </c:pt>
                <c:pt idx="327">
                  <c:v>44190</c:v>
                </c:pt>
                <c:pt idx="328">
                  <c:v>44193</c:v>
                </c:pt>
                <c:pt idx="329">
                  <c:v>44194</c:v>
                </c:pt>
                <c:pt idx="330">
                  <c:v>44195</c:v>
                </c:pt>
                <c:pt idx="331">
                  <c:v>44196</c:v>
                </c:pt>
                <c:pt idx="332">
                  <c:v>44200</c:v>
                </c:pt>
                <c:pt idx="333">
                  <c:v>44201</c:v>
                </c:pt>
                <c:pt idx="334">
                  <c:v>44202</c:v>
                </c:pt>
                <c:pt idx="335">
                  <c:v>44203</c:v>
                </c:pt>
                <c:pt idx="336">
                  <c:v>44204</c:v>
                </c:pt>
                <c:pt idx="337">
                  <c:v>44207</c:v>
                </c:pt>
                <c:pt idx="338">
                  <c:v>44208</c:v>
                </c:pt>
                <c:pt idx="339">
                  <c:v>44209</c:v>
                </c:pt>
                <c:pt idx="340">
                  <c:v>44210</c:v>
                </c:pt>
                <c:pt idx="341">
                  <c:v>44211</c:v>
                </c:pt>
                <c:pt idx="342">
                  <c:v>44214</c:v>
                </c:pt>
                <c:pt idx="343">
                  <c:v>44215</c:v>
                </c:pt>
                <c:pt idx="344">
                  <c:v>44216</c:v>
                </c:pt>
                <c:pt idx="345">
                  <c:v>44217</c:v>
                </c:pt>
                <c:pt idx="346">
                  <c:v>44218</c:v>
                </c:pt>
                <c:pt idx="347">
                  <c:v>44221</c:v>
                </c:pt>
                <c:pt idx="348">
                  <c:v>44222</c:v>
                </c:pt>
                <c:pt idx="349">
                  <c:v>44223</c:v>
                </c:pt>
                <c:pt idx="350">
                  <c:v>44224</c:v>
                </c:pt>
                <c:pt idx="351">
                  <c:v>44225</c:v>
                </c:pt>
                <c:pt idx="352">
                  <c:v>44228</c:v>
                </c:pt>
                <c:pt idx="353">
                  <c:v>44229</c:v>
                </c:pt>
                <c:pt idx="354">
                  <c:v>44230</c:v>
                </c:pt>
                <c:pt idx="355">
                  <c:v>44231</c:v>
                </c:pt>
                <c:pt idx="356">
                  <c:v>44232</c:v>
                </c:pt>
                <c:pt idx="357">
                  <c:v>44235</c:v>
                </c:pt>
                <c:pt idx="358">
                  <c:v>44236</c:v>
                </c:pt>
                <c:pt idx="359">
                  <c:v>44237</c:v>
                </c:pt>
                <c:pt idx="360">
                  <c:v>44245</c:v>
                </c:pt>
                <c:pt idx="361">
                  <c:v>44246</c:v>
                </c:pt>
                <c:pt idx="362">
                  <c:v>44249</c:v>
                </c:pt>
                <c:pt idx="363">
                  <c:v>44250</c:v>
                </c:pt>
                <c:pt idx="364">
                  <c:v>44251</c:v>
                </c:pt>
                <c:pt idx="365">
                  <c:v>44252</c:v>
                </c:pt>
                <c:pt idx="366">
                  <c:v>44253</c:v>
                </c:pt>
                <c:pt idx="367">
                  <c:v>44256</c:v>
                </c:pt>
                <c:pt idx="368">
                  <c:v>44257</c:v>
                </c:pt>
                <c:pt idx="369">
                  <c:v>44258</c:v>
                </c:pt>
                <c:pt idx="370">
                  <c:v>44259</c:v>
                </c:pt>
                <c:pt idx="371">
                  <c:v>44260</c:v>
                </c:pt>
                <c:pt idx="372">
                  <c:v>44263</c:v>
                </c:pt>
                <c:pt idx="373">
                  <c:v>44264</c:v>
                </c:pt>
                <c:pt idx="374">
                  <c:v>44265</c:v>
                </c:pt>
                <c:pt idx="375">
                  <c:v>44266</c:v>
                </c:pt>
                <c:pt idx="376">
                  <c:v>44267</c:v>
                </c:pt>
                <c:pt idx="377">
                  <c:v>44270</c:v>
                </c:pt>
                <c:pt idx="378">
                  <c:v>44271</c:v>
                </c:pt>
                <c:pt idx="379">
                  <c:v>44272</c:v>
                </c:pt>
                <c:pt idx="380">
                  <c:v>44273</c:v>
                </c:pt>
                <c:pt idx="381">
                  <c:v>44274</c:v>
                </c:pt>
                <c:pt idx="382">
                  <c:v>44277</c:v>
                </c:pt>
                <c:pt idx="383">
                  <c:v>44278</c:v>
                </c:pt>
                <c:pt idx="384">
                  <c:v>44279</c:v>
                </c:pt>
                <c:pt idx="385">
                  <c:v>44280</c:v>
                </c:pt>
                <c:pt idx="386">
                  <c:v>44281</c:v>
                </c:pt>
                <c:pt idx="387">
                  <c:v>44284</c:v>
                </c:pt>
                <c:pt idx="388">
                  <c:v>44285</c:v>
                </c:pt>
                <c:pt idx="389">
                  <c:v>44286</c:v>
                </c:pt>
                <c:pt idx="390">
                  <c:v>44287</c:v>
                </c:pt>
                <c:pt idx="391">
                  <c:v>44288</c:v>
                </c:pt>
                <c:pt idx="392">
                  <c:v>44292</c:v>
                </c:pt>
                <c:pt idx="393">
                  <c:v>44293</c:v>
                </c:pt>
                <c:pt idx="394">
                  <c:v>44294</c:v>
                </c:pt>
                <c:pt idx="395">
                  <c:v>44295</c:v>
                </c:pt>
                <c:pt idx="396">
                  <c:v>44298</c:v>
                </c:pt>
                <c:pt idx="397">
                  <c:v>44299</c:v>
                </c:pt>
                <c:pt idx="398">
                  <c:v>44300</c:v>
                </c:pt>
                <c:pt idx="399">
                  <c:v>44301</c:v>
                </c:pt>
                <c:pt idx="400">
                  <c:v>44302</c:v>
                </c:pt>
                <c:pt idx="401">
                  <c:v>44305</c:v>
                </c:pt>
                <c:pt idx="402">
                  <c:v>44306</c:v>
                </c:pt>
                <c:pt idx="403">
                  <c:v>44307</c:v>
                </c:pt>
                <c:pt idx="404">
                  <c:v>44308</c:v>
                </c:pt>
                <c:pt idx="405">
                  <c:v>44309</c:v>
                </c:pt>
                <c:pt idx="406">
                  <c:v>44312</c:v>
                </c:pt>
                <c:pt idx="407">
                  <c:v>44313</c:v>
                </c:pt>
                <c:pt idx="408">
                  <c:v>44314</c:v>
                </c:pt>
                <c:pt idx="409">
                  <c:v>44315</c:v>
                </c:pt>
                <c:pt idx="410">
                  <c:v>44316</c:v>
                </c:pt>
                <c:pt idx="411">
                  <c:v>44322</c:v>
                </c:pt>
                <c:pt idx="412">
                  <c:v>44323</c:v>
                </c:pt>
                <c:pt idx="413">
                  <c:v>44326</c:v>
                </c:pt>
                <c:pt idx="414">
                  <c:v>44327</c:v>
                </c:pt>
                <c:pt idx="415">
                  <c:v>44328</c:v>
                </c:pt>
                <c:pt idx="416">
                  <c:v>44329</c:v>
                </c:pt>
                <c:pt idx="417">
                  <c:v>44330</c:v>
                </c:pt>
              </c:numCache>
            </c:numRef>
          </c:cat>
          <c:val>
            <c:numRef>
              <c:f>洛书瑞乾元封!$B$21:$B$438</c:f>
              <c:numCache>
                <c:formatCode>0.0000_ </c:formatCode>
                <c:ptCount val="418"/>
                <c:pt idx="0">
                  <c:v>1.1870000000000001</c:v>
                </c:pt>
                <c:pt idx="1">
                  <c:v>1.18</c:v>
                </c:pt>
                <c:pt idx="2">
                  <c:v>1.1719999999999999</c:v>
                </c:pt>
                <c:pt idx="3">
                  <c:v>1.1719999999999999</c:v>
                </c:pt>
                <c:pt idx="4">
                  <c:v>1.173</c:v>
                </c:pt>
                <c:pt idx="5">
                  <c:v>1.1659999999999999</c:v>
                </c:pt>
                <c:pt idx="6">
                  <c:v>1.1639999999999999</c:v>
                </c:pt>
                <c:pt idx="7">
                  <c:v>1.161</c:v>
                </c:pt>
                <c:pt idx="8">
                  <c:v>1.1579999999999999</c:v>
                </c:pt>
                <c:pt idx="9">
                  <c:v>1.1559999999999999</c:v>
                </c:pt>
                <c:pt idx="10">
                  <c:v>1.1559999999999999</c:v>
                </c:pt>
                <c:pt idx="11">
                  <c:v>1.159</c:v>
                </c:pt>
                <c:pt idx="12">
                  <c:v>1.163</c:v>
                </c:pt>
                <c:pt idx="13">
                  <c:v>1.1579999999999999</c:v>
                </c:pt>
                <c:pt idx="14">
                  <c:v>1.155</c:v>
                </c:pt>
                <c:pt idx="15">
                  <c:v>1.153</c:v>
                </c:pt>
                <c:pt idx="16">
                  <c:v>1.169</c:v>
                </c:pt>
                <c:pt idx="17">
                  <c:v>1.1559999999999999</c:v>
                </c:pt>
                <c:pt idx="18">
                  <c:v>1.143</c:v>
                </c:pt>
                <c:pt idx="19">
                  <c:v>1.143</c:v>
                </c:pt>
                <c:pt idx="20">
                  <c:v>1.127</c:v>
                </c:pt>
                <c:pt idx="21">
                  <c:v>1.115</c:v>
                </c:pt>
                <c:pt idx="22">
                  <c:v>1.1060000000000001</c:v>
                </c:pt>
                <c:pt idx="23">
                  <c:v>1.1060000000000001</c:v>
                </c:pt>
                <c:pt idx="24">
                  <c:v>1.0980000000000001</c:v>
                </c:pt>
                <c:pt idx="25">
                  <c:v>1.0980000000000001</c:v>
                </c:pt>
                <c:pt idx="26">
                  <c:v>1.105</c:v>
                </c:pt>
                <c:pt idx="27">
                  <c:v>1.1120000000000001</c:v>
                </c:pt>
                <c:pt idx="28">
                  <c:v>1.1040000000000001</c:v>
                </c:pt>
                <c:pt idx="29">
                  <c:v>1.101</c:v>
                </c:pt>
                <c:pt idx="30">
                  <c:v>1.103</c:v>
                </c:pt>
                <c:pt idx="31">
                  <c:v>1.107</c:v>
                </c:pt>
                <c:pt idx="32">
                  <c:v>1.1120000000000001</c:v>
                </c:pt>
                <c:pt idx="33">
                  <c:v>1.1160000000000001</c:v>
                </c:pt>
                <c:pt idx="34">
                  <c:v>1.1160000000000001</c:v>
                </c:pt>
                <c:pt idx="35">
                  <c:v>1.111</c:v>
                </c:pt>
                <c:pt idx="36">
                  <c:v>1.1080000000000001</c:v>
                </c:pt>
                <c:pt idx="37">
                  <c:v>1.1100000000000001</c:v>
                </c:pt>
                <c:pt idx="38">
                  <c:v>1.107</c:v>
                </c:pt>
                <c:pt idx="39">
                  <c:v>1.1080000000000001</c:v>
                </c:pt>
                <c:pt idx="40">
                  <c:v>1.1120000000000001</c:v>
                </c:pt>
                <c:pt idx="41">
                  <c:v>1.1140000000000001</c:v>
                </c:pt>
                <c:pt idx="42">
                  <c:v>1.1120000000000001</c:v>
                </c:pt>
                <c:pt idx="43">
                  <c:v>1.1140000000000001</c:v>
                </c:pt>
                <c:pt idx="44">
                  <c:v>1.111</c:v>
                </c:pt>
                <c:pt idx="45">
                  <c:v>1.113</c:v>
                </c:pt>
                <c:pt idx="46">
                  <c:v>1.115</c:v>
                </c:pt>
                <c:pt idx="47">
                  <c:v>1.119</c:v>
                </c:pt>
                <c:pt idx="48">
                  <c:v>1.1140000000000001</c:v>
                </c:pt>
                <c:pt idx="49">
                  <c:v>1.119</c:v>
                </c:pt>
                <c:pt idx="50">
                  <c:v>1.1180000000000001</c:v>
                </c:pt>
                <c:pt idx="51">
                  <c:v>1.113</c:v>
                </c:pt>
                <c:pt idx="52">
                  <c:v>1.1100000000000001</c:v>
                </c:pt>
                <c:pt idx="53">
                  <c:v>1.1160000000000001</c:v>
                </c:pt>
                <c:pt idx="54">
                  <c:v>1.113</c:v>
                </c:pt>
                <c:pt idx="55">
                  <c:v>1.115</c:v>
                </c:pt>
                <c:pt idx="56">
                  <c:v>1.123</c:v>
                </c:pt>
                <c:pt idx="57">
                  <c:v>1.123</c:v>
                </c:pt>
                <c:pt idx="58">
                  <c:v>1.1240000000000001</c:v>
                </c:pt>
                <c:pt idx="59">
                  <c:v>1.127</c:v>
                </c:pt>
                <c:pt idx="60">
                  <c:v>1.113</c:v>
                </c:pt>
                <c:pt idx="61">
                  <c:v>1.1080000000000001</c:v>
                </c:pt>
                <c:pt idx="62">
                  <c:v>1.1140000000000001</c:v>
                </c:pt>
                <c:pt idx="63">
                  <c:v>1.113</c:v>
                </c:pt>
                <c:pt idx="64">
                  <c:v>1.113</c:v>
                </c:pt>
                <c:pt idx="65">
                  <c:v>1.1160000000000001</c:v>
                </c:pt>
                <c:pt idx="66">
                  <c:v>1.119</c:v>
                </c:pt>
                <c:pt idx="67">
                  <c:v>1.123</c:v>
                </c:pt>
                <c:pt idx="68">
                  <c:v>1.129</c:v>
                </c:pt>
                <c:pt idx="69">
                  <c:v>1.1240000000000001</c:v>
                </c:pt>
                <c:pt idx="70">
                  <c:v>1.121</c:v>
                </c:pt>
                <c:pt idx="71">
                  <c:v>1.115</c:v>
                </c:pt>
                <c:pt idx="72">
                  <c:v>1.1299999999999999</c:v>
                </c:pt>
                <c:pt idx="73">
                  <c:v>1.1339999999999999</c:v>
                </c:pt>
                <c:pt idx="74">
                  <c:v>1.1359999999999999</c:v>
                </c:pt>
                <c:pt idx="75">
                  <c:v>1.133</c:v>
                </c:pt>
                <c:pt idx="76">
                  <c:v>1.1299999999999999</c:v>
                </c:pt>
                <c:pt idx="77">
                  <c:v>1.1299999999999999</c:v>
                </c:pt>
                <c:pt idx="78">
                  <c:v>1.123</c:v>
                </c:pt>
                <c:pt idx="79">
                  <c:v>1.121</c:v>
                </c:pt>
                <c:pt idx="80">
                  <c:v>1.1200000000000001</c:v>
                </c:pt>
                <c:pt idx="81">
                  <c:v>1.1200000000000001</c:v>
                </c:pt>
                <c:pt idx="82">
                  <c:v>1.115</c:v>
                </c:pt>
                <c:pt idx="83">
                  <c:v>1.107</c:v>
                </c:pt>
                <c:pt idx="84">
                  <c:v>1.1040000000000001</c:v>
                </c:pt>
                <c:pt idx="85">
                  <c:v>1.1020000000000001</c:v>
                </c:pt>
                <c:pt idx="86">
                  <c:v>1.111</c:v>
                </c:pt>
                <c:pt idx="87">
                  <c:v>1.119</c:v>
                </c:pt>
                <c:pt idx="88">
                  <c:v>1.123</c:v>
                </c:pt>
                <c:pt idx="89">
                  <c:v>1.125</c:v>
                </c:pt>
                <c:pt idx="90">
                  <c:v>1.129</c:v>
                </c:pt>
                <c:pt idx="91">
                  <c:v>1.1459999999999999</c:v>
                </c:pt>
                <c:pt idx="92">
                  <c:v>1.155</c:v>
                </c:pt>
                <c:pt idx="93">
                  <c:v>1.1719999999999999</c:v>
                </c:pt>
                <c:pt idx="94">
                  <c:v>1.1619999999999999</c:v>
                </c:pt>
                <c:pt idx="95">
                  <c:v>1.1519999999999999</c:v>
                </c:pt>
                <c:pt idx="96">
                  <c:v>1.1579999999999999</c:v>
                </c:pt>
                <c:pt idx="97">
                  <c:v>1.163</c:v>
                </c:pt>
                <c:pt idx="98">
                  <c:v>1.161</c:v>
                </c:pt>
                <c:pt idx="99">
                  <c:v>1.1559999999999999</c:v>
                </c:pt>
                <c:pt idx="100">
                  <c:v>1.1619999999999999</c:v>
                </c:pt>
                <c:pt idx="101">
                  <c:v>1.165</c:v>
                </c:pt>
                <c:pt idx="102">
                  <c:v>1.153</c:v>
                </c:pt>
                <c:pt idx="103">
                  <c:v>1.147</c:v>
                </c:pt>
                <c:pt idx="104">
                  <c:v>1.135</c:v>
                </c:pt>
                <c:pt idx="105">
                  <c:v>1.0940000000000001</c:v>
                </c:pt>
                <c:pt idx="106">
                  <c:v>1.091</c:v>
                </c:pt>
                <c:pt idx="107">
                  <c:v>1.091</c:v>
                </c:pt>
                <c:pt idx="108">
                  <c:v>1.1020000000000001</c:v>
                </c:pt>
                <c:pt idx="109">
                  <c:v>1.105</c:v>
                </c:pt>
                <c:pt idx="110">
                  <c:v>1.1040000000000001</c:v>
                </c:pt>
                <c:pt idx="111">
                  <c:v>1.1020000000000001</c:v>
                </c:pt>
                <c:pt idx="112">
                  <c:v>1.107</c:v>
                </c:pt>
                <c:pt idx="113">
                  <c:v>1.1040000000000001</c:v>
                </c:pt>
                <c:pt idx="114">
                  <c:v>1.1020000000000001</c:v>
                </c:pt>
                <c:pt idx="115">
                  <c:v>1.1000000000000001</c:v>
                </c:pt>
                <c:pt idx="116">
                  <c:v>1.1000000000000001</c:v>
                </c:pt>
                <c:pt idx="117">
                  <c:v>1.1020000000000001</c:v>
                </c:pt>
                <c:pt idx="118">
                  <c:v>1.097</c:v>
                </c:pt>
                <c:pt idx="119">
                  <c:v>1.0980000000000001</c:v>
                </c:pt>
                <c:pt idx="120">
                  <c:v>1.107</c:v>
                </c:pt>
                <c:pt idx="121">
                  <c:v>1.1100000000000001</c:v>
                </c:pt>
                <c:pt idx="122">
                  <c:v>1.109</c:v>
                </c:pt>
                <c:pt idx="123">
                  <c:v>1.1160000000000001</c:v>
                </c:pt>
                <c:pt idx="124">
                  <c:v>1.119</c:v>
                </c:pt>
                <c:pt idx="125">
                  <c:v>1.115</c:v>
                </c:pt>
                <c:pt idx="126">
                  <c:v>1.0980000000000001</c:v>
                </c:pt>
                <c:pt idx="127">
                  <c:v>1.101</c:v>
                </c:pt>
                <c:pt idx="128">
                  <c:v>1.097</c:v>
                </c:pt>
                <c:pt idx="129">
                  <c:v>1.1020000000000001</c:v>
                </c:pt>
                <c:pt idx="130">
                  <c:v>1.125</c:v>
                </c:pt>
                <c:pt idx="131">
                  <c:v>1.135</c:v>
                </c:pt>
                <c:pt idx="132">
                  <c:v>1.1319999999999999</c:v>
                </c:pt>
                <c:pt idx="133">
                  <c:v>1.147</c:v>
                </c:pt>
                <c:pt idx="134">
                  <c:v>1.151</c:v>
                </c:pt>
                <c:pt idx="135">
                  <c:v>1.147</c:v>
                </c:pt>
                <c:pt idx="136">
                  <c:v>1.151</c:v>
                </c:pt>
                <c:pt idx="137">
                  <c:v>1.1679999999999999</c:v>
                </c:pt>
                <c:pt idx="138">
                  <c:v>1.1859999999999999</c:v>
                </c:pt>
                <c:pt idx="139">
                  <c:v>1.1739999999999999</c:v>
                </c:pt>
                <c:pt idx="140">
                  <c:v>1.1910000000000001</c:v>
                </c:pt>
                <c:pt idx="141">
                  <c:v>1.1910000000000001</c:v>
                </c:pt>
                <c:pt idx="142">
                  <c:v>1.1950000000000001</c:v>
                </c:pt>
                <c:pt idx="143">
                  <c:v>1.198</c:v>
                </c:pt>
                <c:pt idx="144">
                  <c:v>1.1950000000000001</c:v>
                </c:pt>
                <c:pt idx="145">
                  <c:v>1.214</c:v>
                </c:pt>
                <c:pt idx="146">
                  <c:v>1.208</c:v>
                </c:pt>
                <c:pt idx="147">
                  <c:v>1.226</c:v>
                </c:pt>
                <c:pt idx="148">
                  <c:v>1.212</c:v>
                </c:pt>
                <c:pt idx="149">
                  <c:v>1.1990000000000001</c:v>
                </c:pt>
                <c:pt idx="150">
                  <c:v>1.202</c:v>
                </c:pt>
                <c:pt idx="151">
                  <c:v>1.2090000000000001</c:v>
                </c:pt>
                <c:pt idx="152">
                  <c:v>1.204</c:v>
                </c:pt>
                <c:pt idx="153">
                  <c:v>1.2110000000000001</c:v>
                </c:pt>
                <c:pt idx="154">
                  <c:v>1.224</c:v>
                </c:pt>
                <c:pt idx="155">
                  <c:v>1.232</c:v>
                </c:pt>
                <c:pt idx="156">
                  <c:v>1.218</c:v>
                </c:pt>
                <c:pt idx="157">
                  <c:v>1.22</c:v>
                </c:pt>
                <c:pt idx="158">
                  <c:v>1.2150000000000001</c:v>
                </c:pt>
                <c:pt idx="159">
                  <c:v>1.216</c:v>
                </c:pt>
                <c:pt idx="160">
                  <c:v>1.2250000000000001</c:v>
                </c:pt>
                <c:pt idx="161">
                  <c:v>1.248</c:v>
                </c:pt>
                <c:pt idx="162">
                  <c:v>1.258</c:v>
                </c:pt>
                <c:pt idx="163">
                  <c:v>1.2450000000000001</c:v>
                </c:pt>
                <c:pt idx="164">
                  <c:v>1.262</c:v>
                </c:pt>
                <c:pt idx="165">
                  <c:v>1.2609999999999999</c:v>
                </c:pt>
                <c:pt idx="166">
                  <c:v>1.2430000000000001</c:v>
                </c:pt>
                <c:pt idx="167">
                  <c:v>1.232</c:v>
                </c:pt>
                <c:pt idx="168">
                  <c:v>1.2290000000000001</c:v>
                </c:pt>
                <c:pt idx="169">
                  <c:v>1.238</c:v>
                </c:pt>
                <c:pt idx="170">
                  <c:v>1.2470000000000001</c:v>
                </c:pt>
                <c:pt idx="171">
                  <c:v>1.2370000000000001</c:v>
                </c:pt>
                <c:pt idx="172">
                  <c:v>1.25</c:v>
                </c:pt>
                <c:pt idx="173">
                  <c:v>1.266</c:v>
                </c:pt>
                <c:pt idx="174">
                  <c:v>1.262</c:v>
                </c:pt>
                <c:pt idx="175">
                  <c:v>1.2569999999999999</c:v>
                </c:pt>
                <c:pt idx="176">
                  <c:v>1.286</c:v>
                </c:pt>
                <c:pt idx="177">
                  <c:v>1.31</c:v>
                </c:pt>
                <c:pt idx="178">
                  <c:v>1.3149999999999999</c:v>
                </c:pt>
                <c:pt idx="179">
                  <c:v>1.302</c:v>
                </c:pt>
                <c:pt idx="180">
                  <c:v>1.2969999999999999</c:v>
                </c:pt>
                <c:pt idx="181">
                  <c:v>1.288</c:v>
                </c:pt>
                <c:pt idx="182">
                  <c:v>1.274</c:v>
                </c:pt>
                <c:pt idx="183">
                  <c:v>1.2589999999999999</c:v>
                </c:pt>
                <c:pt idx="184">
                  <c:v>1.276</c:v>
                </c:pt>
                <c:pt idx="185">
                  <c:v>1.2929999999999999</c:v>
                </c:pt>
                <c:pt idx="186">
                  <c:v>1.33</c:v>
                </c:pt>
                <c:pt idx="187">
                  <c:v>1.331</c:v>
                </c:pt>
                <c:pt idx="188">
                  <c:v>1.33</c:v>
                </c:pt>
                <c:pt idx="189">
                  <c:v>1.3169999999999999</c:v>
                </c:pt>
                <c:pt idx="190">
                  <c:v>1.3109999999999999</c:v>
                </c:pt>
                <c:pt idx="191">
                  <c:v>1.3260000000000001</c:v>
                </c:pt>
                <c:pt idx="192">
                  <c:v>1.341</c:v>
                </c:pt>
                <c:pt idx="193">
                  <c:v>1.357</c:v>
                </c:pt>
                <c:pt idx="194">
                  <c:v>1.355</c:v>
                </c:pt>
                <c:pt idx="195">
                  <c:v>1.36</c:v>
                </c:pt>
                <c:pt idx="196">
                  <c:v>1.359</c:v>
                </c:pt>
                <c:pt idx="197">
                  <c:v>1.3560000000000001</c:v>
                </c:pt>
                <c:pt idx="198">
                  <c:v>1.3580000000000001</c:v>
                </c:pt>
                <c:pt idx="199">
                  <c:v>1.3660000000000001</c:v>
                </c:pt>
                <c:pt idx="200">
                  <c:v>1.371</c:v>
                </c:pt>
                <c:pt idx="201">
                  <c:v>1.3740000000000001</c:v>
                </c:pt>
                <c:pt idx="202">
                  <c:v>1.3680000000000001</c:v>
                </c:pt>
                <c:pt idx="203">
                  <c:v>1.3779999999999999</c:v>
                </c:pt>
                <c:pt idx="204">
                  <c:v>1.3680000000000001</c:v>
                </c:pt>
                <c:pt idx="205">
                  <c:v>1.38</c:v>
                </c:pt>
                <c:pt idx="206">
                  <c:v>1.395</c:v>
                </c:pt>
                <c:pt idx="207">
                  <c:v>1.41</c:v>
                </c:pt>
                <c:pt idx="208">
                  <c:v>1.431</c:v>
                </c:pt>
                <c:pt idx="209">
                  <c:v>1.4910000000000001</c:v>
                </c:pt>
                <c:pt idx="210">
                  <c:v>1.524</c:v>
                </c:pt>
                <c:pt idx="211">
                  <c:v>1.5469999999999999</c:v>
                </c:pt>
                <c:pt idx="212">
                  <c:v>1.577</c:v>
                </c:pt>
                <c:pt idx="213">
                  <c:v>1.56</c:v>
                </c:pt>
                <c:pt idx="214">
                  <c:v>1.62</c:v>
                </c:pt>
                <c:pt idx="215">
                  <c:v>1.6279999999999999</c:v>
                </c:pt>
                <c:pt idx="216">
                  <c:v>1.6140000000000001</c:v>
                </c:pt>
                <c:pt idx="217">
                  <c:v>1.5860000000000001</c:v>
                </c:pt>
                <c:pt idx="218">
                  <c:v>1.593</c:v>
                </c:pt>
                <c:pt idx="219">
                  <c:v>1.609</c:v>
                </c:pt>
                <c:pt idx="220">
                  <c:v>1.62</c:v>
                </c:pt>
                <c:pt idx="221">
                  <c:v>1.6459999999999999</c:v>
                </c:pt>
                <c:pt idx="222">
                  <c:v>1.627</c:v>
                </c:pt>
                <c:pt idx="223">
                  <c:v>1.615</c:v>
                </c:pt>
                <c:pt idx="224">
                  <c:v>1.625</c:v>
                </c:pt>
                <c:pt idx="225">
                  <c:v>1.6319999999999999</c:v>
                </c:pt>
                <c:pt idx="226">
                  <c:v>1.635</c:v>
                </c:pt>
                <c:pt idx="227">
                  <c:v>1.643</c:v>
                </c:pt>
                <c:pt idx="228">
                  <c:v>1.655</c:v>
                </c:pt>
                <c:pt idx="229">
                  <c:v>1.694</c:v>
                </c:pt>
                <c:pt idx="230">
                  <c:v>1.71</c:v>
                </c:pt>
                <c:pt idx="231">
                  <c:v>1.7210000000000001</c:v>
                </c:pt>
                <c:pt idx="232">
                  <c:v>1.7130000000000001</c:v>
                </c:pt>
                <c:pt idx="233">
                  <c:v>1.71</c:v>
                </c:pt>
                <c:pt idx="234">
                  <c:v>1.681</c:v>
                </c:pt>
                <c:pt idx="235">
                  <c:v>1.659</c:v>
                </c:pt>
                <c:pt idx="236">
                  <c:v>1.625</c:v>
                </c:pt>
                <c:pt idx="237">
                  <c:v>1.631</c:v>
                </c:pt>
                <c:pt idx="238">
                  <c:v>1.65</c:v>
                </c:pt>
                <c:pt idx="239">
                  <c:v>1.6739999999999999</c:v>
                </c:pt>
                <c:pt idx="240">
                  <c:v>1.696</c:v>
                </c:pt>
                <c:pt idx="241">
                  <c:v>1.71</c:v>
                </c:pt>
                <c:pt idx="242">
                  <c:v>1.704</c:v>
                </c:pt>
                <c:pt idx="243">
                  <c:v>1.6870000000000001</c:v>
                </c:pt>
                <c:pt idx="244">
                  <c:v>1.655</c:v>
                </c:pt>
                <c:pt idx="245">
                  <c:v>1.637</c:v>
                </c:pt>
                <c:pt idx="246">
                  <c:v>1.623</c:v>
                </c:pt>
                <c:pt idx="247">
                  <c:v>1.633</c:v>
                </c:pt>
                <c:pt idx="248">
                  <c:v>1.6459999999999999</c:v>
                </c:pt>
                <c:pt idx="249">
                  <c:v>1.661</c:v>
                </c:pt>
                <c:pt idx="250">
                  <c:v>1.669</c:v>
                </c:pt>
                <c:pt idx="251">
                  <c:v>1.6739999999999999</c:v>
                </c:pt>
                <c:pt idx="252">
                  <c:v>1.6839999999999999</c:v>
                </c:pt>
                <c:pt idx="253">
                  <c:v>1.6830000000000001</c:v>
                </c:pt>
                <c:pt idx="254">
                  <c:v>1.7050000000000001</c:v>
                </c:pt>
                <c:pt idx="255">
                  <c:v>1.7010000000000001</c:v>
                </c:pt>
                <c:pt idx="256">
                  <c:v>1.7130000000000001</c:v>
                </c:pt>
                <c:pt idx="257">
                  <c:v>1.7150000000000001</c:v>
                </c:pt>
                <c:pt idx="258">
                  <c:v>1.722</c:v>
                </c:pt>
                <c:pt idx="259">
                  <c:v>1.7310000000000001</c:v>
                </c:pt>
                <c:pt idx="260">
                  <c:v>1.732</c:v>
                </c:pt>
                <c:pt idx="261">
                  <c:v>1.716</c:v>
                </c:pt>
                <c:pt idx="262">
                  <c:v>1.7150000000000001</c:v>
                </c:pt>
                <c:pt idx="263">
                  <c:v>1.726</c:v>
                </c:pt>
                <c:pt idx="264">
                  <c:v>1.7330000000000001</c:v>
                </c:pt>
                <c:pt idx="265">
                  <c:v>1.7450000000000001</c:v>
                </c:pt>
                <c:pt idx="266">
                  <c:v>1.7390000000000001</c:v>
                </c:pt>
                <c:pt idx="267">
                  <c:v>1.712</c:v>
                </c:pt>
                <c:pt idx="268">
                  <c:v>1.704</c:v>
                </c:pt>
                <c:pt idx="269">
                  <c:v>1.732</c:v>
                </c:pt>
                <c:pt idx="270">
                  <c:v>1.746</c:v>
                </c:pt>
                <c:pt idx="271">
                  <c:v>1.746</c:v>
                </c:pt>
                <c:pt idx="272">
                  <c:v>1.7370000000000001</c:v>
                </c:pt>
                <c:pt idx="273">
                  <c:v>1.7509999999999999</c:v>
                </c:pt>
                <c:pt idx="274">
                  <c:v>1.7589999999999999</c:v>
                </c:pt>
                <c:pt idx="275">
                  <c:v>1.7310000000000001</c:v>
                </c:pt>
                <c:pt idx="276">
                  <c:v>1.71</c:v>
                </c:pt>
                <c:pt idx="277">
                  <c:v>1.6950000000000001</c:v>
                </c:pt>
                <c:pt idx="278">
                  <c:v>1.6850000000000001</c:v>
                </c:pt>
                <c:pt idx="279">
                  <c:v>1.679</c:v>
                </c:pt>
                <c:pt idx="280">
                  <c:v>1.6719999999999999</c:v>
                </c:pt>
                <c:pt idx="281">
                  <c:v>1.681</c:v>
                </c:pt>
                <c:pt idx="282">
                  <c:v>1.6779999999999999</c:v>
                </c:pt>
                <c:pt idx="283">
                  <c:v>1.6890000000000001</c:v>
                </c:pt>
                <c:pt idx="284">
                  <c:v>1.7190000000000001</c:v>
                </c:pt>
                <c:pt idx="285">
                  <c:v>1.7310000000000001</c:v>
                </c:pt>
                <c:pt idx="286">
                  <c:v>1.75</c:v>
                </c:pt>
                <c:pt idx="287">
                  <c:v>1.778</c:v>
                </c:pt>
                <c:pt idx="288">
                  <c:v>1.8260000000000001</c:v>
                </c:pt>
                <c:pt idx="289">
                  <c:v>1.825</c:v>
                </c:pt>
                <c:pt idx="290">
                  <c:v>1.825</c:v>
                </c:pt>
                <c:pt idx="291">
                  <c:v>1.835</c:v>
                </c:pt>
                <c:pt idx="292">
                  <c:v>1.8580000000000001</c:v>
                </c:pt>
                <c:pt idx="293">
                  <c:v>1.8839999999999999</c:v>
                </c:pt>
                <c:pt idx="294">
                  <c:v>1.8460000000000001</c:v>
                </c:pt>
                <c:pt idx="295">
                  <c:v>1.835</c:v>
                </c:pt>
                <c:pt idx="296">
                  <c:v>1.837</c:v>
                </c:pt>
                <c:pt idx="297">
                  <c:v>1.851</c:v>
                </c:pt>
                <c:pt idx="298">
                  <c:v>1.857</c:v>
                </c:pt>
                <c:pt idx="299">
                  <c:v>1.861</c:v>
                </c:pt>
                <c:pt idx="300">
                  <c:v>1.891</c:v>
                </c:pt>
                <c:pt idx="301">
                  <c:v>1.91</c:v>
                </c:pt>
                <c:pt idx="302">
                  <c:v>1.9039999999999999</c:v>
                </c:pt>
                <c:pt idx="303">
                  <c:v>1.8959999999999999</c:v>
                </c:pt>
                <c:pt idx="304">
                  <c:v>1.8759999999999999</c:v>
                </c:pt>
                <c:pt idx="305">
                  <c:v>1.859</c:v>
                </c:pt>
                <c:pt idx="306">
                  <c:v>1.865</c:v>
                </c:pt>
                <c:pt idx="307">
                  <c:v>1.887</c:v>
                </c:pt>
                <c:pt idx="308">
                  <c:v>1.909</c:v>
                </c:pt>
                <c:pt idx="309">
                  <c:v>1.9379999999999999</c:v>
                </c:pt>
                <c:pt idx="310">
                  <c:v>1.982</c:v>
                </c:pt>
                <c:pt idx="311">
                  <c:v>1.9690000000000001</c:v>
                </c:pt>
                <c:pt idx="312">
                  <c:v>1.9650000000000001</c:v>
                </c:pt>
                <c:pt idx="313">
                  <c:v>1.9910000000000001</c:v>
                </c:pt>
                <c:pt idx="314">
                  <c:v>1.996</c:v>
                </c:pt>
                <c:pt idx="315">
                  <c:v>2.012</c:v>
                </c:pt>
                <c:pt idx="316">
                  <c:v>2.0590000000000002</c:v>
                </c:pt>
                <c:pt idx="317">
                  <c:v>2.0859999999999999</c:v>
                </c:pt>
                <c:pt idx="318">
                  <c:v>2.0379999999999998</c:v>
                </c:pt>
                <c:pt idx="319">
                  <c:v>1.99</c:v>
                </c:pt>
                <c:pt idx="320">
                  <c:v>2.0070000000000001</c:v>
                </c:pt>
                <c:pt idx="321">
                  <c:v>2.0019999999999998</c:v>
                </c:pt>
                <c:pt idx="322">
                  <c:v>2.032</c:v>
                </c:pt>
                <c:pt idx="323">
                  <c:v>2.0489999999999999</c:v>
                </c:pt>
                <c:pt idx="324">
                  <c:v>2.036</c:v>
                </c:pt>
                <c:pt idx="325">
                  <c:v>1.9990000000000001</c:v>
                </c:pt>
                <c:pt idx="326">
                  <c:v>1.996</c:v>
                </c:pt>
                <c:pt idx="327">
                  <c:v>1.98</c:v>
                </c:pt>
                <c:pt idx="328">
                  <c:v>1.9690000000000001</c:v>
                </c:pt>
                <c:pt idx="329">
                  <c:v>1.9570000000000001</c:v>
                </c:pt>
                <c:pt idx="330">
                  <c:v>1.9610000000000001</c:v>
                </c:pt>
                <c:pt idx="331">
                  <c:v>1.9650000000000001</c:v>
                </c:pt>
                <c:pt idx="332">
                  <c:v>1.9610000000000001</c:v>
                </c:pt>
                <c:pt idx="333">
                  <c:v>1.976</c:v>
                </c:pt>
                <c:pt idx="334">
                  <c:v>1.9630000000000001</c:v>
                </c:pt>
                <c:pt idx="335">
                  <c:v>1.9590000000000001</c:v>
                </c:pt>
                <c:pt idx="336">
                  <c:v>1.9530000000000001</c:v>
                </c:pt>
                <c:pt idx="337">
                  <c:v>1.944</c:v>
                </c:pt>
                <c:pt idx="338">
                  <c:v>1.962</c:v>
                </c:pt>
                <c:pt idx="339">
                  <c:v>1.952</c:v>
                </c:pt>
                <c:pt idx="340">
                  <c:v>1.9379999999999999</c:v>
                </c:pt>
                <c:pt idx="341">
                  <c:v>1.9319999999999999</c:v>
                </c:pt>
                <c:pt idx="342">
                  <c:v>1.929</c:v>
                </c:pt>
                <c:pt idx="343">
                  <c:v>1.913</c:v>
                </c:pt>
                <c:pt idx="344">
                  <c:v>1.905</c:v>
                </c:pt>
                <c:pt idx="345">
                  <c:v>1.9059999999999999</c:v>
                </c:pt>
                <c:pt idx="346">
                  <c:v>1.903</c:v>
                </c:pt>
                <c:pt idx="347">
                  <c:v>1.901</c:v>
                </c:pt>
                <c:pt idx="348">
                  <c:v>1.899</c:v>
                </c:pt>
                <c:pt idx="349">
                  <c:v>1.9059999999999999</c:v>
                </c:pt>
                <c:pt idx="350">
                  <c:v>1.899</c:v>
                </c:pt>
                <c:pt idx="351">
                  <c:v>1.893</c:v>
                </c:pt>
                <c:pt idx="352">
                  <c:v>1.875</c:v>
                </c:pt>
                <c:pt idx="353">
                  <c:v>1.883</c:v>
                </c:pt>
                <c:pt idx="354">
                  <c:v>1.883</c:v>
                </c:pt>
                <c:pt idx="355">
                  <c:v>1.867</c:v>
                </c:pt>
                <c:pt idx="356">
                  <c:v>1.857</c:v>
                </c:pt>
                <c:pt idx="357">
                  <c:v>1.857</c:v>
                </c:pt>
                <c:pt idx="358">
                  <c:v>1.8640000000000001</c:v>
                </c:pt>
                <c:pt idx="359">
                  <c:v>1.867</c:v>
                </c:pt>
                <c:pt idx="360">
                  <c:v>1.8839999999999999</c:v>
                </c:pt>
                <c:pt idx="361">
                  <c:v>1.879</c:v>
                </c:pt>
                <c:pt idx="362">
                  <c:v>1.8759999999999999</c:v>
                </c:pt>
                <c:pt idx="363">
                  <c:v>1.87</c:v>
                </c:pt>
                <c:pt idx="364">
                  <c:v>1.859</c:v>
                </c:pt>
                <c:pt idx="365">
                  <c:v>1.871</c:v>
                </c:pt>
                <c:pt idx="366">
                  <c:v>1.875</c:v>
                </c:pt>
                <c:pt idx="367">
                  <c:v>1.889</c:v>
                </c:pt>
                <c:pt idx="368">
                  <c:v>1.8859999999999999</c:v>
                </c:pt>
                <c:pt idx="369">
                  <c:v>1.8879999999999999</c:v>
                </c:pt>
                <c:pt idx="370">
                  <c:v>1.8979999999999999</c:v>
                </c:pt>
                <c:pt idx="371">
                  <c:v>1.897</c:v>
                </c:pt>
                <c:pt idx="372">
                  <c:v>1.9139999999999999</c:v>
                </c:pt>
                <c:pt idx="373">
                  <c:v>1.919</c:v>
                </c:pt>
                <c:pt idx="374">
                  <c:v>1.9119999999999999</c:v>
                </c:pt>
                <c:pt idx="375">
                  <c:v>1.9079999999999999</c:v>
                </c:pt>
                <c:pt idx="376">
                  <c:v>1.9039999999999999</c:v>
                </c:pt>
                <c:pt idx="377">
                  <c:v>1.9019999999999999</c:v>
                </c:pt>
                <c:pt idx="378">
                  <c:v>1.911</c:v>
                </c:pt>
                <c:pt idx="379">
                  <c:v>1.913</c:v>
                </c:pt>
                <c:pt idx="380">
                  <c:v>1.911</c:v>
                </c:pt>
                <c:pt idx="381">
                  <c:v>1.913</c:v>
                </c:pt>
                <c:pt idx="382">
                  <c:v>1.905</c:v>
                </c:pt>
                <c:pt idx="383">
                  <c:v>1.9259999999999999</c:v>
                </c:pt>
                <c:pt idx="384">
                  <c:v>1.9339999999999999</c:v>
                </c:pt>
                <c:pt idx="385">
                  <c:v>1.94</c:v>
                </c:pt>
                <c:pt idx="386">
                  <c:v>1.92</c:v>
                </c:pt>
                <c:pt idx="387">
                  <c:v>1.907</c:v>
                </c:pt>
                <c:pt idx="388">
                  <c:v>1.907</c:v>
                </c:pt>
                <c:pt idx="389">
                  <c:v>1.903</c:v>
                </c:pt>
                <c:pt idx="390">
                  <c:v>1.901</c:v>
                </c:pt>
                <c:pt idx="391">
                  <c:v>1.901</c:v>
                </c:pt>
                <c:pt idx="392">
                  <c:v>1.899</c:v>
                </c:pt>
                <c:pt idx="393">
                  <c:v>1.897</c:v>
                </c:pt>
                <c:pt idx="394">
                  <c:v>1.887</c:v>
                </c:pt>
                <c:pt idx="395">
                  <c:v>1.88</c:v>
                </c:pt>
                <c:pt idx="396">
                  <c:v>1.875</c:v>
                </c:pt>
                <c:pt idx="397">
                  <c:v>1.8839999999999999</c:v>
                </c:pt>
                <c:pt idx="398">
                  <c:v>1.8939999999999999</c:v>
                </c:pt>
                <c:pt idx="399">
                  <c:v>1.8839999999999999</c:v>
                </c:pt>
                <c:pt idx="400">
                  <c:v>1.885</c:v>
                </c:pt>
                <c:pt idx="401">
                  <c:v>1.8979999999999999</c:v>
                </c:pt>
                <c:pt idx="402">
                  <c:v>1.897</c:v>
                </c:pt>
                <c:pt idx="403">
                  <c:v>1.9019999999999999</c:v>
                </c:pt>
                <c:pt idx="404">
                  <c:v>1.9079999999999999</c:v>
                </c:pt>
                <c:pt idx="405">
                  <c:v>1.9079999999999999</c:v>
                </c:pt>
                <c:pt idx="406">
                  <c:v>1.889</c:v>
                </c:pt>
                <c:pt idx="407">
                  <c:v>1.871</c:v>
                </c:pt>
                <c:pt idx="408">
                  <c:v>1.88</c:v>
                </c:pt>
                <c:pt idx="409">
                  <c:v>1.8939999999999999</c:v>
                </c:pt>
                <c:pt idx="410">
                  <c:v>1.893</c:v>
                </c:pt>
                <c:pt idx="411">
                  <c:v>1.9179999999999999</c:v>
                </c:pt>
                <c:pt idx="412">
                  <c:v>1.9319999999999999</c:v>
                </c:pt>
                <c:pt idx="413">
                  <c:v>1.9370000000000001</c:v>
                </c:pt>
                <c:pt idx="414">
                  <c:v>1.9419999999999999</c:v>
                </c:pt>
                <c:pt idx="415">
                  <c:v>1.956</c:v>
                </c:pt>
                <c:pt idx="416">
                  <c:v>1.9650000000000001</c:v>
                </c:pt>
                <c:pt idx="417">
                  <c:v>1.9610000000000001</c:v>
                </c:pt>
              </c:numCache>
            </c:numRef>
          </c:val>
          <c:smooth val="0"/>
          <c:extLst>
            <c:ext xmlns:c16="http://schemas.microsoft.com/office/drawing/2014/chart" uri="{C3380CC4-5D6E-409C-BE32-E72D297353CC}">
              <c16:uniqueId val="{00000000-DE67-4548-9CA7-1B155D67A4F9}"/>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05"/>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品赋赤霄</a:t>
            </a:r>
            <a:endParaRPr lang="en-US" altLang="zh-CN" sz="1600"/>
          </a:p>
        </c:rich>
      </c:tx>
      <c:overlay val="0"/>
    </c:title>
    <c:autoTitleDeleted val="0"/>
    <c:plotArea>
      <c:layout/>
      <c:lineChart>
        <c:grouping val="standard"/>
        <c:varyColors val="0"/>
        <c:ser>
          <c:idx val="0"/>
          <c:order val="0"/>
          <c:tx>
            <c:strRef>
              <c:f>品赋赤霄!$B$20</c:f>
              <c:strCache>
                <c:ptCount val="1"/>
                <c:pt idx="0">
                  <c:v>累计净值</c:v>
                </c:pt>
              </c:strCache>
            </c:strRef>
          </c:tx>
          <c:marker>
            <c:symbol val="none"/>
          </c:marker>
          <c:cat>
            <c:numRef>
              <c:f>品赋赤霄!$A$21:$A$325</c:f>
              <c:numCache>
                <c:formatCode>m/d/yy</c:formatCode>
                <c:ptCount val="305"/>
                <c:pt idx="0">
                  <c:v>43822</c:v>
                </c:pt>
                <c:pt idx="1">
                  <c:v>43823</c:v>
                </c:pt>
                <c:pt idx="2">
                  <c:v>43824</c:v>
                </c:pt>
                <c:pt idx="3">
                  <c:v>43825</c:v>
                </c:pt>
                <c:pt idx="4">
                  <c:v>43826</c:v>
                </c:pt>
                <c:pt idx="5">
                  <c:v>43829</c:v>
                </c:pt>
                <c:pt idx="6">
                  <c:v>43830</c:v>
                </c:pt>
                <c:pt idx="7">
                  <c:v>43832</c:v>
                </c:pt>
                <c:pt idx="8">
                  <c:v>43833</c:v>
                </c:pt>
                <c:pt idx="9">
                  <c:v>43836</c:v>
                </c:pt>
                <c:pt idx="10">
                  <c:v>43837</c:v>
                </c:pt>
                <c:pt idx="11">
                  <c:v>43838</c:v>
                </c:pt>
                <c:pt idx="12">
                  <c:v>43839</c:v>
                </c:pt>
                <c:pt idx="13">
                  <c:v>43840</c:v>
                </c:pt>
                <c:pt idx="14">
                  <c:v>43843</c:v>
                </c:pt>
                <c:pt idx="15">
                  <c:v>43844</c:v>
                </c:pt>
                <c:pt idx="16">
                  <c:v>43845</c:v>
                </c:pt>
                <c:pt idx="17">
                  <c:v>43846</c:v>
                </c:pt>
                <c:pt idx="18">
                  <c:v>43847</c:v>
                </c:pt>
                <c:pt idx="19">
                  <c:v>43850</c:v>
                </c:pt>
                <c:pt idx="20">
                  <c:v>43851</c:v>
                </c:pt>
                <c:pt idx="21">
                  <c:v>43852</c:v>
                </c:pt>
                <c:pt idx="22">
                  <c:v>43853</c:v>
                </c:pt>
                <c:pt idx="23">
                  <c:v>43864</c:v>
                </c:pt>
                <c:pt idx="24">
                  <c:v>43865</c:v>
                </c:pt>
                <c:pt idx="25">
                  <c:v>43866</c:v>
                </c:pt>
                <c:pt idx="26">
                  <c:v>43867</c:v>
                </c:pt>
                <c:pt idx="27">
                  <c:v>43868</c:v>
                </c:pt>
                <c:pt idx="28">
                  <c:v>43871</c:v>
                </c:pt>
                <c:pt idx="29">
                  <c:v>43872</c:v>
                </c:pt>
                <c:pt idx="30">
                  <c:v>43873</c:v>
                </c:pt>
                <c:pt idx="31">
                  <c:v>43874</c:v>
                </c:pt>
                <c:pt idx="32">
                  <c:v>43875</c:v>
                </c:pt>
                <c:pt idx="33">
                  <c:v>43878</c:v>
                </c:pt>
                <c:pt idx="34">
                  <c:v>43879</c:v>
                </c:pt>
                <c:pt idx="35">
                  <c:v>43880</c:v>
                </c:pt>
                <c:pt idx="36">
                  <c:v>43881</c:v>
                </c:pt>
                <c:pt idx="37">
                  <c:v>43882</c:v>
                </c:pt>
                <c:pt idx="38">
                  <c:v>43885</c:v>
                </c:pt>
                <c:pt idx="39">
                  <c:v>43886</c:v>
                </c:pt>
                <c:pt idx="40">
                  <c:v>43887</c:v>
                </c:pt>
                <c:pt idx="41">
                  <c:v>43888</c:v>
                </c:pt>
                <c:pt idx="42">
                  <c:v>43889</c:v>
                </c:pt>
                <c:pt idx="43">
                  <c:v>43892</c:v>
                </c:pt>
                <c:pt idx="44">
                  <c:v>43893</c:v>
                </c:pt>
                <c:pt idx="45">
                  <c:v>43894</c:v>
                </c:pt>
                <c:pt idx="46">
                  <c:v>43895</c:v>
                </c:pt>
                <c:pt idx="47">
                  <c:v>43896</c:v>
                </c:pt>
                <c:pt idx="48">
                  <c:v>43899</c:v>
                </c:pt>
                <c:pt idx="49">
                  <c:v>43900</c:v>
                </c:pt>
                <c:pt idx="50">
                  <c:v>43901</c:v>
                </c:pt>
                <c:pt idx="51">
                  <c:v>43902</c:v>
                </c:pt>
                <c:pt idx="52">
                  <c:v>43903</c:v>
                </c:pt>
                <c:pt idx="53">
                  <c:v>43906</c:v>
                </c:pt>
                <c:pt idx="54">
                  <c:v>43907</c:v>
                </c:pt>
                <c:pt idx="55">
                  <c:v>43908</c:v>
                </c:pt>
                <c:pt idx="56">
                  <c:v>43909</c:v>
                </c:pt>
                <c:pt idx="57">
                  <c:v>43910</c:v>
                </c:pt>
                <c:pt idx="58">
                  <c:v>43913</c:v>
                </c:pt>
                <c:pt idx="59">
                  <c:v>43914</c:v>
                </c:pt>
                <c:pt idx="60">
                  <c:v>43915</c:v>
                </c:pt>
                <c:pt idx="61">
                  <c:v>43916</c:v>
                </c:pt>
                <c:pt idx="62">
                  <c:v>43917</c:v>
                </c:pt>
                <c:pt idx="63">
                  <c:v>43920</c:v>
                </c:pt>
                <c:pt idx="64">
                  <c:v>43921</c:v>
                </c:pt>
                <c:pt idx="65">
                  <c:v>43922</c:v>
                </c:pt>
                <c:pt idx="66">
                  <c:v>43923</c:v>
                </c:pt>
                <c:pt idx="67">
                  <c:v>43924</c:v>
                </c:pt>
                <c:pt idx="68">
                  <c:v>43928</c:v>
                </c:pt>
                <c:pt idx="69">
                  <c:v>43929</c:v>
                </c:pt>
                <c:pt idx="70">
                  <c:v>43930</c:v>
                </c:pt>
                <c:pt idx="71">
                  <c:v>43931</c:v>
                </c:pt>
                <c:pt idx="72">
                  <c:v>43934</c:v>
                </c:pt>
                <c:pt idx="73">
                  <c:v>43935</c:v>
                </c:pt>
                <c:pt idx="74">
                  <c:v>43936</c:v>
                </c:pt>
                <c:pt idx="75">
                  <c:v>43937</c:v>
                </c:pt>
                <c:pt idx="76">
                  <c:v>43938</c:v>
                </c:pt>
                <c:pt idx="77">
                  <c:v>43941</c:v>
                </c:pt>
                <c:pt idx="78">
                  <c:v>43942</c:v>
                </c:pt>
                <c:pt idx="79">
                  <c:v>43943</c:v>
                </c:pt>
                <c:pt idx="80">
                  <c:v>43944</c:v>
                </c:pt>
                <c:pt idx="81">
                  <c:v>43945</c:v>
                </c:pt>
                <c:pt idx="82">
                  <c:v>43948</c:v>
                </c:pt>
                <c:pt idx="83">
                  <c:v>43949</c:v>
                </c:pt>
                <c:pt idx="84">
                  <c:v>43950</c:v>
                </c:pt>
                <c:pt idx="85">
                  <c:v>43951</c:v>
                </c:pt>
                <c:pt idx="86">
                  <c:v>43957</c:v>
                </c:pt>
                <c:pt idx="87">
                  <c:v>43958</c:v>
                </c:pt>
                <c:pt idx="88">
                  <c:v>43959</c:v>
                </c:pt>
                <c:pt idx="89">
                  <c:v>43962</c:v>
                </c:pt>
                <c:pt idx="90">
                  <c:v>43963</c:v>
                </c:pt>
                <c:pt idx="91">
                  <c:v>43964</c:v>
                </c:pt>
                <c:pt idx="92">
                  <c:v>43965</c:v>
                </c:pt>
                <c:pt idx="93">
                  <c:v>43966</c:v>
                </c:pt>
                <c:pt idx="94">
                  <c:v>43969</c:v>
                </c:pt>
                <c:pt idx="95">
                  <c:v>43970</c:v>
                </c:pt>
                <c:pt idx="96">
                  <c:v>43971</c:v>
                </c:pt>
                <c:pt idx="97">
                  <c:v>43972</c:v>
                </c:pt>
                <c:pt idx="98">
                  <c:v>43973</c:v>
                </c:pt>
                <c:pt idx="99">
                  <c:v>43976</c:v>
                </c:pt>
                <c:pt idx="100">
                  <c:v>43977</c:v>
                </c:pt>
                <c:pt idx="101">
                  <c:v>43978</c:v>
                </c:pt>
                <c:pt idx="102">
                  <c:v>43979</c:v>
                </c:pt>
                <c:pt idx="103">
                  <c:v>43980</c:v>
                </c:pt>
                <c:pt idx="104">
                  <c:v>43983</c:v>
                </c:pt>
                <c:pt idx="105">
                  <c:v>43984</c:v>
                </c:pt>
                <c:pt idx="106">
                  <c:v>43985</c:v>
                </c:pt>
                <c:pt idx="107">
                  <c:v>43986</c:v>
                </c:pt>
                <c:pt idx="108">
                  <c:v>43987</c:v>
                </c:pt>
                <c:pt idx="109">
                  <c:v>43990</c:v>
                </c:pt>
                <c:pt idx="110">
                  <c:v>43991</c:v>
                </c:pt>
                <c:pt idx="111">
                  <c:v>43992</c:v>
                </c:pt>
                <c:pt idx="112">
                  <c:v>43993</c:v>
                </c:pt>
                <c:pt idx="113">
                  <c:v>43994</c:v>
                </c:pt>
                <c:pt idx="114">
                  <c:v>43997</c:v>
                </c:pt>
                <c:pt idx="115">
                  <c:v>43998</c:v>
                </c:pt>
                <c:pt idx="116">
                  <c:v>43999</c:v>
                </c:pt>
                <c:pt idx="117">
                  <c:v>44000</c:v>
                </c:pt>
                <c:pt idx="118">
                  <c:v>44001</c:v>
                </c:pt>
                <c:pt idx="119">
                  <c:v>44004</c:v>
                </c:pt>
                <c:pt idx="120">
                  <c:v>44005</c:v>
                </c:pt>
                <c:pt idx="121">
                  <c:v>44006</c:v>
                </c:pt>
                <c:pt idx="122">
                  <c:v>44011</c:v>
                </c:pt>
                <c:pt idx="123">
                  <c:v>44012</c:v>
                </c:pt>
                <c:pt idx="124">
                  <c:v>44013</c:v>
                </c:pt>
                <c:pt idx="125">
                  <c:v>44014</c:v>
                </c:pt>
                <c:pt idx="126">
                  <c:v>44015</c:v>
                </c:pt>
                <c:pt idx="127">
                  <c:v>44018</c:v>
                </c:pt>
                <c:pt idx="128">
                  <c:v>44019</c:v>
                </c:pt>
                <c:pt idx="129">
                  <c:v>44020</c:v>
                </c:pt>
                <c:pt idx="130">
                  <c:v>44021</c:v>
                </c:pt>
                <c:pt idx="131">
                  <c:v>44022</c:v>
                </c:pt>
                <c:pt idx="132">
                  <c:v>44025</c:v>
                </c:pt>
                <c:pt idx="133">
                  <c:v>44026</c:v>
                </c:pt>
                <c:pt idx="134">
                  <c:v>44027</c:v>
                </c:pt>
                <c:pt idx="135">
                  <c:v>44028</c:v>
                </c:pt>
                <c:pt idx="136">
                  <c:v>44029</c:v>
                </c:pt>
                <c:pt idx="137">
                  <c:v>44032</c:v>
                </c:pt>
                <c:pt idx="138">
                  <c:v>44033</c:v>
                </c:pt>
                <c:pt idx="139">
                  <c:v>44034</c:v>
                </c:pt>
                <c:pt idx="140">
                  <c:v>44035</c:v>
                </c:pt>
                <c:pt idx="141">
                  <c:v>44036</c:v>
                </c:pt>
                <c:pt idx="142">
                  <c:v>44039</c:v>
                </c:pt>
                <c:pt idx="143">
                  <c:v>44040</c:v>
                </c:pt>
                <c:pt idx="144">
                  <c:v>44041</c:v>
                </c:pt>
                <c:pt idx="145">
                  <c:v>44042</c:v>
                </c:pt>
                <c:pt idx="146">
                  <c:v>44043</c:v>
                </c:pt>
                <c:pt idx="147">
                  <c:v>44049</c:v>
                </c:pt>
                <c:pt idx="148">
                  <c:v>44050</c:v>
                </c:pt>
                <c:pt idx="149">
                  <c:v>44053</c:v>
                </c:pt>
                <c:pt idx="150">
                  <c:v>44054</c:v>
                </c:pt>
                <c:pt idx="151">
                  <c:v>44055</c:v>
                </c:pt>
                <c:pt idx="152">
                  <c:v>44056</c:v>
                </c:pt>
                <c:pt idx="153">
                  <c:v>44057</c:v>
                </c:pt>
                <c:pt idx="154">
                  <c:v>44060</c:v>
                </c:pt>
                <c:pt idx="155">
                  <c:v>44061</c:v>
                </c:pt>
                <c:pt idx="156">
                  <c:v>44062</c:v>
                </c:pt>
                <c:pt idx="157">
                  <c:v>44063</c:v>
                </c:pt>
                <c:pt idx="158">
                  <c:v>44064</c:v>
                </c:pt>
                <c:pt idx="159">
                  <c:v>44067</c:v>
                </c:pt>
                <c:pt idx="160">
                  <c:v>44068</c:v>
                </c:pt>
                <c:pt idx="161">
                  <c:v>44069</c:v>
                </c:pt>
                <c:pt idx="162">
                  <c:v>44070</c:v>
                </c:pt>
                <c:pt idx="163">
                  <c:v>44071</c:v>
                </c:pt>
                <c:pt idx="164">
                  <c:v>44074</c:v>
                </c:pt>
                <c:pt idx="165">
                  <c:v>44075</c:v>
                </c:pt>
                <c:pt idx="166">
                  <c:v>44076</c:v>
                </c:pt>
                <c:pt idx="167">
                  <c:v>44077</c:v>
                </c:pt>
                <c:pt idx="168">
                  <c:v>44078</c:v>
                </c:pt>
                <c:pt idx="169">
                  <c:v>44081</c:v>
                </c:pt>
                <c:pt idx="170">
                  <c:v>44082</c:v>
                </c:pt>
                <c:pt idx="171">
                  <c:v>44083</c:v>
                </c:pt>
                <c:pt idx="172">
                  <c:v>44084</c:v>
                </c:pt>
                <c:pt idx="173">
                  <c:v>44085</c:v>
                </c:pt>
                <c:pt idx="174">
                  <c:v>44088</c:v>
                </c:pt>
                <c:pt idx="175">
                  <c:v>44089</c:v>
                </c:pt>
                <c:pt idx="176">
                  <c:v>44090</c:v>
                </c:pt>
                <c:pt idx="177">
                  <c:v>44091</c:v>
                </c:pt>
                <c:pt idx="178">
                  <c:v>44092</c:v>
                </c:pt>
                <c:pt idx="179">
                  <c:v>44095</c:v>
                </c:pt>
                <c:pt idx="180">
                  <c:v>44096</c:v>
                </c:pt>
                <c:pt idx="181">
                  <c:v>44097</c:v>
                </c:pt>
                <c:pt idx="182">
                  <c:v>44098</c:v>
                </c:pt>
                <c:pt idx="183">
                  <c:v>44099</c:v>
                </c:pt>
                <c:pt idx="184">
                  <c:v>44102</c:v>
                </c:pt>
                <c:pt idx="185">
                  <c:v>44103</c:v>
                </c:pt>
                <c:pt idx="186">
                  <c:v>44104</c:v>
                </c:pt>
                <c:pt idx="187">
                  <c:v>44113</c:v>
                </c:pt>
                <c:pt idx="188">
                  <c:v>44116</c:v>
                </c:pt>
                <c:pt idx="189">
                  <c:v>44117</c:v>
                </c:pt>
                <c:pt idx="190">
                  <c:v>44118</c:v>
                </c:pt>
                <c:pt idx="191">
                  <c:v>44119</c:v>
                </c:pt>
                <c:pt idx="192">
                  <c:v>44120</c:v>
                </c:pt>
                <c:pt idx="193">
                  <c:v>44123</c:v>
                </c:pt>
                <c:pt idx="194">
                  <c:v>44124</c:v>
                </c:pt>
                <c:pt idx="195">
                  <c:v>44125</c:v>
                </c:pt>
                <c:pt idx="196">
                  <c:v>44126</c:v>
                </c:pt>
                <c:pt idx="197">
                  <c:v>44127</c:v>
                </c:pt>
                <c:pt idx="198">
                  <c:v>44130</c:v>
                </c:pt>
                <c:pt idx="199">
                  <c:v>44131</c:v>
                </c:pt>
                <c:pt idx="200">
                  <c:v>44132</c:v>
                </c:pt>
                <c:pt idx="201">
                  <c:v>44133</c:v>
                </c:pt>
                <c:pt idx="202">
                  <c:v>44134</c:v>
                </c:pt>
                <c:pt idx="203">
                  <c:v>44137</c:v>
                </c:pt>
                <c:pt idx="204">
                  <c:v>44138</c:v>
                </c:pt>
                <c:pt idx="205">
                  <c:v>44139</c:v>
                </c:pt>
                <c:pt idx="206">
                  <c:v>44140</c:v>
                </c:pt>
                <c:pt idx="207">
                  <c:v>44141</c:v>
                </c:pt>
                <c:pt idx="208">
                  <c:v>44144</c:v>
                </c:pt>
                <c:pt idx="209">
                  <c:v>44145</c:v>
                </c:pt>
                <c:pt idx="210">
                  <c:v>44146</c:v>
                </c:pt>
                <c:pt idx="211">
                  <c:v>44147</c:v>
                </c:pt>
                <c:pt idx="212">
                  <c:v>44148</c:v>
                </c:pt>
                <c:pt idx="213">
                  <c:v>44151</c:v>
                </c:pt>
                <c:pt idx="214">
                  <c:v>44152</c:v>
                </c:pt>
                <c:pt idx="215">
                  <c:v>44153</c:v>
                </c:pt>
                <c:pt idx="216">
                  <c:v>44154</c:v>
                </c:pt>
                <c:pt idx="217">
                  <c:v>44155</c:v>
                </c:pt>
                <c:pt idx="218">
                  <c:v>44158</c:v>
                </c:pt>
                <c:pt idx="219">
                  <c:v>44159</c:v>
                </c:pt>
                <c:pt idx="220">
                  <c:v>44160</c:v>
                </c:pt>
                <c:pt idx="221">
                  <c:v>44161</c:v>
                </c:pt>
                <c:pt idx="222">
                  <c:v>44162</c:v>
                </c:pt>
                <c:pt idx="223">
                  <c:v>44165</c:v>
                </c:pt>
                <c:pt idx="224">
                  <c:v>44166</c:v>
                </c:pt>
                <c:pt idx="225">
                  <c:v>44167</c:v>
                </c:pt>
                <c:pt idx="226">
                  <c:v>44168</c:v>
                </c:pt>
                <c:pt idx="227">
                  <c:v>44169</c:v>
                </c:pt>
                <c:pt idx="228">
                  <c:v>44172</c:v>
                </c:pt>
                <c:pt idx="229">
                  <c:v>44173</c:v>
                </c:pt>
                <c:pt idx="230">
                  <c:v>44174</c:v>
                </c:pt>
                <c:pt idx="231">
                  <c:v>44175</c:v>
                </c:pt>
                <c:pt idx="232">
                  <c:v>44176</c:v>
                </c:pt>
                <c:pt idx="233">
                  <c:v>44179</c:v>
                </c:pt>
                <c:pt idx="234">
                  <c:v>44180</c:v>
                </c:pt>
                <c:pt idx="235">
                  <c:v>44181</c:v>
                </c:pt>
                <c:pt idx="236">
                  <c:v>44182</c:v>
                </c:pt>
                <c:pt idx="237">
                  <c:v>44183</c:v>
                </c:pt>
                <c:pt idx="238">
                  <c:v>44186</c:v>
                </c:pt>
                <c:pt idx="239">
                  <c:v>44187</c:v>
                </c:pt>
                <c:pt idx="240">
                  <c:v>44188</c:v>
                </c:pt>
                <c:pt idx="241">
                  <c:v>44189</c:v>
                </c:pt>
                <c:pt idx="242">
                  <c:v>44190</c:v>
                </c:pt>
                <c:pt idx="243">
                  <c:v>44193</c:v>
                </c:pt>
                <c:pt idx="244">
                  <c:v>44194</c:v>
                </c:pt>
                <c:pt idx="245">
                  <c:v>44195</c:v>
                </c:pt>
                <c:pt idx="246">
                  <c:v>44196</c:v>
                </c:pt>
                <c:pt idx="247">
                  <c:v>44200</c:v>
                </c:pt>
                <c:pt idx="248">
                  <c:v>44201</c:v>
                </c:pt>
                <c:pt idx="249">
                  <c:v>44202</c:v>
                </c:pt>
                <c:pt idx="250">
                  <c:v>44203</c:v>
                </c:pt>
                <c:pt idx="251">
                  <c:v>44204</c:v>
                </c:pt>
                <c:pt idx="252">
                  <c:v>44207</c:v>
                </c:pt>
                <c:pt idx="253">
                  <c:v>44208</c:v>
                </c:pt>
                <c:pt idx="254">
                  <c:v>44209</c:v>
                </c:pt>
                <c:pt idx="255">
                  <c:v>44210</c:v>
                </c:pt>
                <c:pt idx="256">
                  <c:v>44211</c:v>
                </c:pt>
                <c:pt idx="257">
                  <c:v>44214</c:v>
                </c:pt>
                <c:pt idx="258">
                  <c:v>44215</c:v>
                </c:pt>
                <c:pt idx="259">
                  <c:v>44216</c:v>
                </c:pt>
                <c:pt idx="260">
                  <c:v>44217</c:v>
                </c:pt>
                <c:pt idx="261">
                  <c:v>44218</c:v>
                </c:pt>
                <c:pt idx="262">
                  <c:v>44221</c:v>
                </c:pt>
                <c:pt idx="263">
                  <c:v>44222</c:v>
                </c:pt>
                <c:pt idx="264">
                  <c:v>44223</c:v>
                </c:pt>
                <c:pt idx="265">
                  <c:v>44224</c:v>
                </c:pt>
                <c:pt idx="266">
                  <c:v>44225</c:v>
                </c:pt>
                <c:pt idx="267">
                  <c:v>44228</c:v>
                </c:pt>
                <c:pt idx="268">
                  <c:v>44229</c:v>
                </c:pt>
                <c:pt idx="269">
                  <c:v>44230</c:v>
                </c:pt>
                <c:pt idx="270">
                  <c:v>44231</c:v>
                </c:pt>
                <c:pt idx="271">
                  <c:v>44232</c:v>
                </c:pt>
                <c:pt idx="272">
                  <c:v>44235</c:v>
                </c:pt>
                <c:pt idx="273">
                  <c:v>44236</c:v>
                </c:pt>
                <c:pt idx="274">
                  <c:v>44237</c:v>
                </c:pt>
                <c:pt idx="275">
                  <c:v>44245</c:v>
                </c:pt>
                <c:pt idx="276">
                  <c:v>44246</c:v>
                </c:pt>
                <c:pt idx="277">
                  <c:v>44249</c:v>
                </c:pt>
                <c:pt idx="278">
                  <c:v>44250</c:v>
                </c:pt>
                <c:pt idx="279">
                  <c:v>44251</c:v>
                </c:pt>
                <c:pt idx="280">
                  <c:v>44252</c:v>
                </c:pt>
                <c:pt idx="281">
                  <c:v>44253</c:v>
                </c:pt>
                <c:pt idx="282">
                  <c:v>44256</c:v>
                </c:pt>
                <c:pt idx="283">
                  <c:v>44257</c:v>
                </c:pt>
                <c:pt idx="284">
                  <c:v>44258</c:v>
                </c:pt>
                <c:pt idx="285">
                  <c:v>44259</c:v>
                </c:pt>
                <c:pt idx="286">
                  <c:v>44260</c:v>
                </c:pt>
                <c:pt idx="287">
                  <c:v>44263</c:v>
                </c:pt>
                <c:pt idx="288">
                  <c:v>44264</c:v>
                </c:pt>
                <c:pt idx="289">
                  <c:v>44265</c:v>
                </c:pt>
                <c:pt idx="290">
                  <c:v>44266</c:v>
                </c:pt>
                <c:pt idx="291">
                  <c:v>44267</c:v>
                </c:pt>
                <c:pt idx="292">
                  <c:v>44270</c:v>
                </c:pt>
                <c:pt idx="293">
                  <c:v>44271</c:v>
                </c:pt>
                <c:pt idx="294">
                  <c:v>44272</c:v>
                </c:pt>
                <c:pt idx="295">
                  <c:v>44273</c:v>
                </c:pt>
                <c:pt idx="296">
                  <c:v>44274</c:v>
                </c:pt>
                <c:pt idx="297">
                  <c:v>44277</c:v>
                </c:pt>
                <c:pt idx="298">
                  <c:v>44278</c:v>
                </c:pt>
                <c:pt idx="299">
                  <c:v>44279</c:v>
                </c:pt>
                <c:pt idx="300">
                  <c:v>44280</c:v>
                </c:pt>
                <c:pt idx="301">
                  <c:v>44281</c:v>
                </c:pt>
                <c:pt idx="302">
                  <c:v>44284</c:v>
                </c:pt>
                <c:pt idx="303">
                  <c:v>44285</c:v>
                </c:pt>
                <c:pt idx="304">
                  <c:v>44286</c:v>
                </c:pt>
              </c:numCache>
            </c:numRef>
          </c:cat>
          <c:val>
            <c:numRef>
              <c:f>品赋赤霄!$B$21:$B$325</c:f>
              <c:numCache>
                <c:formatCode>0.0000_ </c:formatCode>
                <c:ptCount val="305"/>
                <c:pt idx="0">
                  <c:v>1.0002</c:v>
                </c:pt>
                <c:pt idx="1">
                  <c:v>1.0002</c:v>
                </c:pt>
                <c:pt idx="2">
                  <c:v>1.0002</c:v>
                </c:pt>
                <c:pt idx="3">
                  <c:v>1.0003</c:v>
                </c:pt>
                <c:pt idx="4">
                  <c:v>1.0003</c:v>
                </c:pt>
                <c:pt idx="5">
                  <c:v>1.0003</c:v>
                </c:pt>
                <c:pt idx="6">
                  <c:v>1.0003</c:v>
                </c:pt>
                <c:pt idx="7">
                  <c:v>0.99919999999999998</c:v>
                </c:pt>
                <c:pt idx="8">
                  <c:v>1.0017</c:v>
                </c:pt>
                <c:pt idx="9">
                  <c:v>1.0026999999999999</c:v>
                </c:pt>
                <c:pt idx="10">
                  <c:v>0.99909999999999999</c:v>
                </c:pt>
                <c:pt idx="11">
                  <c:v>0.99970000000000003</c:v>
                </c:pt>
                <c:pt idx="12">
                  <c:v>1.0059</c:v>
                </c:pt>
                <c:pt idx="13">
                  <c:v>1.0085</c:v>
                </c:pt>
                <c:pt idx="14">
                  <c:v>1.0109999999999999</c:v>
                </c:pt>
                <c:pt idx="15">
                  <c:v>1.0077</c:v>
                </c:pt>
                <c:pt idx="16">
                  <c:v>1.0097</c:v>
                </c:pt>
                <c:pt idx="17">
                  <c:v>1.0061</c:v>
                </c:pt>
                <c:pt idx="18">
                  <c:v>1.0071000000000001</c:v>
                </c:pt>
                <c:pt idx="19">
                  <c:v>1.0091000000000001</c:v>
                </c:pt>
                <c:pt idx="20">
                  <c:v>1.0091000000000001</c:v>
                </c:pt>
                <c:pt idx="21">
                  <c:v>1.004</c:v>
                </c:pt>
                <c:pt idx="22">
                  <c:v>1.0053000000000001</c:v>
                </c:pt>
                <c:pt idx="23">
                  <c:v>1.0079</c:v>
                </c:pt>
                <c:pt idx="24">
                  <c:v>0.99880000000000002</c:v>
                </c:pt>
                <c:pt idx="25">
                  <c:v>0.99939999999999996</c:v>
                </c:pt>
                <c:pt idx="26">
                  <c:v>0.996</c:v>
                </c:pt>
                <c:pt idx="27">
                  <c:v>0.99219999999999997</c:v>
                </c:pt>
                <c:pt idx="28">
                  <c:v>0.99660000000000004</c:v>
                </c:pt>
                <c:pt idx="29">
                  <c:v>0.99680000000000002</c:v>
                </c:pt>
                <c:pt idx="30">
                  <c:v>0.99690000000000001</c:v>
                </c:pt>
                <c:pt idx="31">
                  <c:v>0.998</c:v>
                </c:pt>
                <c:pt idx="32">
                  <c:v>1.0005999999999999</c:v>
                </c:pt>
                <c:pt idx="33">
                  <c:v>1.0001</c:v>
                </c:pt>
                <c:pt idx="34">
                  <c:v>1.0012000000000001</c:v>
                </c:pt>
                <c:pt idx="35">
                  <c:v>0.99950000000000006</c:v>
                </c:pt>
                <c:pt idx="36">
                  <c:v>1.0002</c:v>
                </c:pt>
                <c:pt idx="37">
                  <c:v>0.99680000000000002</c:v>
                </c:pt>
                <c:pt idx="38">
                  <c:v>1</c:v>
                </c:pt>
                <c:pt idx="39">
                  <c:v>0.99519999999999997</c:v>
                </c:pt>
                <c:pt idx="40">
                  <c:v>0.99480000000000002</c:v>
                </c:pt>
                <c:pt idx="41">
                  <c:v>1.0027999999999999</c:v>
                </c:pt>
                <c:pt idx="42">
                  <c:v>0.99690000000000001</c:v>
                </c:pt>
                <c:pt idx="43">
                  <c:v>1.0009999999999999</c:v>
                </c:pt>
                <c:pt idx="44">
                  <c:v>1.0092000000000001</c:v>
                </c:pt>
                <c:pt idx="45">
                  <c:v>1.0179</c:v>
                </c:pt>
                <c:pt idx="46">
                  <c:v>1.0165999999999999</c:v>
                </c:pt>
                <c:pt idx="47">
                  <c:v>1.0166999999999999</c:v>
                </c:pt>
                <c:pt idx="48">
                  <c:v>1.0193000000000001</c:v>
                </c:pt>
                <c:pt idx="49">
                  <c:v>1.0169999999999999</c:v>
                </c:pt>
                <c:pt idx="50">
                  <c:v>1.0210999999999999</c:v>
                </c:pt>
                <c:pt idx="51">
                  <c:v>1.0210999999999999</c:v>
                </c:pt>
                <c:pt idx="52">
                  <c:v>1.0209999999999999</c:v>
                </c:pt>
                <c:pt idx="53">
                  <c:v>1.0210999999999999</c:v>
                </c:pt>
                <c:pt idx="54">
                  <c:v>1.0244</c:v>
                </c:pt>
                <c:pt idx="55">
                  <c:v>1.0234000000000001</c:v>
                </c:pt>
                <c:pt idx="56">
                  <c:v>1.0243</c:v>
                </c:pt>
                <c:pt idx="57">
                  <c:v>1.0255000000000001</c:v>
                </c:pt>
                <c:pt idx="58">
                  <c:v>1.0202</c:v>
                </c:pt>
                <c:pt idx="59">
                  <c:v>1.0250999999999999</c:v>
                </c:pt>
                <c:pt idx="60">
                  <c:v>1.0316000000000001</c:v>
                </c:pt>
                <c:pt idx="61">
                  <c:v>1.0321</c:v>
                </c:pt>
                <c:pt idx="62">
                  <c:v>1.0315000000000001</c:v>
                </c:pt>
                <c:pt idx="63">
                  <c:v>1.0356000000000001</c:v>
                </c:pt>
                <c:pt idx="64">
                  <c:v>1.0395000000000001</c:v>
                </c:pt>
                <c:pt idx="65">
                  <c:v>1.0405</c:v>
                </c:pt>
                <c:pt idx="66">
                  <c:v>1.0389999999999999</c:v>
                </c:pt>
                <c:pt idx="67">
                  <c:v>1.0407999999999999</c:v>
                </c:pt>
                <c:pt idx="68">
                  <c:v>1.042</c:v>
                </c:pt>
                <c:pt idx="69">
                  <c:v>1.042</c:v>
                </c:pt>
                <c:pt idx="70">
                  <c:v>1.0415000000000001</c:v>
                </c:pt>
                <c:pt idx="71">
                  <c:v>1.0418000000000001</c:v>
                </c:pt>
                <c:pt idx="72">
                  <c:v>1.0418000000000001</c:v>
                </c:pt>
                <c:pt idx="73">
                  <c:v>1.0407</c:v>
                </c:pt>
                <c:pt idx="74">
                  <c:v>1.0392999999999999</c:v>
                </c:pt>
                <c:pt idx="75">
                  <c:v>1.0364</c:v>
                </c:pt>
                <c:pt idx="76">
                  <c:v>1.0386</c:v>
                </c:pt>
                <c:pt idx="77">
                  <c:v>1.0419</c:v>
                </c:pt>
                <c:pt idx="78">
                  <c:v>1.0429999999999999</c:v>
                </c:pt>
                <c:pt idx="79">
                  <c:v>1.0436000000000001</c:v>
                </c:pt>
                <c:pt idx="80">
                  <c:v>1.0439000000000001</c:v>
                </c:pt>
                <c:pt idx="81">
                  <c:v>1.044</c:v>
                </c:pt>
                <c:pt idx="82">
                  <c:v>1.0432999999999999</c:v>
                </c:pt>
                <c:pt idx="83">
                  <c:v>1.0447</c:v>
                </c:pt>
                <c:pt idx="84">
                  <c:v>1.0429999999999999</c:v>
                </c:pt>
                <c:pt idx="85">
                  <c:v>1.0305</c:v>
                </c:pt>
                <c:pt idx="86">
                  <c:v>1.0345</c:v>
                </c:pt>
                <c:pt idx="87">
                  <c:v>1.0348999999999999</c:v>
                </c:pt>
                <c:pt idx="88">
                  <c:v>1.0316000000000001</c:v>
                </c:pt>
                <c:pt idx="89">
                  <c:v>1.0319</c:v>
                </c:pt>
                <c:pt idx="90">
                  <c:v>1.0319</c:v>
                </c:pt>
                <c:pt idx="91">
                  <c:v>1.0342</c:v>
                </c:pt>
                <c:pt idx="92">
                  <c:v>1.0323</c:v>
                </c:pt>
                <c:pt idx="93">
                  <c:v>1.0325</c:v>
                </c:pt>
                <c:pt idx="94">
                  <c:v>1.0330999999999999</c:v>
                </c:pt>
                <c:pt idx="95">
                  <c:v>1.0343</c:v>
                </c:pt>
                <c:pt idx="96">
                  <c:v>1.0303</c:v>
                </c:pt>
                <c:pt idx="97">
                  <c:v>1.0297000000000001</c:v>
                </c:pt>
                <c:pt idx="98">
                  <c:v>1.0259</c:v>
                </c:pt>
                <c:pt idx="99">
                  <c:v>1.0347999999999999</c:v>
                </c:pt>
                <c:pt idx="100">
                  <c:v>1.0361</c:v>
                </c:pt>
                <c:pt idx="101">
                  <c:v>1.0359</c:v>
                </c:pt>
                <c:pt idx="102">
                  <c:v>1.0384</c:v>
                </c:pt>
                <c:pt idx="103">
                  <c:v>1.0396000000000001</c:v>
                </c:pt>
                <c:pt idx="104">
                  <c:v>1.0351999999999999</c:v>
                </c:pt>
                <c:pt idx="105">
                  <c:v>1.0349999999999999</c:v>
                </c:pt>
                <c:pt idx="106">
                  <c:v>1.0341</c:v>
                </c:pt>
                <c:pt idx="107">
                  <c:v>1.0378000000000001</c:v>
                </c:pt>
                <c:pt idx="108">
                  <c:v>1.0392999999999999</c:v>
                </c:pt>
                <c:pt idx="109">
                  <c:v>1.0396000000000001</c:v>
                </c:pt>
                <c:pt idx="110">
                  <c:v>1.0407999999999999</c:v>
                </c:pt>
                <c:pt idx="111">
                  <c:v>1.044</c:v>
                </c:pt>
                <c:pt idx="112">
                  <c:v>1.0441</c:v>
                </c:pt>
                <c:pt idx="113">
                  <c:v>1.0417000000000001</c:v>
                </c:pt>
                <c:pt idx="114">
                  <c:v>1.0522</c:v>
                </c:pt>
                <c:pt idx="115">
                  <c:v>1.0508999999999999</c:v>
                </c:pt>
                <c:pt idx="116">
                  <c:v>1.0525</c:v>
                </c:pt>
                <c:pt idx="117">
                  <c:v>1.0465</c:v>
                </c:pt>
                <c:pt idx="118">
                  <c:v>1.044</c:v>
                </c:pt>
                <c:pt idx="119">
                  <c:v>1.0475000000000001</c:v>
                </c:pt>
                <c:pt idx="120">
                  <c:v>1.0481</c:v>
                </c:pt>
                <c:pt idx="121">
                  <c:v>1.0503</c:v>
                </c:pt>
                <c:pt idx="122">
                  <c:v>1.0543</c:v>
                </c:pt>
                <c:pt idx="123">
                  <c:v>1.052</c:v>
                </c:pt>
                <c:pt idx="124">
                  <c:v>1.0547</c:v>
                </c:pt>
                <c:pt idx="125">
                  <c:v>1.0494000000000001</c:v>
                </c:pt>
                <c:pt idx="126">
                  <c:v>1.0475000000000001</c:v>
                </c:pt>
                <c:pt idx="127">
                  <c:v>1.0410999999999999</c:v>
                </c:pt>
                <c:pt idx="128">
                  <c:v>1.0426</c:v>
                </c:pt>
                <c:pt idx="129">
                  <c:v>1.0530999999999999</c:v>
                </c:pt>
                <c:pt idx="130">
                  <c:v>1.0609999999999999</c:v>
                </c:pt>
                <c:pt idx="131">
                  <c:v>1.0570999999999999</c:v>
                </c:pt>
                <c:pt idx="132">
                  <c:v>1.0653999999999999</c:v>
                </c:pt>
                <c:pt idx="133">
                  <c:v>1.0748</c:v>
                </c:pt>
                <c:pt idx="134">
                  <c:v>1.0666</c:v>
                </c:pt>
                <c:pt idx="135">
                  <c:v>1.0558000000000001</c:v>
                </c:pt>
                <c:pt idx="136">
                  <c:v>1.0642</c:v>
                </c:pt>
                <c:pt idx="137">
                  <c:v>1.0770999999999999</c:v>
                </c:pt>
                <c:pt idx="138">
                  <c:v>1.075</c:v>
                </c:pt>
                <c:pt idx="139">
                  <c:v>1.0727</c:v>
                </c:pt>
                <c:pt idx="140">
                  <c:v>1.0750999999999999</c:v>
                </c:pt>
                <c:pt idx="141">
                  <c:v>1.0757000000000001</c:v>
                </c:pt>
                <c:pt idx="142">
                  <c:v>1.0789</c:v>
                </c:pt>
                <c:pt idx="143">
                  <c:v>1.0862000000000001</c:v>
                </c:pt>
                <c:pt idx="144">
                  <c:v>1.0794999999999999</c:v>
                </c:pt>
                <c:pt idx="145">
                  <c:v>1.0789</c:v>
                </c:pt>
                <c:pt idx="146">
                  <c:v>1.0884</c:v>
                </c:pt>
                <c:pt idx="147">
                  <c:v>1.0889</c:v>
                </c:pt>
                <c:pt idx="148">
                  <c:v>1.0902000000000001</c:v>
                </c:pt>
                <c:pt idx="149">
                  <c:v>1.0884</c:v>
                </c:pt>
                <c:pt idx="150">
                  <c:v>1.0875999999999999</c:v>
                </c:pt>
                <c:pt idx="151">
                  <c:v>1.0875999999999999</c:v>
                </c:pt>
                <c:pt idx="152">
                  <c:v>1.0886</c:v>
                </c:pt>
                <c:pt idx="153">
                  <c:v>1.0879000000000001</c:v>
                </c:pt>
                <c:pt idx="154">
                  <c:v>1.0892999999999999</c:v>
                </c:pt>
                <c:pt idx="155">
                  <c:v>1.0904</c:v>
                </c:pt>
                <c:pt idx="156">
                  <c:v>1.0921000000000001</c:v>
                </c:pt>
                <c:pt idx="157">
                  <c:v>1.0924</c:v>
                </c:pt>
                <c:pt idx="158">
                  <c:v>1.0998000000000001</c:v>
                </c:pt>
                <c:pt idx="159">
                  <c:v>1.1020000000000001</c:v>
                </c:pt>
                <c:pt idx="160">
                  <c:v>1.1033999999999999</c:v>
                </c:pt>
                <c:pt idx="161">
                  <c:v>1.0974999999999999</c:v>
                </c:pt>
                <c:pt idx="162">
                  <c:v>1.0966</c:v>
                </c:pt>
                <c:pt idx="163">
                  <c:v>1.0926</c:v>
                </c:pt>
                <c:pt idx="164">
                  <c:v>1.0951</c:v>
                </c:pt>
                <c:pt idx="165">
                  <c:v>1.1001000000000001</c:v>
                </c:pt>
                <c:pt idx="166">
                  <c:v>1.1004</c:v>
                </c:pt>
                <c:pt idx="167">
                  <c:v>1.1042000000000001</c:v>
                </c:pt>
                <c:pt idx="168">
                  <c:v>1.1016999999999999</c:v>
                </c:pt>
                <c:pt idx="169">
                  <c:v>1.0949</c:v>
                </c:pt>
                <c:pt idx="170">
                  <c:v>1.0889</c:v>
                </c:pt>
                <c:pt idx="171">
                  <c:v>1.0831</c:v>
                </c:pt>
                <c:pt idx="172">
                  <c:v>1.0781000000000001</c:v>
                </c:pt>
                <c:pt idx="173">
                  <c:v>1.0831</c:v>
                </c:pt>
                <c:pt idx="174">
                  <c:v>1.0880000000000001</c:v>
                </c:pt>
                <c:pt idx="175">
                  <c:v>1.087</c:v>
                </c:pt>
                <c:pt idx="176">
                  <c:v>1.0854999999999999</c:v>
                </c:pt>
                <c:pt idx="177">
                  <c:v>1.0767</c:v>
                </c:pt>
                <c:pt idx="178">
                  <c:v>1.0782</c:v>
                </c:pt>
                <c:pt idx="179">
                  <c:v>1.0815999999999999</c:v>
                </c:pt>
                <c:pt idx="180">
                  <c:v>1.0786</c:v>
                </c:pt>
                <c:pt idx="181">
                  <c:v>1.0763</c:v>
                </c:pt>
                <c:pt idx="182">
                  <c:v>1.073</c:v>
                </c:pt>
                <c:pt idx="183">
                  <c:v>1.0712999999999999</c:v>
                </c:pt>
                <c:pt idx="184">
                  <c:v>1.0689</c:v>
                </c:pt>
                <c:pt idx="185">
                  <c:v>1.0668</c:v>
                </c:pt>
                <c:pt idx="186">
                  <c:v>1.0720000000000001</c:v>
                </c:pt>
                <c:pt idx="187">
                  <c:v>1.0740000000000001</c:v>
                </c:pt>
                <c:pt idx="188">
                  <c:v>1.075</c:v>
                </c:pt>
                <c:pt idx="189">
                  <c:v>1.0759000000000001</c:v>
                </c:pt>
                <c:pt idx="190">
                  <c:v>1.0743</c:v>
                </c:pt>
                <c:pt idx="191">
                  <c:v>1.0737000000000001</c:v>
                </c:pt>
                <c:pt idx="192">
                  <c:v>1.0773999999999999</c:v>
                </c:pt>
                <c:pt idx="193">
                  <c:v>1.0820000000000001</c:v>
                </c:pt>
                <c:pt idx="194">
                  <c:v>1.0792999999999999</c:v>
                </c:pt>
                <c:pt idx="195">
                  <c:v>1.0769</c:v>
                </c:pt>
                <c:pt idx="196">
                  <c:v>1.0759000000000001</c:v>
                </c:pt>
                <c:pt idx="197">
                  <c:v>1.0759000000000001</c:v>
                </c:pt>
                <c:pt idx="198">
                  <c:v>1.0780000000000001</c:v>
                </c:pt>
                <c:pt idx="199">
                  <c:v>1.0804</c:v>
                </c:pt>
                <c:pt idx="200">
                  <c:v>1.0821000000000001</c:v>
                </c:pt>
                <c:pt idx="201">
                  <c:v>1.0788</c:v>
                </c:pt>
                <c:pt idx="202">
                  <c:v>1.0781000000000001</c:v>
                </c:pt>
                <c:pt idx="203">
                  <c:v>1.0782</c:v>
                </c:pt>
                <c:pt idx="204">
                  <c:v>1.0792999999999999</c:v>
                </c:pt>
                <c:pt idx="205">
                  <c:v>1.0806</c:v>
                </c:pt>
                <c:pt idx="206">
                  <c:v>1.0855999999999999</c:v>
                </c:pt>
                <c:pt idx="207">
                  <c:v>1.0854999999999999</c:v>
                </c:pt>
                <c:pt idx="208">
                  <c:v>1.0865</c:v>
                </c:pt>
                <c:pt idx="209">
                  <c:v>1.0844</c:v>
                </c:pt>
                <c:pt idx="210">
                  <c:v>1.08</c:v>
                </c:pt>
                <c:pt idx="211">
                  <c:v>1.0808</c:v>
                </c:pt>
                <c:pt idx="212">
                  <c:v>1.083</c:v>
                </c:pt>
                <c:pt idx="213">
                  <c:v>1.0831</c:v>
                </c:pt>
                <c:pt idx="214">
                  <c:v>1.0827</c:v>
                </c:pt>
                <c:pt idx="215">
                  <c:v>1.0819000000000001</c:v>
                </c:pt>
                <c:pt idx="216">
                  <c:v>1.0781000000000001</c:v>
                </c:pt>
                <c:pt idx="217">
                  <c:v>1.0772999999999999</c:v>
                </c:pt>
                <c:pt idx="218">
                  <c:v>1.071</c:v>
                </c:pt>
                <c:pt idx="219">
                  <c:v>1.0718000000000001</c:v>
                </c:pt>
                <c:pt idx="220">
                  <c:v>1.0732999999999999</c:v>
                </c:pt>
                <c:pt idx="221">
                  <c:v>1.069</c:v>
                </c:pt>
                <c:pt idx="222">
                  <c:v>1.0670999999999999</c:v>
                </c:pt>
                <c:pt idx="223">
                  <c:v>1.0670999999999999</c:v>
                </c:pt>
                <c:pt idx="224">
                  <c:v>1.0633999999999999</c:v>
                </c:pt>
                <c:pt idx="225">
                  <c:v>1.0673999999999999</c:v>
                </c:pt>
                <c:pt idx="226">
                  <c:v>1.0663</c:v>
                </c:pt>
                <c:pt idx="227">
                  <c:v>1.0668</c:v>
                </c:pt>
                <c:pt idx="228">
                  <c:v>1.0685</c:v>
                </c:pt>
                <c:pt idx="229">
                  <c:v>1.0663</c:v>
                </c:pt>
                <c:pt idx="230">
                  <c:v>1.0617000000000001</c:v>
                </c:pt>
                <c:pt idx="231">
                  <c:v>1.0609999999999999</c:v>
                </c:pt>
                <c:pt idx="232">
                  <c:v>1.0617000000000001</c:v>
                </c:pt>
                <c:pt idx="233">
                  <c:v>1.0584</c:v>
                </c:pt>
                <c:pt idx="234">
                  <c:v>1.0563</c:v>
                </c:pt>
                <c:pt idx="235">
                  <c:v>1.0529999999999999</c:v>
                </c:pt>
                <c:pt idx="236">
                  <c:v>1.0467</c:v>
                </c:pt>
                <c:pt idx="237">
                  <c:v>1.0444</c:v>
                </c:pt>
                <c:pt idx="238">
                  <c:v>1.0364</c:v>
                </c:pt>
                <c:pt idx="239">
                  <c:v>1.0310999999999999</c:v>
                </c:pt>
                <c:pt idx="240">
                  <c:v>1.0289999999999999</c:v>
                </c:pt>
                <c:pt idx="241">
                  <c:v>1.026</c:v>
                </c:pt>
                <c:pt idx="242">
                  <c:v>1.0259</c:v>
                </c:pt>
                <c:pt idx="243">
                  <c:v>1.0266999999999999</c:v>
                </c:pt>
                <c:pt idx="244">
                  <c:v>1.0233000000000001</c:v>
                </c:pt>
                <c:pt idx="245">
                  <c:v>1.0276000000000001</c:v>
                </c:pt>
                <c:pt idx="246">
                  <c:v>1.0287999999999999</c:v>
                </c:pt>
                <c:pt idx="247">
                  <c:v>1.0313000000000001</c:v>
                </c:pt>
                <c:pt idx="248">
                  <c:v>1.0328999999999999</c:v>
                </c:pt>
                <c:pt idx="249">
                  <c:v>1.0328999999999999</c:v>
                </c:pt>
                <c:pt idx="250">
                  <c:v>1.0367</c:v>
                </c:pt>
                <c:pt idx="251">
                  <c:v>1.0310999999999999</c:v>
                </c:pt>
                <c:pt idx="252">
                  <c:v>1.0374000000000001</c:v>
                </c:pt>
                <c:pt idx="253">
                  <c:v>1.0398000000000001</c:v>
                </c:pt>
                <c:pt idx="254">
                  <c:v>1.0461</c:v>
                </c:pt>
                <c:pt idx="255">
                  <c:v>1.0426</c:v>
                </c:pt>
                <c:pt idx="256">
                  <c:v>1.0478000000000001</c:v>
                </c:pt>
                <c:pt idx="257">
                  <c:v>1.0478000000000001</c:v>
                </c:pt>
                <c:pt idx="258">
                  <c:v>1.0479000000000001</c:v>
                </c:pt>
                <c:pt idx="259">
                  <c:v>1.0479000000000001</c:v>
                </c:pt>
                <c:pt idx="260">
                  <c:v>1.0482</c:v>
                </c:pt>
                <c:pt idx="261">
                  <c:v>1.0485</c:v>
                </c:pt>
                <c:pt idx="262">
                  <c:v>1.0488</c:v>
                </c:pt>
                <c:pt idx="263">
                  <c:v>1.0491999999999999</c:v>
                </c:pt>
                <c:pt idx="264">
                  <c:v>1.0495000000000001</c:v>
                </c:pt>
                <c:pt idx="265">
                  <c:v>1.0498000000000001</c:v>
                </c:pt>
                <c:pt idx="266">
                  <c:v>1.0504</c:v>
                </c:pt>
                <c:pt idx="267">
                  <c:v>1.0508999999999999</c:v>
                </c:pt>
                <c:pt idx="268">
                  <c:v>1.0513999999999999</c:v>
                </c:pt>
                <c:pt idx="269">
                  <c:v>1.0519000000000001</c:v>
                </c:pt>
                <c:pt idx="270">
                  <c:v>1.0526</c:v>
                </c:pt>
                <c:pt idx="271">
                  <c:v>1.0531999999999999</c:v>
                </c:pt>
                <c:pt idx="272">
                  <c:v>1.0537000000000001</c:v>
                </c:pt>
                <c:pt idx="273">
                  <c:v>1.0545</c:v>
                </c:pt>
                <c:pt idx="274">
                  <c:v>1.0537000000000001</c:v>
                </c:pt>
                <c:pt idx="275">
                  <c:v>1.0537000000000001</c:v>
                </c:pt>
                <c:pt idx="276">
                  <c:v>1.0532999999999999</c:v>
                </c:pt>
                <c:pt idx="277">
                  <c:v>1.0533999999999999</c:v>
                </c:pt>
                <c:pt idx="278">
                  <c:v>1.0528</c:v>
                </c:pt>
                <c:pt idx="279">
                  <c:v>1.0525</c:v>
                </c:pt>
                <c:pt idx="280">
                  <c:v>1.0528</c:v>
                </c:pt>
                <c:pt idx="281">
                  <c:v>1.0531999999999999</c:v>
                </c:pt>
                <c:pt idx="282">
                  <c:v>1.0537000000000001</c:v>
                </c:pt>
                <c:pt idx="283">
                  <c:v>1.0533999999999999</c:v>
                </c:pt>
                <c:pt idx="284">
                  <c:v>1.0536000000000001</c:v>
                </c:pt>
                <c:pt idx="285">
                  <c:v>1.0531999999999999</c:v>
                </c:pt>
                <c:pt idx="286">
                  <c:v>1.0538000000000001</c:v>
                </c:pt>
                <c:pt idx="287">
                  <c:v>1.0546</c:v>
                </c:pt>
                <c:pt idx="288">
                  <c:v>1.0547</c:v>
                </c:pt>
                <c:pt idx="289">
                  <c:v>1.0543</c:v>
                </c:pt>
                <c:pt idx="290">
                  <c:v>1.0549999999999999</c:v>
                </c:pt>
                <c:pt idx="291">
                  <c:v>1.0558000000000001</c:v>
                </c:pt>
                <c:pt idx="292">
                  <c:v>1.0557000000000001</c:v>
                </c:pt>
                <c:pt idx="293">
                  <c:v>1.0566</c:v>
                </c:pt>
                <c:pt idx="294">
                  <c:v>1.0570999999999999</c:v>
                </c:pt>
                <c:pt idx="295">
                  <c:v>1.0581</c:v>
                </c:pt>
                <c:pt idx="296">
                  <c:v>1.0592999999999999</c:v>
                </c:pt>
                <c:pt idx="297">
                  <c:v>1.0606</c:v>
                </c:pt>
                <c:pt idx="298">
                  <c:v>1.0619000000000001</c:v>
                </c:pt>
                <c:pt idx="299">
                  <c:v>1.0606</c:v>
                </c:pt>
                <c:pt idx="300">
                  <c:v>1.0610999999999999</c:v>
                </c:pt>
                <c:pt idx="301">
                  <c:v>1.0605</c:v>
                </c:pt>
                <c:pt idx="302">
                  <c:v>1.0619000000000001</c:v>
                </c:pt>
                <c:pt idx="303">
                  <c:v>1.0609</c:v>
                </c:pt>
                <c:pt idx="304">
                  <c:v>1.0610999999999999</c:v>
                </c:pt>
              </c:numCache>
            </c:numRef>
          </c:val>
          <c:smooth val="0"/>
          <c:extLst>
            <c:ext xmlns:c16="http://schemas.microsoft.com/office/drawing/2014/chart" uri="{C3380CC4-5D6E-409C-BE32-E72D297353CC}">
              <c16:uniqueId val="{00000000-0712-44FD-8999-7629DC12AE01}"/>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8"/>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龙珠聚配</a:t>
            </a:r>
            <a:endParaRPr lang="en-US" altLang="zh-CN" sz="1600"/>
          </a:p>
        </c:rich>
      </c:tx>
      <c:overlay val="0"/>
    </c:title>
    <c:autoTitleDeleted val="0"/>
    <c:plotArea>
      <c:layout/>
      <c:lineChart>
        <c:grouping val="standard"/>
        <c:varyColors val="0"/>
        <c:ser>
          <c:idx val="0"/>
          <c:order val="0"/>
          <c:tx>
            <c:strRef>
              <c:f>'龙珠聚配 '!$B$20</c:f>
              <c:strCache>
                <c:ptCount val="1"/>
                <c:pt idx="0">
                  <c:v>累计净值</c:v>
                </c:pt>
              </c:strCache>
            </c:strRef>
          </c:tx>
          <c:marker>
            <c:symbol val="none"/>
          </c:marker>
          <c:cat>
            <c:numRef>
              <c:f>'龙珠聚配 '!$A$21:$A$83</c:f>
              <c:numCache>
                <c:formatCode>m/d/yy</c:formatCode>
                <c:ptCount val="63"/>
                <c:pt idx="0">
                  <c:v>44169</c:v>
                </c:pt>
                <c:pt idx="1">
                  <c:v>44172</c:v>
                </c:pt>
                <c:pt idx="2">
                  <c:v>44173</c:v>
                </c:pt>
                <c:pt idx="3">
                  <c:v>44174</c:v>
                </c:pt>
                <c:pt idx="4">
                  <c:v>44175</c:v>
                </c:pt>
                <c:pt idx="5">
                  <c:v>44176</c:v>
                </c:pt>
                <c:pt idx="6">
                  <c:v>44179</c:v>
                </c:pt>
                <c:pt idx="7">
                  <c:v>44180</c:v>
                </c:pt>
                <c:pt idx="8">
                  <c:v>44181</c:v>
                </c:pt>
                <c:pt idx="9">
                  <c:v>44182</c:v>
                </c:pt>
                <c:pt idx="10">
                  <c:v>44183</c:v>
                </c:pt>
                <c:pt idx="11">
                  <c:v>44186</c:v>
                </c:pt>
                <c:pt idx="12">
                  <c:v>44187</c:v>
                </c:pt>
                <c:pt idx="13">
                  <c:v>44188</c:v>
                </c:pt>
                <c:pt idx="14">
                  <c:v>44189</c:v>
                </c:pt>
                <c:pt idx="15">
                  <c:v>44190</c:v>
                </c:pt>
                <c:pt idx="16">
                  <c:v>44193</c:v>
                </c:pt>
                <c:pt idx="17">
                  <c:v>44194</c:v>
                </c:pt>
                <c:pt idx="18">
                  <c:v>44195</c:v>
                </c:pt>
                <c:pt idx="19">
                  <c:v>44196</c:v>
                </c:pt>
                <c:pt idx="20">
                  <c:v>44200</c:v>
                </c:pt>
                <c:pt idx="21">
                  <c:v>44201</c:v>
                </c:pt>
                <c:pt idx="22">
                  <c:v>44202</c:v>
                </c:pt>
                <c:pt idx="23">
                  <c:v>44203</c:v>
                </c:pt>
                <c:pt idx="24">
                  <c:v>44204</c:v>
                </c:pt>
                <c:pt idx="25">
                  <c:v>44207</c:v>
                </c:pt>
                <c:pt idx="26">
                  <c:v>44208</c:v>
                </c:pt>
                <c:pt idx="27">
                  <c:v>44209</c:v>
                </c:pt>
                <c:pt idx="28">
                  <c:v>44210</c:v>
                </c:pt>
                <c:pt idx="29">
                  <c:v>44211</c:v>
                </c:pt>
                <c:pt idx="30">
                  <c:v>44214</c:v>
                </c:pt>
                <c:pt idx="31">
                  <c:v>44215</c:v>
                </c:pt>
                <c:pt idx="32">
                  <c:v>44216</c:v>
                </c:pt>
                <c:pt idx="33">
                  <c:v>44217</c:v>
                </c:pt>
                <c:pt idx="34">
                  <c:v>44218</c:v>
                </c:pt>
                <c:pt idx="35">
                  <c:v>44221</c:v>
                </c:pt>
                <c:pt idx="36">
                  <c:v>44222</c:v>
                </c:pt>
                <c:pt idx="37">
                  <c:v>44223</c:v>
                </c:pt>
                <c:pt idx="38">
                  <c:v>44224</c:v>
                </c:pt>
                <c:pt idx="39">
                  <c:v>44225</c:v>
                </c:pt>
                <c:pt idx="40">
                  <c:v>44228</c:v>
                </c:pt>
                <c:pt idx="41">
                  <c:v>44229</c:v>
                </c:pt>
                <c:pt idx="42">
                  <c:v>44230</c:v>
                </c:pt>
                <c:pt idx="43">
                  <c:v>44231</c:v>
                </c:pt>
                <c:pt idx="44">
                  <c:v>44232</c:v>
                </c:pt>
                <c:pt idx="45">
                  <c:v>44235</c:v>
                </c:pt>
                <c:pt idx="46">
                  <c:v>44236</c:v>
                </c:pt>
                <c:pt idx="47">
                  <c:v>44237</c:v>
                </c:pt>
                <c:pt idx="48">
                  <c:v>44245</c:v>
                </c:pt>
                <c:pt idx="49">
                  <c:v>44246</c:v>
                </c:pt>
                <c:pt idx="50">
                  <c:v>44249</c:v>
                </c:pt>
                <c:pt idx="51">
                  <c:v>44250</c:v>
                </c:pt>
                <c:pt idx="52">
                  <c:v>44251</c:v>
                </c:pt>
                <c:pt idx="53">
                  <c:v>44252</c:v>
                </c:pt>
                <c:pt idx="54">
                  <c:v>44253</c:v>
                </c:pt>
                <c:pt idx="55">
                  <c:v>44256</c:v>
                </c:pt>
                <c:pt idx="56">
                  <c:v>44257</c:v>
                </c:pt>
                <c:pt idx="57">
                  <c:v>44258</c:v>
                </c:pt>
                <c:pt idx="58">
                  <c:v>44259</c:v>
                </c:pt>
                <c:pt idx="59">
                  <c:v>44260</c:v>
                </c:pt>
                <c:pt idx="60">
                  <c:v>44263</c:v>
                </c:pt>
                <c:pt idx="61">
                  <c:v>44264</c:v>
                </c:pt>
                <c:pt idx="62">
                  <c:v>44265</c:v>
                </c:pt>
              </c:numCache>
            </c:numRef>
          </c:cat>
          <c:val>
            <c:numRef>
              <c:f>'龙珠聚配 '!$B$21:$B$83</c:f>
              <c:numCache>
                <c:formatCode>0.0000_ </c:formatCode>
                <c:ptCount val="63"/>
                <c:pt idx="0">
                  <c:v>1.004</c:v>
                </c:pt>
                <c:pt idx="1">
                  <c:v>1.0029999999999999</c:v>
                </c:pt>
                <c:pt idx="2">
                  <c:v>1.004</c:v>
                </c:pt>
                <c:pt idx="3">
                  <c:v>1.004</c:v>
                </c:pt>
                <c:pt idx="4">
                  <c:v>1.0029999999999999</c:v>
                </c:pt>
                <c:pt idx="5">
                  <c:v>0.997</c:v>
                </c:pt>
                <c:pt idx="6">
                  <c:v>1.002</c:v>
                </c:pt>
                <c:pt idx="7">
                  <c:v>1.004</c:v>
                </c:pt>
                <c:pt idx="8">
                  <c:v>1.002</c:v>
                </c:pt>
                <c:pt idx="9">
                  <c:v>1.006</c:v>
                </c:pt>
                <c:pt idx="10">
                  <c:v>1.002</c:v>
                </c:pt>
                <c:pt idx="11">
                  <c:v>1.0009999999999999</c:v>
                </c:pt>
                <c:pt idx="12">
                  <c:v>0.997</c:v>
                </c:pt>
                <c:pt idx="13">
                  <c:v>0.995</c:v>
                </c:pt>
                <c:pt idx="14">
                  <c:v>0.98899999999999999</c:v>
                </c:pt>
                <c:pt idx="15">
                  <c:v>0.99399999999999999</c:v>
                </c:pt>
                <c:pt idx="16">
                  <c:v>0.98599999999999999</c:v>
                </c:pt>
                <c:pt idx="17">
                  <c:v>0.98099999999999998</c:v>
                </c:pt>
                <c:pt idx="18">
                  <c:v>0.97899999999999998</c:v>
                </c:pt>
                <c:pt idx="19">
                  <c:v>0.98699999999999999</c:v>
                </c:pt>
                <c:pt idx="20">
                  <c:v>1.002</c:v>
                </c:pt>
                <c:pt idx="21">
                  <c:v>0.995</c:v>
                </c:pt>
                <c:pt idx="22">
                  <c:v>0.99199999999999999</c:v>
                </c:pt>
                <c:pt idx="23">
                  <c:v>0.99199999999999999</c:v>
                </c:pt>
                <c:pt idx="24">
                  <c:v>0.98699999999999999</c:v>
                </c:pt>
                <c:pt idx="25">
                  <c:v>0.97499999999999998</c:v>
                </c:pt>
                <c:pt idx="26">
                  <c:v>0.97199999999999998</c:v>
                </c:pt>
                <c:pt idx="27">
                  <c:v>0.95599999999999996</c:v>
                </c:pt>
                <c:pt idx="28">
                  <c:v>0.95499999999999996</c:v>
                </c:pt>
                <c:pt idx="29">
                  <c:v>0.97499999999999998</c:v>
                </c:pt>
                <c:pt idx="30">
                  <c:v>0.99099999999999999</c:v>
                </c:pt>
                <c:pt idx="31">
                  <c:v>0.99199999999999999</c:v>
                </c:pt>
                <c:pt idx="32">
                  <c:v>0.99099999999999999</c:v>
                </c:pt>
                <c:pt idx="33">
                  <c:v>0.99</c:v>
                </c:pt>
                <c:pt idx="34">
                  <c:v>0.98299999999999998</c:v>
                </c:pt>
                <c:pt idx="35">
                  <c:v>0.98299999999999998</c:v>
                </c:pt>
                <c:pt idx="36">
                  <c:v>0.97499999999999998</c:v>
                </c:pt>
                <c:pt idx="37">
                  <c:v>0.97399999999999998</c:v>
                </c:pt>
                <c:pt idx="38">
                  <c:v>0.96599999999999997</c:v>
                </c:pt>
                <c:pt idx="39">
                  <c:v>0.96</c:v>
                </c:pt>
                <c:pt idx="40">
                  <c:v>0.95899999999999996</c:v>
                </c:pt>
                <c:pt idx="41">
                  <c:v>0.95699999999999996</c:v>
                </c:pt>
                <c:pt idx="42">
                  <c:v>0.95199999999999996</c:v>
                </c:pt>
                <c:pt idx="43">
                  <c:v>0.95199999999999996</c:v>
                </c:pt>
                <c:pt idx="44">
                  <c:v>0.91700000000000004</c:v>
                </c:pt>
                <c:pt idx="45">
                  <c:v>0.90700000000000003</c:v>
                </c:pt>
                <c:pt idx="46">
                  <c:v>0.92100000000000004</c:v>
                </c:pt>
                <c:pt idx="47">
                  <c:v>0.92400000000000004</c:v>
                </c:pt>
                <c:pt idx="48">
                  <c:v>0.94299999999999995</c:v>
                </c:pt>
                <c:pt idx="49">
                  <c:v>0.97399999999999998</c:v>
                </c:pt>
                <c:pt idx="50">
                  <c:v>0.98399999999999999</c:v>
                </c:pt>
                <c:pt idx="51">
                  <c:v>0.97499999999999998</c:v>
                </c:pt>
                <c:pt idx="52">
                  <c:v>0.97099999999999997</c:v>
                </c:pt>
                <c:pt idx="53">
                  <c:v>0.96299999999999997</c:v>
                </c:pt>
                <c:pt idx="54">
                  <c:v>0.96299999999999997</c:v>
                </c:pt>
                <c:pt idx="55">
                  <c:v>0.98899999999999999</c:v>
                </c:pt>
                <c:pt idx="56">
                  <c:v>0.98099999999999998</c:v>
                </c:pt>
                <c:pt idx="57">
                  <c:v>0.98599999999999999</c:v>
                </c:pt>
                <c:pt idx="58">
                  <c:v>0.96899999999999997</c:v>
                </c:pt>
                <c:pt idx="59">
                  <c:v>0.98</c:v>
                </c:pt>
                <c:pt idx="60">
                  <c:v>0.95899999999999996</c:v>
                </c:pt>
                <c:pt idx="61">
                  <c:v>0.95599999999999996</c:v>
                </c:pt>
                <c:pt idx="62">
                  <c:v>0.95599999999999996</c:v>
                </c:pt>
              </c:numCache>
            </c:numRef>
          </c:val>
          <c:smooth val="0"/>
          <c:extLst>
            <c:ext xmlns:c16="http://schemas.microsoft.com/office/drawing/2014/chart" uri="{C3380CC4-5D6E-409C-BE32-E72D297353CC}">
              <c16:uniqueId val="{00000000-FE5B-4D25-BC39-811F66B0ED37}"/>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鼎一兑弈</a:t>
            </a:r>
            <a:endParaRPr lang="en-US" altLang="zh-CN" sz="1600"/>
          </a:p>
        </c:rich>
      </c:tx>
      <c:overlay val="0"/>
    </c:title>
    <c:autoTitleDeleted val="0"/>
    <c:plotArea>
      <c:layout/>
      <c:lineChart>
        <c:grouping val="standard"/>
        <c:varyColors val="0"/>
        <c:ser>
          <c:idx val="0"/>
          <c:order val="0"/>
          <c:tx>
            <c:strRef>
              <c:f>鼎一兑弈!$B$20</c:f>
              <c:strCache>
                <c:ptCount val="1"/>
                <c:pt idx="0">
                  <c:v>累计净值</c:v>
                </c:pt>
              </c:strCache>
            </c:strRef>
          </c:tx>
          <c:marker>
            <c:symbol val="none"/>
          </c:marker>
          <c:cat>
            <c:numRef>
              <c:f>鼎一兑弈!$A$21:$A$213</c:f>
              <c:numCache>
                <c:formatCode>m/d/yy</c:formatCode>
                <c:ptCount val="193"/>
                <c:pt idx="0">
                  <c:v>43983</c:v>
                </c:pt>
                <c:pt idx="1">
                  <c:v>43984</c:v>
                </c:pt>
                <c:pt idx="2">
                  <c:v>43985</c:v>
                </c:pt>
                <c:pt idx="3">
                  <c:v>43986</c:v>
                </c:pt>
                <c:pt idx="4">
                  <c:v>43987</c:v>
                </c:pt>
                <c:pt idx="5">
                  <c:v>43990</c:v>
                </c:pt>
                <c:pt idx="6">
                  <c:v>43991</c:v>
                </c:pt>
                <c:pt idx="7">
                  <c:v>43992</c:v>
                </c:pt>
                <c:pt idx="8">
                  <c:v>43993</c:v>
                </c:pt>
                <c:pt idx="9">
                  <c:v>43994</c:v>
                </c:pt>
                <c:pt idx="10">
                  <c:v>43997</c:v>
                </c:pt>
                <c:pt idx="11">
                  <c:v>43998</c:v>
                </c:pt>
                <c:pt idx="12">
                  <c:v>43999</c:v>
                </c:pt>
                <c:pt idx="13">
                  <c:v>44000</c:v>
                </c:pt>
                <c:pt idx="14">
                  <c:v>44001</c:v>
                </c:pt>
                <c:pt idx="15">
                  <c:v>44004</c:v>
                </c:pt>
                <c:pt idx="16">
                  <c:v>44005</c:v>
                </c:pt>
                <c:pt idx="17">
                  <c:v>44006</c:v>
                </c:pt>
                <c:pt idx="18">
                  <c:v>44011</c:v>
                </c:pt>
                <c:pt idx="19">
                  <c:v>44012</c:v>
                </c:pt>
                <c:pt idx="20">
                  <c:v>44013</c:v>
                </c:pt>
                <c:pt idx="21">
                  <c:v>44014</c:v>
                </c:pt>
                <c:pt idx="22">
                  <c:v>44015</c:v>
                </c:pt>
                <c:pt idx="23">
                  <c:v>44018</c:v>
                </c:pt>
                <c:pt idx="24">
                  <c:v>44019</c:v>
                </c:pt>
                <c:pt idx="25">
                  <c:v>44020</c:v>
                </c:pt>
                <c:pt idx="26">
                  <c:v>44021</c:v>
                </c:pt>
                <c:pt idx="27">
                  <c:v>44022</c:v>
                </c:pt>
                <c:pt idx="28">
                  <c:v>44025</c:v>
                </c:pt>
                <c:pt idx="29">
                  <c:v>44026</c:v>
                </c:pt>
                <c:pt idx="30">
                  <c:v>44027</c:v>
                </c:pt>
                <c:pt idx="31">
                  <c:v>44028</c:v>
                </c:pt>
                <c:pt idx="32">
                  <c:v>44029</c:v>
                </c:pt>
                <c:pt idx="33">
                  <c:v>44032</c:v>
                </c:pt>
                <c:pt idx="34">
                  <c:v>44033</c:v>
                </c:pt>
                <c:pt idx="35">
                  <c:v>44034</c:v>
                </c:pt>
                <c:pt idx="36">
                  <c:v>44035</c:v>
                </c:pt>
                <c:pt idx="37">
                  <c:v>44036</c:v>
                </c:pt>
                <c:pt idx="38">
                  <c:v>44039</c:v>
                </c:pt>
                <c:pt idx="39">
                  <c:v>44040</c:v>
                </c:pt>
                <c:pt idx="40">
                  <c:v>44041</c:v>
                </c:pt>
                <c:pt idx="41">
                  <c:v>44042</c:v>
                </c:pt>
                <c:pt idx="42">
                  <c:v>44043</c:v>
                </c:pt>
                <c:pt idx="43">
                  <c:v>44046</c:v>
                </c:pt>
                <c:pt idx="44">
                  <c:v>44047</c:v>
                </c:pt>
                <c:pt idx="45">
                  <c:v>44048</c:v>
                </c:pt>
                <c:pt idx="46">
                  <c:v>44049</c:v>
                </c:pt>
                <c:pt idx="47">
                  <c:v>44050</c:v>
                </c:pt>
                <c:pt idx="48">
                  <c:v>44053</c:v>
                </c:pt>
                <c:pt idx="49">
                  <c:v>44054</c:v>
                </c:pt>
                <c:pt idx="50">
                  <c:v>44055</c:v>
                </c:pt>
                <c:pt idx="51">
                  <c:v>44056</c:v>
                </c:pt>
                <c:pt idx="52">
                  <c:v>44057</c:v>
                </c:pt>
                <c:pt idx="53">
                  <c:v>44060</c:v>
                </c:pt>
                <c:pt idx="54">
                  <c:v>44061</c:v>
                </c:pt>
                <c:pt idx="55">
                  <c:v>44062</c:v>
                </c:pt>
                <c:pt idx="56">
                  <c:v>44063</c:v>
                </c:pt>
                <c:pt idx="57">
                  <c:v>44064</c:v>
                </c:pt>
                <c:pt idx="58">
                  <c:v>44067</c:v>
                </c:pt>
                <c:pt idx="59">
                  <c:v>44068</c:v>
                </c:pt>
                <c:pt idx="60">
                  <c:v>44069</c:v>
                </c:pt>
                <c:pt idx="61">
                  <c:v>44070</c:v>
                </c:pt>
                <c:pt idx="62">
                  <c:v>44071</c:v>
                </c:pt>
                <c:pt idx="63">
                  <c:v>44074</c:v>
                </c:pt>
                <c:pt idx="64">
                  <c:v>44075</c:v>
                </c:pt>
                <c:pt idx="65">
                  <c:v>44076</c:v>
                </c:pt>
                <c:pt idx="66">
                  <c:v>44077</c:v>
                </c:pt>
                <c:pt idx="67">
                  <c:v>44078</c:v>
                </c:pt>
                <c:pt idx="68">
                  <c:v>44081</c:v>
                </c:pt>
                <c:pt idx="69">
                  <c:v>44082</c:v>
                </c:pt>
                <c:pt idx="70">
                  <c:v>44083</c:v>
                </c:pt>
                <c:pt idx="71">
                  <c:v>44084</c:v>
                </c:pt>
                <c:pt idx="72">
                  <c:v>44085</c:v>
                </c:pt>
                <c:pt idx="73">
                  <c:v>44088</c:v>
                </c:pt>
                <c:pt idx="74">
                  <c:v>44089</c:v>
                </c:pt>
                <c:pt idx="75">
                  <c:v>44090</c:v>
                </c:pt>
                <c:pt idx="76">
                  <c:v>44091</c:v>
                </c:pt>
                <c:pt idx="77">
                  <c:v>44092</c:v>
                </c:pt>
                <c:pt idx="78">
                  <c:v>44095</c:v>
                </c:pt>
                <c:pt idx="79">
                  <c:v>44096</c:v>
                </c:pt>
                <c:pt idx="80">
                  <c:v>44097</c:v>
                </c:pt>
                <c:pt idx="81">
                  <c:v>44098</c:v>
                </c:pt>
                <c:pt idx="82">
                  <c:v>44099</c:v>
                </c:pt>
                <c:pt idx="83">
                  <c:v>44102</c:v>
                </c:pt>
                <c:pt idx="84">
                  <c:v>44103</c:v>
                </c:pt>
                <c:pt idx="85">
                  <c:v>44104</c:v>
                </c:pt>
                <c:pt idx="86">
                  <c:v>44113</c:v>
                </c:pt>
                <c:pt idx="87">
                  <c:v>44116</c:v>
                </c:pt>
                <c:pt idx="88">
                  <c:v>44117</c:v>
                </c:pt>
                <c:pt idx="89">
                  <c:v>44118</c:v>
                </c:pt>
                <c:pt idx="90">
                  <c:v>44119</c:v>
                </c:pt>
                <c:pt idx="91">
                  <c:v>44120</c:v>
                </c:pt>
                <c:pt idx="92">
                  <c:v>44123</c:v>
                </c:pt>
                <c:pt idx="93">
                  <c:v>44124</c:v>
                </c:pt>
                <c:pt idx="94">
                  <c:v>44125</c:v>
                </c:pt>
                <c:pt idx="95">
                  <c:v>44126</c:v>
                </c:pt>
                <c:pt idx="96">
                  <c:v>44127</c:v>
                </c:pt>
                <c:pt idx="97">
                  <c:v>44130</c:v>
                </c:pt>
                <c:pt idx="98">
                  <c:v>44131</c:v>
                </c:pt>
                <c:pt idx="99">
                  <c:v>44132</c:v>
                </c:pt>
                <c:pt idx="100">
                  <c:v>44133</c:v>
                </c:pt>
                <c:pt idx="101">
                  <c:v>44134</c:v>
                </c:pt>
                <c:pt idx="102">
                  <c:v>44137</c:v>
                </c:pt>
                <c:pt idx="103">
                  <c:v>44138</c:v>
                </c:pt>
                <c:pt idx="104">
                  <c:v>44139</c:v>
                </c:pt>
                <c:pt idx="105">
                  <c:v>44140</c:v>
                </c:pt>
                <c:pt idx="106">
                  <c:v>44141</c:v>
                </c:pt>
                <c:pt idx="107">
                  <c:v>44144</c:v>
                </c:pt>
                <c:pt idx="108">
                  <c:v>44145</c:v>
                </c:pt>
                <c:pt idx="109">
                  <c:v>44146</c:v>
                </c:pt>
                <c:pt idx="110">
                  <c:v>44147</c:v>
                </c:pt>
                <c:pt idx="111">
                  <c:v>44148</c:v>
                </c:pt>
                <c:pt idx="112">
                  <c:v>44151</c:v>
                </c:pt>
                <c:pt idx="113">
                  <c:v>44152</c:v>
                </c:pt>
                <c:pt idx="114">
                  <c:v>44153</c:v>
                </c:pt>
                <c:pt idx="115">
                  <c:v>44154</c:v>
                </c:pt>
                <c:pt idx="116">
                  <c:v>44155</c:v>
                </c:pt>
                <c:pt idx="117">
                  <c:v>44158</c:v>
                </c:pt>
                <c:pt idx="118">
                  <c:v>44159</c:v>
                </c:pt>
                <c:pt idx="119">
                  <c:v>44160</c:v>
                </c:pt>
                <c:pt idx="120">
                  <c:v>44161</c:v>
                </c:pt>
                <c:pt idx="121">
                  <c:v>44162</c:v>
                </c:pt>
                <c:pt idx="122">
                  <c:v>44165</c:v>
                </c:pt>
                <c:pt idx="123">
                  <c:v>44166</c:v>
                </c:pt>
                <c:pt idx="124">
                  <c:v>44167</c:v>
                </c:pt>
                <c:pt idx="125">
                  <c:v>44168</c:v>
                </c:pt>
                <c:pt idx="126">
                  <c:v>44169</c:v>
                </c:pt>
                <c:pt idx="127">
                  <c:v>44172</c:v>
                </c:pt>
                <c:pt idx="128">
                  <c:v>44173</c:v>
                </c:pt>
                <c:pt idx="129">
                  <c:v>44174</c:v>
                </c:pt>
                <c:pt idx="130">
                  <c:v>44175</c:v>
                </c:pt>
                <c:pt idx="131">
                  <c:v>44176</c:v>
                </c:pt>
                <c:pt idx="132">
                  <c:v>44179</c:v>
                </c:pt>
                <c:pt idx="133">
                  <c:v>44180</c:v>
                </c:pt>
                <c:pt idx="134">
                  <c:v>44181</c:v>
                </c:pt>
                <c:pt idx="135">
                  <c:v>44182</c:v>
                </c:pt>
                <c:pt idx="136">
                  <c:v>44183</c:v>
                </c:pt>
                <c:pt idx="137">
                  <c:v>44186</c:v>
                </c:pt>
                <c:pt idx="138">
                  <c:v>44187</c:v>
                </c:pt>
                <c:pt idx="139">
                  <c:v>44188</c:v>
                </c:pt>
                <c:pt idx="140">
                  <c:v>44189</c:v>
                </c:pt>
                <c:pt idx="141">
                  <c:v>44190</c:v>
                </c:pt>
                <c:pt idx="142">
                  <c:v>44193</c:v>
                </c:pt>
                <c:pt idx="143">
                  <c:v>44194</c:v>
                </c:pt>
                <c:pt idx="144">
                  <c:v>44195</c:v>
                </c:pt>
                <c:pt idx="145">
                  <c:v>44196</c:v>
                </c:pt>
                <c:pt idx="146">
                  <c:v>44200</c:v>
                </c:pt>
                <c:pt idx="147">
                  <c:v>44201</c:v>
                </c:pt>
                <c:pt idx="148">
                  <c:v>44202</c:v>
                </c:pt>
                <c:pt idx="149">
                  <c:v>44203</c:v>
                </c:pt>
                <c:pt idx="150">
                  <c:v>44204</c:v>
                </c:pt>
                <c:pt idx="151">
                  <c:v>44207</c:v>
                </c:pt>
                <c:pt idx="152">
                  <c:v>44208</c:v>
                </c:pt>
                <c:pt idx="153">
                  <c:v>44209</c:v>
                </c:pt>
                <c:pt idx="154">
                  <c:v>44210</c:v>
                </c:pt>
                <c:pt idx="155">
                  <c:v>44211</c:v>
                </c:pt>
                <c:pt idx="156">
                  <c:v>44214</c:v>
                </c:pt>
                <c:pt idx="157">
                  <c:v>44215</c:v>
                </c:pt>
                <c:pt idx="158">
                  <c:v>44216</c:v>
                </c:pt>
                <c:pt idx="159">
                  <c:v>44217</c:v>
                </c:pt>
                <c:pt idx="160">
                  <c:v>44218</c:v>
                </c:pt>
                <c:pt idx="161">
                  <c:v>44221</c:v>
                </c:pt>
                <c:pt idx="162">
                  <c:v>44222</c:v>
                </c:pt>
                <c:pt idx="163">
                  <c:v>44223</c:v>
                </c:pt>
                <c:pt idx="164">
                  <c:v>44224</c:v>
                </c:pt>
                <c:pt idx="165">
                  <c:v>44225</c:v>
                </c:pt>
                <c:pt idx="166">
                  <c:v>44228</c:v>
                </c:pt>
                <c:pt idx="167">
                  <c:v>44229</c:v>
                </c:pt>
                <c:pt idx="168">
                  <c:v>44230</c:v>
                </c:pt>
                <c:pt idx="169">
                  <c:v>44231</c:v>
                </c:pt>
                <c:pt idx="170">
                  <c:v>44232</c:v>
                </c:pt>
                <c:pt idx="171">
                  <c:v>44235</c:v>
                </c:pt>
                <c:pt idx="172">
                  <c:v>44236</c:v>
                </c:pt>
                <c:pt idx="173">
                  <c:v>44237</c:v>
                </c:pt>
                <c:pt idx="174">
                  <c:v>44245</c:v>
                </c:pt>
                <c:pt idx="175">
                  <c:v>44246</c:v>
                </c:pt>
                <c:pt idx="176">
                  <c:v>44249</c:v>
                </c:pt>
                <c:pt idx="177">
                  <c:v>44250</c:v>
                </c:pt>
                <c:pt idx="178">
                  <c:v>44251</c:v>
                </c:pt>
                <c:pt idx="179">
                  <c:v>44252</c:v>
                </c:pt>
                <c:pt idx="180">
                  <c:v>44253</c:v>
                </c:pt>
                <c:pt idx="181">
                  <c:v>44256</c:v>
                </c:pt>
                <c:pt idx="182">
                  <c:v>44257</c:v>
                </c:pt>
                <c:pt idx="183">
                  <c:v>44258</c:v>
                </c:pt>
                <c:pt idx="184">
                  <c:v>44259</c:v>
                </c:pt>
                <c:pt idx="185">
                  <c:v>44260</c:v>
                </c:pt>
                <c:pt idx="186">
                  <c:v>44263</c:v>
                </c:pt>
                <c:pt idx="187">
                  <c:v>44264</c:v>
                </c:pt>
                <c:pt idx="188">
                  <c:v>44265</c:v>
                </c:pt>
                <c:pt idx="189">
                  <c:v>44266</c:v>
                </c:pt>
                <c:pt idx="190">
                  <c:v>44267</c:v>
                </c:pt>
                <c:pt idx="191">
                  <c:v>44270</c:v>
                </c:pt>
                <c:pt idx="192">
                  <c:v>44271</c:v>
                </c:pt>
              </c:numCache>
            </c:numRef>
          </c:cat>
          <c:val>
            <c:numRef>
              <c:f>鼎一兑弈!$B$21:$B$213</c:f>
              <c:numCache>
                <c:formatCode>0.0000_ </c:formatCode>
                <c:ptCount val="193"/>
                <c:pt idx="0">
                  <c:v>1.232</c:v>
                </c:pt>
                <c:pt idx="1">
                  <c:v>1.234</c:v>
                </c:pt>
                <c:pt idx="2">
                  <c:v>1.244</c:v>
                </c:pt>
                <c:pt idx="3">
                  <c:v>1.25</c:v>
                </c:pt>
                <c:pt idx="4">
                  <c:v>1.248</c:v>
                </c:pt>
                <c:pt idx="5">
                  <c:v>1.242</c:v>
                </c:pt>
                <c:pt idx="6">
                  <c:v>1.2390000000000001</c:v>
                </c:pt>
                <c:pt idx="7">
                  <c:v>1.2470000000000001</c:v>
                </c:pt>
                <c:pt idx="8">
                  <c:v>1.2390000000000001</c:v>
                </c:pt>
                <c:pt idx="9">
                  <c:v>1.2689999999999999</c:v>
                </c:pt>
                <c:pt idx="10">
                  <c:v>1.25</c:v>
                </c:pt>
                <c:pt idx="11">
                  <c:v>1.2350000000000001</c:v>
                </c:pt>
                <c:pt idx="12">
                  <c:v>1.228</c:v>
                </c:pt>
                <c:pt idx="13">
                  <c:v>1.2170000000000001</c:v>
                </c:pt>
                <c:pt idx="14">
                  <c:v>1.2250000000000001</c:v>
                </c:pt>
                <c:pt idx="15">
                  <c:v>1.218</c:v>
                </c:pt>
                <c:pt idx="16">
                  <c:v>1.2130000000000001</c:v>
                </c:pt>
                <c:pt idx="17">
                  <c:v>1.2090000000000001</c:v>
                </c:pt>
                <c:pt idx="18">
                  <c:v>1.2130000000000001</c:v>
                </c:pt>
                <c:pt idx="19">
                  <c:v>1.2110000000000001</c:v>
                </c:pt>
                <c:pt idx="20">
                  <c:v>1.2110000000000001</c:v>
                </c:pt>
                <c:pt idx="21">
                  <c:v>1.21</c:v>
                </c:pt>
                <c:pt idx="22">
                  <c:v>1.2130000000000001</c:v>
                </c:pt>
                <c:pt idx="23">
                  <c:v>1.214</c:v>
                </c:pt>
                <c:pt idx="24">
                  <c:v>1.2130000000000001</c:v>
                </c:pt>
                <c:pt idx="25">
                  <c:v>1.2150000000000001</c:v>
                </c:pt>
                <c:pt idx="26">
                  <c:v>1.214</c:v>
                </c:pt>
                <c:pt idx="27">
                  <c:v>1.216</c:v>
                </c:pt>
                <c:pt idx="28">
                  <c:v>1.2130000000000001</c:v>
                </c:pt>
                <c:pt idx="29">
                  <c:v>1.21</c:v>
                </c:pt>
                <c:pt idx="30">
                  <c:v>1.21</c:v>
                </c:pt>
                <c:pt idx="31">
                  <c:v>1.2030000000000001</c:v>
                </c:pt>
                <c:pt idx="32">
                  <c:v>1.2030000000000001</c:v>
                </c:pt>
                <c:pt idx="33">
                  <c:v>1.204</c:v>
                </c:pt>
                <c:pt idx="34">
                  <c:v>1.2050000000000001</c:v>
                </c:pt>
                <c:pt idx="35">
                  <c:v>1.2090000000000001</c:v>
                </c:pt>
                <c:pt idx="36">
                  <c:v>1.2050000000000001</c:v>
                </c:pt>
                <c:pt idx="37">
                  <c:v>1.204</c:v>
                </c:pt>
                <c:pt idx="38">
                  <c:v>1.2010000000000001</c:v>
                </c:pt>
                <c:pt idx="39">
                  <c:v>1.2090000000000001</c:v>
                </c:pt>
                <c:pt idx="40">
                  <c:v>1.2050000000000001</c:v>
                </c:pt>
                <c:pt idx="41">
                  <c:v>1.2030000000000001</c:v>
                </c:pt>
                <c:pt idx="42">
                  <c:v>1.202</c:v>
                </c:pt>
                <c:pt idx="43">
                  <c:v>1.208</c:v>
                </c:pt>
                <c:pt idx="44">
                  <c:v>1.21</c:v>
                </c:pt>
                <c:pt idx="45">
                  <c:v>1.2150000000000001</c:v>
                </c:pt>
                <c:pt idx="46">
                  <c:v>1.2190000000000001</c:v>
                </c:pt>
                <c:pt idx="47">
                  <c:v>1.2210000000000001</c:v>
                </c:pt>
                <c:pt idx="48">
                  <c:v>1.222</c:v>
                </c:pt>
                <c:pt idx="49">
                  <c:v>1.2250000000000001</c:v>
                </c:pt>
                <c:pt idx="50">
                  <c:v>1.228</c:v>
                </c:pt>
                <c:pt idx="51">
                  <c:v>1.226</c:v>
                </c:pt>
                <c:pt idx="52">
                  <c:v>1.2250000000000001</c:v>
                </c:pt>
                <c:pt idx="53">
                  <c:v>1.2230000000000001</c:v>
                </c:pt>
                <c:pt idx="54">
                  <c:v>1.226</c:v>
                </c:pt>
                <c:pt idx="55">
                  <c:v>1.2290000000000001</c:v>
                </c:pt>
                <c:pt idx="56">
                  <c:v>1.232</c:v>
                </c:pt>
                <c:pt idx="57">
                  <c:v>1.2390000000000001</c:v>
                </c:pt>
                <c:pt idx="58">
                  <c:v>1.2310000000000001</c:v>
                </c:pt>
                <c:pt idx="59">
                  <c:v>1.23</c:v>
                </c:pt>
                <c:pt idx="60">
                  <c:v>1.226</c:v>
                </c:pt>
                <c:pt idx="61">
                  <c:v>1.22</c:v>
                </c:pt>
                <c:pt idx="62">
                  <c:v>1.222</c:v>
                </c:pt>
                <c:pt idx="63">
                  <c:v>1.2270000000000001</c:v>
                </c:pt>
                <c:pt idx="64">
                  <c:v>1.23</c:v>
                </c:pt>
                <c:pt idx="65">
                  <c:v>1.24</c:v>
                </c:pt>
                <c:pt idx="66">
                  <c:v>1.256</c:v>
                </c:pt>
                <c:pt idx="67">
                  <c:v>1.2589999999999999</c:v>
                </c:pt>
                <c:pt idx="68">
                  <c:v>1.262</c:v>
                </c:pt>
                <c:pt idx="69">
                  <c:v>1.2649999999999999</c:v>
                </c:pt>
                <c:pt idx="70">
                  <c:v>1.3</c:v>
                </c:pt>
                <c:pt idx="71">
                  <c:v>1.3029999999999999</c:v>
                </c:pt>
                <c:pt idx="72">
                  <c:v>1.2989999999999999</c:v>
                </c:pt>
                <c:pt idx="73">
                  <c:v>1.3</c:v>
                </c:pt>
                <c:pt idx="74">
                  <c:v>1.2989999999999999</c:v>
                </c:pt>
                <c:pt idx="75">
                  <c:v>1.28</c:v>
                </c:pt>
                <c:pt idx="76">
                  <c:v>1.2689999999999999</c:v>
                </c:pt>
                <c:pt idx="77">
                  <c:v>1.2629999999999999</c:v>
                </c:pt>
                <c:pt idx="78">
                  <c:v>1.256</c:v>
                </c:pt>
                <c:pt idx="79">
                  <c:v>1.266</c:v>
                </c:pt>
                <c:pt idx="80">
                  <c:v>1.2709999999999999</c:v>
                </c:pt>
                <c:pt idx="81">
                  <c:v>1.2749999999999999</c:v>
                </c:pt>
                <c:pt idx="82">
                  <c:v>1.2689999999999999</c:v>
                </c:pt>
                <c:pt idx="83">
                  <c:v>1.2609999999999999</c:v>
                </c:pt>
                <c:pt idx="84">
                  <c:v>1.264</c:v>
                </c:pt>
                <c:pt idx="85">
                  <c:v>1.2689999999999999</c:v>
                </c:pt>
                <c:pt idx="86">
                  <c:v>1.258</c:v>
                </c:pt>
                <c:pt idx="87">
                  <c:v>1.274</c:v>
                </c:pt>
                <c:pt idx="88">
                  <c:v>1.2709999999999999</c:v>
                </c:pt>
                <c:pt idx="89">
                  <c:v>1.2689999999999999</c:v>
                </c:pt>
                <c:pt idx="90">
                  <c:v>1.2589999999999999</c:v>
                </c:pt>
                <c:pt idx="91">
                  <c:v>1.2529999999999999</c:v>
                </c:pt>
                <c:pt idx="92">
                  <c:v>1.2529999999999999</c:v>
                </c:pt>
                <c:pt idx="93">
                  <c:v>1.2490000000000001</c:v>
                </c:pt>
                <c:pt idx="94">
                  <c:v>1.244</c:v>
                </c:pt>
                <c:pt idx="95">
                  <c:v>1.246</c:v>
                </c:pt>
                <c:pt idx="96">
                  <c:v>1.236</c:v>
                </c:pt>
                <c:pt idx="97">
                  <c:v>1.2430000000000001</c:v>
                </c:pt>
                <c:pt idx="98">
                  <c:v>1.254</c:v>
                </c:pt>
                <c:pt idx="99">
                  <c:v>1.256</c:v>
                </c:pt>
                <c:pt idx="100">
                  <c:v>1.2649999999999999</c:v>
                </c:pt>
                <c:pt idx="101">
                  <c:v>1.3009999999999999</c:v>
                </c:pt>
                <c:pt idx="102">
                  <c:v>1.3069999999999999</c:v>
                </c:pt>
                <c:pt idx="103">
                  <c:v>1.3069999999999999</c:v>
                </c:pt>
                <c:pt idx="104">
                  <c:v>1.319</c:v>
                </c:pt>
                <c:pt idx="105">
                  <c:v>1.3129999999999999</c:v>
                </c:pt>
                <c:pt idx="106">
                  <c:v>1.319</c:v>
                </c:pt>
                <c:pt idx="107">
                  <c:v>1.3380000000000001</c:v>
                </c:pt>
                <c:pt idx="108">
                  <c:v>1.325</c:v>
                </c:pt>
                <c:pt idx="109">
                  <c:v>1.323</c:v>
                </c:pt>
                <c:pt idx="110">
                  <c:v>1.3169999999999999</c:v>
                </c:pt>
                <c:pt idx="111">
                  <c:v>1.306</c:v>
                </c:pt>
                <c:pt idx="112">
                  <c:v>1.319</c:v>
                </c:pt>
                <c:pt idx="113">
                  <c:v>1.3080000000000001</c:v>
                </c:pt>
                <c:pt idx="114">
                  <c:v>1.304</c:v>
                </c:pt>
                <c:pt idx="115">
                  <c:v>1.2969999999999999</c:v>
                </c:pt>
                <c:pt idx="116">
                  <c:v>1.2929999999999999</c:v>
                </c:pt>
                <c:pt idx="117">
                  <c:v>1.288</c:v>
                </c:pt>
                <c:pt idx="118">
                  <c:v>1.2889999999999999</c:v>
                </c:pt>
                <c:pt idx="119">
                  <c:v>1.32</c:v>
                </c:pt>
                <c:pt idx="120">
                  <c:v>1.3120000000000001</c:v>
                </c:pt>
                <c:pt idx="121">
                  <c:v>1.31</c:v>
                </c:pt>
                <c:pt idx="122">
                  <c:v>1.3120000000000001</c:v>
                </c:pt>
                <c:pt idx="123">
                  <c:v>1.3320000000000001</c:v>
                </c:pt>
                <c:pt idx="124">
                  <c:v>1.3320000000000001</c:v>
                </c:pt>
                <c:pt idx="125">
                  <c:v>1.319</c:v>
                </c:pt>
                <c:pt idx="126">
                  <c:v>1.3140000000000001</c:v>
                </c:pt>
                <c:pt idx="127">
                  <c:v>1.32</c:v>
                </c:pt>
                <c:pt idx="128">
                  <c:v>1.3160000000000001</c:v>
                </c:pt>
                <c:pt idx="129">
                  <c:v>1.3129999999999999</c:v>
                </c:pt>
                <c:pt idx="130">
                  <c:v>1.3320000000000001</c:v>
                </c:pt>
                <c:pt idx="131">
                  <c:v>1.323</c:v>
                </c:pt>
                <c:pt idx="132">
                  <c:v>1.3140000000000001</c:v>
                </c:pt>
                <c:pt idx="133">
                  <c:v>1.3009999999999999</c:v>
                </c:pt>
                <c:pt idx="134">
                  <c:v>1.2969999999999999</c:v>
                </c:pt>
                <c:pt idx="135">
                  <c:v>1.3029999999999999</c:v>
                </c:pt>
                <c:pt idx="136">
                  <c:v>1.33</c:v>
                </c:pt>
                <c:pt idx="137">
                  <c:v>1.347</c:v>
                </c:pt>
                <c:pt idx="138">
                  <c:v>1.367</c:v>
                </c:pt>
                <c:pt idx="139">
                  <c:v>1.395</c:v>
                </c:pt>
                <c:pt idx="140">
                  <c:v>1.381</c:v>
                </c:pt>
                <c:pt idx="141">
                  <c:v>1.375</c:v>
                </c:pt>
                <c:pt idx="142">
                  <c:v>1.3720000000000001</c:v>
                </c:pt>
                <c:pt idx="143">
                  <c:v>1.3720000000000001</c:v>
                </c:pt>
                <c:pt idx="144">
                  <c:v>1.36</c:v>
                </c:pt>
                <c:pt idx="145">
                  <c:v>1.349</c:v>
                </c:pt>
                <c:pt idx="146">
                  <c:v>1.3360000000000001</c:v>
                </c:pt>
                <c:pt idx="147">
                  <c:v>1.3440000000000001</c:v>
                </c:pt>
                <c:pt idx="148">
                  <c:v>1.335</c:v>
                </c:pt>
                <c:pt idx="149">
                  <c:v>1.3360000000000001</c:v>
                </c:pt>
                <c:pt idx="150">
                  <c:v>1.347</c:v>
                </c:pt>
                <c:pt idx="151">
                  <c:v>1.3560000000000001</c:v>
                </c:pt>
                <c:pt idx="152">
                  <c:v>1.3779999999999999</c:v>
                </c:pt>
                <c:pt idx="153">
                  <c:v>1.37</c:v>
                </c:pt>
                <c:pt idx="154">
                  <c:v>1.3620000000000001</c:v>
                </c:pt>
                <c:pt idx="155">
                  <c:v>1.341</c:v>
                </c:pt>
                <c:pt idx="156">
                  <c:v>1.339</c:v>
                </c:pt>
                <c:pt idx="157">
                  <c:v>1.3380000000000001</c:v>
                </c:pt>
                <c:pt idx="158">
                  <c:v>1.329</c:v>
                </c:pt>
                <c:pt idx="159">
                  <c:v>1.3109999999999999</c:v>
                </c:pt>
                <c:pt idx="160">
                  <c:v>1.3169999999999999</c:v>
                </c:pt>
                <c:pt idx="161">
                  <c:v>1.32</c:v>
                </c:pt>
                <c:pt idx="162">
                  <c:v>1.3169999999999999</c:v>
                </c:pt>
                <c:pt idx="163">
                  <c:v>1.3160000000000001</c:v>
                </c:pt>
                <c:pt idx="164">
                  <c:v>1.3129999999999999</c:v>
                </c:pt>
                <c:pt idx="165">
                  <c:v>1.31</c:v>
                </c:pt>
                <c:pt idx="166">
                  <c:v>1.2989999999999999</c:v>
                </c:pt>
                <c:pt idx="167">
                  <c:v>1.3089999999999999</c:v>
                </c:pt>
                <c:pt idx="168">
                  <c:v>1.3089999999999999</c:v>
                </c:pt>
                <c:pt idx="169">
                  <c:v>1.3</c:v>
                </c:pt>
                <c:pt idx="170">
                  <c:v>1.3160000000000001</c:v>
                </c:pt>
                <c:pt idx="171">
                  <c:v>1.323</c:v>
                </c:pt>
                <c:pt idx="172">
                  <c:v>1.3320000000000001</c:v>
                </c:pt>
                <c:pt idx="173">
                  <c:v>1.337</c:v>
                </c:pt>
                <c:pt idx="174">
                  <c:v>1.347</c:v>
                </c:pt>
                <c:pt idx="175">
                  <c:v>1.3420000000000001</c:v>
                </c:pt>
                <c:pt idx="176">
                  <c:v>1.36</c:v>
                </c:pt>
                <c:pt idx="177">
                  <c:v>1.367</c:v>
                </c:pt>
                <c:pt idx="178">
                  <c:v>1.367</c:v>
                </c:pt>
                <c:pt idx="179">
                  <c:v>1.38</c:v>
                </c:pt>
                <c:pt idx="180">
                  <c:v>1.379</c:v>
                </c:pt>
                <c:pt idx="181">
                  <c:v>1.3819999999999999</c:v>
                </c:pt>
                <c:pt idx="182">
                  <c:v>1.3720000000000001</c:v>
                </c:pt>
                <c:pt idx="183">
                  <c:v>1.3620000000000001</c:v>
                </c:pt>
                <c:pt idx="184">
                  <c:v>1.357</c:v>
                </c:pt>
                <c:pt idx="185">
                  <c:v>1.371</c:v>
                </c:pt>
                <c:pt idx="186">
                  <c:v>1.391</c:v>
                </c:pt>
                <c:pt idx="187">
                  <c:v>1.367</c:v>
                </c:pt>
                <c:pt idx="188">
                  <c:v>1.3660000000000001</c:v>
                </c:pt>
                <c:pt idx="189">
                  <c:v>1.3580000000000001</c:v>
                </c:pt>
                <c:pt idx="190">
                  <c:v>1.355</c:v>
                </c:pt>
                <c:pt idx="191">
                  <c:v>1.345</c:v>
                </c:pt>
                <c:pt idx="192">
                  <c:v>1.3420000000000001</c:v>
                </c:pt>
              </c:numCache>
            </c:numRef>
          </c:val>
          <c:smooth val="0"/>
          <c:extLst>
            <c:ext xmlns:c16="http://schemas.microsoft.com/office/drawing/2014/chart" uri="{C3380CC4-5D6E-409C-BE32-E72D297353CC}">
              <c16:uniqueId val="{00000000-4B02-4103-9150-5D6644C93163}"/>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2"/>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新视野</a:t>
            </a:r>
            <a:r>
              <a:rPr lang="en-US" altLang="zh-CN" sz="1600"/>
              <a:t>1</a:t>
            </a:r>
            <a:r>
              <a:rPr lang="zh-CN" altLang="en-US" sz="1600"/>
              <a:t>号</a:t>
            </a:r>
            <a:endParaRPr lang="en-US" altLang="zh-CN" sz="1600"/>
          </a:p>
        </c:rich>
      </c:tx>
      <c:overlay val="0"/>
    </c:title>
    <c:autoTitleDeleted val="0"/>
    <c:plotArea>
      <c:layout/>
      <c:lineChart>
        <c:grouping val="standard"/>
        <c:varyColors val="0"/>
        <c:ser>
          <c:idx val="0"/>
          <c:order val="0"/>
          <c:tx>
            <c:strRef>
              <c:f>新视野1号!$B$20</c:f>
              <c:strCache>
                <c:ptCount val="1"/>
                <c:pt idx="0">
                  <c:v>累计净值</c:v>
                </c:pt>
              </c:strCache>
            </c:strRef>
          </c:tx>
          <c:spPr>
            <a:ln>
              <a:solidFill>
                <a:srgbClr val="FF0000"/>
              </a:solidFill>
            </a:ln>
          </c:spPr>
          <c:marker>
            <c:symbol val="none"/>
          </c:marker>
          <c:cat>
            <c:numRef>
              <c:f>新视野1号!$A$21:$A$436</c:f>
              <c:numCache>
                <c:formatCode>m/d/yy</c:formatCode>
                <c:ptCount val="416"/>
                <c:pt idx="0">
                  <c:v>43703</c:v>
                </c:pt>
                <c:pt idx="1">
                  <c:v>43704</c:v>
                </c:pt>
                <c:pt idx="2">
                  <c:v>43705</c:v>
                </c:pt>
                <c:pt idx="3">
                  <c:v>43706</c:v>
                </c:pt>
                <c:pt idx="4">
                  <c:v>43707</c:v>
                </c:pt>
                <c:pt idx="5">
                  <c:v>43710</c:v>
                </c:pt>
                <c:pt idx="6">
                  <c:v>43711</c:v>
                </c:pt>
                <c:pt idx="7">
                  <c:v>43712</c:v>
                </c:pt>
                <c:pt idx="8">
                  <c:v>43713</c:v>
                </c:pt>
                <c:pt idx="9">
                  <c:v>43714</c:v>
                </c:pt>
                <c:pt idx="10">
                  <c:v>43717</c:v>
                </c:pt>
                <c:pt idx="11">
                  <c:v>43718</c:v>
                </c:pt>
                <c:pt idx="12">
                  <c:v>43719</c:v>
                </c:pt>
                <c:pt idx="13">
                  <c:v>43720</c:v>
                </c:pt>
                <c:pt idx="14">
                  <c:v>43724</c:v>
                </c:pt>
                <c:pt idx="15">
                  <c:v>43725</c:v>
                </c:pt>
                <c:pt idx="16">
                  <c:v>43726</c:v>
                </c:pt>
                <c:pt idx="17">
                  <c:v>43727</c:v>
                </c:pt>
                <c:pt idx="18">
                  <c:v>43728</c:v>
                </c:pt>
                <c:pt idx="19">
                  <c:v>43731</c:v>
                </c:pt>
                <c:pt idx="20">
                  <c:v>43732</c:v>
                </c:pt>
                <c:pt idx="21">
                  <c:v>43733</c:v>
                </c:pt>
                <c:pt idx="22">
                  <c:v>43734</c:v>
                </c:pt>
                <c:pt idx="23">
                  <c:v>43735</c:v>
                </c:pt>
                <c:pt idx="24">
                  <c:v>43738</c:v>
                </c:pt>
                <c:pt idx="25">
                  <c:v>43746</c:v>
                </c:pt>
                <c:pt idx="26">
                  <c:v>43747</c:v>
                </c:pt>
                <c:pt idx="27">
                  <c:v>43748</c:v>
                </c:pt>
                <c:pt idx="28">
                  <c:v>43749</c:v>
                </c:pt>
                <c:pt idx="29">
                  <c:v>43752</c:v>
                </c:pt>
                <c:pt idx="30">
                  <c:v>43753</c:v>
                </c:pt>
                <c:pt idx="31">
                  <c:v>43754</c:v>
                </c:pt>
                <c:pt idx="32">
                  <c:v>43755</c:v>
                </c:pt>
                <c:pt idx="33">
                  <c:v>43756</c:v>
                </c:pt>
                <c:pt idx="34">
                  <c:v>43759</c:v>
                </c:pt>
                <c:pt idx="35">
                  <c:v>43760</c:v>
                </c:pt>
                <c:pt idx="36">
                  <c:v>43761</c:v>
                </c:pt>
                <c:pt idx="37">
                  <c:v>43762</c:v>
                </c:pt>
                <c:pt idx="38">
                  <c:v>43763</c:v>
                </c:pt>
                <c:pt idx="39">
                  <c:v>43766</c:v>
                </c:pt>
                <c:pt idx="40">
                  <c:v>43767</c:v>
                </c:pt>
                <c:pt idx="41">
                  <c:v>43768</c:v>
                </c:pt>
                <c:pt idx="42">
                  <c:v>43769</c:v>
                </c:pt>
                <c:pt idx="43">
                  <c:v>43770</c:v>
                </c:pt>
                <c:pt idx="44">
                  <c:v>43773</c:v>
                </c:pt>
                <c:pt idx="45">
                  <c:v>43774</c:v>
                </c:pt>
                <c:pt idx="46">
                  <c:v>43775</c:v>
                </c:pt>
                <c:pt idx="47">
                  <c:v>43776</c:v>
                </c:pt>
                <c:pt idx="48">
                  <c:v>43777</c:v>
                </c:pt>
                <c:pt idx="49">
                  <c:v>43780</c:v>
                </c:pt>
                <c:pt idx="50">
                  <c:v>43781</c:v>
                </c:pt>
                <c:pt idx="51">
                  <c:v>43782</c:v>
                </c:pt>
                <c:pt idx="52">
                  <c:v>43783</c:v>
                </c:pt>
                <c:pt idx="53">
                  <c:v>43784</c:v>
                </c:pt>
                <c:pt idx="54">
                  <c:v>43787</c:v>
                </c:pt>
                <c:pt idx="55">
                  <c:v>43788</c:v>
                </c:pt>
                <c:pt idx="56">
                  <c:v>43789</c:v>
                </c:pt>
                <c:pt idx="57">
                  <c:v>43790</c:v>
                </c:pt>
                <c:pt idx="58">
                  <c:v>43791</c:v>
                </c:pt>
                <c:pt idx="59">
                  <c:v>43794</c:v>
                </c:pt>
                <c:pt idx="60">
                  <c:v>43795</c:v>
                </c:pt>
                <c:pt idx="61">
                  <c:v>43796</c:v>
                </c:pt>
                <c:pt idx="62">
                  <c:v>43797</c:v>
                </c:pt>
                <c:pt idx="63">
                  <c:v>43798</c:v>
                </c:pt>
                <c:pt idx="64">
                  <c:v>43801</c:v>
                </c:pt>
                <c:pt idx="65">
                  <c:v>43802</c:v>
                </c:pt>
                <c:pt idx="66">
                  <c:v>43803</c:v>
                </c:pt>
                <c:pt idx="67">
                  <c:v>43804</c:v>
                </c:pt>
                <c:pt idx="68">
                  <c:v>43805</c:v>
                </c:pt>
                <c:pt idx="69">
                  <c:v>43808</c:v>
                </c:pt>
                <c:pt idx="70">
                  <c:v>43809</c:v>
                </c:pt>
                <c:pt idx="71">
                  <c:v>43810</c:v>
                </c:pt>
                <c:pt idx="72">
                  <c:v>43811</c:v>
                </c:pt>
                <c:pt idx="73">
                  <c:v>43812</c:v>
                </c:pt>
                <c:pt idx="74">
                  <c:v>43815</c:v>
                </c:pt>
                <c:pt idx="75">
                  <c:v>43816</c:v>
                </c:pt>
                <c:pt idx="76">
                  <c:v>43817</c:v>
                </c:pt>
                <c:pt idx="77">
                  <c:v>43818</c:v>
                </c:pt>
                <c:pt idx="78">
                  <c:v>43819</c:v>
                </c:pt>
                <c:pt idx="79">
                  <c:v>43822</c:v>
                </c:pt>
                <c:pt idx="80">
                  <c:v>43823</c:v>
                </c:pt>
                <c:pt idx="81">
                  <c:v>43824</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43850</c:v>
                </c:pt>
                <c:pt idx="99">
                  <c:v>43851</c:v>
                </c:pt>
                <c:pt idx="100">
                  <c:v>43852</c:v>
                </c:pt>
                <c:pt idx="101">
                  <c:v>43853</c:v>
                </c:pt>
                <c:pt idx="102">
                  <c:v>43864</c:v>
                </c:pt>
                <c:pt idx="103">
                  <c:v>43865</c:v>
                </c:pt>
                <c:pt idx="104">
                  <c:v>43866</c:v>
                </c:pt>
                <c:pt idx="105">
                  <c:v>43867</c:v>
                </c:pt>
                <c:pt idx="106">
                  <c:v>43868</c:v>
                </c:pt>
                <c:pt idx="107">
                  <c:v>43871</c:v>
                </c:pt>
                <c:pt idx="108">
                  <c:v>43872</c:v>
                </c:pt>
                <c:pt idx="109">
                  <c:v>43873</c:v>
                </c:pt>
                <c:pt idx="110">
                  <c:v>43874</c:v>
                </c:pt>
                <c:pt idx="111">
                  <c:v>43875</c:v>
                </c:pt>
                <c:pt idx="112">
                  <c:v>43878</c:v>
                </c:pt>
                <c:pt idx="113">
                  <c:v>43879</c:v>
                </c:pt>
                <c:pt idx="114">
                  <c:v>43880</c:v>
                </c:pt>
                <c:pt idx="115">
                  <c:v>43881</c:v>
                </c:pt>
                <c:pt idx="116">
                  <c:v>43882</c:v>
                </c:pt>
                <c:pt idx="117">
                  <c:v>43885</c:v>
                </c:pt>
                <c:pt idx="118">
                  <c:v>43886</c:v>
                </c:pt>
                <c:pt idx="119">
                  <c:v>43887</c:v>
                </c:pt>
                <c:pt idx="120">
                  <c:v>43888</c:v>
                </c:pt>
                <c:pt idx="121">
                  <c:v>43889</c:v>
                </c:pt>
                <c:pt idx="122">
                  <c:v>43892</c:v>
                </c:pt>
                <c:pt idx="123">
                  <c:v>43893</c:v>
                </c:pt>
                <c:pt idx="124">
                  <c:v>43894</c:v>
                </c:pt>
                <c:pt idx="125">
                  <c:v>43895</c:v>
                </c:pt>
                <c:pt idx="126">
                  <c:v>43896</c:v>
                </c:pt>
                <c:pt idx="127">
                  <c:v>43899</c:v>
                </c:pt>
                <c:pt idx="128">
                  <c:v>43900</c:v>
                </c:pt>
                <c:pt idx="129">
                  <c:v>43901</c:v>
                </c:pt>
                <c:pt idx="130">
                  <c:v>43902</c:v>
                </c:pt>
                <c:pt idx="131">
                  <c:v>43903</c:v>
                </c:pt>
                <c:pt idx="132">
                  <c:v>43906</c:v>
                </c:pt>
                <c:pt idx="133">
                  <c:v>43907</c:v>
                </c:pt>
                <c:pt idx="134">
                  <c:v>43908</c:v>
                </c:pt>
                <c:pt idx="135">
                  <c:v>43909</c:v>
                </c:pt>
                <c:pt idx="136">
                  <c:v>43910</c:v>
                </c:pt>
                <c:pt idx="137">
                  <c:v>43913</c:v>
                </c:pt>
                <c:pt idx="138">
                  <c:v>43914</c:v>
                </c:pt>
                <c:pt idx="139">
                  <c:v>43915</c:v>
                </c:pt>
                <c:pt idx="140">
                  <c:v>43916</c:v>
                </c:pt>
                <c:pt idx="141">
                  <c:v>43917</c:v>
                </c:pt>
                <c:pt idx="142">
                  <c:v>43920</c:v>
                </c:pt>
                <c:pt idx="143">
                  <c:v>43921</c:v>
                </c:pt>
                <c:pt idx="144">
                  <c:v>43922</c:v>
                </c:pt>
                <c:pt idx="145">
                  <c:v>43923</c:v>
                </c:pt>
                <c:pt idx="146">
                  <c:v>43924</c:v>
                </c:pt>
                <c:pt idx="147">
                  <c:v>43928</c:v>
                </c:pt>
                <c:pt idx="148">
                  <c:v>43929</c:v>
                </c:pt>
                <c:pt idx="149">
                  <c:v>43930</c:v>
                </c:pt>
                <c:pt idx="150">
                  <c:v>43931</c:v>
                </c:pt>
                <c:pt idx="151">
                  <c:v>43934</c:v>
                </c:pt>
                <c:pt idx="152">
                  <c:v>43935</c:v>
                </c:pt>
                <c:pt idx="153">
                  <c:v>43936</c:v>
                </c:pt>
                <c:pt idx="154">
                  <c:v>43937</c:v>
                </c:pt>
                <c:pt idx="155">
                  <c:v>43938</c:v>
                </c:pt>
                <c:pt idx="156">
                  <c:v>43941</c:v>
                </c:pt>
                <c:pt idx="157">
                  <c:v>43942</c:v>
                </c:pt>
                <c:pt idx="158">
                  <c:v>43943</c:v>
                </c:pt>
                <c:pt idx="159">
                  <c:v>43944</c:v>
                </c:pt>
                <c:pt idx="160">
                  <c:v>43945</c:v>
                </c:pt>
                <c:pt idx="161">
                  <c:v>43948</c:v>
                </c:pt>
                <c:pt idx="162">
                  <c:v>43949</c:v>
                </c:pt>
                <c:pt idx="163">
                  <c:v>43950</c:v>
                </c:pt>
                <c:pt idx="164">
                  <c:v>43951</c:v>
                </c:pt>
                <c:pt idx="165">
                  <c:v>43957</c:v>
                </c:pt>
                <c:pt idx="166">
                  <c:v>43958</c:v>
                </c:pt>
                <c:pt idx="167">
                  <c:v>43959</c:v>
                </c:pt>
                <c:pt idx="168">
                  <c:v>43962</c:v>
                </c:pt>
                <c:pt idx="169">
                  <c:v>43963</c:v>
                </c:pt>
                <c:pt idx="170">
                  <c:v>43964</c:v>
                </c:pt>
                <c:pt idx="171">
                  <c:v>43965</c:v>
                </c:pt>
                <c:pt idx="172">
                  <c:v>43966</c:v>
                </c:pt>
                <c:pt idx="173">
                  <c:v>43969</c:v>
                </c:pt>
                <c:pt idx="174">
                  <c:v>43970</c:v>
                </c:pt>
                <c:pt idx="175">
                  <c:v>43971</c:v>
                </c:pt>
                <c:pt idx="176">
                  <c:v>43972</c:v>
                </c:pt>
                <c:pt idx="177">
                  <c:v>43973</c:v>
                </c:pt>
                <c:pt idx="178">
                  <c:v>43976</c:v>
                </c:pt>
                <c:pt idx="179">
                  <c:v>43977</c:v>
                </c:pt>
                <c:pt idx="180">
                  <c:v>43978</c:v>
                </c:pt>
                <c:pt idx="181">
                  <c:v>43979</c:v>
                </c:pt>
                <c:pt idx="182">
                  <c:v>43980</c:v>
                </c:pt>
                <c:pt idx="183">
                  <c:v>43983</c:v>
                </c:pt>
                <c:pt idx="184">
                  <c:v>43984</c:v>
                </c:pt>
                <c:pt idx="185">
                  <c:v>43985</c:v>
                </c:pt>
                <c:pt idx="186">
                  <c:v>43986</c:v>
                </c:pt>
                <c:pt idx="187">
                  <c:v>43987</c:v>
                </c:pt>
                <c:pt idx="188">
                  <c:v>43990</c:v>
                </c:pt>
                <c:pt idx="189">
                  <c:v>43991</c:v>
                </c:pt>
                <c:pt idx="190">
                  <c:v>43992</c:v>
                </c:pt>
                <c:pt idx="191">
                  <c:v>43993</c:v>
                </c:pt>
                <c:pt idx="192">
                  <c:v>43994</c:v>
                </c:pt>
                <c:pt idx="193">
                  <c:v>43997</c:v>
                </c:pt>
                <c:pt idx="194">
                  <c:v>43998</c:v>
                </c:pt>
                <c:pt idx="195">
                  <c:v>43999</c:v>
                </c:pt>
                <c:pt idx="196">
                  <c:v>44000</c:v>
                </c:pt>
                <c:pt idx="197">
                  <c:v>44001</c:v>
                </c:pt>
                <c:pt idx="198">
                  <c:v>44004</c:v>
                </c:pt>
                <c:pt idx="199">
                  <c:v>44005</c:v>
                </c:pt>
                <c:pt idx="200">
                  <c:v>44006</c:v>
                </c:pt>
                <c:pt idx="201">
                  <c:v>44011</c:v>
                </c:pt>
                <c:pt idx="202">
                  <c:v>44012</c:v>
                </c:pt>
                <c:pt idx="203">
                  <c:v>44013</c:v>
                </c:pt>
                <c:pt idx="204">
                  <c:v>44014</c:v>
                </c:pt>
                <c:pt idx="205">
                  <c:v>44015</c:v>
                </c:pt>
                <c:pt idx="206">
                  <c:v>44018</c:v>
                </c:pt>
                <c:pt idx="207">
                  <c:v>44019</c:v>
                </c:pt>
                <c:pt idx="208">
                  <c:v>44020</c:v>
                </c:pt>
                <c:pt idx="209">
                  <c:v>44021</c:v>
                </c:pt>
                <c:pt idx="210">
                  <c:v>44022</c:v>
                </c:pt>
                <c:pt idx="211">
                  <c:v>44025</c:v>
                </c:pt>
                <c:pt idx="212">
                  <c:v>44026</c:v>
                </c:pt>
                <c:pt idx="213">
                  <c:v>44027</c:v>
                </c:pt>
                <c:pt idx="214">
                  <c:v>44028</c:v>
                </c:pt>
                <c:pt idx="215">
                  <c:v>44029</c:v>
                </c:pt>
                <c:pt idx="216">
                  <c:v>44032</c:v>
                </c:pt>
                <c:pt idx="217">
                  <c:v>44033</c:v>
                </c:pt>
                <c:pt idx="218">
                  <c:v>44034</c:v>
                </c:pt>
                <c:pt idx="219">
                  <c:v>44035</c:v>
                </c:pt>
                <c:pt idx="220">
                  <c:v>44036</c:v>
                </c:pt>
                <c:pt idx="221">
                  <c:v>44039</c:v>
                </c:pt>
                <c:pt idx="222">
                  <c:v>44040</c:v>
                </c:pt>
                <c:pt idx="223">
                  <c:v>44041</c:v>
                </c:pt>
                <c:pt idx="224">
                  <c:v>44042</c:v>
                </c:pt>
                <c:pt idx="225">
                  <c:v>44043</c:v>
                </c:pt>
                <c:pt idx="226">
                  <c:v>44046</c:v>
                </c:pt>
                <c:pt idx="227">
                  <c:v>44047</c:v>
                </c:pt>
                <c:pt idx="228">
                  <c:v>44048</c:v>
                </c:pt>
                <c:pt idx="229">
                  <c:v>44049</c:v>
                </c:pt>
                <c:pt idx="230">
                  <c:v>44050</c:v>
                </c:pt>
                <c:pt idx="231">
                  <c:v>44053</c:v>
                </c:pt>
                <c:pt idx="232">
                  <c:v>44054</c:v>
                </c:pt>
                <c:pt idx="233">
                  <c:v>44055</c:v>
                </c:pt>
                <c:pt idx="234">
                  <c:v>44056</c:v>
                </c:pt>
                <c:pt idx="235">
                  <c:v>44057</c:v>
                </c:pt>
                <c:pt idx="236">
                  <c:v>44060</c:v>
                </c:pt>
                <c:pt idx="237">
                  <c:v>44061</c:v>
                </c:pt>
                <c:pt idx="238">
                  <c:v>44062</c:v>
                </c:pt>
                <c:pt idx="239">
                  <c:v>44063</c:v>
                </c:pt>
                <c:pt idx="240">
                  <c:v>44064</c:v>
                </c:pt>
                <c:pt idx="241">
                  <c:v>44067</c:v>
                </c:pt>
                <c:pt idx="242">
                  <c:v>44068</c:v>
                </c:pt>
                <c:pt idx="243">
                  <c:v>44069</c:v>
                </c:pt>
                <c:pt idx="244">
                  <c:v>44070</c:v>
                </c:pt>
                <c:pt idx="245">
                  <c:v>44071</c:v>
                </c:pt>
                <c:pt idx="246">
                  <c:v>44074</c:v>
                </c:pt>
                <c:pt idx="247">
                  <c:v>44075</c:v>
                </c:pt>
                <c:pt idx="248">
                  <c:v>44076</c:v>
                </c:pt>
                <c:pt idx="249">
                  <c:v>44077</c:v>
                </c:pt>
                <c:pt idx="250">
                  <c:v>44078</c:v>
                </c:pt>
                <c:pt idx="251">
                  <c:v>44081</c:v>
                </c:pt>
                <c:pt idx="252">
                  <c:v>44082</c:v>
                </c:pt>
                <c:pt idx="253">
                  <c:v>44083</c:v>
                </c:pt>
                <c:pt idx="254">
                  <c:v>44084</c:v>
                </c:pt>
                <c:pt idx="255">
                  <c:v>44085</c:v>
                </c:pt>
                <c:pt idx="256">
                  <c:v>44088</c:v>
                </c:pt>
                <c:pt idx="257">
                  <c:v>44089</c:v>
                </c:pt>
                <c:pt idx="258">
                  <c:v>44090</c:v>
                </c:pt>
                <c:pt idx="259">
                  <c:v>44091</c:v>
                </c:pt>
                <c:pt idx="260">
                  <c:v>44092</c:v>
                </c:pt>
                <c:pt idx="261">
                  <c:v>44095</c:v>
                </c:pt>
                <c:pt idx="262">
                  <c:v>44096</c:v>
                </c:pt>
                <c:pt idx="263">
                  <c:v>44097</c:v>
                </c:pt>
                <c:pt idx="264">
                  <c:v>44098</c:v>
                </c:pt>
                <c:pt idx="265">
                  <c:v>44099</c:v>
                </c:pt>
                <c:pt idx="266">
                  <c:v>44102</c:v>
                </c:pt>
                <c:pt idx="267">
                  <c:v>44103</c:v>
                </c:pt>
                <c:pt idx="268">
                  <c:v>44104</c:v>
                </c:pt>
                <c:pt idx="269">
                  <c:v>44113</c:v>
                </c:pt>
                <c:pt idx="270">
                  <c:v>44116</c:v>
                </c:pt>
                <c:pt idx="271">
                  <c:v>44117</c:v>
                </c:pt>
                <c:pt idx="272">
                  <c:v>44118</c:v>
                </c:pt>
                <c:pt idx="273">
                  <c:v>44119</c:v>
                </c:pt>
                <c:pt idx="274">
                  <c:v>44120</c:v>
                </c:pt>
                <c:pt idx="275">
                  <c:v>44123</c:v>
                </c:pt>
                <c:pt idx="276">
                  <c:v>44124</c:v>
                </c:pt>
                <c:pt idx="277">
                  <c:v>44125</c:v>
                </c:pt>
                <c:pt idx="278">
                  <c:v>44126</c:v>
                </c:pt>
                <c:pt idx="279">
                  <c:v>44127</c:v>
                </c:pt>
                <c:pt idx="280">
                  <c:v>44130</c:v>
                </c:pt>
                <c:pt idx="281">
                  <c:v>44131</c:v>
                </c:pt>
                <c:pt idx="282">
                  <c:v>44132</c:v>
                </c:pt>
                <c:pt idx="283">
                  <c:v>44133</c:v>
                </c:pt>
                <c:pt idx="284">
                  <c:v>44134</c:v>
                </c:pt>
                <c:pt idx="285">
                  <c:v>44137</c:v>
                </c:pt>
                <c:pt idx="286">
                  <c:v>44138</c:v>
                </c:pt>
                <c:pt idx="287">
                  <c:v>44139</c:v>
                </c:pt>
                <c:pt idx="288">
                  <c:v>44140</c:v>
                </c:pt>
                <c:pt idx="289">
                  <c:v>44141</c:v>
                </c:pt>
                <c:pt idx="290">
                  <c:v>44144</c:v>
                </c:pt>
                <c:pt idx="291">
                  <c:v>44145</c:v>
                </c:pt>
                <c:pt idx="292">
                  <c:v>44146</c:v>
                </c:pt>
                <c:pt idx="293">
                  <c:v>44147</c:v>
                </c:pt>
                <c:pt idx="294">
                  <c:v>44148</c:v>
                </c:pt>
                <c:pt idx="295">
                  <c:v>44151</c:v>
                </c:pt>
                <c:pt idx="296">
                  <c:v>44152</c:v>
                </c:pt>
                <c:pt idx="297">
                  <c:v>44153</c:v>
                </c:pt>
                <c:pt idx="298">
                  <c:v>44154</c:v>
                </c:pt>
                <c:pt idx="299">
                  <c:v>44155</c:v>
                </c:pt>
                <c:pt idx="300">
                  <c:v>44158</c:v>
                </c:pt>
                <c:pt idx="301">
                  <c:v>44159</c:v>
                </c:pt>
                <c:pt idx="302">
                  <c:v>44160</c:v>
                </c:pt>
                <c:pt idx="303">
                  <c:v>44161</c:v>
                </c:pt>
                <c:pt idx="304">
                  <c:v>44162</c:v>
                </c:pt>
                <c:pt idx="305">
                  <c:v>44165</c:v>
                </c:pt>
                <c:pt idx="306">
                  <c:v>44166</c:v>
                </c:pt>
                <c:pt idx="307">
                  <c:v>44167</c:v>
                </c:pt>
                <c:pt idx="308">
                  <c:v>44168</c:v>
                </c:pt>
                <c:pt idx="309">
                  <c:v>44169</c:v>
                </c:pt>
                <c:pt idx="310">
                  <c:v>44172</c:v>
                </c:pt>
                <c:pt idx="311">
                  <c:v>44173</c:v>
                </c:pt>
                <c:pt idx="312">
                  <c:v>44174</c:v>
                </c:pt>
                <c:pt idx="313">
                  <c:v>44175</c:v>
                </c:pt>
                <c:pt idx="314">
                  <c:v>44176</c:v>
                </c:pt>
                <c:pt idx="315">
                  <c:v>44179</c:v>
                </c:pt>
                <c:pt idx="316">
                  <c:v>44180</c:v>
                </c:pt>
                <c:pt idx="317">
                  <c:v>44181</c:v>
                </c:pt>
                <c:pt idx="318">
                  <c:v>44182</c:v>
                </c:pt>
                <c:pt idx="319">
                  <c:v>44183</c:v>
                </c:pt>
                <c:pt idx="320">
                  <c:v>44186</c:v>
                </c:pt>
                <c:pt idx="321">
                  <c:v>44187</c:v>
                </c:pt>
                <c:pt idx="322">
                  <c:v>44188</c:v>
                </c:pt>
                <c:pt idx="323">
                  <c:v>44189</c:v>
                </c:pt>
                <c:pt idx="324">
                  <c:v>44190</c:v>
                </c:pt>
                <c:pt idx="325">
                  <c:v>44193</c:v>
                </c:pt>
                <c:pt idx="326">
                  <c:v>44194</c:v>
                </c:pt>
                <c:pt idx="327">
                  <c:v>44195</c:v>
                </c:pt>
                <c:pt idx="328">
                  <c:v>44196</c:v>
                </c:pt>
                <c:pt idx="329">
                  <c:v>44200</c:v>
                </c:pt>
                <c:pt idx="330">
                  <c:v>44201</c:v>
                </c:pt>
                <c:pt idx="331">
                  <c:v>44202</c:v>
                </c:pt>
                <c:pt idx="332">
                  <c:v>44203</c:v>
                </c:pt>
                <c:pt idx="333">
                  <c:v>44204</c:v>
                </c:pt>
                <c:pt idx="334">
                  <c:v>44207</c:v>
                </c:pt>
                <c:pt idx="335">
                  <c:v>44208</c:v>
                </c:pt>
                <c:pt idx="336">
                  <c:v>44209</c:v>
                </c:pt>
                <c:pt idx="337">
                  <c:v>44210</c:v>
                </c:pt>
                <c:pt idx="338">
                  <c:v>44211</c:v>
                </c:pt>
                <c:pt idx="339">
                  <c:v>44214</c:v>
                </c:pt>
                <c:pt idx="340">
                  <c:v>44215</c:v>
                </c:pt>
                <c:pt idx="341">
                  <c:v>44216</c:v>
                </c:pt>
                <c:pt idx="342">
                  <c:v>44217</c:v>
                </c:pt>
                <c:pt idx="343">
                  <c:v>44218</c:v>
                </c:pt>
                <c:pt idx="344">
                  <c:v>44221</c:v>
                </c:pt>
                <c:pt idx="345">
                  <c:v>44222</c:v>
                </c:pt>
                <c:pt idx="346">
                  <c:v>44223</c:v>
                </c:pt>
                <c:pt idx="347">
                  <c:v>44224</c:v>
                </c:pt>
                <c:pt idx="348">
                  <c:v>44225</c:v>
                </c:pt>
                <c:pt idx="349">
                  <c:v>44228</c:v>
                </c:pt>
                <c:pt idx="350">
                  <c:v>44229</c:v>
                </c:pt>
                <c:pt idx="351">
                  <c:v>44230</c:v>
                </c:pt>
                <c:pt idx="352">
                  <c:v>44231</c:v>
                </c:pt>
                <c:pt idx="353">
                  <c:v>44232</c:v>
                </c:pt>
                <c:pt idx="354">
                  <c:v>44235</c:v>
                </c:pt>
                <c:pt idx="355">
                  <c:v>44236</c:v>
                </c:pt>
                <c:pt idx="356">
                  <c:v>44237</c:v>
                </c:pt>
                <c:pt idx="357">
                  <c:v>44245</c:v>
                </c:pt>
                <c:pt idx="358">
                  <c:v>44246</c:v>
                </c:pt>
                <c:pt idx="359">
                  <c:v>44249</c:v>
                </c:pt>
                <c:pt idx="360">
                  <c:v>44250</c:v>
                </c:pt>
                <c:pt idx="361">
                  <c:v>44251</c:v>
                </c:pt>
                <c:pt idx="362">
                  <c:v>44252</c:v>
                </c:pt>
                <c:pt idx="363">
                  <c:v>44253</c:v>
                </c:pt>
                <c:pt idx="364">
                  <c:v>44256</c:v>
                </c:pt>
                <c:pt idx="365">
                  <c:v>44257</c:v>
                </c:pt>
                <c:pt idx="366">
                  <c:v>44258</c:v>
                </c:pt>
                <c:pt idx="367">
                  <c:v>44259</c:v>
                </c:pt>
                <c:pt idx="368">
                  <c:v>44260</c:v>
                </c:pt>
                <c:pt idx="369">
                  <c:v>44263</c:v>
                </c:pt>
                <c:pt idx="370">
                  <c:v>44264</c:v>
                </c:pt>
                <c:pt idx="371">
                  <c:v>44265</c:v>
                </c:pt>
                <c:pt idx="372">
                  <c:v>44266</c:v>
                </c:pt>
                <c:pt idx="373">
                  <c:v>44267</c:v>
                </c:pt>
                <c:pt idx="374">
                  <c:v>44270</c:v>
                </c:pt>
                <c:pt idx="375">
                  <c:v>44271</c:v>
                </c:pt>
                <c:pt idx="376">
                  <c:v>44272</c:v>
                </c:pt>
                <c:pt idx="377">
                  <c:v>44273</c:v>
                </c:pt>
                <c:pt idx="378">
                  <c:v>44274</c:v>
                </c:pt>
                <c:pt idx="379">
                  <c:v>44277</c:v>
                </c:pt>
                <c:pt idx="380">
                  <c:v>44278</c:v>
                </c:pt>
                <c:pt idx="381">
                  <c:v>44279</c:v>
                </c:pt>
                <c:pt idx="382">
                  <c:v>44280</c:v>
                </c:pt>
                <c:pt idx="383">
                  <c:v>44281</c:v>
                </c:pt>
                <c:pt idx="384">
                  <c:v>44284</c:v>
                </c:pt>
                <c:pt idx="385">
                  <c:v>44285</c:v>
                </c:pt>
                <c:pt idx="386">
                  <c:v>44286</c:v>
                </c:pt>
                <c:pt idx="387">
                  <c:v>44287</c:v>
                </c:pt>
                <c:pt idx="388">
                  <c:v>44288</c:v>
                </c:pt>
                <c:pt idx="389">
                  <c:v>44292</c:v>
                </c:pt>
                <c:pt idx="390">
                  <c:v>44293</c:v>
                </c:pt>
                <c:pt idx="391">
                  <c:v>44294</c:v>
                </c:pt>
                <c:pt idx="392">
                  <c:v>44295</c:v>
                </c:pt>
                <c:pt idx="393">
                  <c:v>44298</c:v>
                </c:pt>
                <c:pt idx="394">
                  <c:v>44299</c:v>
                </c:pt>
                <c:pt idx="395">
                  <c:v>44300</c:v>
                </c:pt>
                <c:pt idx="396">
                  <c:v>44301</c:v>
                </c:pt>
                <c:pt idx="397">
                  <c:v>44302</c:v>
                </c:pt>
                <c:pt idx="398">
                  <c:v>44305</c:v>
                </c:pt>
                <c:pt idx="399">
                  <c:v>44306</c:v>
                </c:pt>
                <c:pt idx="400">
                  <c:v>44307</c:v>
                </c:pt>
                <c:pt idx="401">
                  <c:v>44308</c:v>
                </c:pt>
                <c:pt idx="402">
                  <c:v>44309</c:v>
                </c:pt>
                <c:pt idx="403">
                  <c:v>44312</c:v>
                </c:pt>
                <c:pt idx="404">
                  <c:v>44313</c:v>
                </c:pt>
                <c:pt idx="405">
                  <c:v>44314</c:v>
                </c:pt>
                <c:pt idx="406">
                  <c:v>44315</c:v>
                </c:pt>
                <c:pt idx="407">
                  <c:v>44316</c:v>
                </c:pt>
                <c:pt idx="408">
                  <c:v>44322</c:v>
                </c:pt>
                <c:pt idx="409">
                  <c:v>44323</c:v>
                </c:pt>
                <c:pt idx="410">
                  <c:v>44326</c:v>
                </c:pt>
                <c:pt idx="411">
                  <c:v>44327</c:v>
                </c:pt>
                <c:pt idx="412">
                  <c:v>44328</c:v>
                </c:pt>
                <c:pt idx="413">
                  <c:v>44329</c:v>
                </c:pt>
                <c:pt idx="414">
                  <c:v>44330</c:v>
                </c:pt>
                <c:pt idx="415">
                  <c:v>44333</c:v>
                </c:pt>
              </c:numCache>
            </c:numRef>
          </c:cat>
          <c:val>
            <c:numRef>
              <c:f>新视野1号!$B$21:$B$436</c:f>
              <c:numCache>
                <c:formatCode>0.0000_ </c:formatCode>
                <c:ptCount val="416"/>
                <c:pt idx="0">
                  <c:v>1.0053000000000001</c:v>
                </c:pt>
                <c:pt idx="1">
                  <c:v>1.0065</c:v>
                </c:pt>
                <c:pt idx="2">
                  <c:v>1.0037</c:v>
                </c:pt>
                <c:pt idx="3">
                  <c:v>1.0051000000000001</c:v>
                </c:pt>
                <c:pt idx="4">
                  <c:v>1.0065999999999999</c:v>
                </c:pt>
                <c:pt idx="5">
                  <c:v>1.0025999999999999</c:v>
                </c:pt>
                <c:pt idx="6">
                  <c:v>1.0043</c:v>
                </c:pt>
                <c:pt idx="7">
                  <c:v>1.0016</c:v>
                </c:pt>
                <c:pt idx="8">
                  <c:v>0.99309999999999998</c:v>
                </c:pt>
                <c:pt idx="9">
                  <c:v>0.99639999999999995</c:v>
                </c:pt>
                <c:pt idx="10">
                  <c:v>0.99829999999999997</c:v>
                </c:pt>
                <c:pt idx="11">
                  <c:v>0.99890000000000001</c:v>
                </c:pt>
                <c:pt idx="12">
                  <c:v>0.99550000000000005</c:v>
                </c:pt>
                <c:pt idx="13">
                  <c:v>0.99560000000000004</c:v>
                </c:pt>
                <c:pt idx="14">
                  <c:v>1.0016</c:v>
                </c:pt>
                <c:pt idx="15">
                  <c:v>1.0027999999999999</c:v>
                </c:pt>
                <c:pt idx="16">
                  <c:v>1.0038</c:v>
                </c:pt>
                <c:pt idx="17">
                  <c:v>1.0085999999999999</c:v>
                </c:pt>
                <c:pt idx="18">
                  <c:v>1.0072000000000001</c:v>
                </c:pt>
                <c:pt idx="19">
                  <c:v>1.0055000000000001</c:v>
                </c:pt>
                <c:pt idx="20">
                  <c:v>1.0046999999999999</c:v>
                </c:pt>
                <c:pt idx="21">
                  <c:v>1.0024999999999999</c:v>
                </c:pt>
                <c:pt idx="22">
                  <c:v>1.0007999999999999</c:v>
                </c:pt>
                <c:pt idx="23">
                  <c:v>1.0048999999999999</c:v>
                </c:pt>
                <c:pt idx="24">
                  <c:v>1.0058</c:v>
                </c:pt>
                <c:pt idx="25">
                  <c:v>1.0081</c:v>
                </c:pt>
                <c:pt idx="26">
                  <c:v>1.0112000000000001</c:v>
                </c:pt>
                <c:pt idx="27">
                  <c:v>1.0142</c:v>
                </c:pt>
                <c:pt idx="28">
                  <c:v>1.0105999999999999</c:v>
                </c:pt>
                <c:pt idx="29">
                  <c:v>1.0111000000000001</c:v>
                </c:pt>
                <c:pt idx="30">
                  <c:v>1.0093000000000001</c:v>
                </c:pt>
                <c:pt idx="31">
                  <c:v>1.0119</c:v>
                </c:pt>
                <c:pt idx="32">
                  <c:v>1.0135000000000001</c:v>
                </c:pt>
                <c:pt idx="33">
                  <c:v>1.016</c:v>
                </c:pt>
                <c:pt idx="34">
                  <c:v>1.0174000000000001</c:v>
                </c:pt>
                <c:pt idx="35">
                  <c:v>1.0167999999999999</c:v>
                </c:pt>
                <c:pt idx="36">
                  <c:v>1.0165</c:v>
                </c:pt>
                <c:pt idx="37">
                  <c:v>1.0153000000000001</c:v>
                </c:pt>
                <c:pt idx="38">
                  <c:v>1.0161</c:v>
                </c:pt>
                <c:pt idx="39">
                  <c:v>1.0190999999999999</c:v>
                </c:pt>
                <c:pt idx="40">
                  <c:v>1.0178</c:v>
                </c:pt>
                <c:pt idx="41">
                  <c:v>1.0201</c:v>
                </c:pt>
                <c:pt idx="42">
                  <c:v>1.0185</c:v>
                </c:pt>
                <c:pt idx="43">
                  <c:v>1.0217000000000001</c:v>
                </c:pt>
                <c:pt idx="44">
                  <c:v>1.0241</c:v>
                </c:pt>
                <c:pt idx="45">
                  <c:v>1.0221</c:v>
                </c:pt>
                <c:pt idx="46">
                  <c:v>1.0262</c:v>
                </c:pt>
                <c:pt idx="47">
                  <c:v>1.0274000000000001</c:v>
                </c:pt>
                <c:pt idx="48">
                  <c:v>1.0263</c:v>
                </c:pt>
                <c:pt idx="49">
                  <c:v>1.0264</c:v>
                </c:pt>
                <c:pt idx="50">
                  <c:v>1.0316000000000001</c:v>
                </c:pt>
                <c:pt idx="51">
                  <c:v>1.0290999999999999</c:v>
                </c:pt>
                <c:pt idx="52">
                  <c:v>1.0301</c:v>
                </c:pt>
                <c:pt idx="53">
                  <c:v>1.0254000000000001</c:v>
                </c:pt>
                <c:pt idx="54">
                  <c:v>1.0297000000000001</c:v>
                </c:pt>
                <c:pt idx="55">
                  <c:v>1.0311999999999999</c:v>
                </c:pt>
                <c:pt idx="56">
                  <c:v>1.0303</c:v>
                </c:pt>
                <c:pt idx="57">
                  <c:v>1.03</c:v>
                </c:pt>
                <c:pt idx="58">
                  <c:v>1.0279</c:v>
                </c:pt>
                <c:pt idx="59">
                  <c:v>1.0264</c:v>
                </c:pt>
                <c:pt idx="60">
                  <c:v>1.0271999999999999</c:v>
                </c:pt>
                <c:pt idx="61">
                  <c:v>1.0267999999999999</c:v>
                </c:pt>
                <c:pt idx="62">
                  <c:v>1.0246999999999999</c:v>
                </c:pt>
                <c:pt idx="63">
                  <c:v>1.0232000000000001</c:v>
                </c:pt>
                <c:pt idx="64">
                  <c:v>1.0221</c:v>
                </c:pt>
                <c:pt idx="65">
                  <c:v>1.0227999999999999</c:v>
                </c:pt>
                <c:pt idx="66">
                  <c:v>1.0234000000000001</c:v>
                </c:pt>
                <c:pt idx="67">
                  <c:v>1.0226999999999999</c:v>
                </c:pt>
                <c:pt idx="68">
                  <c:v>1.0237000000000001</c:v>
                </c:pt>
                <c:pt idx="69">
                  <c:v>1.0195000000000001</c:v>
                </c:pt>
                <c:pt idx="70">
                  <c:v>1.0147999999999999</c:v>
                </c:pt>
                <c:pt idx="71">
                  <c:v>1.0158</c:v>
                </c:pt>
                <c:pt idx="72">
                  <c:v>1.016</c:v>
                </c:pt>
                <c:pt idx="73">
                  <c:v>1.0187999999999999</c:v>
                </c:pt>
                <c:pt idx="74">
                  <c:v>1.0221</c:v>
                </c:pt>
                <c:pt idx="75">
                  <c:v>1.0132000000000001</c:v>
                </c:pt>
                <c:pt idx="76">
                  <c:v>1.0130999999999999</c:v>
                </c:pt>
                <c:pt idx="77">
                  <c:v>1.0124</c:v>
                </c:pt>
                <c:pt idx="78">
                  <c:v>1.0056</c:v>
                </c:pt>
                <c:pt idx="79">
                  <c:v>1.0165999999999999</c:v>
                </c:pt>
                <c:pt idx="80">
                  <c:v>1.0204</c:v>
                </c:pt>
                <c:pt idx="81">
                  <c:v>1.0243</c:v>
                </c:pt>
                <c:pt idx="82">
                  <c:v>1.0244</c:v>
                </c:pt>
                <c:pt idx="83">
                  <c:v>1.0206</c:v>
                </c:pt>
                <c:pt idx="84">
                  <c:v>1.0166999999999999</c:v>
                </c:pt>
                <c:pt idx="85">
                  <c:v>1.0186999999999999</c:v>
                </c:pt>
                <c:pt idx="86">
                  <c:v>1.0189999999999999</c:v>
                </c:pt>
                <c:pt idx="87">
                  <c:v>1.0201</c:v>
                </c:pt>
                <c:pt idx="88">
                  <c:v>1.0230999999999999</c:v>
                </c:pt>
                <c:pt idx="89">
                  <c:v>1.0214000000000001</c:v>
                </c:pt>
                <c:pt idx="90">
                  <c:v>1.0198</c:v>
                </c:pt>
                <c:pt idx="91">
                  <c:v>1.028</c:v>
                </c:pt>
                <c:pt idx="92">
                  <c:v>1.0291999999999999</c:v>
                </c:pt>
                <c:pt idx="93">
                  <c:v>1.0337000000000001</c:v>
                </c:pt>
                <c:pt idx="94">
                  <c:v>1.0284</c:v>
                </c:pt>
                <c:pt idx="95">
                  <c:v>1.0289999999999999</c:v>
                </c:pt>
                <c:pt idx="96">
                  <c:v>1.0293000000000001</c:v>
                </c:pt>
                <c:pt idx="97">
                  <c:v>1.0311999999999999</c:v>
                </c:pt>
                <c:pt idx="98">
                  <c:v>1.0325</c:v>
                </c:pt>
                <c:pt idx="99">
                  <c:v>1.0322</c:v>
                </c:pt>
                <c:pt idx="100">
                  <c:v>1.0317000000000001</c:v>
                </c:pt>
                <c:pt idx="101">
                  <c:v>1.0406</c:v>
                </c:pt>
                <c:pt idx="102">
                  <c:v>1.046</c:v>
                </c:pt>
                <c:pt idx="103">
                  <c:v>1.0387999999999999</c:v>
                </c:pt>
                <c:pt idx="104">
                  <c:v>1.0468999999999999</c:v>
                </c:pt>
                <c:pt idx="105">
                  <c:v>1.0492999999999999</c:v>
                </c:pt>
                <c:pt idx="106">
                  <c:v>1.0533999999999999</c:v>
                </c:pt>
                <c:pt idx="107">
                  <c:v>1.0617000000000001</c:v>
                </c:pt>
                <c:pt idx="108">
                  <c:v>1.0598000000000001</c:v>
                </c:pt>
                <c:pt idx="109">
                  <c:v>1.0630999999999999</c:v>
                </c:pt>
                <c:pt idx="110">
                  <c:v>1.0593999999999999</c:v>
                </c:pt>
                <c:pt idx="111">
                  <c:v>1.0653999999999999</c:v>
                </c:pt>
                <c:pt idx="112">
                  <c:v>1.0619000000000001</c:v>
                </c:pt>
                <c:pt idx="113">
                  <c:v>1.0686</c:v>
                </c:pt>
                <c:pt idx="114">
                  <c:v>1.0672999999999999</c:v>
                </c:pt>
                <c:pt idx="115">
                  <c:v>1.0722</c:v>
                </c:pt>
                <c:pt idx="116">
                  <c:v>1.0738000000000001</c:v>
                </c:pt>
                <c:pt idx="117">
                  <c:v>1.0751999999999999</c:v>
                </c:pt>
                <c:pt idx="118">
                  <c:v>1.0765</c:v>
                </c:pt>
                <c:pt idx="119">
                  <c:v>1.0757000000000001</c:v>
                </c:pt>
                <c:pt idx="120">
                  <c:v>1.083</c:v>
                </c:pt>
                <c:pt idx="121">
                  <c:v>1.0869</c:v>
                </c:pt>
                <c:pt idx="122">
                  <c:v>1.0907</c:v>
                </c:pt>
                <c:pt idx="123">
                  <c:v>1.0993999999999999</c:v>
                </c:pt>
                <c:pt idx="124">
                  <c:v>1.1068</c:v>
                </c:pt>
                <c:pt idx="125">
                  <c:v>1.1057999999999999</c:v>
                </c:pt>
                <c:pt idx="126">
                  <c:v>1.1071</c:v>
                </c:pt>
                <c:pt idx="127">
                  <c:v>1.109</c:v>
                </c:pt>
                <c:pt idx="128">
                  <c:v>1.1073999999999999</c:v>
                </c:pt>
                <c:pt idx="129">
                  <c:v>1.1100000000000001</c:v>
                </c:pt>
                <c:pt idx="130">
                  <c:v>1.1104000000000001</c:v>
                </c:pt>
                <c:pt idx="131">
                  <c:v>1.1061000000000001</c:v>
                </c:pt>
                <c:pt idx="132">
                  <c:v>1.1012</c:v>
                </c:pt>
                <c:pt idx="133">
                  <c:v>1.1113999999999999</c:v>
                </c:pt>
                <c:pt idx="134">
                  <c:v>1.1123000000000001</c:v>
                </c:pt>
                <c:pt idx="135">
                  <c:v>1.1153999999999999</c:v>
                </c:pt>
                <c:pt idx="136">
                  <c:v>1.1162000000000001</c:v>
                </c:pt>
                <c:pt idx="137">
                  <c:v>1.1087</c:v>
                </c:pt>
                <c:pt idx="138">
                  <c:v>1.1169</c:v>
                </c:pt>
                <c:pt idx="139">
                  <c:v>1.1198999999999999</c:v>
                </c:pt>
                <c:pt idx="140">
                  <c:v>1.1224000000000001</c:v>
                </c:pt>
                <c:pt idx="141">
                  <c:v>1.1204000000000001</c:v>
                </c:pt>
                <c:pt idx="142">
                  <c:v>1.1237999999999999</c:v>
                </c:pt>
                <c:pt idx="143">
                  <c:v>1.1254</c:v>
                </c:pt>
                <c:pt idx="144">
                  <c:v>1.1259999999999999</c:v>
                </c:pt>
                <c:pt idx="145">
                  <c:v>1.1258999999999999</c:v>
                </c:pt>
                <c:pt idx="146">
                  <c:v>1.1254999999999999</c:v>
                </c:pt>
                <c:pt idx="147">
                  <c:v>1.1248</c:v>
                </c:pt>
                <c:pt idx="148">
                  <c:v>1.1274</c:v>
                </c:pt>
                <c:pt idx="149">
                  <c:v>1.1271</c:v>
                </c:pt>
                <c:pt idx="150">
                  <c:v>1.1248</c:v>
                </c:pt>
                <c:pt idx="151">
                  <c:v>1.1254</c:v>
                </c:pt>
                <c:pt idx="152">
                  <c:v>1.129</c:v>
                </c:pt>
                <c:pt idx="153">
                  <c:v>1.1229</c:v>
                </c:pt>
                <c:pt idx="154">
                  <c:v>1.1200000000000001</c:v>
                </c:pt>
                <c:pt idx="155">
                  <c:v>1.1227</c:v>
                </c:pt>
                <c:pt idx="156">
                  <c:v>1.1284000000000001</c:v>
                </c:pt>
                <c:pt idx="157">
                  <c:v>1.1323000000000001</c:v>
                </c:pt>
                <c:pt idx="158">
                  <c:v>1.1309</c:v>
                </c:pt>
                <c:pt idx="159">
                  <c:v>1.1294</c:v>
                </c:pt>
                <c:pt idx="160">
                  <c:v>1.1274999999999999</c:v>
                </c:pt>
                <c:pt idx="161">
                  <c:v>1.1263000000000001</c:v>
                </c:pt>
                <c:pt idx="162">
                  <c:v>1.1303000000000001</c:v>
                </c:pt>
                <c:pt idx="163">
                  <c:v>1.1292</c:v>
                </c:pt>
                <c:pt idx="164">
                  <c:v>1.1269</c:v>
                </c:pt>
                <c:pt idx="165">
                  <c:v>1.1312</c:v>
                </c:pt>
                <c:pt idx="166">
                  <c:v>1.1321000000000001</c:v>
                </c:pt>
                <c:pt idx="167">
                  <c:v>1.1294</c:v>
                </c:pt>
                <c:pt idx="168">
                  <c:v>1.1334</c:v>
                </c:pt>
                <c:pt idx="169">
                  <c:v>1.1332</c:v>
                </c:pt>
                <c:pt idx="170">
                  <c:v>1.1325000000000001</c:v>
                </c:pt>
                <c:pt idx="171">
                  <c:v>1.1296999999999999</c:v>
                </c:pt>
                <c:pt idx="172">
                  <c:v>1.1292</c:v>
                </c:pt>
                <c:pt idx="173">
                  <c:v>1.1317999999999999</c:v>
                </c:pt>
                <c:pt idx="174">
                  <c:v>1.1357999999999999</c:v>
                </c:pt>
                <c:pt idx="175">
                  <c:v>1.1361000000000001</c:v>
                </c:pt>
                <c:pt idx="176">
                  <c:v>1.1365000000000001</c:v>
                </c:pt>
                <c:pt idx="177">
                  <c:v>1.1345000000000001</c:v>
                </c:pt>
                <c:pt idx="178">
                  <c:v>1.1369</c:v>
                </c:pt>
                <c:pt idx="179">
                  <c:v>1.1413</c:v>
                </c:pt>
                <c:pt idx="180">
                  <c:v>1.1436999999999999</c:v>
                </c:pt>
                <c:pt idx="181">
                  <c:v>1.1463000000000001</c:v>
                </c:pt>
                <c:pt idx="182">
                  <c:v>1.1489</c:v>
                </c:pt>
                <c:pt idx="183">
                  <c:v>1.1488</c:v>
                </c:pt>
                <c:pt idx="184">
                  <c:v>1.1501999999999999</c:v>
                </c:pt>
                <c:pt idx="185">
                  <c:v>1.1491</c:v>
                </c:pt>
                <c:pt idx="186">
                  <c:v>1.1515</c:v>
                </c:pt>
                <c:pt idx="187">
                  <c:v>1.153</c:v>
                </c:pt>
                <c:pt idx="188">
                  <c:v>1.1549</c:v>
                </c:pt>
                <c:pt idx="189">
                  <c:v>1.1596</c:v>
                </c:pt>
                <c:pt idx="190">
                  <c:v>1.1638999999999999</c:v>
                </c:pt>
                <c:pt idx="191">
                  <c:v>1.1625000000000001</c:v>
                </c:pt>
                <c:pt idx="192">
                  <c:v>1.1571</c:v>
                </c:pt>
                <c:pt idx="193">
                  <c:v>1.1589</c:v>
                </c:pt>
                <c:pt idx="194">
                  <c:v>1.1642999999999999</c:v>
                </c:pt>
                <c:pt idx="195">
                  <c:v>1.1678999999999999</c:v>
                </c:pt>
                <c:pt idx="196">
                  <c:v>1.1653</c:v>
                </c:pt>
                <c:pt idx="197">
                  <c:v>1.1589</c:v>
                </c:pt>
                <c:pt idx="198">
                  <c:v>1.1605000000000001</c:v>
                </c:pt>
                <c:pt idx="199">
                  <c:v>1.1605000000000001</c:v>
                </c:pt>
                <c:pt idx="200">
                  <c:v>1.1617999999999999</c:v>
                </c:pt>
                <c:pt idx="201">
                  <c:v>1.1640999999999999</c:v>
                </c:pt>
                <c:pt idx="202">
                  <c:v>1.1652</c:v>
                </c:pt>
                <c:pt idx="203">
                  <c:v>1.1700999999999999</c:v>
                </c:pt>
                <c:pt idx="204">
                  <c:v>1.1611</c:v>
                </c:pt>
                <c:pt idx="205">
                  <c:v>1.1595</c:v>
                </c:pt>
                <c:pt idx="206">
                  <c:v>1.1453</c:v>
                </c:pt>
                <c:pt idx="207">
                  <c:v>1.1459999999999999</c:v>
                </c:pt>
                <c:pt idx="208">
                  <c:v>1.1561999999999999</c:v>
                </c:pt>
                <c:pt idx="209">
                  <c:v>1.1626000000000001</c:v>
                </c:pt>
                <c:pt idx="210">
                  <c:v>1.1607000000000001</c:v>
                </c:pt>
                <c:pt idx="211">
                  <c:v>1.1687000000000001</c:v>
                </c:pt>
                <c:pt idx="212">
                  <c:v>1.1812</c:v>
                </c:pt>
                <c:pt idx="213">
                  <c:v>1.1765000000000001</c:v>
                </c:pt>
                <c:pt idx="214">
                  <c:v>1.1775</c:v>
                </c:pt>
                <c:pt idx="215">
                  <c:v>1.1847000000000001</c:v>
                </c:pt>
                <c:pt idx="216">
                  <c:v>1.1970000000000001</c:v>
                </c:pt>
                <c:pt idx="217">
                  <c:v>1.2004999999999999</c:v>
                </c:pt>
                <c:pt idx="218">
                  <c:v>1.1972</c:v>
                </c:pt>
                <c:pt idx="219">
                  <c:v>1.1992</c:v>
                </c:pt>
                <c:pt idx="220">
                  <c:v>1.1975</c:v>
                </c:pt>
                <c:pt idx="221">
                  <c:v>1.2041999999999999</c:v>
                </c:pt>
                <c:pt idx="222">
                  <c:v>1.2110000000000001</c:v>
                </c:pt>
                <c:pt idx="223">
                  <c:v>1.2057</c:v>
                </c:pt>
                <c:pt idx="224">
                  <c:v>1.2056</c:v>
                </c:pt>
                <c:pt idx="225">
                  <c:v>1.2091000000000001</c:v>
                </c:pt>
                <c:pt idx="226">
                  <c:v>1.2109000000000001</c:v>
                </c:pt>
                <c:pt idx="227">
                  <c:v>1.2093</c:v>
                </c:pt>
                <c:pt idx="228">
                  <c:v>1.2151000000000001</c:v>
                </c:pt>
                <c:pt idx="229">
                  <c:v>1.2172000000000001</c:v>
                </c:pt>
                <c:pt idx="230">
                  <c:v>1.2170000000000001</c:v>
                </c:pt>
                <c:pt idx="231">
                  <c:v>1.2133</c:v>
                </c:pt>
                <c:pt idx="232">
                  <c:v>1.2154</c:v>
                </c:pt>
                <c:pt idx="233">
                  <c:v>1.2165999999999999</c:v>
                </c:pt>
                <c:pt idx="234">
                  <c:v>1.2155</c:v>
                </c:pt>
                <c:pt idx="235">
                  <c:v>1.2154</c:v>
                </c:pt>
                <c:pt idx="236">
                  <c:v>1.2164999999999999</c:v>
                </c:pt>
                <c:pt idx="237">
                  <c:v>1.2198</c:v>
                </c:pt>
                <c:pt idx="238">
                  <c:v>1.2183999999999999</c:v>
                </c:pt>
                <c:pt idx="239">
                  <c:v>1.2185999999999999</c:v>
                </c:pt>
                <c:pt idx="240">
                  <c:v>1.2239</c:v>
                </c:pt>
                <c:pt idx="241">
                  <c:v>1.2270000000000001</c:v>
                </c:pt>
                <c:pt idx="242">
                  <c:v>1.2292000000000001</c:v>
                </c:pt>
                <c:pt idx="243">
                  <c:v>1.2235</c:v>
                </c:pt>
                <c:pt idx="244">
                  <c:v>1.2263999999999999</c:v>
                </c:pt>
                <c:pt idx="245">
                  <c:v>1.2255</c:v>
                </c:pt>
                <c:pt idx="246">
                  <c:v>1.2258</c:v>
                </c:pt>
                <c:pt idx="247">
                  <c:v>1.2305999999999999</c:v>
                </c:pt>
                <c:pt idx="248">
                  <c:v>1.2322</c:v>
                </c:pt>
                <c:pt idx="249">
                  <c:v>1.2319</c:v>
                </c:pt>
                <c:pt idx="250">
                  <c:v>1.2309000000000001</c:v>
                </c:pt>
                <c:pt idx="251">
                  <c:v>1.2277</c:v>
                </c:pt>
                <c:pt idx="252">
                  <c:v>1.2273000000000001</c:v>
                </c:pt>
                <c:pt idx="253">
                  <c:v>1.2186999999999999</c:v>
                </c:pt>
                <c:pt idx="254">
                  <c:v>1.2136</c:v>
                </c:pt>
                <c:pt idx="255">
                  <c:v>1.2209000000000001</c:v>
                </c:pt>
                <c:pt idx="256">
                  <c:v>1.2271000000000001</c:v>
                </c:pt>
                <c:pt idx="257">
                  <c:v>1.2291000000000001</c:v>
                </c:pt>
                <c:pt idx="258">
                  <c:v>1.2263999999999999</c:v>
                </c:pt>
                <c:pt idx="259">
                  <c:v>1.2194</c:v>
                </c:pt>
                <c:pt idx="260">
                  <c:v>1.2223999999999999</c:v>
                </c:pt>
                <c:pt idx="261">
                  <c:v>1.2233000000000001</c:v>
                </c:pt>
                <c:pt idx="262">
                  <c:v>1.2212000000000001</c:v>
                </c:pt>
                <c:pt idx="263">
                  <c:v>1.2233000000000001</c:v>
                </c:pt>
                <c:pt idx="264">
                  <c:v>1.2186999999999999</c:v>
                </c:pt>
                <c:pt idx="265">
                  <c:v>1.2161</c:v>
                </c:pt>
                <c:pt idx="266">
                  <c:v>1.2123999999999999</c:v>
                </c:pt>
                <c:pt idx="267">
                  <c:v>1.2102999999999999</c:v>
                </c:pt>
                <c:pt idx="268">
                  <c:v>1.2210000000000001</c:v>
                </c:pt>
                <c:pt idx="269">
                  <c:v>1.2232000000000001</c:v>
                </c:pt>
                <c:pt idx="270">
                  <c:v>1.2262</c:v>
                </c:pt>
                <c:pt idx="271">
                  <c:v>1.23</c:v>
                </c:pt>
                <c:pt idx="272">
                  <c:v>1.228</c:v>
                </c:pt>
                <c:pt idx="273">
                  <c:v>1.2255</c:v>
                </c:pt>
                <c:pt idx="274">
                  <c:v>1.2273000000000001</c:v>
                </c:pt>
                <c:pt idx="275">
                  <c:v>1.2316</c:v>
                </c:pt>
                <c:pt idx="276">
                  <c:v>1.2327999999999999</c:v>
                </c:pt>
                <c:pt idx="277">
                  <c:v>1.2307999999999999</c:v>
                </c:pt>
                <c:pt idx="278">
                  <c:v>1.2281</c:v>
                </c:pt>
                <c:pt idx="279">
                  <c:v>1.2225999999999999</c:v>
                </c:pt>
                <c:pt idx="280">
                  <c:v>1.2264999999999999</c:v>
                </c:pt>
                <c:pt idx="281">
                  <c:v>1.2284999999999999</c:v>
                </c:pt>
                <c:pt idx="282">
                  <c:v>1.2315</c:v>
                </c:pt>
                <c:pt idx="283">
                  <c:v>1.2309000000000001</c:v>
                </c:pt>
                <c:pt idx="284">
                  <c:v>1.2278</c:v>
                </c:pt>
                <c:pt idx="285">
                  <c:v>1.2282999999999999</c:v>
                </c:pt>
                <c:pt idx="286">
                  <c:v>1.2327999999999999</c:v>
                </c:pt>
                <c:pt idx="287">
                  <c:v>1.2321</c:v>
                </c:pt>
                <c:pt idx="288">
                  <c:v>1.2324999999999999</c:v>
                </c:pt>
                <c:pt idx="289">
                  <c:v>1.2323999999999999</c:v>
                </c:pt>
                <c:pt idx="290">
                  <c:v>1.2357</c:v>
                </c:pt>
                <c:pt idx="291">
                  <c:v>1.2377</c:v>
                </c:pt>
                <c:pt idx="292">
                  <c:v>1.2322</c:v>
                </c:pt>
                <c:pt idx="293">
                  <c:v>1.2353000000000001</c:v>
                </c:pt>
                <c:pt idx="294">
                  <c:v>1.2382</c:v>
                </c:pt>
                <c:pt idx="295">
                  <c:v>1.2383</c:v>
                </c:pt>
                <c:pt idx="296">
                  <c:v>1.236</c:v>
                </c:pt>
                <c:pt idx="297">
                  <c:v>1.2336</c:v>
                </c:pt>
                <c:pt idx="298">
                  <c:v>1.234</c:v>
                </c:pt>
                <c:pt idx="299">
                  <c:v>1.2315</c:v>
                </c:pt>
                <c:pt idx="300">
                  <c:v>1.2244999999999999</c:v>
                </c:pt>
                <c:pt idx="301">
                  <c:v>1.2264999999999999</c:v>
                </c:pt>
                <c:pt idx="302">
                  <c:v>1.2232000000000001</c:v>
                </c:pt>
                <c:pt idx="303">
                  <c:v>1.2216</c:v>
                </c:pt>
                <c:pt idx="304">
                  <c:v>1.2233000000000001</c:v>
                </c:pt>
                <c:pt idx="305">
                  <c:v>1.2228000000000001</c:v>
                </c:pt>
                <c:pt idx="306">
                  <c:v>1.2234</c:v>
                </c:pt>
                <c:pt idx="307">
                  <c:v>1.2254</c:v>
                </c:pt>
                <c:pt idx="308">
                  <c:v>1.2265999999999999</c:v>
                </c:pt>
                <c:pt idx="309">
                  <c:v>1.2291000000000001</c:v>
                </c:pt>
                <c:pt idx="310">
                  <c:v>1.2302</c:v>
                </c:pt>
                <c:pt idx="311">
                  <c:v>1.2275</c:v>
                </c:pt>
                <c:pt idx="312">
                  <c:v>1.2226999999999999</c:v>
                </c:pt>
                <c:pt idx="313">
                  <c:v>1.2245999999999999</c:v>
                </c:pt>
                <c:pt idx="314">
                  <c:v>1.2278</c:v>
                </c:pt>
                <c:pt idx="315">
                  <c:v>1.2298</c:v>
                </c:pt>
                <c:pt idx="316">
                  <c:v>1.2309000000000001</c:v>
                </c:pt>
                <c:pt idx="317">
                  <c:v>1.2293000000000001</c:v>
                </c:pt>
                <c:pt idx="318">
                  <c:v>1.2274</c:v>
                </c:pt>
                <c:pt idx="319">
                  <c:v>1.2271000000000001</c:v>
                </c:pt>
                <c:pt idx="320">
                  <c:v>1.2266999999999999</c:v>
                </c:pt>
                <c:pt idx="321">
                  <c:v>1.2236</c:v>
                </c:pt>
                <c:pt idx="322">
                  <c:v>1.2269000000000001</c:v>
                </c:pt>
                <c:pt idx="323">
                  <c:v>1.2239</c:v>
                </c:pt>
                <c:pt idx="324">
                  <c:v>1.2258</c:v>
                </c:pt>
                <c:pt idx="325">
                  <c:v>1.2287999999999999</c:v>
                </c:pt>
                <c:pt idx="326">
                  <c:v>1.2233000000000001</c:v>
                </c:pt>
                <c:pt idx="327">
                  <c:v>1.2271000000000001</c:v>
                </c:pt>
                <c:pt idx="328">
                  <c:v>1.2311000000000001</c:v>
                </c:pt>
                <c:pt idx="329">
                  <c:v>1.2362</c:v>
                </c:pt>
                <c:pt idx="330">
                  <c:v>1.2415</c:v>
                </c:pt>
                <c:pt idx="331">
                  <c:v>1.2401</c:v>
                </c:pt>
                <c:pt idx="332">
                  <c:v>1.2391000000000001</c:v>
                </c:pt>
                <c:pt idx="333">
                  <c:v>1.2332000000000001</c:v>
                </c:pt>
                <c:pt idx="334">
                  <c:v>1.2330000000000001</c:v>
                </c:pt>
                <c:pt idx="335">
                  <c:v>1.2399</c:v>
                </c:pt>
                <c:pt idx="336">
                  <c:v>1.2373000000000001</c:v>
                </c:pt>
                <c:pt idx="337">
                  <c:v>1.2304999999999999</c:v>
                </c:pt>
                <c:pt idx="338">
                  <c:v>1.236</c:v>
                </c:pt>
                <c:pt idx="339">
                  <c:v>1.2414000000000001</c:v>
                </c:pt>
                <c:pt idx="340">
                  <c:v>1.2410000000000001</c:v>
                </c:pt>
                <c:pt idx="341">
                  <c:v>1.2442</c:v>
                </c:pt>
                <c:pt idx="342">
                  <c:v>1.2462</c:v>
                </c:pt>
                <c:pt idx="343">
                  <c:v>1.2502</c:v>
                </c:pt>
                <c:pt idx="344">
                  <c:v>1.2509999999999999</c:v>
                </c:pt>
                <c:pt idx="345">
                  <c:v>1.2454000000000001</c:v>
                </c:pt>
                <c:pt idx="346">
                  <c:v>1.2476</c:v>
                </c:pt>
                <c:pt idx="347">
                  <c:v>1.2387999999999999</c:v>
                </c:pt>
                <c:pt idx="348">
                  <c:v>1.2414000000000001</c:v>
                </c:pt>
                <c:pt idx="349">
                  <c:v>1.2413000000000001</c:v>
                </c:pt>
                <c:pt idx="350">
                  <c:v>1.2452000000000001</c:v>
                </c:pt>
                <c:pt idx="351">
                  <c:v>1.2421</c:v>
                </c:pt>
                <c:pt idx="352">
                  <c:v>1.2399</c:v>
                </c:pt>
                <c:pt idx="353">
                  <c:v>1.2365999999999999</c:v>
                </c:pt>
                <c:pt idx="354">
                  <c:v>1.2353000000000001</c:v>
                </c:pt>
                <c:pt idx="355">
                  <c:v>1.2375</c:v>
                </c:pt>
                <c:pt idx="356">
                  <c:v>1.2412000000000001</c:v>
                </c:pt>
                <c:pt idx="357">
                  <c:v>1.2444999999999999</c:v>
                </c:pt>
                <c:pt idx="358">
                  <c:v>1.2451000000000001</c:v>
                </c:pt>
                <c:pt idx="359">
                  <c:v>1.2415</c:v>
                </c:pt>
                <c:pt idx="360">
                  <c:v>1.2413000000000001</c:v>
                </c:pt>
                <c:pt idx="361">
                  <c:v>1.2423999999999999</c:v>
                </c:pt>
                <c:pt idx="362">
                  <c:v>1.2441</c:v>
                </c:pt>
                <c:pt idx="363">
                  <c:v>1.2450000000000001</c:v>
                </c:pt>
                <c:pt idx="364">
                  <c:v>1.2524</c:v>
                </c:pt>
                <c:pt idx="365">
                  <c:v>1.2544</c:v>
                </c:pt>
                <c:pt idx="366">
                  <c:v>1.2555000000000001</c:v>
                </c:pt>
                <c:pt idx="367">
                  <c:v>1.2514000000000001</c:v>
                </c:pt>
                <c:pt idx="368">
                  <c:v>1.2486999999999999</c:v>
                </c:pt>
                <c:pt idx="369">
                  <c:v>1.2447999999999999</c:v>
                </c:pt>
                <c:pt idx="370">
                  <c:v>1.2408999999999999</c:v>
                </c:pt>
                <c:pt idx="371">
                  <c:v>1.2475000000000001</c:v>
                </c:pt>
                <c:pt idx="372">
                  <c:v>1.2552000000000001</c:v>
                </c:pt>
                <c:pt idx="373">
                  <c:v>1.2554000000000001</c:v>
                </c:pt>
                <c:pt idx="374">
                  <c:v>1.2525999999999999</c:v>
                </c:pt>
                <c:pt idx="375">
                  <c:v>1.2563</c:v>
                </c:pt>
                <c:pt idx="376">
                  <c:v>1.2567999999999999</c:v>
                </c:pt>
                <c:pt idx="377">
                  <c:v>1.256</c:v>
                </c:pt>
                <c:pt idx="378">
                  <c:v>1.2532000000000001</c:v>
                </c:pt>
                <c:pt idx="379">
                  <c:v>1.2521</c:v>
                </c:pt>
                <c:pt idx="380">
                  <c:v>1.2525999999999999</c:v>
                </c:pt>
                <c:pt idx="381">
                  <c:v>1.2424999999999999</c:v>
                </c:pt>
                <c:pt idx="382">
                  <c:v>1.2387999999999999</c:v>
                </c:pt>
                <c:pt idx="383">
                  <c:v>1.2427999999999999</c:v>
                </c:pt>
                <c:pt idx="384">
                  <c:v>1.2467999999999999</c:v>
                </c:pt>
                <c:pt idx="385">
                  <c:v>1.2477</c:v>
                </c:pt>
                <c:pt idx="386">
                  <c:v>1.2448999999999999</c:v>
                </c:pt>
                <c:pt idx="387">
                  <c:v>1.2432000000000001</c:v>
                </c:pt>
                <c:pt idx="388">
                  <c:v>1.2441</c:v>
                </c:pt>
                <c:pt idx="389">
                  <c:v>1.2459</c:v>
                </c:pt>
                <c:pt idx="390">
                  <c:v>1.2495000000000001</c:v>
                </c:pt>
                <c:pt idx="391">
                  <c:v>1.2462</c:v>
                </c:pt>
                <c:pt idx="392">
                  <c:v>1.2462</c:v>
                </c:pt>
                <c:pt idx="393">
                  <c:v>1.2437</c:v>
                </c:pt>
                <c:pt idx="394">
                  <c:v>1.2376</c:v>
                </c:pt>
                <c:pt idx="395">
                  <c:v>1.2374000000000001</c:v>
                </c:pt>
                <c:pt idx="396">
                  <c:v>1.2343999999999999</c:v>
                </c:pt>
                <c:pt idx="397">
                  <c:v>1.2326999999999999</c:v>
                </c:pt>
                <c:pt idx="398">
                  <c:v>1.2334000000000001</c:v>
                </c:pt>
                <c:pt idx="399">
                  <c:v>1.2319</c:v>
                </c:pt>
                <c:pt idx="400">
                  <c:v>1.2317</c:v>
                </c:pt>
                <c:pt idx="401">
                  <c:v>1.2329000000000001</c:v>
                </c:pt>
                <c:pt idx="402">
                  <c:v>1.2276</c:v>
                </c:pt>
                <c:pt idx="403">
                  <c:v>1.2221</c:v>
                </c:pt>
                <c:pt idx="404">
                  <c:v>1.2193000000000001</c:v>
                </c:pt>
                <c:pt idx="405">
                  <c:v>1.2192000000000001</c:v>
                </c:pt>
                <c:pt idx="406">
                  <c:v>1.2191000000000001</c:v>
                </c:pt>
                <c:pt idx="407">
                  <c:v>1.2159</c:v>
                </c:pt>
                <c:pt idx="408">
                  <c:v>1.216</c:v>
                </c:pt>
                <c:pt idx="409">
                  <c:v>1.2153</c:v>
                </c:pt>
                <c:pt idx="410">
                  <c:v>1.2178</c:v>
                </c:pt>
                <c:pt idx="411">
                  <c:v>1.2203999999999999</c:v>
                </c:pt>
                <c:pt idx="412">
                  <c:v>1.2204999999999999</c:v>
                </c:pt>
                <c:pt idx="413">
                  <c:v>1.2204999999999999</c:v>
                </c:pt>
                <c:pt idx="414">
                  <c:v>1.2209000000000001</c:v>
                </c:pt>
                <c:pt idx="415">
                  <c:v>1.2158</c:v>
                </c:pt>
              </c:numCache>
            </c:numRef>
          </c:val>
          <c:smooth val="0"/>
          <c:extLst>
            <c:ext xmlns:c16="http://schemas.microsoft.com/office/drawing/2014/chart" uri="{C3380CC4-5D6E-409C-BE32-E72D297353CC}">
              <c16:uniqueId val="{00000000-2740-4DAB-BC5B-22F0EBA5446A}"/>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抱朴聚配量化选股</a:t>
            </a:r>
            <a:endParaRPr lang="en-US" altLang="zh-CN" sz="1600"/>
          </a:p>
        </c:rich>
      </c:tx>
      <c:overlay val="0"/>
    </c:title>
    <c:autoTitleDeleted val="0"/>
    <c:plotArea>
      <c:layout/>
      <c:lineChart>
        <c:grouping val="standard"/>
        <c:varyColors val="0"/>
        <c:ser>
          <c:idx val="0"/>
          <c:order val="0"/>
          <c:tx>
            <c:strRef>
              <c:f>抱朴聚配!$B$20</c:f>
              <c:strCache>
                <c:ptCount val="1"/>
                <c:pt idx="0">
                  <c:v>累计净值</c:v>
                </c:pt>
              </c:strCache>
            </c:strRef>
          </c:tx>
          <c:marker>
            <c:symbol val="none"/>
          </c:marker>
          <c:cat>
            <c:numRef>
              <c:f>抱朴聚配!$A$21:$A$55</c:f>
              <c:numCache>
                <c:formatCode>m/d/yy</c:formatCode>
                <c:ptCount val="35"/>
                <c:pt idx="0">
                  <c:v>44155</c:v>
                </c:pt>
                <c:pt idx="1">
                  <c:v>44158</c:v>
                </c:pt>
                <c:pt idx="2">
                  <c:v>44159</c:v>
                </c:pt>
                <c:pt idx="3">
                  <c:v>44160</c:v>
                </c:pt>
                <c:pt idx="4">
                  <c:v>44161</c:v>
                </c:pt>
                <c:pt idx="5">
                  <c:v>44162</c:v>
                </c:pt>
                <c:pt idx="6">
                  <c:v>44165</c:v>
                </c:pt>
                <c:pt idx="7">
                  <c:v>44166</c:v>
                </c:pt>
                <c:pt idx="8">
                  <c:v>44167</c:v>
                </c:pt>
                <c:pt idx="9">
                  <c:v>44168</c:v>
                </c:pt>
                <c:pt idx="10">
                  <c:v>44169</c:v>
                </c:pt>
                <c:pt idx="11">
                  <c:v>44172</c:v>
                </c:pt>
                <c:pt idx="12">
                  <c:v>44173</c:v>
                </c:pt>
                <c:pt idx="13">
                  <c:v>44174</c:v>
                </c:pt>
                <c:pt idx="14">
                  <c:v>44175</c:v>
                </c:pt>
                <c:pt idx="15">
                  <c:v>44176</c:v>
                </c:pt>
                <c:pt idx="16">
                  <c:v>44179</c:v>
                </c:pt>
                <c:pt idx="17">
                  <c:v>44180</c:v>
                </c:pt>
                <c:pt idx="18">
                  <c:v>44181</c:v>
                </c:pt>
                <c:pt idx="19">
                  <c:v>44182</c:v>
                </c:pt>
                <c:pt idx="20">
                  <c:v>44183</c:v>
                </c:pt>
                <c:pt idx="21">
                  <c:v>44186</c:v>
                </c:pt>
                <c:pt idx="22">
                  <c:v>44187</c:v>
                </c:pt>
                <c:pt idx="23">
                  <c:v>44188</c:v>
                </c:pt>
                <c:pt idx="24">
                  <c:v>44189</c:v>
                </c:pt>
                <c:pt idx="25">
                  <c:v>44190</c:v>
                </c:pt>
                <c:pt idx="26">
                  <c:v>44193</c:v>
                </c:pt>
                <c:pt idx="27">
                  <c:v>44194</c:v>
                </c:pt>
                <c:pt idx="28">
                  <c:v>44195</c:v>
                </c:pt>
                <c:pt idx="29">
                  <c:v>44196</c:v>
                </c:pt>
                <c:pt idx="30">
                  <c:v>44200</c:v>
                </c:pt>
                <c:pt idx="31">
                  <c:v>44201</c:v>
                </c:pt>
                <c:pt idx="32">
                  <c:v>44202</c:v>
                </c:pt>
                <c:pt idx="33">
                  <c:v>44203</c:v>
                </c:pt>
                <c:pt idx="34">
                  <c:v>44204</c:v>
                </c:pt>
              </c:numCache>
            </c:numRef>
          </c:cat>
          <c:val>
            <c:numRef>
              <c:f>抱朴聚配!$B$21:$B$55</c:f>
              <c:numCache>
                <c:formatCode>0.0000_ </c:formatCode>
                <c:ptCount val="35"/>
                <c:pt idx="0">
                  <c:v>1.036</c:v>
                </c:pt>
                <c:pt idx="1">
                  <c:v>1.0329999999999999</c:v>
                </c:pt>
                <c:pt idx="2">
                  <c:v>1.032</c:v>
                </c:pt>
                <c:pt idx="3">
                  <c:v>1.03</c:v>
                </c:pt>
                <c:pt idx="4">
                  <c:v>1.0289999999999999</c:v>
                </c:pt>
                <c:pt idx="5">
                  <c:v>1.0309999999999999</c:v>
                </c:pt>
                <c:pt idx="6">
                  <c:v>1.0269999999999999</c:v>
                </c:pt>
                <c:pt idx="7">
                  <c:v>1.04</c:v>
                </c:pt>
                <c:pt idx="8">
                  <c:v>1.0389999999999999</c:v>
                </c:pt>
                <c:pt idx="9">
                  <c:v>1.036</c:v>
                </c:pt>
                <c:pt idx="10">
                  <c:v>1.0329999999999999</c:v>
                </c:pt>
                <c:pt idx="11">
                  <c:v>1.0309999999999999</c:v>
                </c:pt>
                <c:pt idx="12">
                  <c:v>1.0309999999999999</c:v>
                </c:pt>
                <c:pt idx="13">
                  <c:v>1.0309999999999999</c:v>
                </c:pt>
                <c:pt idx="14">
                  <c:v>1.03</c:v>
                </c:pt>
                <c:pt idx="15">
                  <c:v>1.0249999999999999</c:v>
                </c:pt>
                <c:pt idx="16">
                  <c:v>1.03</c:v>
                </c:pt>
                <c:pt idx="17">
                  <c:v>1.03</c:v>
                </c:pt>
                <c:pt idx="18">
                  <c:v>1.0309999999999999</c:v>
                </c:pt>
                <c:pt idx="19">
                  <c:v>1.036</c:v>
                </c:pt>
                <c:pt idx="20">
                  <c:v>1.032</c:v>
                </c:pt>
                <c:pt idx="21">
                  <c:v>1.0309999999999999</c:v>
                </c:pt>
                <c:pt idx="22">
                  <c:v>1.026</c:v>
                </c:pt>
                <c:pt idx="23">
                  <c:v>1.0229999999999999</c:v>
                </c:pt>
                <c:pt idx="24">
                  <c:v>1.0169999999999999</c:v>
                </c:pt>
                <c:pt idx="25">
                  <c:v>1.02</c:v>
                </c:pt>
                <c:pt idx="26">
                  <c:v>1.0129999999999999</c:v>
                </c:pt>
                <c:pt idx="27">
                  <c:v>1.008</c:v>
                </c:pt>
                <c:pt idx="28">
                  <c:v>1.004</c:v>
                </c:pt>
                <c:pt idx="29">
                  <c:v>1.012</c:v>
                </c:pt>
                <c:pt idx="30">
                  <c:v>1.0309999999999999</c:v>
                </c:pt>
                <c:pt idx="31">
                  <c:v>1.0229999999999999</c:v>
                </c:pt>
                <c:pt idx="32">
                  <c:v>1.0209999999999999</c:v>
                </c:pt>
                <c:pt idx="33">
                  <c:v>1.022</c:v>
                </c:pt>
                <c:pt idx="34">
                  <c:v>1.0189999999999999</c:v>
                </c:pt>
              </c:numCache>
            </c:numRef>
          </c:val>
          <c:smooth val="0"/>
          <c:extLst>
            <c:ext xmlns:c16="http://schemas.microsoft.com/office/drawing/2014/chart" uri="{C3380CC4-5D6E-409C-BE32-E72D297353CC}">
              <c16:uniqueId val="{00000000-6789-461A-845E-14399E67F0C2}"/>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沪深</a:t>
            </a:r>
            <a:r>
              <a:rPr lang="en-US" altLang="zh-CN" sz="1600"/>
              <a:t>300</a:t>
            </a:r>
            <a:r>
              <a:rPr lang="zh-CN" altLang="en-US" sz="1600"/>
              <a:t>单利宝</a:t>
            </a:r>
            <a:r>
              <a:rPr lang="en-US" altLang="zh-CN" sz="1600"/>
              <a:t>1</a:t>
            </a:r>
            <a:r>
              <a:rPr lang="zh-CN" altLang="en-US" sz="1600"/>
              <a:t>号</a:t>
            </a:r>
            <a:endParaRPr lang="en-US" altLang="zh-CN" sz="1600"/>
          </a:p>
        </c:rich>
      </c:tx>
      <c:overlay val="0"/>
    </c:title>
    <c:autoTitleDeleted val="0"/>
    <c:plotArea>
      <c:layout/>
      <c:lineChart>
        <c:grouping val="standard"/>
        <c:varyColors val="0"/>
        <c:ser>
          <c:idx val="0"/>
          <c:order val="0"/>
          <c:tx>
            <c:strRef>
              <c:f>沪深300单利宝1号!$B$20</c:f>
              <c:strCache>
                <c:ptCount val="1"/>
                <c:pt idx="0">
                  <c:v>累计净值</c:v>
                </c:pt>
              </c:strCache>
            </c:strRef>
          </c:tx>
          <c:marker>
            <c:symbol val="none"/>
          </c:marker>
          <c:cat>
            <c:numRef>
              <c:f>沪深300单利宝1号!$A$21:$A$298</c:f>
              <c:numCache>
                <c:formatCode>m/d/yy</c:formatCode>
                <c:ptCount val="278"/>
                <c:pt idx="0">
                  <c:v>43699</c:v>
                </c:pt>
                <c:pt idx="1">
                  <c:v>43700</c:v>
                </c:pt>
                <c:pt idx="2">
                  <c:v>43703</c:v>
                </c:pt>
                <c:pt idx="3">
                  <c:v>43704</c:v>
                </c:pt>
                <c:pt idx="4">
                  <c:v>43705</c:v>
                </c:pt>
                <c:pt idx="5">
                  <c:v>43706</c:v>
                </c:pt>
                <c:pt idx="6">
                  <c:v>43707</c:v>
                </c:pt>
                <c:pt idx="7">
                  <c:v>43710</c:v>
                </c:pt>
                <c:pt idx="8">
                  <c:v>43711</c:v>
                </c:pt>
                <c:pt idx="9">
                  <c:v>43712</c:v>
                </c:pt>
                <c:pt idx="10">
                  <c:v>43713</c:v>
                </c:pt>
                <c:pt idx="11">
                  <c:v>43714</c:v>
                </c:pt>
                <c:pt idx="12">
                  <c:v>43717</c:v>
                </c:pt>
                <c:pt idx="13">
                  <c:v>43718</c:v>
                </c:pt>
                <c:pt idx="14">
                  <c:v>43719</c:v>
                </c:pt>
                <c:pt idx="15">
                  <c:v>43720</c:v>
                </c:pt>
                <c:pt idx="16">
                  <c:v>43724</c:v>
                </c:pt>
                <c:pt idx="17">
                  <c:v>43725</c:v>
                </c:pt>
                <c:pt idx="18">
                  <c:v>43726</c:v>
                </c:pt>
                <c:pt idx="19">
                  <c:v>43727</c:v>
                </c:pt>
                <c:pt idx="20">
                  <c:v>43728</c:v>
                </c:pt>
                <c:pt idx="21">
                  <c:v>43731</c:v>
                </c:pt>
                <c:pt idx="22">
                  <c:v>43732</c:v>
                </c:pt>
                <c:pt idx="23">
                  <c:v>43733</c:v>
                </c:pt>
                <c:pt idx="24">
                  <c:v>43734</c:v>
                </c:pt>
                <c:pt idx="25">
                  <c:v>43735</c:v>
                </c:pt>
                <c:pt idx="26">
                  <c:v>43738</c:v>
                </c:pt>
                <c:pt idx="27">
                  <c:v>43746</c:v>
                </c:pt>
                <c:pt idx="28">
                  <c:v>43747</c:v>
                </c:pt>
                <c:pt idx="29">
                  <c:v>43748</c:v>
                </c:pt>
                <c:pt idx="30">
                  <c:v>43749</c:v>
                </c:pt>
                <c:pt idx="31">
                  <c:v>43752</c:v>
                </c:pt>
                <c:pt idx="32">
                  <c:v>43753</c:v>
                </c:pt>
                <c:pt idx="33">
                  <c:v>43754</c:v>
                </c:pt>
                <c:pt idx="34">
                  <c:v>43755</c:v>
                </c:pt>
                <c:pt idx="35">
                  <c:v>43756</c:v>
                </c:pt>
                <c:pt idx="36">
                  <c:v>43759</c:v>
                </c:pt>
                <c:pt idx="37">
                  <c:v>43760</c:v>
                </c:pt>
                <c:pt idx="38">
                  <c:v>43761</c:v>
                </c:pt>
                <c:pt idx="39">
                  <c:v>43762</c:v>
                </c:pt>
                <c:pt idx="40">
                  <c:v>43763</c:v>
                </c:pt>
                <c:pt idx="41">
                  <c:v>43766</c:v>
                </c:pt>
                <c:pt idx="42">
                  <c:v>43767</c:v>
                </c:pt>
                <c:pt idx="43">
                  <c:v>43768</c:v>
                </c:pt>
                <c:pt idx="44">
                  <c:v>43769</c:v>
                </c:pt>
                <c:pt idx="45">
                  <c:v>43770</c:v>
                </c:pt>
                <c:pt idx="46">
                  <c:v>43773</c:v>
                </c:pt>
                <c:pt idx="47">
                  <c:v>43774</c:v>
                </c:pt>
                <c:pt idx="48">
                  <c:v>43775</c:v>
                </c:pt>
                <c:pt idx="49">
                  <c:v>43776</c:v>
                </c:pt>
                <c:pt idx="50">
                  <c:v>43777</c:v>
                </c:pt>
                <c:pt idx="51">
                  <c:v>43780</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43797</c:v>
                </c:pt>
                <c:pt idx="65">
                  <c:v>43798</c:v>
                </c:pt>
                <c:pt idx="66">
                  <c:v>43801</c:v>
                </c:pt>
                <c:pt idx="67">
                  <c:v>43802</c:v>
                </c:pt>
                <c:pt idx="68">
                  <c:v>43803</c:v>
                </c:pt>
                <c:pt idx="69">
                  <c:v>43804</c:v>
                </c:pt>
                <c:pt idx="70">
                  <c:v>43805</c:v>
                </c:pt>
                <c:pt idx="71">
                  <c:v>43808</c:v>
                </c:pt>
                <c:pt idx="72">
                  <c:v>43809</c:v>
                </c:pt>
                <c:pt idx="73">
                  <c:v>43810</c:v>
                </c:pt>
                <c:pt idx="74">
                  <c:v>43811</c:v>
                </c:pt>
                <c:pt idx="75">
                  <c:v>43812</c:v>
                </c:pt>
                <c:pt idx="76">
                  <c:v>43815</c:v>
                </c:pt>
                <c:pt idx="77">
                  <c:v>43816</c:v>
                </c:pt>
                <c:pt idx="78">
                  <c:v>43817</c:v>
                </c:pt>
                <c:pt idx="79">
                  <c:v>43818</c:v>
                </c:pt>
                <c:pt idx="80">
                  <c:v>43819</c:v>
                </c:pt>
                <c:pt idx="81">
                  <c:v>43822</c:v>
                </c:pt>
                <c:pt idx="82">
                  <c:v>43823</c:v>
                </c:pt>
                <c:pt idx="83">
                  <c:v>43824</c:v>
                </c:pt>
                <c:pt idx="84">
                  <c:v>43825</c:v>
                </c:pt>
                <c:pt idx="85">
                  <c:v>43826</c:v>
                </c:pt>
                <c:pt idx="86">
                  <c:v>43829</c:v>
                </c:pt>
                <c:pt idx="87">
                  <c:v>43830</c:v>
                </c:pt>
                <c:pt idx="88">
                  <c:v>43832</c:v>
                </c:pt>
                <c:pt idx="89">
                  <c:v>43833</c:v>
                </c:pt>
                <c:pt idx="90">
                  <c:v>43836</c:v>
                </c:pt>
                <c:pt idx="91">
                  <c:v>43837</c:v>
                </c:pt>
                <c:pt idx="92">
                  <c:v>43838</c:v>
                </c:pt>
                <c:pt idx="93">
                  <c:v>43839</c:v>
                </c:pt>
                <c:pt idx="94">
                  <c:v>43840</c:v>
                </c:pt>
                <c:pt idx="95">
                  <c:v>43843</c:v>
                </c:pt>
                <c:pt idx="96">
                  <c:v>43844</c:v>
                </c:pt>
                <c:pt idx="97">
                  <c:v>43845</c:v>
                </c:pt>
                <c:pt idx="98">
                  <c:v>43846</c:v>
                </c:pt>
                <c:pt idx="99">
                  <c:v>43847</c:v>
                </c:pt>
                <c:pt idx="100">
                  <c:v>43850</c:v>
                </c:pt>
                <c:pt idx="101">
                  <c:v>43851</c:v>
                </c:pt>
                <c:pt idx="102">
                  <c:v>43852</c:v>
                </c:pt>
                <c:pt idx="103">
                  <c:v>43853</c:v>
                </c:pt>
                <c:pt idx="104">
                  <c:v>43864</c:v>
                </c:pt>
                <c:pt idx="105">
                  <c:v>43865</c:v>
                </c:pt>
                <c:pt idx="106">
                  <c:v>43866</c:v>
                </c:pt>
                <c:pt idx="107">
                  <c:v>43867</c:v>
                </c:pt>
                <c:pt idx="108">
                  <c:v>43868</c:v>
                </c:pt>
                <c:pt idx="109">
                  <c:v>43871</c:v>
                </c:pt>
                <c:pt idx="110">
                  <c:v>43872</c:v>
                </c:pt>
                <c:pt idx="111">
                  <c:v>43873</c:v>
                </c:pt>
                <c:pt idx="112">
                  <c:v>43874</c:v>
                </c:pt>
                <c:pt idx="113">
                  <c:v>43875</c:v>
                </c:pt>
                <c:pt idx="114">
                  <c:v>43878</c:v>
                </c:pt>
                <c:pt idx="115">
                  <c:v>43879</c:v>
                </c:pt>
                <c:pt idx="116">
                  <c:v>43880</c:v>
                </c:pt>
                <c:pt idx="117">
                  <c:v>43881</c:v>
                </c:pt>
                <c:pt idx="118">
                  <c:v>43882</c:v>
                </c:pt>
                <c:pt idx="119">
                  <c:v>43885</c:v>
                </c:pt>
                <c:pt idx="120">
                  <c:v>43886</c:v>
                </c:pt>
                <c:pt idx="121">
                  <c:v>43887</c:v>
                </c:pt>
                <c:pt idx="122">
                  <c:v>43888</c:v>
                </c:pt>
                <c:pt idx="123">
                  <c:v>43889</c:v>
                </c:pt>
                <c:pt idx="124">
                  <c:v>43892</c:v>
                </c:pt>
                <c:pt idx="125">
                  <c:v>43893</c:v>
                </c:pt>
                <c:pt idx="126">
                  <c:v>43894</c:v>
                </c:pt>
                <c:pt idx="127">
                  <c:v>43895</c:v>
                </c:pt>
                <c:pt idx="128">
                  <c:v>43896</c:v>
                </c:pt>
                <c:pt idx="129">
                  <c:v>43899</c:v>
                </c:pt>
                <c:pt idx="130">
                  <c:v>43900</c:v>
                </c:pt>
                <c:pt idx="131">
                  <c:v>43901</c:v>
                </c:pt>
                <c:pt idx="132">
                  <c:v>43902</c:v>
                </c:pt>
                <c:pt idx="133">
                  <c:v>43903</c:v>
                </c:pt>
                <c:pt idx="134">
                  <c:v>43906</c:v>
                </c:pt>
                <c:pt idx="135">
                  <c:v>43907</c:v>
                </c:pt>
                <c:pt idx="136">
                  <c:v>43908</c:v>
                </c:pt>
                <c:pt idx="137">
                  <c:v>43909</c:v>
                </c:pt>
                <c:pt idx="138">
                  <c:v>43910</c:v>
                </c:pt>
                <c:pt idx="139">
                  <c:v>43913</c:v>
                </c:pt>
                <c:pt idx="140">
                  <c:v>43914</c:v>
                </c:pt>
                <c:pt idx="141">
                  <c:v>43915</c:v>
                </c:pt>
                <c:pt idx="142">
                  <c:v>43916</c:v>
                </c:pt>
                <c:pt idx="143">
                  <c:v>43917</c:v>
                </c:pt>
                <c:pt idx="144">
                  <c:v>43920</c:v>
                </c:pt>
                <c:pt idx="145">
                  <c:v>43921</c:v>
                </c:pt>
                <c:pt idx="146">
                  <c:v>43922</c:v>
                </c:pt>
                <c:pt idx="147">
                  <c:v>43923</c:v>
                </c:pt>
                <c:pt idx="148">
                  <c:v>43924</c:v>
                </c:pt>
                <c:pt idx="149">
                  <c:v>43928</c:v>
                </c:pt>
                <c:pt idx="150">
                  <c:v>43929</c:v>
                </c:pt>
                <c:pt idx="151">
                  <c:v>43930</c:v>
                </c:pt>
                <c:pt idx="152">
                  <c:v>43931</c:v>
                </c:pt>
                <c:pt idx="153">
                  <c:v>43934</c:v>
                </c:pt>
                <c:pt idx="154">
                  <c:v>43935</c:v>
                </c:pt>
                <c:pt idx="155">
                  <c:v>43936</c:v>
                </c:pt>
                <c:pt idx="156">
                  <c:v>43937</c:v>
                </c:pt>
                <c:pt idx="157">
                  <c:v>43938</c:v>
                </c:pt>
                <c:pt idx="158">
                  <c:v>43941</c:v>
                </c:pt>
                <c:pt idx="159">
                  <c:v>43942</c:v>
                </c:pt>
                <c:pt idx="160">
                  <c:v>43943</c:v>
                </c:pt>
                <c:pt idx="161">
                  <c:v>43944</c:v>
                </c:pt>
                <c:pt idx="162">
                  <c:v>43945</c:v>
                </c:pt>
                <c:pt idx="163">
                  <c:v>43948</c:v>
                </c:pt>
                <c:pt idx="164">
                  <c:v>43949</c:v>
                </c:pt>
                <c:pt idx="165">
                  <c:v>43950</c:v>
                </c:pt>
                <c:pt idx="166">
                  <c:v>43951</c:v>
                </c:pt>
                <c:pt idx="167">
                  <c:v>43957</c:v>
                </c:pt>
                <c:pt idx="168">
                  <c:v>43958</c:v>
                </c:pt>
                <c:pt idx="169">
                  <c:v>43959</c:v>
                </c:pt>
                <c:pt idx="170">
                  <c:v>43962</c:v>
                </c:pt>
                <c:pt idx="171">
                  <c:v>43963</c:v>
                </c:pt>
                <c:pt idx="172">
                  <c:v>43964</c:v>
                </c:pt>
                <c:pt idx="173">
                  <c:v>43965</c:v>
                </c:pt>
                <c:pt idx="174">
                  <c:v>43966</c:v>
                </c:pt>
                <c:pt idx="175">
                  <c:v>43969</c:v>
                </c:pt>
                <c:pt idx="176">
                  <c:v>43970</c:v>
                </c:pt>
                <c:pt idx="177">
                  <c:v>43971</c:v>
                </c:pt>
                <c:pt idx="178">
                  <c:v>43972</c:v>
                </c:pt>
                <c:pt idx="179">
                  <c:v>43973</c:v>
                </c:pt>
                <c:pt idx="180">
                  <c:v>43976</c:v>
                </c:pt>
                <c:pt idx="181">
                  <c:v>43977</c:v>
                </c:pt>
                <c:pt idx="182">
                  <c:v>43978</c:v>
                </c:pt>
                <c:pt idx="183">
                  <c:v>43979</c:v>
                </c:pt>
                <c:pt idx="184">
                  <c:v>43980</c:v>
                </c:pt>
                <c:pt idx="185">
                  <c:v>43983</c:v>
                </c:pt>
                <c:pt idx="186">
                  <c:v>43984</c:v>
                </c:pt>
                <c:pt idx="187">
                  <c:v>43985</c:v>
                </c:pt>
                <c:pt idx="188">
                  <c:v>43986</c:v>
                </c:pt>
                <c:pt idx="189">
                  <c:v>43987</c:v>
                </c:pt>
                <c:pt idx="190">
                  <c:v>43990</c:v>
                </c:pt>
                <c:pt idx="191">
                  <c:v>43991</c:v>
                </c:pt>
                <c:pt idx="192">
                  <c:v>43992</c:v>
                </c:pt>
                <c:pt idx="193">
                  <c:v>43993</c:v>
                </c:pt>
                <c:pt idx="194">
                  <c:v>43994</c:v>
                </c:pt>
                <c:pt idx="195">
                  <c:v>43997</c:v>
                </c:pt>
                <c:pt idx="196">
                  <c:v>43998</c:v>
                </c:pt>
                <c:pt idx="197">
                  <c:v>43999</c:v>
                </c:pt>
                <c:pt idx="198">
                  <c:v>44000</c:v>
                </c:pt>
                <c:pt idx="199">
                  <c:v>44001</c:v>
                </c:pt>
                <c:pt idx="200">
                  <c:v>44004</c:v>
                </c:pt>
                <c:pt idx="201">
                  <c:v>44005</c:v>
                </c:pt>
                <c:pt idx="202">
                  <c:v>44006</c:v>
                </c:pt>
                <c:pt idx="203">
                  <c:v>44011</c:v>
                </c:pt>
                <c:pt idx="204">
                  <c:v>44012</c:v>
                </c:pt>
                <c:pt idx="205">
                  <c:v>44013</c:v>
                </c:pt>
                <c:pt idx="206">
                  <c:v>44014</c:v>
                </c:pt>
                <c:pt idx="207">
                  <c:v>44015</c:v>
                </c:pt>
                <c:pt idx="208">
                  <c:v>44018</c:v>
                </c:pt>
                <c:pt idx="209">
                  <c:v>44019</c:v>
                </c:pt>
                <c:pt idx="210">
                  <c:v>44020</c:v>
                </c:pt>
                <c:pt idx="211">
                  <c:v>44021</c:v>
                </c:pt>
                <c:pt idx="212">
                  <c:v>44022</c:v>
                </c:pt>
                <c:pt idx="213">
                  <c:v>44025</c:v>
                </c:pt>
                <c:pt idx="214">
                  <c:v>44026</c:v>
                </c:pt>
                <c:pt idx="215">
                  <c:v>44027</c:v>
                </c:pt>
                <c:pt idx="216">
                  <c:v>44028</c:v>
                </c:pt>
                <c:pt idx="217">
                  <c:v>44029</c:v>
                </c:pt>
                <c:pt idx="218">
                  <c:v>44032</c:v>
                </c:pt>
                <c:pt idx="219">
                  <c:v>44033</c:v>
                </c:pt>
                <c:pt idx="220">
                  <c:v>44034</c:v>
                </c:pt>
                <c:pt idx="221">
                  <c:v>44035</c:v>
                </c:pt>
                <c:pt idx="222">
                  <c:v>44036</c:v>
                </c:pt>
                <c:pt idx="223">
                  <c:v>44039</c:v>
                </c:pt>
                <c:pt idx="224">
                  <c:v>44040</c:v>
                </c:pt>
                <c:pt idx="225">
                  <c:v>44041</c:v>
                </c:pt>
                <c:pt idx="226">
                  <c:v>44042</c:v>
                </c:pt>
                <c:pt idx="227">
                  <c:v>44043</c:v>
                </c:pt>
                <c:pt idx="228">
                  <c:v>44046</c:v>
                </c:pt>
                <c:pt idx="229">
                  <c:v>44047</c:v>
                </c:pt>
                <c:pt idx="230">
                  <c:v>44048</c:v>
                </c:pt>
                <c:pt idx="231">
                  <c:v>44049</c:v>
                </c:pt>
                <c:pt idx="232">
                  <c:v>44050</c:v>
                </c:pt>
                <c:pt idx="233">
                  <c:v>44053</c:v>
                </c:pt>
                <c:pt idx="234">
                  <c:v>44054</c:v>
                </c:pt>
                <c:pt idx="235">
                  <c:v>44055</c:v>
                </c:pt>
                <c:pt idx="236">
                  <c:v>44056</c:v>
                </c:pt>
                <c:pt idx="237">
                  <c:v>44057</c:v>
                </c:pt>
                <c:pt idx="238">
                  <c:v>44060</c:v>
                </c:pt>
                <c:pt idx="239">
                  <c:v>44061</c:v>
                </c:pt>
                <c:pt idx="240">
                  <c:v>44062</c:v>
                </c:pt>
                <c:pt idx="241">
                  <c:v>44063</c:v>
                </c:pt>
                <c:pt idx="242">
                  <c:v>44064</c:v>
                </c:pt>
                <c:pt idx="243">
                  <c:v>44067</c:v>
                </c:pt>
                <c:pt idx="244">
                  <c:v>44068</c:v>
                </c:pt>
                <c:pt idx="245">
                  <c:v>44069</c:v>
                </c:pt>
                <c:pt idx="246">
                  <c:v>44070</c:v>
                </c:pt>
                <c:pt idx="247">
                  <c:v>44071</c:v>
                </c:pt>
                <c:pt idx="248">
                  <c:v>44074</c:v>
                </c:pt>
                <c:pt idx="249">
                  <c:v>44075</c:v>
                </c:pt>
                <c:pt idx="250">
                  <c:v>44076</c:v>
                </c:pt>
                <c:pt idx="251">
                  <c:v>44077</c:v>
                </c:pt>
                <c:pt idx="252">
                  <c:v>44078</c:v>
                </c:pt>
                <c:pt idx="253">
                  <c:v>44081</c:v>
                </c:pt>
                <c:pt idx="254">
                  <c:v>44082</c:v>
                </c:pt>
                <c:pt idx="255">
                  <c:v>44083</c:v>
                </c:pt>
                <c:pt idx="256">
                  <c:v>44084</c:v>
                </c:pt>
                <c:pt idx="257">
                  <c:v>44085</c:v>
                </c:pt>
                <c:pt idx="258">
                  <c:v>44088</c:v>
                </c:pt>
                <c:pt idx="259">
                  <c:v>44089</c:v>
                </c:pt>
                <c:pt idx="260">
                  <c:v>44090</c:v>
                </c:pt>
                <c:pt idx="261">
                  <c:v>44091</c:v>
                </c:pt>
                <c:pt idx="262">
                  <c:v>44092</c:v>
                </c:pt>
                <c:pt idx="263">
                  <c:v>44095</c:v>
                </c:pt>
                <c:pt idx="264">
                  <c:v>44096</c:v>
                </c:pt>
                <c:pt idx="265">
                  <c:v>44097</c:v>
                </c:pt>
                <c:pt idx="266">
                  <c:v>44098</c:v>
                </c:pt>
                <c:pt idx="267">
                  <c:v>44099</c:v>
                </c:pt>
                <c:pt idx="268">
                  <c:v>44102</c:v>
                </c:pt>
                <c:pt idx="269">
                  <c:v>44103</c:v>
                </c:pt>
                <c:pt idx="270">
                  <c:v>44104</c:v>
                </c:pt>
                <c:pt idx="271">
                  <c:v>44113</c:v>
                </c:pt>
                <c:pt idx="272">
                  <c:v>44116</c:v>
                </c:pt>
                <c:pt idx="273">
                  <c:v>44117</c:v>
                </c:pt>
                <c:pt idx="274">
                  <c:v>44118</c:v>
                </c:pt>
                <c:pt idx="275">
                  <c:v>44119</c:v>
                </c:pt>
                <c:pt idx="276">
                  <c:v>44120</c:v>
                </c:pt>
                <c:pt idx="277">
                  <c:v>44123</c:v>
                </c:pt>
              </c:numCache>
            </c:numRef>
          </c:cat>
          <c:val>
            <c:numRef>
              <c:f>沪深300单利宝1号!$B$21:$B$298</c:f>
              <c:numCache>
                <c:formatCode>0.0000_ </c:formatCode>
                <c:ptCount val="278"/>
                <c:pt idx="0">
                  <c:v>1.1249</c:v>
                </c:pt>
                <c:pt idx="1">
                  <c:v>1.1247</c:v>
                </c:pt>
                <c:pt idx="2">
                  <c:v>1.1259999999999999</c:v>
                </c:pt>
                <c:pt idx="3">
                  <c:v>1.1251</c:v>
                </c:pt>
                <c:pt idx="4">
                  <c:v>1.1248</c:v>
                </c:pt>
                <c:pt idx="5">
                  <c:v>1.1269</c:v>
                </c:pt>
                <c:pt idx="6">
                  <c:v>1.1287</c:v>
                </c:pt>
                <c:pt idx="7">
                  <c:v>1.1258999999999999</c:v>
                </c:pt>
                <c:pt idx="8">
                  <c:v>1.1292</c:v>
                </c:pt>
                <c:pt idx="9">
                  <c:v>1.1292</c:v>
                </c:pt>
                <c:pt idx="10">
                  <c:v>1.1236999999999999</c:v>
                </c:pt>
                <c:pt idx="11">
                  <c:v>1.1251</c:v>
                </c:pt>
                <c:pt idx="12">
                  <c:v>1.127</c:v>
                </c:pt>
                <c:pt idx="13">
                  <c:v>1.1253</c:v>
                </c:pt>
                <c:pt idx="14">
                  <c:v>1.1247</c:v>
                </c:pt>
                <c:pt idx="15">
                  <c:v>1.1242000000000001</c:v>
                </c:pt>
                <c:pt idx="16">
                  <c:v>1.1261000000000001</c:v>
                </c:pt>
                <c:pt idx="17">
                  <c:v>1.1274999999999999</c:v>
                </c:pt>
                <c:pt idx="18">
                  <c:v>1.1275999999999999</c:v>
                </c:pt>
                <c:pt idx="19">
                  <c:v>1.1291</c:v>
                </c:pt>
                <c:pt idx="20">
                  <c:v>1.1295999999999999</c:v>
                </c:pt>
                <c:pt idx="21">
                  <c:v>1.1292</c:v>
                </c:pt>
                <c:pt idx="22">
                  <c:v>1.1286</c:v>
                </c:pt>
                <c:pt idx="23">
                  <c:v>1.1262000000000001</c:v>
                </c:pt>
                <c:pt idx="24">
                  <c:v>1.1258999999999999</c:v>
                </c:pt>
                <c:pt idx="25">
                  <c:v>1.1271</c:v>
                </c:pt>
                <c:pt idx="26">
                  <c:v>1.1273</c:v>
                </c:pt>
                <c:pt idx="27">
                  <c:v>1.1293</c:v>
                </c:pt>
                <c:pt idx="28">
                  <c:v>1.1315</c:v>
                </c:pt>
                <c:pt idx="29">
                  <c:v>1.1327</c:v>
                </c:pt>
                <c:pt idx="30">
                  <c:v>1.1308</c:v>
                </c:pt>
                <c:pt idx="31">
                  <c:v>1.1312</c:v>
                </c:pt>
                <c:pt idx="32">
                  <c:v>1.1302000000000001</c:v>
                </c:pt>
                <c:pt idx="33">
                  <c:v>1.1328</c:v>
                </c:pt>
                <c:pt idx="34">
                  <c:v>1.1341000000000001</c:v>
                </c:pt>
                <c:pt idx="35">
                  <c:v>1.1356999999999999</c:v>
                </c:pt>
                <c:pt idx="36">
                  <c:v>1.1375999999999999</c:v>
                </c:pt>
                <c:pt idx="37">
                  <c:v>1.1375</c:v>
                </c:pt>
                <c:pt idx="38">
                  <c:v>1.1369</c:v>
                </c:pt>
                <c:pt idx="39">
                  <c:v>1.135</c:v>
                </c:pt>
                <c:pt idx="40">
                  <c:v>1.1349</c:v>
                </c:pt>
                <c:pt idx="41">
                  <c:v>1.1355999999999999</c:v>
                </c:pt>
                <c:pt idx="42">
                  <c:v>1.1335999999999999</c:v>
                </c:pt>
                <c:pt idx="43">
                  <c:v>1.1366000000000001</c:v>
                </c:pt>
                <c:pt idx="44">
                  <c:v>1.1366000000000001</c:v>
                </c:pt>
                <c:pt idx="45">
                  <c:v>1.1348</c:v>
                </c:pt>
                <c:pt idx="46">
                  <c:v>1.1356999999999999</c:v>
                </c:pt>
                <c:pt idx="47">
                  <c:v>1.1358999999999999</c:v>
                </c:pt>
                <c:pt idx="48">
                  <c:v>1.1372</c:v>
                </c:pt>
                <c:pt idx="49">
                  <c:v>1.1369</c:v>
                </c:pt>
                <c:pt idx="50">
                  <c:v>1.1355</c:v>
                </c:pt>
                <c:pt idx="51">
                  <c:v>1.135</c:v>
                </c:pt>
                <c:pt idx="52">
                  <c:v>1.1388</c:v>
                </c:pt>
                <c:pt idx="53">
                  <c:v>1.1388</c:v>
                </c:pt>
                <c:pt idx="54">
                  <c:v>1.1380999999999999</c:v>
                </c:pt>
                <c:pt idx="55">
                  <c:v>1.1358999999999999</c:v>
                </c:pt>
                <c:pt idx="56">
                  <c:v>1.1369</c:v>
                </c:pt>
                <c:pt idx="57">
                  <c:v>1.1378999999999999</c:v>
                </c:pt>
                <c:pt idx="58">
                  <c:v>1.1375999999999999</c:v>
                </c:pt>
                <c:pt idx="59">
                  <c:v>1.1375999999999999</c:v>
                </c:pt>
                <c:pt idx="60">
                  <c:v>1.1399999999999999</c:v>
                </c:pt>
                <c:pt idx="61">
                  <c:v>1.1403000000000001</c:v>
                </c:pt>
                <c:pt idx="62">
                  <c:v>1.1412</c:v>
                </c:pt>
                <c:pt idx="63">
                  <c:v>1.1393</c:v>
                </c:pt>
                <c:pt idx="64">
                  <c:v>1.1385000000000001</c:v>
                </c:pt>
                <c:pt idx="65">
                  <c:v>1.1389</c:v>
                </c:pt>
                <c:pt idx="66">
                  <c:v>1.1392</c:v>
                </c:pt>
                <c:pt idx="67">
                  <c:v>1.1398999999999999</c:v>
                </c:pt>
                <c:pt idx="68">
                  <c:v>1.1395999999999999</c:v>
                </c:pt>
                <c:pt idx="69">
                  <c:v>1.1382000000000001</c:v>
                </c:pt>
                <c:pt idx="70">
                  <c:v>1.1393</c:v>
                </c:pt>
                <c:pt idx="71">
                  <c:v>1.1378999999999999</c:v>
                </c:pt>
                <c:pt idx="72">
                  <c:v>1.1375999999999999</c:v>
                </c:pt>
                <c:pt idx="73">
                  <c:v>1.1384000000000001</c:v>
                </c:pt>
                <c:pt idx="74">
                  <c:v>1.1377999999999999</c:v>
                </c:pt>
                <c:pt idx="75">
                  <c:v>1.1386000000000001</c:v>
                </c:pt>
                <c:pt idx="76">
                  <c:v>1.1397999999999999</c:v>
                </c:pt>
                <c:pt idx="77">
                  <c:v>1.1345000000000001</c:v>
                </c:pt>
                <c:pt idx="78">
                  <c:v>1.1355</c:v>
                </c:pt>
                <c:pt idx="79">
                  <c:v>1.1349</c:v>
                </c:pt>
                <c:pt idx="80">
                  <c:v>1.1337999999999999</c:v>
                </c:pt>
                <c:pt idx="81">
                  <c:v>1.1356999999999999</c:v>
                </c:pt>
                <c:pt idx="82">
                  <c:v>1.1389</c:v>
                </c:pt>
                <c:pt idx="83">
                  <c:v>1.1403000000000001</c:v>
                </c:pt>
                <c:pt idx="84">
                  <c:v>1.1413</c:v>
                </c:pt>
                <c:pt idx="85">
                  <c:v>1.1375999999999999</c:v>
                </c:pt>
                <c:pt idx="86">
                  <c:v>1.1397999999999999</c:v>
                </c:pt>
                <c:pt idx="87">
                  <c:v>1.1403000000000001</c:v>
                </c:pt>
                <c:pt idx="88">
                  <c:v>1.1394</c:v>
                </c:pt>
                <c:pt idx="89">
                  <c:v>1.1413</c:v>
                </c:pt>
                <c:pt idx="90">
                  <c:v>1.1437999999999999</c:v>
                </c:pt>
                <c:pt idx="91">
                  <c:v>1.1446000000000001</c:v>
                </c:pt>
                <c:pt idx="92">
                  <c:v>1.1439999999999999</c:v>
                </c:pt>
                <c:pt idx="93">
                  <c:v>1.1476</c:v>
                </c:pt>
                <c:pt idx="94">
                  <c:v>1.147</c:v>
                </c:pt>
                <c:pt idx="95">
                  <c:v>1.1497999999999999</c:v>
                </c:pt>
                <c:pt idx="96">
                  <c:v>1.1455</c:v>
                </c:pt>
                <c:pt idx="97">
                  <c:v>1.1471</c:v>
                </c:pt>
                <c:pt idx="98">
                  <c:v>1.1477999999999999</c:v>
                </c:pt>
                <c:pt idx="99">
                  <c:v>1.1474</c:v>
                </c:pt>
                <c:pt idx="100">
                  <c:v>1.1494</c:v>
                </c:pt>
                <c:pt idx="101">
                  <c:v>1.1496999999999999</c:v>
                </c:pt>
                <c:pt idx="102">
                  <c:v>1.1517999999999999</c:v>
                </c:pt>
                <c:pt idx="103">
                  <c:v>1.1584000000000001</c:v>
                </c:pt>
                <c:pt idx="104">
                  <c:v>1.1698999999999999</c:v>
                </c:pt>
                <c:pt idx="105">
                  <c:v>1.161</c:v>
                </c:pt>
                <c:pt idx="106">
                  <c:v>1.1638999999999999</c:v>
                </c:pt>
                <c:pt idx="107">
                  <c:v>1.1609</c:v>
                </c:pt>
                <c:pt idx="108">
                  <c:v>1.1631</c:v>
                </c:pt>
                <c:pt idx="109">
                  <c:v>1.1651</c:v>
                </c:pt>
                <c:pt idx="110">
                  <c:v>1.1649</c:v>
                </c:pt>
                <c:pt idx="111">
                  <c:v>1.1687000000000001</c:v>
                </c:pt>
                <c:pt idx="112">
                  <c:v>1.1662999999999999</c:v>
                </c:pt>
                <c:pt idx="113">
                  <c:v>1.1685000000000001</c:v>
                </c:pt>
                <c:pt idx="114">
                  <c:v>1.1654</c:v>
                </c:pt>
                <c:pt idx="115">
                  <c:v>1.1688000000000001</c:v>
                </c:pt>
                <c:pt idx="116">
                  <c:v>1.1688000000000001</c:v>
                </c:pt>
                <c:pt idx="117">
                  <c:v>1.1718999999999999</c:v>
                </c:pt>
                <c:pt idx="118">
                  <c:v>1.1702999999999999</c:v>
                </c:pt>
                <c:pt idx="119">
                  <c:v>1.1719999999999999</c:v>
                </c:pt>
                <c:pt idx="120">
                  <c:v>1.1755</c:v>
                </c:pt>
                <c:pt idx="121">
                  <c:v>1.1712</c:v>
                </c:pt>
                <c:pt idx="122">
                  <c:v>1.1738</c:v>
                </c:pt>
                <c:pt idx="123">
                  <c:v>1.1759999999999999</c:v>
                </c:pt>
                <c:pt idx="124">
                  <c:v>1.1749000000000001</c:v>
                </c:pt>
                <c:pt idx="125">
                  <c:v>1.1795</c:v>
                </c:pt>
                <c:pt idx="126">
                  <c:v>1.1821999999999999</c:v>
                </c:pt>
                <c:pt idx="127">
                  <c:v>1.1806000000000001</c:v>
                </c:pt>
                <c:pt idx="128">
                  <c:v>1.1806000000000001</c:v>
                </c:pt>
                <c:pt idx="129">
                  <c:v>1.1825000000000001</c:v>
                </c:pt>
                <c:pt idx="130">
                  <c:v>1.1849000000000001</c:v>
                </c:pt>
                <c:pt idx="131">
                  <c:v>1.1855</c:v>
                </c:pt>
                <c:pt idx="132">
                  <c:v>1.1896</c:v>
                </c:pt>
                <c:pt idx="133">
                  <c:v>1.1927000000000001</c:v>
                </c:pt>
                <c:pt idx="134">
                  <c:v>1.1931</c:v>
                </c:pt>
                <c:pt idx="135">
                  <c:v>1.1977</c:v>
                </c:pt>
                <c:pt idx="136">
                  <c:v>1.1980999999999999</c:v>
                </c:pt>
                <c:pt idx="137">
                  <c:v>1.2017</c:v>
                </c:pt>
                <c:pt idx="138">
                  <c:v>1.2022999999999999</c:v>
                </c:pt>
                <c:pt idx="139">
                  <c:v>1.1979</c:v>
                </c:pt>
                <c:pt idx="140">
                  <c:v>1.2004999999999999</c:v>
                </c:pt>
                <c:pt idx="141">
                  <c:v>1.2009000000000001</c:v>
                </c:pt>
                <c:pt idx="142">
                  <c:v>1.2029000000000001</c:v>
                </c:pt>
                <c:pt idx="143">
                  <c:v>1.2018</c:v>
                </c:pt>
                <c:pt idx="144">
                  <c:v>1.2032</c:v>
                </c:pt>
                <c:pt idx="145">
                  <c:v>1.2045999999999999</c:v>
                </c:pt>
                <c:pt idx="146">
                  <c:v>1.2050000000000001</c:v>
                </c:pt>
                <c:pt idx="147">
                  <c:v>1.2074</c:v>
                </c:pt>
                <c:pt idx="148">
                  <c:v>1.2051000000000001</c:v>
                </c:pt>
                <c:pt idx="149">
                  <c:v>1.2040999999999999</c:v>
                </c:pt>
                <c:pt idx="150">
                  <c:v>1.2055</c:v>
                </c:pt>
                <c:pt idx="151">
                  <c:v>1.2055</c:v>
                </c:pt>
                <c:pt idx="152">
                  <c:v>1.2056</c:v>
                </c:pt>
                <c:pt idx="153">
                  <c:v>1.2060999999999999</c:v>
                </c:pt>
                <c:pt idx="154">
                  <c:v>1.212</c:v>
                </c:pt>
                <c:pt idx="155">
                  <c:v>1.2078</c:v>
                </c:pt>
                <c:pt idx="156">
                  <c:v>1.2076</c:v>
                </c:pt>
                <c:pt idx="157">
                  <c:v>1.2091000000000001</c:v>
                </c:pt>
                <c:pt idx="158">
                  <c:v>1.2117</c:v>
                </c:pt>
                <c:pt idx="159">
                  <c:v>1.2129000000000001</c:v>
                </c:pt>
                <c:pt idx="160">
                  <c:v>1.2141</c:v>
                </c:pt>
                <c:pt idx="161">
                  <c:v>1.2128000000000001</c:v>
                </c:pt>
                <c:pt idx="162">
                  <c:v>1.2096</c:v>
                </c:pt>
                <c:pt idx="163">
                  <c:v>1.2083999999999999</c:v>
                </c:pt>
                <c:pt idx="164">
                  <c:v>1.2112000000000001</c:v>
                </c:pt>
                <c:pt idx="165">
                  <c:v>1.2114</c:v>
                </c:pt>
                <c:pt idx="166">
                  <c:v>1.2071000000000001</c:v>
                </c:pt>
                <c:pt idx="167">
                  <c:v>1.2104999999999999</c:v>
                </c:pt>
                <c:pt idx="168">
                  <c:v>1.2099</c:v>
                </c:pt>
                <c:pt idx="169">
                  <c:v>1.2103999999999999</c:v>
                </c:pt>
                <c:pt idx="170">
                  <c:v>1.2111000000000001</c:v>
                </c:pt>
                <c:pt idx="171">
                  <c:v>1.2129000000000001</c:v>
                </c:pt>
                <c:pt idx="172">
                  <c:v>1.2122999999999999</c:v>
                </c:pt>
                <c:pt idx="173">
                  <c:v>1.2109000000000001</c:v>
                </c:pt>
                <c:pt idx="174">
                  <c:v>1.2108000000000001</c:v>
                </c:pt>
                <c:pt idx="175">
                  <c:v>1.2087000000000001</c:v>
                </c:pt>
                <c:pt idx="176">
                  <c:v>1.2119</c:v>
                </c:pt>
                <c:pt idx="177">
                  <c:v>1.2107000000000001</c:v>
                </c:pt>
                <c:pt idx="178">
                  <c:v>1.2104999999999999</c:v>
                </c:pt>
                <c:pt idx="179">
                  <c:v>1.2102999999999999</c:v>
                </c:pt>
                <c:pt idx="180">
                  <c:v>1.2125999999999999</c:v>
                </c:pt>
                <c:pt idx="181">
                  <c:v>1.2148000000000001</c:v>
                </c:pt>
                <c:pt idx="182">
                  <c:v>1.2134</c:v>
                </c:pt>
                <c:pt idx="183">
                  <c:v>1.214</c:v>
                </c:pt>
                <c:pt idx="184">
                  <c:v>1.216</c:v>
                </c:pt>
                <c:pt idx="185">
                  <c:v>1.2135</c:v>
                </c:pt>
                <c:pt idx="186">
                  <c:v>1.2128000000000001</c:v>
                </c:pt>
                <c:pt idx="187">
                  <c:v>1.2121</c:v>
                </c:pt>
                <c:pt idx="188">
                  <c:v>1.2138</c:v>
                </c:pt>
                <c:pt idx="189">
                  <c:v>1.2154</c:v>
                </c:pt>
                <c:pt idx="190">
                  <c:v>1.2168000000000001</c:v>
                </c:pt>
                <c:pt idx="191">
                  <c:v>1.2177</c:v>
                </c:pt>
                <c:pt idx="192">
                  <c:v>1.2191000000000001</c:v>
                </c:pt>
                <c:pt idx="193">
                  <c:v>1.2232000000000001</c:v>
                </c:pt>
                <c:pt idx="194">
                  <c:v>1.2223999999999999</c:v>
                </c:pt>
                <c:pt idx="195">
                  <c:v>1.2234</c:v>
                </c:pt>
                <c:pt idx="196">
                  <c:v>1.2238</c:v>
                </c:pt>
                <c:pt idx="197">
                  <c:v>1.2233000000000001</c:v>
                </c:pt>
                <c:pt idx="198">
                  <c:v>1.2196</c:v>
                </c:pt>
                <c:pt idx="199">
                  <c:v>1.2116</c:v>
                </c:pt>
                <c:pt idx="200">
                  <c:v>1.21</c:v>
                </c:pt>
                <c:pt idx="201">
                  <c:v>1.2152000000000001</c:v>
                </c:pt>
                <c:pt idx="202">
                  <c:v>1.2143999999999999</c:v>
                </c:pt>
                <c:pt idx="203">
                  <c:v>1.216</c:v>
                </c:pt>
                <c:pt idx="204">
                  <c:v>1.2183999999999999</c:v>
                </c:pt>
                <c:pt idx="205">
                  <c:v>1.2212000000000001</c:v>
                </c:pt>
                <c:pt idx="206">
                  <c:v>1.2123999999999999</c:v>
                </c:pt>
                <c:pt idx="207">
                  <c:v>1.2141</c:v>
                </c:pt>
                <c:pt idx="208">
                  <c:v>1.1919999999999999</c:v>
                </c:pt>
                <c:pt idx="209">
                  <c:v>1.194</c:v>
                </c:pt>
                <c:pt idx="210">
                  <c:v>1.2063999999999999</c:v>
                </c:pt>
                <c:pt idx="211">
                  <c:v>1.212</c:v>
                </c:pt>
                <c:pt idx="212">
                  <c:v>1.2084999999999999</c:v>
                </c:pt>
                <c:pt idx="213">
                  <c:v>1.2149000000000001</c:v>
                </c:pt>
                <c:pt idx="214">
                  <c:v>1.2214</c:v>
                </c:pt>
                <c:pt idx="215">
                  <c:v>1.2132000000000001</c:v>
                </c:pt>
                <c:pt idx="216">
                  <c:v>1.2152000000000001</c:v>
                </c:pt>
                <c:pt idx="217">
                  <c:v>1.2241</c:v>
                </c:pt>
                <c:pt idx="218">
                  <c:v>1.2303999999999999</c:v>
                </c:pt>
                <c:pt idx="219">
                  <c:v>1.2311000000000001</c:v>
                </c:pt>
                <c:pt idx="220">
                  <c:v>1.2292000000000001</c:v>
                </c:pt>
                <c:pt idx="221">
                  <c:v>1.2301</c:v>
                </c:pt>
                <c:pt idx="222">
                  <c:v>1.2346999999999999</c:v>
                </c:pt>
                <c:pt idx="223">
                  <c:v>1.2371000000000001</c:v>
                </c:pt>
                <c:pt idx="224">
                  <c:v>1.24</c:v>
                </c:pt>
                <c:pt idx="225">
                  <c:v>1.2341</c:v>
                </c:pt>
                <c:pt idx="226">
                  <c:v>1.2330000000000001</c:v>
                </c:pt>
                <c:pt idx="227">
                  <c:v>1.2369000000000001</c:v>
                </c:pt>
                <c:pt idx="228">
                  <c:v>1.2392000000000001</c:v>
                </c:pt>
                <c:pt idx="229">
                  <c:v>1.2366999999999999</c:v>
                </c:pt>
                <c:pt idx="230">
                  <c:v>1.2418</c:v>
                </c:pt>
                <c:pt idx="231">
                  <c:v>1.2426999999999999</c:v>
                </c:pt>
                <c:pt idx="232">
                  <c:v>1.2390000000000001</c:v>
                </c:pt>
                <c:pt idx="233">
                  <c:v>1.2393000000000001</c:v>
                </c:pt>
                <c:pt idx="234">
                  <c:v>1.2388999999999999</c:v>
                </c:pt>
                <c:pt idx="235">
                  <c:v>1.2452000000000001</c:v>
                </c:pt>
                <c:pt idx="236">
                  <c:v>1.2433000000000001</c:v>
                </c:pt>
                <c:pt idx="237">
                  <c:v>1.2438</c:v>
                </c:pt>
                <c:pt idx="238">
                  <c:v>1.2394000000000001</c:v>
                </c:pt>
                <c:pt idx="239">
                  <c:v>1.2407999999999999</c:v>
                </c:pt>
                <c:pt idx="240">
                  <c:v>1.2392000000000001</c:v>
                </c:pt>
                <c:pt idx="241">
                  <c:v>1.2419</c:v>
                </c:pt>
                <c:pt idx="242">
                  <c:v>1.2442</c:v>
                </c:pt>
                <c:pt idx="243">
                  <c:v>1.2443</c:v>
                </c:pt>
                <c:pt idx="244">
                  <c:v>1.2445999999999999</c:v>
                </c:pt>
                <c:pt idx="245">
                  <c:v>1.2437</c:v>
                </c:pt>
                <c:pt idx="246">
                  <c:v>1.2444</c:v>
                </c:pt>
                <c:pt idx="247">
                  <c:v>1.2418</c:v>
                </c:pt>
                <c:pt idx="248">
                  <c:v>1.2393000000000001</c:v>
                </c:pt>
                <c:pt idx="249">
                  <c:v>1.2439</c:v>
                </c:pt>
                <c:pt idx="250">
                  <c:v>1.2441</c:v>
                </c:pt>
                <c:pt idx="251">
                  <c:v>1.2454000000000001</c:v>
                </c:pt>
                <c:pt idx="252">
                  <c:v>1.2452000000000001</c:v>
                </c:pt>
                <c:pt idx="253">
                  <c:v>1.2432000000000001</c:v>
                </c:pt>
                <c:pt idx="254">
                  <c:v>1.2445999999999999</c:v>
                </c:pt>
                <c:pt idx="255">
                  <c:v>1.2422</c:v>
                </c:pt>
                <c:pt idx="256">
                  <c:v>1.2436</c:v>
                </c:pt>
                <c:pt idx="257">
                  <c:v>1.2482</c:v>
                </c:pt>
                <c:pt idx="258">
                  <c:v>1.2509999999999999</c:v>
                </c:pt>
                <c:pt idx="259">
                  <c:v>1.2504999999999999</c:v>
                </c:pt>
                <c:pt idx="260">
                  <c:v>1.2521</c:v>
                </c:pt>
                <c:pt idx="261">
                  <c:v>1.2478</c:v>
                </c:pt>
                <c:pt idx="262">
                  <c:v>1.2470000000000001</c:v>
                </c:pt>
                <c:pt idx="263">
                  <c:v>1.2451000000000001</c:v>
                </c:pt>
                <c:pt idx="264">
                  <c:v>1.2470000000000001</c:v>
                </c:pt>
                <c:pt idx="265">
                  <c:v>1.2502</c:v>
                </c:pt>
                <c:pt idx="266">
                  <c:v>1.2479</c:v>
                </c:pt>
                <c:pt idx="267">
                  <c:v>1.246</c:v>
                </c:pt>
                <c:pt idx="268">
                  <c:v>1.2457</c:v>
                </c:pt>
                <c:pt idx="269">
                  <c:v>1.2436</c:v>
                </c:pt>
                <c:pt idx="270">
                  <c:v>1.25</c:v>
                </c:pt>
                <c:pt idx="271">
                  <c:v>1.2487999999999999</c:v>
                </c:pt>
                <c:pt idx="272">
                  <c:v>1.2486999999999999</c:v>
                </c:pt>
                <c:pt idx="273">
                  <c:v>1.2475000000000001</c:v>
                </c:pt>
                <c:pt idx="274">
                  <c:v>1.2458</c:v>
                </c:pt>
                <c:pt idx="275">
                  <c:v>1.2446999999999999</c:v>
                </c:pt>
                <c:pt idx="276">
                  <c:v>1.2446999999999999</c:v>
                </c:pt>
                <c:pt idx="277">
                  <c:v>1.2459</c:v>
                </c:pt>
              </c:numCache>
            </c:numRef>
          </c:val>
          <c:smooth val="0"/>
          <c:extLst>
            <c:ext xmlns:c16="http://schemas.microsoft.com/office/drawing/2014/chart" uri="{C3380CC4-5D6E-409C-BE32-E72D297353CC}">
              <c16:uniqueId val="{00000000-6AD3-4961-9E5F-79ECE4F10C59}"/>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格量稳健一号</a:t>
            </a:r>
            <a:endParaRPr lang="en-US" altLang="zh-CN" sz="1600"/>
          </a:p>
        </c:rich>
      </c:tx>
      <c:overlay val="0"/>
    </c:title>
    <c:autoTitleDeleted val="0"/>
    <c:plotArea>
      <c:layout/>
      <c:lineChart>
        <c:grouping val="standard"/>
        <c:varyColors val="0"/>
        <c:ser>
          <c:idx val="0"/>
          <c:order val="0"/>
          <c:tx>
            <c:strRef>
              <c:f>格量稳健1号!$B$20</c:f>
              <c:strCache>
                <c:ptCount val="1"/>
                <c:pt idx="0">
                  <c:v>累计净值</c:v>
                </c:pt>
              </c:strCache>
            </c:strRef>
          </c:tx>
          <c:marker>
            <c:symbol val="none"/>
          </c:marker>
          <c:cat>
            <c:numRef>
              <c:f>格量稳健1号!$A$21:$A$252</c:f>
              <c:numCache>
                <c:formatCode>m/d/yy</c:formatCode>
                <c:ptCount val="232"/>
                <c:pt idx="0">
                  <c:v>43700</c:v>
                </c:pt>
                <c:pt idx="1">
                  <c:v>43703</c:v>
                </c:pt>
                <c:pt idx="2">
                  <c:v>43704</c:v>
                </c:pt>
                <c:pt idx="3">
                  <c:v>43705</c:v>
                </c:pt>
                <c:pt idx="4">
                  <c:v>43706</c:v>
                </c:pt>
                <c:pt idx="5">
                  <c:v>43707</c:v>
                </c:pt>
                <c:pt idx="6">
                  <c:v>43710</c:v>
                </c:pt>
                <c:pt idx="7">
                  <c:v>43711</c:v>
                </c:pt>
                <c:pt idx="8">
                  <c:v>43712</c:v>
                </c:pt>
                <c:pt idx="9">
                  <c:v>43713</c:v>
                </c:pt>
                <c:pt idx="10">
                  <c:v>43714</c:v>
                </c:pt>
                <c:pt idx="11">
                  <c:v>43717</c:v>
                </c:pt>
                <c:pt idx="12">
                  <c:v>43718</c:v>
                </c:pt>
                <c:pt idx="13">
                  <c:v>43719</c:v>
                </c:pt>
                <c:pt idx="14">
                  <c:v>43720</c:v>
                </c:pt>
                <c:pt idx="15">
                  <c:v>43724</c:v>
                </c:pt>
                <c:pt idx="16">
                  <c:v>43725</c:v>
                </c:pt>
                <c:pt idx="17">
                  <c:v>43726</c:v>
                </c:pt>
                <c:pt idx="18">
                  <c:v>43727</c:v>
                </c:pt>
                <c:pt idx="19">
                  <c:v>43728</c:v>
                </c:pt>
                <c:pt idx="20">
                  <c:v>43731</c:v>
                </c:pt>
                <c:pt idx="21">
                  <c:v>43732</c:v>
                </c:pt>
                <c:pt idx="22">
                  <c:v>43733</c:v>
                </c:pt>
                <c:pt idx="23">
                  <c:v>43734</c:v>
                </c:pt>
                <c:pt idx="24">
                  <c:v>43735</c:v>
                </c:pt>
                <c:pt idx="25">
                  <c:v>43738</c:v>
                </c:pt>
                <c:pt idx="26">
                  <c:v>43746</c:v>
                </c:pt>
                <c:pt idx="27">
                  <c:v>43747</c:v>
                </c:pt>
                <c:pt idx="28">
                  <c:v>43748</c:v>
                </c:pt>
                <c:pt idx="29">
                  <c:v>43749</c:v>
                </c:pt>
                <c:pt idx="30">
                  <c:v>43752</c:v>
                </c:pt>
                <c:pt idx="31">
                  <c:v>43753</c:v>
                </c:pt>
                <c:pt idx="32">
                  <c:v>43754</c:v>
                </c:pt>
                <c:pt idx="33">
                  <c:v>43755</c:v>
                </c:pt>
                <c:pt idx="34">
                  <c:v>43756</c:v>
                </c:pt>
                <c:pt idx="35">
                  <c:v>43759</c:v>
                </c:pt>
                <c:pt idx="36">
                  <c:v>43760</c:v>
                </c:pt>
                <c:pt idx="37">
                  <c:v>43761</c:v>
                </c:pt>
                <c:pt idx="38">
                  <c:v>43762</c:v>
                </c:pt>
                <c:pt idx="39">
                  <c:v>43763</c:v>
                </c:pt>
                <c:pt idx="40">
                  <c:v>43766</c:v>
                </c:pt>
                <c:pt idx="41">
                  <c:v>43767</c:v>
                </c:pt>
                <c:pt idx="42">
                  <c:v>43768</c:v>
                </c:pt>
                <c:pt idx="43">
                  <c:v>43769</c:v>
                </c:pt>
                <c:pt idx="44">
                  <c:v>43770</c:v>
                </c:pt>
                <c:pt idx="45">
                  <c:v>43773</c:v>
                </c:pt>
                <c:pt idx="46">
                  <c:v>43774</c:v>
                </c:pt>
                <c:pt idx="47">
                  <c:v>43775</c:v>
                </c:pt>
                <c:pt idx="48">
                  <c:v>43776</c:v>
                </c:pt>
                <c:pt idx="49">
                  <c:v>43777</c:v>
                </c:pt>
                <c:pt idx="50">
                  <c:v>43780</c:v>
                </c:pt>
                <c:pt idx="51">
                  <c:v>43781</c:v>
                </c:pt>
                <c:pt idx="52">
                  <c:v>43782</c:v>
                </c:pt>
                <c:pt idx="53">
                  <c:v>43783</c:v>
                </c:pt>
                <c:pt idx="54">
                  <c:v>43784</c:v>
                </c:pt>
                <c:pt idx="55">
                  <c:v>43787</c:v>
                </c:pt>
                <c:pt idx="56">
                  <c:v>43788</c:v>
                </c:pt>
                <c:pt idx="57">
                  <c:v>43789</c:v>
                </c:pt>
                <c:pt idx="58">
                  <c:v>43790</c:v>
                </c:pt>
                <c:pt idx="59">
                  <c:v>43791</c:v>
                </c:pt>
                <c:pt idx="60">
                  <c:v>43794</c:v>
                </c:pt>
                <c:pt idx="61">
                  <c:v>43795</c:v>
                </c:pt>
                <c:pt idx="62">
                  <c:v>43796</c:v>
                </c:pt>
                <c:pt idx="63">
                  <c:v>43797</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43824</c:v>
                </c:pt>
                <c:pt idx="83">
                  <c:v>43825</c:v>
                </c:pt>
                <c:pt idx="84">
                  <c:v>43826</c:v>
                </c:pt>
                <c:pt idx="85">
                  <c:v>43829</c:v>
                </c:pt>
                <c:pt idx="86">
                  <c:v>43830</c:v>
                </c:pt>
                <c:pt idx="87">
                  <c:v>43832</c:v>
                </c:pt>
                <c:pt idx="88">
                  <c:v>43833</c:v>
                </c:pt>
                <c:pt idx="89">
                  <c:v>43836</c:v>
                </c:pt>
                <c:pt idx="90">
                  <c:v>43837</c:v>
                </c:pt>
                <c:pt idx="91">
                  <c:v>43838</c:v>
                </c:pt>
                <c:pt idx="92">
                  <c:v>43839</c:v>
                </c:pt>
                <c:pt idx="93">
                  <c:v>43840</c:v>
                </c:pt>
                <c:pt idx="94">
                  <c:v>43843</c:v>
                </c:pt>
                <c:pt idx="95">
                  <c:v>43844</c:v>
                </c:pt>
                <c:pt idx="96">
                  <c:v>43845</c:v>
                </c:pt>
                <c:pt idx="97">
                  <c:v>43846</c:v>
                </c:pt>
                <c:pt idx="98">
                  <c:v>43847</c:v>
                </c:pt>
                <c:pt idx="99">
                  <c:v>43850</c:v>
                </c:pt>
                <c:pt idx="100">
                  <c:v>43851</c:v>
                </c:pt>
                <c:pt idx="101">
                  <c:v>43852</c:v>
                </c:pt>
                <c:pt idx="102">
                  <c:v>43853</c:v>
                </c:pt>
                <c:pt idx="103">
                  <c:v>43864</c:v>
                </c:pt>
                <c:pt idx="104">
                  <c:v>43865</c:v>
                </c:pt>
                <c:pt idx="105">
                  <c:v>43866</c:v>
                </c:pt>
                <c:pt idx="106">
                  <c:v>43867</c:v>
                </c:pt>
                <c:pt idx="107">
                  <c:v>43868</c:v>
                </c:pt>
                <c:pt idx="108">
                  <c:v>43871</c:v>
                </c:pt>
                <c:pt idx="109">
                  <c:v>43872</c:v>
                </c:pt>
                <c:pt idx="110">
                  <c:v>43873</c:v>
                </c:pt>
                <c:pt idx="111">
                  <c:v>43874</c:v>
                </c:pt>
                <c:pt idx="112">
                  <c:v>43875</c:v>
                </c:pt>
                <c:pt idx="113">
                  <c:v>43878</c:v>
                </c:pt>
                <c:pt idx="114">
                  <c:v>43879</c:v>
                </c:pt>
                <c:pt idx="115">
                  <c:v>43880</c:v>
                </c:pt>
                <c:pt idx="116">
                  <c:v>43881</c:v>
                </c:pt>
                <c:pt idx="117">
                  <c:v>43882</c:v>
                </c:pt>
                <c:pt idx="118">
                  <c:v>43885</c:v>
                </c:pt>
                <c:pt idx="119">
                  <c:v>43886</c:v>
                </c:pt>
                <c:pt idx="120">
                  <c:v>43887</c:v>
                </c:pt>
                <c:pt idx="121">
                  <c:v>43888</c:v>
                </c:pt>
                <c:pt idx="122">
                  <c:v>43889</c:v>
                </c:pt>
                <c:pt idx="123">
                  <c:v>43892</c:v>
                </c:pt>
                <c:pt idx="124">
                  <c:v>43893</c:v>
                </c:pt>
                <c:pt idx="125">
                  <c:v>43894</c:v>
                </c:pt>
                <c:pt idx="126">
                  <c:v>43895</c:v>
                </c:pt>
                <c:pt idx="127">
                  <c:v>43896</c:v>
                </c:pt>
                <c:pt idx="128">
                  <c:v>43899</c:v>
                </c:pt>
                <c:pt idx="129">
                  <c:v>43900</c:v>
                </c:pt>
                <c:pt idx="130">
                  <c:v>43901</c:v>
                </c:pt>
                <c:pt idx="131">
                  <c:v>43902</c:v>
                </c:pt>
                <c:pt idx="132">
                  <c:v>43903</c:v>
                </c:pt>
                <c:pt idx="133">
                  <c:v>43906</c:v>
                </c:pt>
                <c:pt idx="134">
                  <c:v>43907</c:v>
                </c:pt>
                <c:pt idx="135">
                  <c:v>43908</c:v>
                </c:pt>
                <c:pt idx="136">
                  <c:v>43909</c:v>
                </c:pt>
                <c:pt idx="137">
                  <c:v>43910</c:v>
                </c:pt>
                <c:pt idx="138">
                  <c:v>43913</c:v>
                </c:pt>
                <c:pt idx="139">
                  <c:v>43914</c:v>
                </c:pt>
                <c:pt idx="140">
                  <c:v>43915</c:v>
                </c:pt>
                <c:pt idx="141">
                  <c:v>43916</c:v>
                </c:pt>
                <c:pt idx="142">
                  <c:v>43917</c:v>
                </c:pt>
                <c:pt idx="143">
                  <c:v>43920</c:v>
                </c:pt>
                <c:pt idx="144">
                  <c:v>43921</c:v>
                </c:pt>
                <c:pt idx="145">
                  <c:v>43922</c:v>
                </c:pt>
                <c:pt idx="146">
                  <c:v>43923</c:v>
                </c:pt>
                <c:pt idx="147">
                  <c:v>43924</c:v>
                </c:pt>
                <c:pt idx="148">
                  <c:v>43928</c:v>
                </c:pt>
                <c:pt idx="149">
                  <c:v>43929</c:v>
                </c:pt>
                <c:pt idx="150">
                  <c:v>43930</c:v>
                </c:pt>
                <c:pt idx="151">
                  <c:v>43931</c:v>
                </c:pt>
                <c:pt idx="152">
                  <c:v>43934</c:v>
                </c:pt>
                <c:pt idx="153">
                  <c:v>43935</c:v>
                </c:pt>
                <c:pt idx="154">
                  <c:v>43936</c:v>
                </c:pt>
                <c:pt idx="155">
                  <c:v>43937</c:v>
                </c:pt>
                <c:pt idx="156">
                  <c:v>43938</c:v>
                </c:pt>
                <c:pt idx="157">
                  <c:v>43941</c:v>
                </c:pt>
                <c:pt idx="158">
                  <c:v>43942</c:v>
                </c:pt>
                <c:pt idx="159">
                  <c:v>43943</c:v>
                </c:pt>
                <c:pt idx="160">
                  <c:v>43944</c:v>
                </c:pt>
                <c:pt idx="161">
                  <c:v>43945</c:v>
                </c:pt>
                <c:pt idx="162">
                  <c:v>43948</c:v>
                </c:pt>
                <c:pt idx="163">
                  <c:v>43949</c:v>
                </c:pt>
                <c:pt idx="164">
                  <c:v>43950</c:v>
                </c:pt>
                <c:pt idx="165">
                  <c:v>43951</c:v>
                </c:pt>
                <c:pt idx="166">
                  <c:v>43957</c:v>
                </c:pt>
                <c:pt idx="167">
                  <c:v>43958</c:v>
                </c:pt>
                <c:pt idx="168">
                  <c:v>43959</c:v>
                </c:pt>
                <c:pt idx="169">
                  <c:v>43962</c:v>
                </c:pt>
                <c:pt idx="170">
                  <c:v>43963</c:v>
                </c:pt>
                <c:pt idx="171">
                  <c:v>43964</c:v>
                </c:pt>
                <c:pt idx="172">
                  <c:v>43965</c:v>
                </c:pt>
                <c:pt idx="173">
                  <c:v>43966</c:v>
                </c:pt>
                <c:pt idx="174">
                  <c:v>43969</c:v>
                </c:pt>
                <c:pt idx="175">
                  <c:v>43970</c:v>
                </c:pt>
                <c:pt idx="176">
                  <c:v>43971</c:v>
                </c:pt>
                <c:pt idx="177">
                  <c:v>43972</c:v>
                </c:pt>
                <c:pt idx="178">
                  <c:v>43973</c:v>
                </c:pt>
                <c:pt idx="179">
                  <c:v>43976</c:v>
                </c:pt>
                <c:pt idx="180">
                  <c:v>43977</c:v>
                </c:pt>
                <c:pt idx="181">
                  <c:v>43978</c:v>
                </c:pt>
                <c:pt idx="182">
                  <c:v>43979</c:v>
                </c:pt>
                <c:pt idx="183">
                  <c:v>43980</c:v>
                </c:pt>
                <c:pt idx="184">
                  <c:v>43983</c:v>
                </c:pt>
                <c:pt idx="185">
                  <c:v>43984</c:v>
                </c:pt>
                <c:pt idx="186">
                  <c:v>43985</c:v>
                </c:pt>
                <c:pt idx="187">
                  <c:v>43986</c:v>
                </c:pt>
                <c:pt idx="188">
                  <c:v>43987</c:v>
                </c:pt>
                <c:pt idx="189">
                  <c:v>43990</c:v>
                </c:pt>
                <c:pt idx="190">
                  <c:v>43991</c:v>
                </c:pt>
                <c:pt idx="191">
                  <c:v>43992</c:v>
                </c:pt>
                <c:pt idx="192">
                  <c:v>43993</c:v>
                </c:pt>
                <c:pt idx="193">
                  <c:v>43994</c:v>
                </c:pt>
                <c:pt idx="194">
                  <c:v>43997</c:v>
                </c:pt>
                <c:pt idx="195">
                  <c:v>43998</c:v>
                </c:pt>
                <c:pt idx="196">
                  <c:v>43999</c:v>
                </c:pt>
                <c:pt idx="197">
                  <c:v>44000</c:v>
                </c:pt>
                <c:pt idx="198">
                  <c:v>44001</c:v>
                </c:pt>
                <c:pt idx="199">
                  <c:v>44004</c:v>
                </c:pt>
                <c:pt idx="200">
                  <c:v>44005</c:v>
                </c:pt>
                <c:pt idx="201">
                  <c:v>44006</c:v>
                </c:pt>
                <c:pt idx="202">
                  <c:v>44011</c:v>
                </c:pt>
                <c:pt idx="203">
                  <c:v>44012</c:v>
                </c:pt>
                <c:pt idx="204">
                  <c:v>44013</c:v>
                </c:pt>
                <c:pt idx="205">
                  <c:v>44014</c:v>
                </c:pt>
                <c:pt idx="206">
                  <c:v>44015</c:v>
                </c:pt>
                <c:pt idx="207">
                  <c:v>44018</c:v>
                </c:pt>
                <c:pt idx="208">
                  <c:v>44019</c:v>
                </c:pt>
                <c:pt idx="209">
                  <c:v>44020</c:v>
                </c:pt>
                <c:pt idx="210">
                  <c:v>44021</c:v>
                </c:pt>
                <c:pt idx="211">
                  <c:v>44022</c:v>
                </c:pt>
                <c:pt idx="212">
                  <c:v>44025</c:v>
                </c:pt>
                <c:pt idx="213">
                  <c:v>44026</c:v>
                </c:pt>
                <c:pt idx="214">
                  <c:v>44027</c:v>
                </c:pt>
                <c:pt idx="215">
                  <c:v>44028</c:v>
                </c:pt>
                <c:pt idx="216">
                  <c:v>44029</c:v>
                </c:pt>
                <c:pt idx="217">
                  <c:v>44032</c:v>
                </c:pt>
                <c:pt idx="218">
                  <c:v>44033</c:v>
                </c:pt>
                <c:pt idx="219">
                  <c:v>44034</c:v>
                </c:pt>
                <c:pt idx="220">
                  <c:v>44035</c:v>
                </c:pt>
                <c:pt idx="221">
                  <c:v>44036</c:v>
                </c:pt>
                <c:pt idx="222">
                  <c:v>44039</c:v>
                </c:pt>
                <c:pt idx="223">
                  <c:v>44040</c:v>
                </c:pt>
                <c:pt idx="224">
                  <c:v>44041</c:v>
                </c:pt>
                <c:pt idx="225">
                  <c:v>44042</c:v>
                </c:pt>
                <c:pt idx="226">
                  <c:v>44043</c:v>
                </c:pt>
                <c:pt idx="227">
                  <c:v>44046</c:v>
                </c:pt>
                <c:pt idx="228">
                  <c:v>44047</c:v>
                </c:pt>
                <c:pt idx="229">
                  <c:v>44048</c:v>
                </c:pt>
                <c:pt idx="230">
                  <c:v>44049</c:v>
                </c:pt>
                <c:pt idx="231">
                  <c:v>44050</c:v>
                </c:pt>
              </c:numCache>
            </c:numRef>
          </c:cat>
          <c:val>
            <c:numRef>
              <c:f>格量稳健1号!$B$21:$B$252</c:f>
              <c:numCache>
                <c:formatCode>0.0000_ </c:formatCode>
                <c:ptCount val="232"/>
                <c:pt idx="0">
                  <c:v>1.47</c:v>
                </c:pt>
                <c:pt idx="1">
                  <c:v>1.4710000000000001</c:v>
                </c:pt>
                <c:pt idx="2">
                  <c:v>1.474</c:v>
                </c:pt>
                <c:pt idx="3">
                  <c:v>1.47</c:v>
                </c:pt>
                <c:pt idx="4">
                  <c:v>1.4690000000000001</c:v>
                </c:pt>
                <c:pt idx="5">
                  <c:v>1.4690000000000001</c:v>
                </c:pt>
                <c:pt idx="6">
                  <c:v>1.466</c:v>
                </c:pt>
                <c:pt idx="7">
                  <c:v>1.4690000000000001</c:v>
                </c:pt>
                <c:pt idx="8">
                  <c:v>1.4710000000000001</c:v>
                </c:pt>
                <c:pt idx="9">
                  <c:v>1.4696</c:v>
                </c:pt>
                <c:pt idx="10">
                  <c:v>1.4665999999999999</c:v>
                </c:pt>
                <c:pt idx="11">
                  <c:v>1.4656</c:v>
                </c:pt>
                <c:pt idx="12">
                  <c:v>1.4665999999999999</c:v>
                </c:pt>
                <c:pt idx="13">
                  <c:v>1.4656</c:v>
                </c:pt>
                <c:pt idx="14">
                  <c:v>1.4636</c:v>
                </c:pt>
                <c:pt idx="15">
                  <c:v>1.4656</c:v>
                </c:pt>
                <c:pt idx="16">
                  <c:v>1.4696</c:v>
                </c:pt>
                <c:pt idx="17">
                  <c:v>1.4705999999999999</c:v>
                </c:pt>
                <c:pt idx="18">
                  <c:v>1.4705999999999999</c:v>
                </c:pt>
                <c:pt idx="19">
                  <c:v>1.4705999999999999</c:v>
                </c:pt>
                <c:pt idx="20">
                  <c:v>1.4696</c:v>
                </c:pt>
                <c:pt idx="21">
                  <c:v>1.4716</c:v>
                </c:pt>
                <c:pt idx="22">
                  <c:v>1.4725999999999999</c:v>
                </c:pt>
                <c:pt idx="23">
                  <c:v>1.4705999999999999</c:v>
                </c:pt>
                <c:pt idx="24">
                  <c:v>1.4716</c:v>
                </c:pt>
                <c:pt idx="25">
                  <c:v>1.4716</c:v>
                </c:pt>
                <c:pt idx="26">
                  <c:v>1.4736</c:v>
                </c:pt>
                <c:pt idx="27">
                  <c:v>1.4745999999999999</c:v>
                </c:pt>
                <c:pt idx="28">
                  <c:v>1.4745999999999999</c:v>
                </c:pt>
                <c:pt idx="29">
                  <c:v>1.4765999999999999</c:v>
                </c:pt>
                <c:pt idx="30">
                  <c:v>1.4745999999999999</c:v>
                </c:pt>
                <c:pt idx="31">
                  <c:v>1.4765999999999999</c:v>
                </c:pt>
                <c:pt idx="32">
                  <c:v>1.4785999999999999</c:v>
                </c:pt>
                <c:pt idx="33">
                  <c:v>1.4796</c:v>
                </c:pt>
                <c:pt idx="34">
                  <c:v>1.4796</c:v>
                </c:pt>
                <c:pt idx="35">
                  <c:v>1.4825999999999999</c:v>
                </c:pt>
                <c:pt idx="36">
                  <c:v>1.4825999999999999</c:v>
                </c:pt>
                <c:pt idx="37">
                  <c:v>1.4816</c:v>
                </c:pt>
                <c:pt idx="38">
                  <c:v>1.4845999999999999</c:v>
                </c:pt>
                <c:pt idx="39">
                  <c:v>1.4845999999999999</c:v>
                </c:pt>
                <c:pt idx="40">
                  <c:v>1.4856</c:v>
                </c:pt>
                <c:pt idx="41">
                  <c:v>1.4865999999999999</c:v>
                </c:pt>
                <c:pt idx="42">
                  <c:v>1.4845999999999999</c:v>
                </c:pt>
                <c:pt idx="43">
                  <c:v>1.4865999999999999</c:v>
                </c:pt>
                <c:pt idx="44">
                  <c:v>1.4885999999999999</c:v>
                </c:pt>
                <c:pt idx="45">
                  <c:v>1.4905999999999999</c:v>
                </c:pt>
                <c:pt idx="46">
                  <c:v>1.4916</c:v>
                </c:pt>
                <c:pt idx="47">
                  <c:v>1.4896</c:v>
                </c:pt>
                <c:pt idx="48">
                  <c:v>1.4916</c:v>
                </c:pt>
                <c:pt idx="49">
                  <c:v>1.4905999999999999</c:v>
                </c:pt>
                <c:pt idx="50">
                  <c:v>1.4925999999999999</c:v>
                </c:pt>
                <c:pt idx="51">
                  <c:v>1.4936</c:v>
                </c:pt>
                <c:pt idx="52">
                  <c:v>1.4925999999999999</c:v>
                </c:pt>
                <c:pt idx="53">
                  <c:v>1.4976</c:v>
                </c:pt>
                <c:pt idx="54">
                  <c:v>1.4985999999999999</c:v>
                </c:pt>
                <c:pt idx="55">
                  <c:v>1.4976</c:v>
                </c:pt>
                <c:pt idx="56">
                  <c:v>1.4956</c:v>
                </c:pt>
                <c:pt idx="57">
                  <c:v>1.4896</c:v>
                </c:pt>
                <c:pt idx="58">
                  <c:v>1.4896</c:v>
                </c:pt>
                <c:pt idx="59">
                  <c:v>1.4936</c:v>
                </c:pt>
                <c:pt idx="60">
                  <c:v>1.4905999999999999</c:v>
                </c:pt>
                <c:pt idx="61">
                  <c:v>1.4925999999999999</c:v>
                </c:pt>
                <c:pt idx="62">
                  <c:v>1.4936</c:v>
                </c:pt>
                <c:pt idx="63">
                  <c:v>1.4936</c:v>
                </c:pt>
                <c:pt idx="64">
                  <c:v>1.4925999999999999</c:v>
                </c:pt>
                <c:pt idx="65">
                  <c:v>1.4925999999999999</c:v>
                </c:pt>
                <c:pt idx="66">
                  <c:v>1.4925999999999999</c:v>
                </c:pt>
                <c:pt idx="67">
                  <c:v>1.4905999999999999</c:v>
                </c:pt>
                <c:pt idx="68">
                  <c:v>1.4916</c:v>
                </c:pt>
                <c:pt idx="69">
                  <c:v>1.4916</c:v>
                </c:pt>
                <c:pt idx="70">
                  <c:v>1.4865999999999999</c:v>
                </c:pt>
                <c:pt idx="71">
                  <c:v>1.4845999999999999</c:v>
                </c:pt>
                <c:pt idx="72">
                  <c:v>1.4876</c:v>
                </c:pt>
                <c:pt idx="73">
                  <c:v>1.4876</c:v>
                </c:pt>
                <c:pt idx="74">
                  <c:v>1.4896</c:v>
                </c:pt>
                <c:pt idx="75">
                  <c:v>1.4885999999999999</c:v>
                </c:pt>
                <c:pt idx="76">
                  <c:v>1.4845999999999999</c:v>
                </c:pt>
                <c:pt idx="77">
                  <c:v>1.4856</c:v>
                </c:pt>
                <c:pt idx="78">
                  <c:v>1.4845999999999999</c:v>
                </c:pt>
                <c:pt idx="79">
                  <c:v>1.4805999999999999</c:v>
                </c:pt>
                <c:pt idx="80">
                  <c:v>1.4865999999999999</c:v>
                </c:pt>
                <c:pt idx="81">
                  <c:v>1.4876</c:v>
                </c:pt>
                <c:pt idx="82">
                  <c:v>1.4876</c:v>
                </c:pt>
                <c:pt idx="83">
                  <c:v>1.4885999999999999</c:v>
                </c:pt>
                <c:pt idx="84">
                  <c:v>1.4876</c:v>
                </c:pt>
                <c:pt idx="85">
                  <c:v>1.4876</c:v>
                </c:pt>
                <c:pt idx="86">
                  <c:v>1.4885999999999999</c:v>
                </c:pt>
                <c:pt idx="87">
                  <c:v>1.4885999999999999</c:v>
                </c:pt>
                <c:pt idx="88">
                  <c:v>1.4896</c:v>
                </c:pt>
                <c:pt idx="89">
                  <c:v>1.4885999999999999</c:v>
                </c:pt>
                <c:pt idx="90">
                  <c:v>1.4905999999999999</c:v>
                </c:pt>
                <c:pt idx="91">
                  <c:v>1.4916</c:v>
                </c:pt>
                <c:pt idx="92">
                  <c:v>1.4925999999999999</c:v>
                </c:pt>
                <c:pt idx="93">
                  <c:v>1.4925999999999999</c:v>
                </c:pt>
                <c:pt idx="94">
                  <c:v>1.4945999999999999</c:v>
                </c:pt>
                <c:pt idx="95">
                  <c:v>1.4916</c:v>
                </c:pt>
                <c:pt idx="96">
                  <c:v>1.4925999999999999</c:v>
                </c:pt>
                <c:pt idx="97">
                  <c:v>1.4936</c:v>
                </c:pt>
                <c:pt idx="98">
                  <c:v>1.4936</c:v>
                </c:pt>
                <c:pt idx="99">
                  <c:v>1.4956</c:v>
                </c:pt>
                <c:pt idx="100">
                  <c:v>1.4965999999999999</c:v>
                </c:pt>
                <c:pt idx="101">
                  <c:v>1.4956</c:v>
                </c:pt>
                <c:pt idx="102">
                  <c:v>1.5005999999999999</c:v>
                </c:pt>
                <c:pt idx="103">
                  <c:v>1.5025999999999999</c:v>
                </c:pt>
                <c:pt idx="104">
                  <c:v>1.5036</c:v>
                </c:pt>
                <c:pt idx="105">
                  <c:v>1.5036</c:v>
                </c:pt>
                <c:pt idx="106">
                  <c:v>1.5045999999999999</c:v>
                </c:pt>
                <c:pt idx="107">
                  <c:v>1.5045999999999999</c:v>
                </c:pt>
                <c:pt idx="108">
                  <c:v>1.5065999999999999</c:v>
                </c:pt>
                <c:pt idx="109">
                  <c:v>1.5085999999999999</c:v>
                </c:pt>
                <c:pt idx="110">
                  <c:v>1.5096000000000001</c:v>
                </c:pt>
                <c:pt idx="111">
                  <c:v>1.5096000000000001</c:v>
                </c:pt>
                <c:pt idx="112">
                  <c:v>1.5096000000000001</c:v>
                </c:pt>
                <c:pt idx="113">
                  <c:v>1.5076000000000001</c:v>
                </c:pt>
                <c:pt idx="114">
                  <c:v>1.5096000000000001</c:v>
                </c:pt>
                <c:pt idx="115">
                  <c:v>1.5096000000000001</c:v>
                </c:pt>
                <c:pt idx="116">
                  <c:v>1.5105999999999999</c:v>
                </c:pt>
                <c:pt idx="117">
                  <c:v>1.5125999999999999</c:v>
                </c:pt>
                <c:pt idx="118">
                  <c:v>1.5125999999999999</c:v>
                </c:pt>
                <c:pt idx="119">
                  <c:v>1.5165999999999999</c:v>
                </c:pt>
                <c:pt idx="120">
                  <c:v>1.5196000000000001</c:v>
                </c:pt>
                <c:pt idx="121">
                  <c:v>1.5196000000000001</c:v>
                </c:pt>
                <c:pt idx="122">
                  <c:v>1.5246</c:v>
                </c:pt>
                <c:pt idx="123">
                  <c:v>1.5246</c:v>
                </c:pt>
                <c:pt idx="124">
                  <c:v>1.5256000000000001</c:v>
                </c:pt>
                <c:pt idx="125">
                  <c:v>1.5266</c:v>
                </c:pt>
                <c:pt idx="126">
                  <c:v>1.5276000000000001</c:v>
                </c:pt>
                <c:pt idx="127">
                  <c:v>1.5296000000000001</c:v>
                </c:pt>
                <c:pt idx="128">
                  <c:v>1.5336000000000001</c:v>
                </c:pt>
                <c:pt idx="129">
                  <c:v>1.5296000000000001</c:v>
                </c:pt>
                <c:pt idx="130">
                  <c:v>1.5336000000000001</c:v>
                </c:pt>
                <c:pt idx="131">
                  <c:v>1.5366</c:v>
                </c:pt>
                <c:pt idx="132">
                  <c:v>1.5376000000000001</c:v>
                </c:pt>
                <c:pt idx="133">
                  <c:v>1.5406</c:v>
                </c:pt>
                <c:pt idx="134">
                  <c:v>1.5416000000000001</c:v>
                </c:pt>
                <c:pt idx="135">
                  <c:v>1.5456000000000001</c:v>
                </c:pt>
                <c:pt idx="136">
                  <c:v>1.5476000000000001</c:v>
                </c:pt>
                <c:pt idx="137">
                  <c:v>1.5486</c:v>
                </c:pt>
                <c:pt idx="138">
                  <c:v>1.5486</c:v>
                </c:pt>
                <c:pt idx="139">
                  <c:v>1.5476000000000001</c:v>
                </c:pt>
                <c:pt idx="140">
                  <c:v>1.5496000000000001</c:v>
                </c:pt>
                <c:pt idx="141">
                  <c:v>1.5506</c:v>
                </c:pt>
                <c:pt idx="142">
                  <c:v>1.5496000000000001</c:v>
                </c:pt>
                <c:pt idx="143">
                  <c:v>1.5506</c:v>
                </c:pt>
                <c:pt idx="144">
                  <c:v>1.5496000000000001</c:v>
                </c:pt>
                <c:pt idx="145">
                  <c:v>1.5496000000000001</c:v>
                </c:pt>
                <c:pt idx="146">
                  <c:v>1.5516000000000001</c:v>
                </c:pt>
                <c:pt idx="147">
                  <c:v>1.5496000000000001</c:v>
                </c:pt>
                <c:pt idx="148">
                  <c:v>1.5506</c:v>
                </c:pt>
                <c:pt idx="149">
                  <c:v>1.5496000000000001</c:v>
                </c:pt>
                <c:pt idx="150">
                  <c:v>1.5516000000000001</c:v>
                </c:pt>
                <c:pt idx="151">
                  <c:v>1.5526</c:v>
                </c:pt>
                <c:pt idx="152">
                  <c:v>1.5516000000000001</c:v>
                </c:pt>
                <c:pt idx="153">
                  <c:v>1.5546</c:v>
                </c:pt>
                <c:pt idx="154">
                  <c:v>1.5566</c:v>
                </c:pt>
                <c:pt idx="155">
                  <c:v>1.5576000000000001</c:v>
                </c:pt>
                <c:pt idx="156">
                  <c:v>1.5586</c:v>
                </c:pt>
                <c:pt idx="157">
                  <c:v>1.5586</c:v>
                </c:pt>
                <c:pt idx="158">
                  <c:v>1.5596000000000001</c:v>
                </c:pt>
                <c:pt idx="159">
                  <c:v>1.5596000000000001</c:v>
                </c:pt>
                <c:pt idx="160">
                  <c:v>1.5606</c:v>
                </c:pt>
                <c:pt idx="161">
                  <c:v>1.5596000000000001</c:v>
                </c:pt>
                <c:pt idx="162">
                  <c:v>1.5586</c:v>
                </c:pt>
                <c:pt idx="163">
                  <c:v>1.5586</c:v>
                </c:pt>
                <c:pt idx="164">
                  <c:v>1.5596000000000001</c:v>
                </c:pt>
                <c:pt idx="165">
                  <c:v>1.5566</c:v>
                </c:pt>
                <c:pt idx="166">
                  <c:v>1.5576000000000001</c:v>
                </c:pt>
                <c:pt idx="167">
                  <c:v>1.5586</c:v>
                </c:pt>
                <c:pt idx="168">
                  <c:v>1.5606</c:v>
                </c:pt>
                <c:pt idx="169">
                  <c:v>1.5616000000000001</c:v>
                </c:pt>
                <c:pt idx="170">
                  <c:v>1.5646</c:v>
                </c:pt>
                <c:pt idx="171">
                  <c:v>1.5646</c:v>
                </c:pt>
                <c:pt idx="172">
                  <c:v>1.5656000000000001</c:v>
                </c:pt>
                <c:pt idx="173">
                  <c:v>1.5636000000000001</c:v>
                </c:pt>
                <c:pt idx="174">
                  <c:v>1.5636000000000001</c:v>
                </c:pt>
                <c:pt idx="175">
                  <c:v>1.5646</c:v>
                </c:pt>
                <c:pt idx="176">
                  <c:v>1.5656000000000001</c:v>
                </c:pt>
                <c:pt idx="177">
                  <c:v>1.5646</c:v>
                </c:pt>
                <c:pt idx="178">
                  <c:v>1.5626</c:v>
                </c:pt>
                <c:pt idx="179">
                  <c:v>1.5606</c:v>
                </c:pt>
                <c:pt idx="180">
                  <c:v>1.5636000000000001</c:v>
                </c:pt>
                <c:pt idx="181">
                  <c:v>1.5646</c:v>
                </c:pt>
                <c:pt idx="182">
                  <c:v>1.5636000000000001</c:v>
                </c:pt>
                <c:pt idx="183">
                  <c:v>1.5666</c:v>
                </c:pt>
                <c:pt idx="184">
                  <c:v>1.5686</c:v>
                </c:pt>
                <c:pt idx="185">
                  <c:v>1.5686</c:v>
                </c:pt>
                <c:pt idx="186">
                  <c:v>1.5696000000000001</c:v>
                </c:pt>
                <c:pt idx="187">
                  <c:v>1.5706</c:v>
                </c:pt>
                <c:pt idx="188">
                  <c:v>1.5716000000000001</c:v>
                </c:pt>
                <c:pt idx="189">
                  <c:v>1.5716000000000001</c:v>
                </c:pt>
                <c:pt idx="190">
                  <c:v>1.5726</c:v>
                </c:pt>
                <c:pt idx="191">
                  <c:v>1.5726</c:v>
                </c:pt>
                <c:pt idx="192">
                  <c:v>1.5716000000000001</c:v>
                </c:pt>
                <c:pt idx="193">
                  <c:v>1.5716000000000001</c:v>
                </c:pt>
                <c:pt idx="194">
                  <c:v>1.5726</c:v>
                </c:pt>
                <c:pt idx="195">
                  <c:v>1.5706</c:v>
                </c:pt>
                <c:pt idx="196">
                  <c:v>1.5696000000000001</c:v>
                </c:pt>
                <c:pt idx="197">
                  <c:v>1.5676000000000001</c:v>
                </c:pt>
                <c:pt idx="198">
                  <c:v>1.5536000000000001</c:v>
                </c:pt>
                <c:pt idx="199">
                  <c:v>1.5416000000000001</c:v>
                </c:pt>
                <c:pt idx="200">
                  <c:v>1.5426</c:v>
                </c:pt>
                <c:pt idx="201">
                  <c:v>1.5426</c:v>
                </c:pt>
                <c:pt idx="202">
                  <c:v>1.5436000000000001</c:v>
                </c:pt>
                <c:pt idx="203">
                  <c:v>1.5446</c:v>
                </c:pt>
                <c:pt idx="204">
                  <c:v>1.5446</c:v>
                </c:pt>
                <c:pt idx="205">
                  <c:v>1.5416000000000001</c:v>
                </c:pt>
                <c:pt idx="206">
                  <c:v>1.5396000000000001</c:v>
                </c:pt>
                <c:pt idx="207">
                  <c:v>1.5386</c:v>
                </c:pt>
                <c:pt idx="208">
                  <c:v>1.5416000000000001</c:v>
                </c:pt>
                <c:pt idx="209">
                  <c:v>1.5416000000000001</c:v>
                </c:pt>
                <c:pt idx="210">
                  <c:v>1.5416000000000001</c:v>
                </c:pt>
                <c:pt idx="211">
                  <c:v>1.5426</c:v>
                </c:pt>
                <c:pt idx="212">
                  <c:v>1.5476000000000001</c:v>
                </c:pt>
                <c:pt idx="213">
                  <c:v>1.5486</c:v>
                </c:pt>
                <c:pt idx="214">
                  <c:v>1.5486</c:v>
                </c:pt>
                <c:pt idx="215">
                  <c:v>1.5536000000000001</c:v>
                </c:pt>
                <c:pt idx="216">
                  <c:v>1.5566</c:v>
                </c:pt>
                <c:pt idx="217">
                  <c:v>1.5556000000000001</c:v>
                </c:pt>
                <c:pt idx="218">
                  <c:v>1.5566</c:v>
                </c:pt>
                <c:pt idx="219">
                  <c:v>1.5566</c:v>
                </c:pt>
                <c:pt idx="220">
                  <c:v>1.5576000000000001</c:v>
                </c:pt>
                <c:pt idx="221">
                  <c:v>1.5566</c:v>
                </c:pt>
                <c:pt idx="222">
                  <c:v>1.5576000000000001</c:v>
                </c:pt>
                <c:pt idx="223">
                  <c:v>1.5576000000000001</c:v>
                </c:pt>
                <c:pt idx="224">
                  <c:v>1.5566</c:v>
                </c:pt>
                <c:pt idx="225">
                  <c:v>1.5576000000000001</c:v>
                </c:pt>
                <c:pt idx="226">
                  <c:v>1.5596000000000001</c:v>
                </c:pt>
                <c:pt idx="227">
                  <c:v>1.5606</c:v>
                </c:pt>
                <c:pt idx="228">
                  <c:v>1.5596000000000001</c:v>
                </c:pt>
                <c:pt idx="229">
                  <c:v>1.5596000000000001</c:v>
                </c:pt>
                <c:pt idx="230">
                  <c:v>1.5596000000000001</c:v>
                </c:pt>
                <c:pt idx="231">
                  <c:v>1.5586</c:v>
                </c:pt>
              </c:numCache>
            </c:numRef>
          </c:val>
          <c:smooth val="0"/>
          <c:extLst>
            <c:ext xmlns:c16="http://schemas.microsoft.com/office/drawing/2014/chart" uri="{C3380CC4-5D6E-409C-BE32-E72D297353CC}">
              <c16:uniqueId val="{00000000-CFB3-4BCA-AE4B-703870F2ECEF}"/>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46"/>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银极启航</a:t>
            </a:r>
            <a:r>
              <a:rPr lang="en-US" altLang="zh-CN" sz="1600"/>
              <a:t>-SER992</a:t>
            </a:r>
          </a:p>
        </c:rich>
      </c:tx>
      <c:overlay val="0"/>
    </c:title>
    <c:autoTitleDeleted val="0"/>
    <c:plotArea>
      <c:layout/>
      <c:lineChart>
        <c:grouping val="standard"/>
        <c:varyColors val="0"/>
        <c:ser>
          <c:idx val="0"/>
          <c:order val="0"/>
          <c:tx>
            <c:strRef>
              <c:f>银极启航!$B$20</c:f>
              <c:strCache>
                <c:ptCount val="1"/>
                <c:pt idx="0">
                  <c:v>累计净值</c:v>
                </c:pt>
              </c:strCache>
            </c:strRef>
          </c:tx>
          <c:marker>
            <c:symbol val="none"/>
          </c:marker>
          <c:cat>
            <c:numRef>
              <c:f>银极启航!$A$21:$A$107</c:f>
              <c:numCache>
                <c:formatCode>m/d/yy</c:formatCode>
                <c:ptCount val="87"/>
                <c:pt idx="0">
                  <c:v>43928</c:v>
                </c:pt>
                <c:pt idx="1">
                  <c:v>43929</c:v>
                </c:pt>
                <c:pt idx="2">
                  <c:v>43930</c:v>
                </c:pt>
                <c:pt idx="3">
                  <c:v>43931</c:v>
                </c:pt>
                <c:pt idx="4">
                  <c:v>43934</c:v>
                </c:pt>
                <c:pt idx="5">
                  <c:v>43935</c:v>
                </c:pt>
                <c:pt idx="6">
                  <c:v>43936</c:v>
                </c:pt>
                <c:pt idx="7">
                  <c:v>43937</c:v>
                </c:pt>
                <c:pt idx="8">
                  <c:v>43938</c:v>
                </c:pt>
                <c:pt idx="9">
                  <c:v>43941</c:v>
                </c:pt>
                <c:pt idx="10">
                  <c:v>43942</c:v>
                </c:pt>
                <c:pt idx="11">
                  <c:v>43943</c:v>
                </c:pt>
                <c:pt idx="12">
                  <c:v>43944</c:v>
                </c:pt>
                <c:pt idx="13">
                  <c:v>43945</c:v>
                </c:pt>
                <c:pt idx="14">
                  <c:v>43948</c:v>
                </c:pt>
                <c:pt idx="15">
                  <c:v>43949</c:v>
                </c:pt>
                <c:pt idx="16">
                  <c:v>43950</c:v>
                </c:pt>
                <c:pt idx="17">
                  <c:v>43951</c:v>
                </c:pt>
                <c:pt idx="18">
                  <c:v>43957</c:v>
                </c:pt>
                <c:pt idx="19">
                  <c:v>43958</c:v>
                </c:pt>
                <c:pt idx="20">
                  <c:v>43959</c:v>
                </c:pt>
                <c:pt idx="21">
                  <c:v>43962</c:v>
                </c:pt>
                <c:pt idx="22">
                  <c:v>43963</c:v>
                </c:pt>
                <c:pt idx="23">
                  <c:v>43964</c:v>
                </c:pt>
                <c:pt idx="24">
                  <c:v>43965</c:v>
                </c:pt>
                <c:pt idx="25">
                  <c:v>43966</c:v>
                </c:pt>
                <c:pt idx="26">
                  <c:v>43969</c:v>
                </c:pt>
                <c:pt idx="27">
                  <c:v>43970</c:v>
                </c:pt>
                <c:pt idx="28">
                  <c:v>43971</c:v>
                </c:pt>
                <c:pt idx="29">
                  <c:v>43972</c:v>
                </c:pt>
                <c:pt idx="30">
                  <c:v>43973</c:v>
                </c:pt>
                <c:pt idx="31">
                  <c:v>43976</c:v>
                </c:pt>
                <c:pt idx="32">
                  <c:v>43977</c:v>
                </c:pt>
                <c:pt idx="33">
                  <c:v>43978</c:v>
                </c:pt>
                <c:pt idx="34">
                  <c:v>43979</c:v>
                </c:pt>
                <c:pt idx="35">
                  <c:v>43980</c:v>
                </c:pt>
                <c:pt idx="36">
                  <c:v>43983</c:v>
                </c:pt>
                <c:pt idx="37">
                  <c:v>43984</c:v>
                </c:pt>
                <c:pt idx="38">
                  <c:v>43985</c:v>
                </c:pt>
                <c:pt idx="39">
                  <c:v>43986</c:v>
                </c:pt>
                <c:pt idx="40">
                  <c:v>43987</c:v>
                </c:pt>
                <c:pt idx="41">
                  <c:v>43990</c:v>
                </c:pt>
                <c:pt idx="42">
                  <c:v>43991</c:v>
                </c:pt>
                <c:pt idx="43">
                  <c:v>43992</c:v>
                </c:pt>
                <c:pt idx="44">
                  <c:v>43993</c:v>
                </c:pt>
                <c:pt idx="45">
                  <c:v>43994</c:v>
                </c:pt>
                <c:pt idx="46">
                  <c:v>43997</c:v>
                </c:pt>
                <c:pt idx="47">
                  <c:v>43998</c:v>
                </c:pt>
                <c:pt idx="48">
                  <c:v>43999</c:v>
                </c:pt>
                <c:pt idx="49">
                  <c:v>44000</c:v>
                </c:pt>
                <c:pt idx="50">
                  <c:v>44001</c:v>
                </c:pt>
                <c:pt idx="51">
                  <c:v>44004</c:v>
                </c:pt>
                <c:pt idx="52">
                  <c:v>44005</c:v>
                </c:pt>
                <c:pt idx="53">
                  <c:v>44006</c:v>
                </c:pt>
                <c:pt idx="54">
                  <c:v>44011</c:v>
                </c:pt>
                <c:pt idx="55">
                  <c:v>44012</c:v>
                </c:pt>
                <c:pt idx="56">
                  <c:v>44013</c:v>
                </c:pt>
                <c:pt idx="57">
                  <c:v>44014</c:v>
                </c:pt>
                <c:pt idx="58">
                  <c:v>44015</c:v>
                </c:pt>
                <c:pt idx="59">
                  <c:v>44018</c:v>
                </c:pt>
                <c:pt idx="60">
                  <c:v>44019</c:v>
                </c:pt>
                <c:pt idx="61">
                  <c:v>44020</c:v>
                </c:pt>
                <c:pt idx="62">
                  <c:v>44021</c:v>
                </c:pt>
                <c:pt idx="63">
                  <c:v>44022</c:v>
                </c:pt>
                <c:pt idx="64">
                  <c:v>44025</c:v>
                </c:pt>
                <c:pt idx="65">
                  <c:v>44026</c:v>
                </c:pt>
                <c:pt idx="66">
                  <c:v>44027</c:v>
                </c:pt>
                <c:pt idx="67">
                  <c:v>44028</c:v>
                </c:pt>
                <c:pt idx="68">
                  <c:v>44029</c:v>
                </c:pt>
                <c:pt idx="69">
                  <c:v>44032</c:v>
                </c:pt>
                <c:pt idx="70">
                  <c:v>44033</c:v>
                </c:pt>
                <c:pt idx="71">
                  <c:v>44034</c:v>
                </c:pt>
                <c:pt idx="72">
                  <c:v>44035</c:v>
                </c:pt>
                <c:pt idx="73">
                  <c:v>44036</c:v>
                </c:pt>
                <c:pt idx="74">
                  <c:v>44039</c:v>
                </c:pt>
                <c:pt idx="75">
                  <c:v>44040</c:v>
                </c:pt>
                <c:pt idx="76">
                  <c:v>44041</c:v>
                </c:pt>
                <c:pt idx="77">
                  <c:v>44042</c:v>
                </c:pt>
                <c:pt idx="78">
                  <c:v>44043</c:v>
                </c:pt>
                <c:pt idx="79">
                  <c:v>44046</c:v>
                </c:pt>
                <c:pt idx="80">
                  <c:v>44047</c:v>
                </c:pt>
                <c:pt idx="81">
                  <c:v>44048</c:v>
                </c:pt>
                <c:pt idx="82">
                  <c:v>44049</c:v>
                </c:pt>
                <c:pt idx="83">
                  <c:v>44050</c:v>
                </c:pt>
                <c:pt idx="84">
                  <c:v>44053</c:v>
                </c:pt>
                <c:pt idx="85">
                  <c:v>44054</c:v>
                </c:pt>
                <c:pt idx="86">
                  <c:v>44055</c:v>
                </c:pt>
              </c:numCache>
            </c:numRef>
          </c:cat>
          <c:val>
            <c:numRef>
              <c:f>银极启航!$B$21:$B$107</c:f>
              <c:numCache>
                <c:formatCode>0.0000_ </c:formatCode>
                <c:ptCount val="87"/>
                <c:pt idx="0">
                  <c:v>1</c:v>
                </c:pt>
                <c:pt idx="1">
                  <c:v>0.999</c:v>
                </c:pt>
                <c:pt idx="2">
                  <c:v>0.999</c:v>
                </c:pt>
                <c:pt idx="3">
                  <c:v>0.999</c:v>
                </c:pt>
                <c:pt idx="4">
                  <c:v>1</c:v>
                </c:pt>
                <c:pt idx="5">
                  <c:v>1</c:v>
                </c:pt>
                <c:pt idx="6">
                  <c:v>0.998</c:v>
                </c:pt>
                <c:pt idx="7">
                  <c:v>0.998</c:v>
                </c:pt>
                <c:pt idx="8">
                  <c:v>1.0029999999999999</c:v>
                </c:pt>
                <c:pt idx="9">
                  <c:v>1.002</c:v>
                </c:pt>
                <c:pt idx="10">
                  <c:v>1.0069999999999999</c:v>
                </c:pt>
                <c:pt idx="11">
                  <c:v>1.004</c:v>
                </c:pt>
                <c:pt idx="12">
                  <c:v>1.0049999999999999</c:v>
                </c:pt>
                <c:pt idx="13">
                  <c:v>1.006</c:v>
                </c:pt>
                <c:pt idx="14">
                  <c:v>1.0049999999999999</c:v>
                </c:pt>
                <c:pt idx="15">
                  <c:v>1.006</c:v>
                </c:pt>
                <c:pt idx="16">
                  <c:v>1.0049999999999999</c:v>
                </c:pt>
                <c:pt idx="17">
                  <c:v>1.006</c:v>
                </c:pt>
                <c:pt idx="18">
                  <c:v>1.0049999999999999</c:v>
                </c:pt>
                <c:pt idx="19">
                  <c:v>1.006</c:v>
                </c:pt>
                <c:pt idx="20">
                  <c:v>1.006</c:v>
                </c:pt>
                <c:pt idx="21">
                  <c:v>1.008</c:v>
                </c:pt>
                <c:pt idx="22">
                  <c:v>1.0069999999999999</c:v>
                </c:pt>
                <c:pt idx="23">
                  <c:v>1.006</c:v>
                </c:pt>
                <c:pt idx="24">
                  <c:v>1.01</c:v>
                </c:pt>
                <c:pt idx="25">
                  <c:v>1.0109999999999999</c:v>
                </c:pt>
                <c:pt idx="26">
                  <c:v>1.012</c:v>
                </c:pt>
                <c:pt idx="27">
                  <c:v>1.01</c:v>
                </c:pt>
                <c:pt idx="28">
                  <c:v>1.012</c:v>
                </c:pt>
                <c:pt idx="29">
                  <c:v>1.0149999999999999</c:v>
                </c:pt>
                <c:pt idx="30">
                  <c:v>1.016</c:v>
                </c:pt>
                <c:pt idx="31">
                  <c:v>1.012</c:v>
                </c:pt>
                <c:pt idx="32">
                  <c:v>1.014</c:v>
                </c:pt>
                <c:pt idx="33">
                  <c:v>1.0149999999999999</c:v>
                </c:pt>
                <c:pt idx="34">
                  <c:v>1.016</c:v>
                </c:pt>
                <c:pt idx="35">
                  <c:v>1.0169999999999999</c:v>
                </c:pt>
                <c:pt idx="36">
                  <c:v>1.018</c:v>
                </c:pt>
                <c:pt idx="37">
                  <c:v>1.0149999999999999</c:v>
                </c:pt>
                <c:pt idx="38">
                  <c:v>1.0089999999999999</c:v>
                </c:pt>
                <c:pt idx="39">
                  <c:v>1.016</c:v>
                </c:pt>
                <c:pt idx="40">
                  <c:v>1.022</c:v>
                </c:pt>
                <c:pt idx="41">
                  <c:v>1.0189999999999999</c:v>
                </c:pt>
                <c:pt idx="42">
                  <c:v>1.024</c:v>
                </c:pt>
                <c:pt idx="43">
                  <c:v>1.0209999999999999</c:v>
                </c:pt>
                <c:pt idx="44">
                  <c:v>1.024</c:v>
                </c:pt>
                <c:pt idx="45">
                  <c:v>1.018</c:v>
                </c:pt>
                <c:pt idx="46">
                  <c:v>1.0049999999999999</c:v>
                </c:pt>
                <c:pt idx="47">
                  <c:v>1.0169999999999999</c:v>
                </c:pt>
                <c:pt idx="48">
                  <c:v>1.014</c:v>
                </c:pt>
                <c:pt idx="49">
                  <c:v>1.01</c:v>
                </c:pt>
                <c:pt idx="50">
                  <c:v>0.997</c:v>
                </c:pt>
                <c:pt idx="51">
                  <c:v>1.0049999999999999</c:v>
                </c:pt>
                <c:pt idx="52">
                  <c:v>1.0069999999999999</c:v>
                </c:pt>
                <c:pt idx="53">
                  <c:v>1.006</c:v>
                </c:pt>
                <c:pt idx="54">
                  <c:v>1.0149999999999999</c:v>
                </c:pt>
                <c:pt idx="55">
                  <c:v>1.0089999999999999</c:v>
                </c:pt>
                <c:pt idx="56">
                  <c:v>1.0109999999999999</c:v>
                </c:pt>
                <c:pt idx="57">
                  <c:v>0.97099999999999997</c:v>
                </c:pt>
                <c:pt idx="58">
                  <c:v>0.97199999999999998</c:v>
                </c:pt>
                <c:pt idx="59">
                  <c:v>0.97099999999999997</c:v>
                </c:pt>
                <c:pt idx="60">
                  <c:v>0.95499999999999996</c:v>
                </c:pt>
                <c:pt idx="61">
                  <c:v>0.95599999999999996</c:v>
                </c:pt>
                <c:pt idx="62">
                  <c:v>0.95699999999999996</c:v>
                </c:pt>
                <c:pt idx="63">
                  <c:v>0.95599999999999996</c:v>
                </c:pt>
                <c:pt idx="64">
                  <c:v>0.95699999999999996</c:v>
                </c:pt>
                <c:pt idx="65">
                  <c:v>0.95599999999999996</c:v>
                </c:pt>
                <c:pt idx="66">
                  <c:v>0.95699999999999996</c:v>
                </c:pt>
                <c:pt idx="67">
                  <c:v>0.96299999999999997</c:v>
                </c:pt>
                <c:pt idx="68">
                  <c:v>0.94799999999999995</c:v>
                </c:pt>
                <c:pt idx="69">
                  <c:v>0.95</c:v>
                </c:pt>
                <c:pt idx="70">
                  <c:v>0.95199999999999996</c:v>
                </c:pt>
                <c:pt idx="71">
                  <c:v>0.95399999999999996</c:v>
                </c:pt>
                <c:pt idx="72">
                  <c:v>0.94899999999999995</c:v>
                </c:pt>
                <c:pt idx="73">
                  <c:v>0.93899999999999995</c:v>
                </c:pt>
                <c:pt idx="74">
                  <c:v>0.93400000000000005</c:v>
                </c:pt>
                <c:pt idx="75">
                  <c:v>0.92900000000000005</c:v>
                </c:pt>
                <c:pt idx="76">
                  <c:v>0.93300000000000005</c:v>
                </c:pt>
                <c:pt idx="77">
                  <c:v>0.95099999999999996</c:v>
                </c:pt>
                <c:pt idx="78">
                  <c:v>0.96299999999999997</c:v>
                </c:pt>
                <c:pt idx="79">
                  <c:v>0.92600000000000005</c:v>
                </c:pt>
                <c:pt idx="80">
                  <c:v>0.92900000000000005</c:v>
                </c:pt>
                <c:pt idx="81">
                  <c:v>0.93</c:v>
                </c:pt>
                <c:pt idx="82">
                  <c:v>0.92900000000000005</c:v>
                </c:pt>
                <c:pt idx="83">
                  <c:v>0.95399999999999996</c:v>
                </c:pt>
                <c:pt idx="84">
                  <c:v>0.93899999999999995</c:v>
                </c:pt>
                <c:pt idx="85">
                  <c:v>0.92400000000000004</c:v>
                </c:pt>
                <c:pt idx="86">
                  <c:v>0.92400000000000004</c:v>
                </c:pt>
              </c:numCache>
            </c:numRef>
          </c:val>
          <c:smooth val="0"/>
          <c:extLst>
            <c:ext xmlns:c16="http://schemas.microsoft.com/office/drawing/2014/chart" uri="{C3380CC4-5D6E-409C-BE32-E72D297353CC}">
              <c16:uniqueId val="{00000000-D7C5-4496-9024-93BD98A1F5C5}"/>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5000000000000007"/>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思博量道十五号</a:t>
            </a:r>
            <a:endParaRPr lang="en-US" altLang="zh-CN" sz="1600"/>
          </a:p>
        </c:rich>
      </c:tx>
      <c:overlay val="0"/>
    </c:title>
    <c:autoTitleDeleted val="0"/>
    <c:plotArea>
      <c:layout/>
      <c:lineChart>
        <c:grouping val="standard"/>
        <c:varyColors val="0"/>
        <c:ser>
          <c:idx val="0"/>
          <c:order val="0"/>
          <c:tx>
            <c:strRef>
              <c:f>思博量道十五号!$B$20</c:f>
              <c:strCache>
                <c:ptCount val="1"/>
                <c:pt idx="0">
                  <c:v>累计净值</c:v>
                </c:pt>
              </c:strCache>
            </c:strRef>
          </c:tx>
          <c:marker>
            <c:symbol val="none"/>
          </c:marker>
          <c:cat>
            <c:numRef>
              <c:f>思博量道十五号!$A$21:$A$174</c:f>
              <c:numCache>
                <c:formatCode>m/d/yy</c:formatCode>
                <c:ptCount val="154"/>
                <c:pt idx="0">
                  <c:v>43781</c:v>
                </c:pt>
                <c:pt idx="1">
                  <c:v>43782</c:v>
                </c:pt>
                <c:pt idx="2">
                  <c:v>43783</c:v>
                </c:pt>
                <c:pt idx="3">
                  <c:v>43784</c:v>
                </c:pt>
                <c:pt idx="4">
                  <c:v>43787</c:v>
                </c:pt>
                <c:pt idx="5">
                  <c:v>43788</c:v>
                </c:pt>
                <c:pt idx="6">
                  <c:v>43789</c:v>
                </c:pt>
                <c:pt idx="7">
                  <c:v>43790</c:v>
                </c:pt>
                <c:pt idx="8">
                  <c:v>43791</c:v>
                </c:pt>
                <c:pt idx="9">
                  <c:v>43794</c:v>
                </c:pt>
                <c:pt idx="10">
                  <c:v>43795</c:v>
                </c:pt>
                <c:pt idx="11">
                  <c:v>43796</c:v>
                </c:pt>
                <c:pt idx="12">
                  <c:v>43797</c:v>
                </c:pt>
                <c:pt idx="13">
                  <c:v>43798</c:v>
                </c:pt>
                <c:pt idx="14">
                  <c:v>43801</c:v>
                </c:pt>
                <c:pt idx="15">
                  <c:v>43802</c:v>
                </c:pt>
                <c:pt idx="16">
                  <c:v>43803</c:v>
                </c:pt>
                <c:pt idx="17">
                  <c:v>43804</c:v>
                </c:pt>
                <c:pt idx="18">
                  <c:v>43805</c:v>
                </c:pt>
                <c:pt idx="19">
                  <c:v>43808</c:v>
                </c:pt>
                <c:pt idx="20">
                  <c:v>43809</c:v>
                </c:pt>
                <c:pt idx="21">
                  <c:v>43810</c:v>
                </c:pt>
                <c:pt idx="22">
                  <c:v>43811</c:v>
                </c:pt>
                <c:pt idx="23">
                  <c:v>43812</c:v>
                </c:pt>
                <c:pt idx="24">
                  <c:v>43815</c:v>
                </c:pt>
                <c:pt idx="25">
                  <c:v>43816</c:v>
                </c:pt>
                <c:pt idx="26">
                  <c:v>43817</c:v>
                </c:pt>
                <c:pt idx="27">
                  <c:v>43818</c:v>
                </c:pt>
                <c:pt idx="28">
                  <c:v>43819</c:v>
                </c:pt>
                <c:pt idx="29">
                  <c:v>43822</c:v>
                </c:pt>
                <c:pt idx="30">
                  <c:v>43823</c:v>
                </c:pt>
                <c:pt idx="31">
                  <c:v>43824</c:v>
                </c:pt>
                <c:pt idx="32">
                  <c:v>43825</c:v>
                </c:pt>
                <c:pt idx="33">
                  <c:v>43826</c:v>
                </c:pt>
                <c:pt idx="34">
                  <c:v>43829</c:v>
                </c:pt>
                <c:pt idx="35">
                  <c:v>43830</c:v>
                </c:pt>
                <c:pt idx="36">
                  <c:v>43832</c:v>
                </c:pt>
                <c:pt idx="37">
                  <c:v>43833</c:v>
                </c:pt>
                <c:pt idx="38">
                  <c:v>43836</c:v>
                </c:pt>
                <c:pt idx="39">
                  <c:v>43837</c:v>
                </c:pt>
                <c:pt idx="40">
                  <c:v>43838</c:v>
                </c:pt>
                <c:pt idx="41">
                  <c:v>43839</c:v>
                </c:pt>
                <c:pt idx="42">
                  <c:v>43840</c:v>
                </c:pt>
                <c:pt idx="43">
                  <c:v>43843</c:v>
                </c:pt>
                <c:pt idx="44">
                  <c:v>43844</c:v>
                </c:pt>
                <c:pt idx="45">
                  <c:v>43845</c:v>
                </c:pt>
                <c:pt idx="46">
                  <c:v>43846</c:v>
                </c:pt>
                <c:pt idx="47">
                  <c:v>43847</c:v>
                </c:pt>
                <c:pt idx="48">
                  <c:v>43850</c:v>
                </c:pt>
                <c:pt idx="49">
                  <c:v>43851</c:v>
                </c:pt>
                <c:pt idx="50">
                  <c:v>43852</c:v>
                </c:pt>
                <c:pt idx="51">
                  <c:v>43853</c:v>
                </c:pt>
                <c:pt idx="52">
                  <c:v>43864</c:v>
                </c:pt>
                <c:pt idx="53">
                  <c:v>43865</c:v>
                </c:pt>
                <c:pt idx="54">
                  <c:v>43866</c:v>
                </c:pt>
                <c:pt idx="55">
                  <c:v>43867</c:v>
                </c:pt>
                <c:pt idx="56">
                  <c:v>43868</c:v>
                </c:pt>
                <c:pt idx="57">
                  <c:v>43871</c:v>
                </c:pt>
                <c:pt idx="58">
                  <c:v>43872</c:v>
                </c:pt>
                <c:pt idx="59">
                  <c:v>43873</c:v>
                </c:pt>
                <c:pt idx="60">
                  <c:v>43874</c:v>
                </c:pt>
                <c:pt idx="61">
                  <c:v>43875</c:v>
                </c:pt>
                <c:pt idx="62">
                  <c:v>43878</c:v>
                </c:pt>
                <c:pt idx="63">
                  <c:v>43879</c:v>
                </c:pt>
                <c:pt idx="64">
                  <c:v>43880</c:v>
                </c:pt>
                <c:pt idx="65">
                  <c:v>43881</c:v>
                </c:pt>
                <c:pt idx="66">
                  <c:v>43882</c:v>
                </c:pt>
                <c:pt idx="67">
                  <c:v>43885</c:v>
                </c:pt>
                <c:pt idx="68">
                  <c:v>43886</c:v>
                </c:pt>
                <c:pt idx="69">
                  <c:v>43887</c:v>
                </c:pt>
                <c:pt idx="70">
                  <c:v>43888</c:v>
                </c:pt>
                <c:pt idx="71">
                  <c:v>43889</c:v>
                </c:pt>
                <c:pt idx="72">
                  <c:v>43892</c:v>
                </c:pt>
                <c:pt idx="73">
                  <c:v>43893</c:v>
                </c:pt>
                <c:pt idx="74">
                  <c:v>43894</c:v>
                </c:pt>
                <c:pt idx="75">
                  <c:v>43895</c:v>
                </c:pt>
                <c:pt idx="76">
                  <c:v>43896</c:v>
                </c:pt>
                <c:pt idx="77">
                  <c:v>43899</c:v>
                </c:pt>
                <c:pt idx="78">
                  <c:v>43900</c:v>
                </c:pt>
                <c:pt idx="79">
                  <c:v>43901</c:v>
                </c:pt>
                <c:pt idx="80">
                  <c:v>43902</c:v>
                </c:pt>
                <c:pt idx="81">
                  <c:v>43903</c:v>
                </c:pt>
                <c:pt idx="82">
                  <c:v>43906</c:v>
                </c:pt>
                <c:pt idx="83">
                  <c:v>43907</c:v>
                </c:pt>
                <c:pt idx="84">
                  <c:v>43908</c:v>
                </c:pt>
                <c:pt idx="85">
                  <c:v>43909</c:v>
                </c:pt>
                <c:pt idx="86">
                  <c:v>43910</c:v>
                </c:pt>
                <c:pt idx="87">
                  <c:v>43913</c:v>
                </c:pt>
                <c:pt idx="88">
                  <c:v>43914</c:v>
                </c:pt>
                <c:pt idx="89">
                  <c:v>43915</c:v>
                </c:pt>
                <c:pt idx="90">
                  <c:v>43916</c:v>
                </c:pt>
                <c:pt idx="91">
                  <c:v>43917</c:v>
                </c:pt>
                <c:pt idx="92">
                  <c:v>43920</c:v>
                </c:pt>
                <c:pt idx="93">
                  <c:v>43921</c:v>
                </c:pt>
                <c:pt idx="94">
                  <c:v>43922</c:v>
                </c:pt>
                <c:pt idx="95">
                  <c:v>43923</c:v>
                </c:pt>
                <c:pt idx="96">
                  <c:v>43924</c:v>
                </c:pt>
                <c:pt idx="97">
                  <c:v>43928</c:v>
                </c:pt>
                <c:pt idx="98">
                  <c:v>43929</c:v>
                </c:pt>
                <c:pt idx="99">
                  <c:v>43930</c:v>
                </c:pt>
                <c:pt idx="100">
                  <c:v>43931</c:v>
                </c:pt>
                <c:pt idx="101">
                  <c:v>43934</c:v>
                </c:pt>
                <c:pt idx="102">
                  <c:v>43935</c:v>
                </c:pt>
                <c:pt idx="103">
                  <c:v>43936</c:v>
                </c:pt>
                <c:pt idx="104">
                  <c:v>43937</c:v>
                </c:pt>
                <c:pt idx="105">
                  <c:v>43938</c:v>
                </c:pt>
                <c:pt idx="106">
                  <c:v>43941</c:v>
                </c:pt>
                <c:pt idx="107">
                  <c:v>43942</c:v>
                </c:pt>
                <c:pt idx="108">
                  <c:v>43943</c:v>
                </c:pt>
                <c:pt idx="109">
                  <c:v>43944</c:v>
                </c:pt>
                <c:pt idx="110">
                  <c:v>43945</c:v>
                </c:pt>
                <c:pt idx="111">
                  <c:v>43948</c:v>
                </c:pt>
                <c:pt idx="112">
                  <c:v>43949</c:v>
                </c:pt>
                <c:pt idx="113">
                  <c:v>43950</c:v>
                </c:pt>
                <c:pt idx="114">
                  <c:v>43951</c:v>
                </c:pt>
                <c:pt idx="115">
                  <c:v>43957</c:v>
                </c:pt>
                <c:pt idx="116">
                  <c:v>43958</c:v>
                </c:pt>
                <c:pt idx="117">
                  <c:v>43959</c:v>
                </c:pt>
                <c:pt idx="118">
                  <c:v>43962</c:v>
                </c:pt>
                <c:pt idx="119">
                  <c:v>43963</c:v>
                </c:pt>
                <c:pt idx="120">
                  <c:v>43964</c:v>
                </c:pt>
                <c:pt idx="121">
                  <c:v>43965</c:v>
                </c:pt>
                <c:pt idx="122">
                  <c:v>43966</c:v>
                </c:pt>
                <c:pt idx="123">
                  <c:v>43969</c:v>
                </c:pt>
                <c:pt idx="124">
                  <c:v>43970</c:v>
                </c:pt>
                <c:pt idx="125">
                  <c:v>43971</c:v>
                </c:pt>
                <c:pt idx="126">
                  <c:v>43972</c:v>
                </c:pt>
                <c:pt idx="127">
                  <c:v>43973</c:v>
                </c:pt>
                <c:pt idx="128">
                  <c:v>43976</c:v>
                </c:pt>
                <c:pt idx="129">
                  <c:v>43977</c:v>
                </c:pt>
                <c:pt idx="130">
                  <c:v>43978</c:v>
                </c:pt>
                <c:pt idx="131">
                  <c:v>43979</c:v>
                </c:pt>
                <c:pt idx="132">
                  <c:v>43980</c:v>
                </c:pt>
                <c:pt idx="133">
                  <c:v>43983</c:v>
                </c:pt>
                <c:pt idx="134">
                  <c:v>43984</c:v>
                </c:pt>
                <c:pt idx="135">
                  <c:v>43985</c:v>
                </c:pt>
                <c:pt idx="136">
                  <c:v>43986</c:v>
                </c:pt>
                <c:pt idx="137">
                  <c:v>43987</c:v>
                </c:pt>
                <c:pt idx="138">
                  <c:v>43990</c:v>
                </c:pt>
                <c:pt idx="139">
                  <c:v>43991</c:v>
                </c:pt>
                <c:pt idx="140">
                  <c:v>43992</c:v>
                </c:pt>
                <c:pt idx="141">
                  <c:v>43993</c:v>
                </c:pt>
                <c:pt idx="142">
                  <c:v>43994</c:v>
                </c:pt>
                <c:pt idx="143">
                  <c:v>43997</c:v>
                </c:pt>
                <c:pt idx="144">
                  <c:v>43998</c:v>
                </c:pt>
                <c:pt idx="145">
                  <c:v>43999</c:v>
                </c:pt>
                <c:pt idx="146">
                  <c:v>44000</c:v>
                </c:pt>
                <c:pt idx="147">
                  <c:v>44001</c:v>
                </c:pt>
                <c:pt idx="148">
                  <c:v>44004</c:v>
                </c:pt>
                <c:pt idx="149">
                  <c:v>44005</c:v>
                </c:pt>
                <c:pt idx="150">
                  <c:v>44006</c:v>
                </c:pt>
                <c:pt idx="151">
                  <c:v>44011</c:v>
                </c:pt>
                <c:pt idx="152">
                  <c:v>44012</c:v>
                </c:pt>
                <c:pt idx="153">
                  <c:v>44013</c:v>
                </c:pt>
              </c:numCache>
            </c:numRef>
          </c:cat>
          <c:val>
            <c:numRef>
              <c:f>思博量道十五号!$B$21:$B$174</c:f>
              <c:numCache>
                <c:formatCode>0.0000_ </c:formatCode>
                <c:ptCount val="154"/>
                <c:pt idx="0">
                  <c:v>1.1961999999999999</c:v>
                </c:pt>
                <c:pt idx="1">
                  <c:v>1.1961999999999999</c:v>
                </c:pt>
                <c:pt idx="2">
                  <c:v>1.1912</c:v>
                </c:pt>
                <c:pt idx="3">
                  <c:v>1.196</c:v>
                </c:pt>
                <c:pt idx="4">
                  <c:v>1.1921999999999999</c:v>
                </c:pt>
                <c:pt idx="5">
                  <c:v>1.1972</c:v>
                </c:pt>
                <c:pt idx="6">
                  <c:v>1.2014</c:v>
                </c:pt>
                <c:pt idx="7">
                  <c:v>1.1992</c:v>
                </c:pt>
                <c:pt idx="8">
                  <c:v>1.2028000000000001</c:v>
                </c:pt>
                <c:pt idx="9">
                  <c:v>1.2021999999999999</c:v>
                </c:pt>
                <c:pt idx="10">
                  <c:v>1.2044999999999999</c:v>
                </c:pt>
                <c:pt idx="11">
                  <c:v>1.2031000000000001</c:v>
                </c:pt>
                <c:pt idx="12">
                  <c:v>1.2036</c:v>
                </c:pt>
                <c:pt idx="13">
                  <c:v>1.2087000000000001</c:v>
                </c:pt>
                <c:pt idx="14">
                  <c:v>1.1996</c:v>
                </c:pt>
                <c:pt idx="15">
                  <c:v>1.2012</c:v>
                </c:pt>
                <c:pt idx="16">
                  <c:v>1.1994</c:v>
                </c:pt>
                <c:pt idx="17">
                  <c:v>1.1962999999999999</c:v>
                </c:pt>
                <c:pt idx="18">
                  <c:v>1.1924999999999999</c:v>
                </c:pt>
                <c:pt idx="19">
                  <c:v>1.1928000000000001</c:v>
                </c:pt>
                <c:pt idx="20">
                  <c:v>1.1875</c:v>
                </c:pt>
                <c:pt idx="21">
                  <c:v>1.1827000000000001</c:v>
                </c:pt>
                <c:pt idx="22">
                  <c:v>1.1843999999999999</c:v>
                </c:pt>
                <c:pt idx="23">
                  <c:v>1.1776</c:v>
                </c:pt>
                <c:pt idx="24">
                  <c:v>1.1777</c:v>
                </c:pt>
                <c:pt idx="25">
                  <c:v>1.1778</c:v>
                </c:pt>
                <c:pt idx="26">
                  <c:v>1.1767000000000001</c:v>
                </c:pt>
                <c:pt idx="27">
                  <c:v>1.1761999999999999</c:v>
                </c:pt>
                <c:pt idx="28">
                  <c:v>1.179</c:v>
                </c:pt>
                <c:pt idx="29">
                  <c:v>1.1828000000000001</c:v>
                </c:pt>
                <c:pt idx="30">
                  <c:v>1.1860999999999999</c:v>
                </c:pt>
                <c:pt idx="31">
                  <c:v>1.1855</c:v>
                </c:pt>
                <c:pt idx="32">
                  <c:v>1.1831</c:v>
                </c:pt>
                <c:pt idx="33">
                  <c:v>1.1812</c:v>
                </c:pt>
                <c:pt idx="34">
                  <c:v>1.1851</c:v>
                </c:pt>
                <c:pt idx="35">
                  <c:v>1.1888000000000001</c:v>
                </c:pt>
                <c:pt idx="36">
                  <c:v>1.1933</c:v>
                </c:pt>
                <c:pt idx="37">
                  <c:v>1.1892</c:v>
                </c:pt>
                <c:pt idx="38">
                  <c:v>1.1839</c:v>
                </c:pt>
                <c:pt idx="39">
                  <c:v>1.1901999999999999</c:v>
                </c:pt>
                <c:pt idx="40">
                  <c:v>1.1950000000000001</c:v>
                </c:pt>
                <c:pt idx="41">
                  <c:v>1.196</c:v>
                </c:pt>
                <c:pt idx="42">
                  <c:v>1.196</c:v>
                </c:pt>
                <c:pt idx="43">
                  <c:v>1.1966000000000001</c:v>
                </c:pt>
                <c:pt idx="44">
                  <c:v>1.1983999999999999</c:v>
                </c:pt>
                <c:pt idx="45">
                  <c:v>1.2019</c:v>
                </c:pt>
                <c:pt idx="46">
                  <c:v>1.202</c:v>
                </c:pt>
                <c:pt idx="47">
                  <c:v>1.2013</c:v>
                </c:pt>
                <c:pt idx="48">
                  <c:v>1.2002999999999999</c:v>
                </c:pt>
                <c:pt idx="49">
                  <c:v>1.2024999999999999</c:v>
                </c:pt>
                <c:pt idx="50">
                  <c:v>1.2052</c:v>
                </c:pt>
                <c:pt idx="51">
                  <c:v>1.2038</c:v>
                </c:pt>
                <c:pt idx="52">
                  <c:v>1.2490000000000001</c:v>
                </c:pt>
                <c:pt idx="53">
                  <c:v>1.2524</c:v>
                </c:pt>
                <c:pt idx="54">
                  <c:v>1.2546999999999999</c:v>
                </c:pt>
                <c:pt idx="55">
                  <c:v>1.2603</c:v>
                </c:pt>
                <c:pt idx="56">
                  <c:v>1.2625999999999999</c:v>
                </c:pt>
                <c:pt idx="57">
                  <c:v>1.2615000000000001</c:v>
                </c:pt>
                <c:pt idx="58">
                  <c:v>1.2607999999999999</c:v>
                </c:pt>
                <c:pt idx="59">
                  <c:v>1.2615000000000001</c:v>
                </c:pt>
                <c:pt idx="60">
                  <c:v>1.2623</c:v>
                </c:pt>
                <c:pt idx="61">
                  <c:v>1.2633000000000001</c:v>
                </c:pt>
                <c:pt idx="62">
                  <c:v>1.2654000000000001</c:v>
                </c:pt>
                <c:pt idx="63">
                  <c:v>1.2645999999999999</c:v>
                </c:pt>
                <c:pt idx="64">
                  <c:v>1.2643</c:v>
                </c:pt>
                <c:pt idx="65">
                  <c:v>1.2701</c:v>
                </c:pt>
                <c:pt idx="66">
                  <c:v>1.2710999999999999</c:v>
                </c:pt>
                <c:pt idx="67">
                  <c:v>1.2777000000000001</c:v>
                </c:pt>
                <c:pt idx="68">
                  <c:v>1.2786999999999999</c:v>
                </c:pt>
                <c:pt idx="69">
                  <c:v>1.2794000000000001</c:v>
                </c:pt>
                <c:pt idx="70">
                  <c:v>1.2825</c:v>
                </c:pt>
                <c:pt idx="71">
                  <c:v>1.2904</c:v>
                </c:pt>
                <c:pt idx="72">
                  <c:v>1.2842</c:v>
                </c:pt>
                <c:pt idx="73">
                  <c:v>1.3169999999999999</c:v>
                </c:pt>
                <c:pt idx="74">
                  <c:v>1.3171999999999999</c:v>
                </c:pt>
                <c:pt idx="75">
                  <c:v>1.3209</c:v>
                </c:pt>
                <c:pt idx="76">
                  <c:v>1.3187</c:v>
                </c:pt>
                <c:pt idx="77">
                  <c:v>1.3113999999999999</c:v>
                </c:pt>
                <c:pt idx="78">
                  <c:v>1.3037000000000001</c:v>
                </c:pt>
                <c:pt idx="79">
                  <c:v>1.3104</c:v>
                </c:pt>
                <c:pt idx="80">
                  <c:v>1.3166</c:v>
                </c:pt>
                <c:pt idx="81">
                  <c:v>1.3089</c:v>
                </c:pt>
                <c:pt idx="82">
                  <c:v>1.3151999999999999</c:v>
                </c:pt>
                <c:pt idx="83">
                  <c:v>1.3205</c:v>
                </c:pt>
                <c:pt idx="84">
                  <c:v>1.3258000000000001</c:v>
                </c:pt>
                <c:pt idx="85">
                  <c:v>1.3309</c:v>
                </c:pt>
                <c:pt idx="86">
                  <c:v>1.3187</c:v>
                </c:pt>
                <c:pt idx="87">
                  <c:v>1.3351</c:v>
                </c:pt>
                <c:pt idx="88">
                  <c:v>1.3242</c:v>
                </c:pt>
                <c:pt idx="89">
                  <c:v>1.319</c:v>
                </c:pt>
                <c:pt idx="90">
                  <c:v>1.3207</c:v>
                </c:pt>
                <c:pt idx="91">
                  <c:v>1.3211999999999999</c:v>
                </c:pt>
                <c:pt idx="92">
                  <c:v>1.3225</c:v>
                </c:pt>
                <c:pt idx="93">
                  <c:v>1.3230999999999999</c:v>
                </c:pt>
                <c:pt idx="94">
                  <c:v>1.3217000000000001</c:v>
                </c:pt>
                <c:pt idx="95">
                  <c:v>1.3267</c:v>
                </c:pt>
                <c:pt idx="96">
                  <c:v>1.3228</c:v>
                </c:pt>
                <c:pt idx="97">
                  <c:v>1.3214999999999999</c:v>
                </c:pt>
                <c:pt idx="98">
                  <c:v>1.3186</c:v>
                </c:pt>
                <c:pt idx="99">
                  <c:v>1.3190999999999999</c:v>
                </c:pt>
                <c:pt idx="100">
                  <c:v>1.3218000000000001</c:v>
                </c:pt>
                <c:pt idx="101">
                  <c:v>1.3221000000000001</c:v>
                </c:pt>
                <c:pt idx="102">
                  <c:v>1.3221000000000001</c:v>
                </c:pt>
                <c:pt idx="103">
                  <c:v>1.323</c:v>
                </c:pt>
                <c:pt idx="104">
                  <c:v>1.3212999999999999</c:v>
                </c:pt>
                <c:pt idx="105">
                  <c:v>1.3288</c:v>
                </c:pt>
                <c:pt idx="106">
                  <c:v>1.3280000000000001</c:v>
                </c:pt>
                <c:pt idx="107">
                  <c:v>1.3273999999999999</c:v>
                </c:pt>
                <c:pt idx="108">
                  <c:v>1.3275999999999999</c:v>
                </c:pt>
                <c:pt idx="109">
                  <c:v>1.3232999999999999</c:v>
                </c:pt>
                <c:pt idx="110">
                  <c:v>1.3272999999999999</c:v>
                </c:pt>
                <c:pt idx="111">
                  <c:v>1.3302</c:v>
                </c:pt>
                <c:pt idx="112">
                  <c:v>1.3312999999999999</c:v>
                </c:pt>
                <c:pt idx="113">
                  <c:v>1.3340000000000001</c:v>
                </c:pt>
                <c:pt idx="114">
                  <c:v>1.3362000000000001</c:v>
                </c:pt>
                <c:pt idx="115">
                  <c:v>1.3363</c:v>
                </c:pt>
                <c:pt idx="116">
                  <c:v>1.3357000000000001</c:v>
                </c:pt>
                <c:pt idx="117">
                  <c:v>1.3396999999999999</c:v>
                </c:pt>
                <c:pt idx="118">
                  <c:v>1.3367</c:v>
                </c:pt>
                <c:pt idx="119">
                  <c:v>1.3374999999999999</c:v>
                </c:pt>
                <c:pt idx="120">
                  <c:v>1.3387</c:v>
                </c:pt>
                <c:pt idx="121">
                  <c:v>1.3368</c:v>
                </c:pt>
                <c:pt idx="122">
                  <c:v>1.3347</c:v>
                </c:pt>
                <c:pt idx="123">
                  <c:v>1.3289</c:v>
                </c:pt>
                <c:pt idx="124">
                  <c:v>1.3364</c:v>
                </c:pt>
                <c:pt idx="125">
                  <c:v>1.3344</c:v>
                </c:pt>
                <c:pt idx="126">
                  <c:v>1.3345</c:v>
                </c:pt>
                <c:pt idx="127">
                  <c:v>1.3340000000000001</c:v>
                </c:pt>
                <c:pt idx="128">
                  <c:v>1.335</c:v>
                </c:pt>
                <c:pt idx="129">
                  <c:v>1.3343</c:v>
                </c:pt>
                <c:pt idx="130">
                  <c:v>1.3341000000000001</c:v>
                </c:pt>
                <c:pt idx="131">
                  <c:v>1.3331</c:v>
                </c:pt>
                <c:pt idx="132">
                  <c:v>1.3321000000000001</c:v>
                </c:pt>
                <c:pt idx="133">
                  <c:v>1.3297000000000001</c:v>
                </c:pt>
                <c:pt idx="134">
                  <c:v>1.3324</c:v>
                </c:pt>
                <c:pt idx="135">
                  <c:v>1.3324</c:v>
                </c:pt>
                <c:pt idx="136">
                  <c:v>1.3328</c:v>
                </c:pt>
                <c:pt idx="137">
                  <c:v>1.3332999999999999</c:v>
                </c:pt>
                <c:pt idx="138">
                  <c:v>1.333</c:v>
                </c:pt>
                <c:pt idx="139">
                  <c:v>1.3278000000000001</c:v>
                </c:pt>
                <c:pt idx="140">
                  <c:v>1.3255999999999999</c:v>
                </c:pt>
                <c:pt idx="141">
                  <c:v>1.3275999999999999</c:v>
                </c:pt>
                <c:pt idx="142">
                  <c:v>1.3248</c:v>
                </c:pt>
                <c:pt idx="143">
                  <c:v>1.3198000000000001</c:v>
                </c:pt>
                <c:pt idx="144">
                  <c:v>1.3242</c:v>
                </c:pt>
                <c:pt idx="145">
                  <c:v>1.3282</c:v>
                </c:pt>
                <c:pt idx="146">
                  <c:v>1.3279000000000001</c:v>
                </c:pt>
                <c:pt idx="147">
                  <c:v>1.3301000000000001</c:v>
                </c:pt>
                <c:pt idx="148">
                  <c:v>1.3283</c:v>
                </c:pt>
                <c:pt idx="149">
                  <c:v>1.3262</c:v>
                </c:pt>
                <c:pt idx="150">
                  <c:v>1.3295999999999999</c:v>
                </c:pt>
                <c:pt idx="151">
                  <c:v>1.3259000000000001</c:v>
                </c:pt>
                <c:pt idx="152">
                  <c:v>1.3238000000000001</c:v>
                </c:pt>
                <c:pt idx="153">
                  <c:v>1.3221000000000001</c:v>
                </c:pt>
              </c:numCache>
            </c:numRef>
          </c:val>
          <c:smooth val="0"/>
          <c:extLst>
            <c:ext xmlns:c16="http://schemas.microsoft.com/office/drawing/2014/chart" uri="{C3380CC4-5D6E-409C-BE32-E72D297353CC}">
              <c16:uniqueId val="{00000000-C287-4300-B79A-5679ABCCEDBD}"/>
            </c:ext>
          </c:extLst>
        </c:ser>
        <c:dLbls>
          <c:showLegendKey val="0"/>
          <c:showVal val="0"/>
          <c:showCatName val="0"/>
          <c:showSerName val="0"/>
          <c:showPercent val="0"/>
          <c:showBubbleSize val="0"/>
        </c:dLbls>
        <c:smooth val="0"/>
        <c:axId val="-490966736"/>
        <c:axId val="-490983056"/>
      </c:lineChart>
      <c:catAx>
        <c:axId val="-490966736"/>
        <c:scaling>
          <c:orientation val="minMax"/>
        </c:scaling>
        <c:delete val="0"/>
        <c:axPos val="b"/>
        <c:numFmt formatCode="m/d/yy" sourceLinked="1"/>
        <c:majorTickMark val="none"/>
        <c:minorTickMark val="none"/>
        <c:tickLblPos val="nextTo"/>
        <c:crossAx val="-490983056"/>
        <c:crosses val="autoZero"/>
        <c:auto val="0"/>
        <c:lblAlgn val="ctr"/>
        <c:lblOffset val="100"/>
        <c:noMultiLvlLbl val="1"/>
      </c:catAx>
      <c:valAx>
        <c:axId val="-490983056"/>
        <c:scaling>
          <c:orientation val="minMax"/>
        </c:scaling>
        <c:delete val="0"/>
        <c:axPos val="l"/>
        <c:majorGridlines/>
        <c:numFmt formatCode="0.0000_ " sourceLinked="1"/>
        <c:majorTickMark val="none"/>
        <c:minorTickMark val="none"/>
        <c:tickLblPos val="nextTo"/>
        <c:spPr>
          <a:ln w="9525">
            <a:noFill/>
          </a:ln>
        </c:spPr>
        <c:crossAx val="-490966736"/>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顽岩烽火</a:t>
            </a:r>
            <a:endParaRPr lang="en-US" altLang="zh-CN" sz="1600"/>
          </a:p>
        </c:rich>
      </c:tx>
      <c:overlay val="0"/>
    </c:title>
    <c:autoTitleDeleted val="0"/>
    <c:plotArea>
      <c:layout/>
      <c:lineChart>
        <c:grouping val="standard"/>
        <c:varyColors val="0"/>
        <c:ser>
          <c:idx val="0"/>
          <c:order val="0"/>
          <c:tx>
            <c:strRef>
              <c:f>顽岩烽火!$B$20</c:f>
              <c:strCache>
                <c:ptCount val="1"/>
                <c:pt idx="0">
                  <c:v>累计净值</c:v>
                </c:pt>
              </c:strCache>
            </c:strRef>
          </c:tx>
          <c:marker>
            <c:symbol val="none"/>
          </c:marker>
          <c:cat>
            <c:numRef>
              <c:f>顽岩烽火!$A$21:$A$194</c:f>
              <c:numCache>
                <c:formatCode>m/d/yy</c:formatCode>
                <c:ptCount val="174"/>
                <c:pt idx="0">
                  <c:v>43710</c:v>
                </c:pt>
                <c:pt idx="1">
                  <c:v>43711</c:v>
                </c:pt>
                <c:pt idx="2">
                  <c:v>43712</c:v>
                </c:pt>
                <c:pt idx="3">
                  <c:v>43713</c:v>
                </c:pt>
                <c:pt idx="4">
                  <c:v>43714</c:v>
                </c:pt>
                <c:pt idx="5">
                  <c:v>43717</c:v>
                </c:pt>
                <c:pt idx="6">
                  <c:v>43718</c:v>
                </c:pt>
                <c:pt idx="7">
                  <c:v>43719</c:v>
                </c:pt>
                <c:pt idx="8">
                  <c:v>43720</c:v>
                </c:pt>
                <c:pt idx="9">
                  <c:v>43724</c:v>
                </c:pt>
                <c:pt idx="10">
                  <c:v>43725</c:v>
                </c:pt>
                <c:pt idx="11">
                  <c:v>43726</c:v>
                </c:pt>
                <c:pt idx="12">
                  <c:v>43727</c:v>
                </c:pt>
                <c:pt idx="13">
                  <c:v>43728</c:v>
                </c:pt>
                <c:pt idx="14">
                  <c:v>43731</c:v>
                </c:pt>
                <c:pt idx="15">
                  <c:v>43732</c:v>
                </c:pt>
                <c:pt idx="16">
                  <c:v>43733</c:v>
                </c:pt>
                <c:pt idx="17">
                  <c:v>43734</c:v>
                </c:pt>
                <c:pt idx="18">
                  <c:v>43735</c:v>
                </c:pt>
                <c:pt idx="19">
                  <c:v>43738</c:v>
                </c:pt>
                <c:pt idx="20">
                  <c:v>43746</c:v>
                </c:pt>
                <c:pt idx="21">
                  <c:v>43747</c:v>
                </c:pt>
                <c:pt idx="22">
                  <c:v>43748</c:v>
                </c:pt>
                <c:pt idx="23">
                  <c:v>43749</c:v>
                </c:pt>
                <c:pt idx="24">
                  <c:v>43752</c:v>
                </c:pt>
                <c:pt idx="25">
                  <c:v>43753</c:v>
                </c:pt>
                <c:pt idx="26">
                  <c:v>43754</c:v>
                </c:pt>
                <c:pt idx="27">
                  <c:v>43755</c:v>
                </c:pt>
                <c:pt idx="28">
                  <c:v>43756</c:v>
                </c:pt>
                <c:pt idx="29">
                  <c:v>43759</c:v>
                </c:pt>
                <c:pt idx="30">
                  <c:v>43760</c:v>
                </c:pt>
                <c:pt idx="31">
                  <c:v>43761</c:v>
                </c:pt>
                <c:pt idx="32">
                  <c:v>43762</c:v>
                </c:pt>
                <c:pt idx="33">
                  <c:v>43763</c:v>
                </c:pt>
                <c:pt idx="34">
                  <c:v>43766</c:v>
                </c:pt>
                <c:pt idx="35">
                  <c:v>43767</c:v>
                </c:pt>
                <c:pt idx="36">
                  <c:v>43768</c:v>
                </c:pt>
                <c:pt idx="37">
                  <c:v>43769</c:v>
                </c:pt>
                <c:pt idx="38">
                  <c:v>43770</c:v>
                </c:pt>
                <c:pt idx="39">
                  <c:v>43773</c:v>
                </c:pt>
                <c:pt idx="40">
                  <c:v>43774</c:v>
                </c:pt>
                <c:pt idx="41">
                  <c:v>43775</c:v>
                </c:pt>
                <c:pt idx="42">
                  <c:v>43776</c:v>
                </c:pt>
                <c:pt idx="43">
                  <c:v>43777</c:v>
                </c:pt>
                <c:pt idx="44">
                  <c:v>43780</c:v>
                </c:pt>
                <c:pt idx="45">
                  <c:v>43781</c:v>
                </c:pt>
                <c:pt idx="46">
                  <c:v>43782</c:v>
                </c:pt>
                <c:pt idx="47">
                  <c:v>43783</c:v>
                </c:pt>
                <c:pt idx="48">
                  <c:v>43784</c:v>
                </c:pt>
                <c:pt idx="49">
                  <c:v>43787</c:v>
                </c:pt>
                <c:pt idx="50">
                  <c:v>43788</c:v>
                </c:pt>
                <c:pt idx="51">
                  <c:v>43789</c:v>
                </c:pt>
                <c:pt idx="52">
                  <c:v>43790</c:v>
                </c:pt>
                <c:pt idx="53">
                  <c:v>43791</c:v>
                </c:pt>
                <c:pt idx="54">
                  <c:v>43794</c:v>
                </c:pt>
                <c:pt idx="55">
                  <c:v>43795</c:v>
                </c:pt>
                <c:pt idx="56">
                  <c:v>43796</c:v>
                </c:pt>
                <c:pt idx="57">
                  <c:v>43797</c:v>
                </c:pt>
                <c:pt idx="58">
                  <c:v>43798</c:v>
                </c:pt>
                <c:pt idx="59">
                  <c:v>43801</c:v>
                </c:pt>
                <c:pt idx="60">
                  <c:v>43802</c:v>
                </c:pt>
                <c:pt idx="61">
                  <c:v>43803</c:v>
                </c:pt>
                <c:pt idx="62">
                  <c:v>43804</c:v>
                </c:pt>
                <c:pt idx="63">
                  <c:v>43805</c:v>
                </c:pt>
                <c:pt idx="64">
                  <c:v>43808</c:v>
                </c:pt>
                <c:pt idx="65">
                  <c:v>43809</c:v>
                </c:pt>
                <c:pt idx="66">
                  <c:v>43810</c:v>
                </c:pt>
                <c:pt idx="67">
                  <c:v>43811</c:v>
                </c:pt>
                <c:pt idx="68">
                  <c:v>43812</c:v>
                </c:pt>
                <c:pt idx="69">
                  <c:v>43815</c:v>
                </c:pt>
                <c:pt idx="70">
                  <c:v>43816</c:v>
                </c:pt>
                <c:pt idx="71">
                  <c:v>43817</c:v>
                </c:pt>
                <c:pt idx="72">
                  <c:v>43818</c:v>
                </c:pt>
                <c:pt idx="73">
                  <c:v>43819</c:v>
                </c:pt>
                <c:pt idx="74">
                  <c:v>43822</c:v>
                </c:pt>
                <c:pt idx="75">
                  <c:v>43823</c:v>
                </c:pt>
                <c:pt idx="76">
                  <c:v>43824</c:v>
                </c:pt>
                <c:pt idx="77">
                  <c:v>43825</c:v>
                </c:pt>
                <c:pt idx="78">
                  <c:v>43826</c:v>
                </c:pt>
                <c:pt idx="79">
                  <c:v>43829</c:v>
                </c:pt>
                <c:pt idx="80">
                  <c:v>43830</c:v>
                </c:pt>
                <c:pt idx="81">
                  <c:v>43832</c:v>
                </c:pt>
                <c:pt idx="82">
                  <c:v>43833</c:v>
                </c:pt>
                <c:pt idx="83">
                  <c:v>43836</c:v>
                </c:pt>
                <c:pt idx="84">
                  <c:v>43837</c:v>
                </c:pt>
                <c:pt idx="85">
                  <c:v>43838</c:v>
                </c:pt>
                <c:pt idx="86">
                  <c:v>43839</c:v>
                </c:pt>
                <c:pt idx="87">
                  <c:v>43840</c:v>
                </c:pt>
                <c:pt idx="88">
                  <c:v>43843</c:v>
                </c:pt>
                <c:pt idx="89">
                  <c:v>43844</c:v>
                </c:pt>
                <c:pt idx="90">
                  <c:v>43845</c:v>
                </c:pt>
                <c:pt idx="91">
                  <c:v>43846</c:v>
                </c:pt>
                <c:pt idx="92">
                  <c:v>43847</c:v>
                </c:pt>
                <c:pt idx="93">
                  <c:v>43850</c:v>
                </c:pt>
                <c:pt idx="94">
                  <c:v>43851</c:v>
                </c:pt>
                <c:pt idx="95">
                  <c:v>43852</c:v>
                </c:pt>
                <c:pt idx="96">
                  <c:v>43853</c:v>
                </c:pt>
                <c:pt idx="97">
                  <c:v>43864</c:v>
                </c:pt>
                <c:pt idx="98">
                  <c:v>43865</c:v>
                </c:pt>
                <c:pt idx="99">
                  <c:v>43866</c:v>
                </c:pt>
                <c:pt idx="100">
                  <c:v>43867</c:v>
                </c:pt>
                <c:pt idx="101">
                  <c:v>43868</c:v>
                </c:pt>
                <c:pt idx="102">
                  <c:v>43871</c:v>
                </c:pt>
                <c:pt idx="103">
                  <c:v>43872</c:v>
                </c:pt>
                <c:pt idx="104">
                  <c:v>43873</c:v>
                </c:pt>
                <c:pt idx="105">
                  <c:v>43874</c:v>
                </c:pt>
                <c:pt idx="106">
                  <c:v>43875</c:v>
                </c:pt>
                <c:pt idx="107">
                  <c:v>43878</c:v>
                </c:pt>
                <c:pt idx="108">
                  <c:v>43879</c:v>
                </c:pt>
                <c:pt idx="109">
                  <c:v>43880</c:v>
                </c:pt>
                <c:pt idx="110">
                  <c:v>43881</c:v>
                </c:pt>
                <c:pt idx="111">
                  <c:v>43882</c:v>
                </c:pt>
                <c:pt idx="112">
                  <c:v>43885</c:v>
                </c:pt>
                <c:pt idx="113">
                  <c:v>43886</c:v>
                </c:pt>
                <c:pt idx="114">
                  <c:v>43887</c:v>
                </c:pt>
                <c:pt idx="115">
                  <c:v>43888</c:v>
                </c:pt>
                <c:pt idx="116">
                  <c:v>43889</c:v>
                </c:pt>
                <c:pt idx="117">
                  <c:v>43892</c:v>
                </c:pt>
                <c:pt idx="118">
                  <c:v>43893</c:v>
                </c:pt>
                <c:pt idx="119">
                  <c:v>43894</c:v>
                </c:pt>
                <c:pt idx="120">
                  <c:v>43895</c:v>
                </c:pt>
                <c:pt idx="121">
                  <c:v>43896</c:v>
                </c:pt>
                <c:pt idx="122">
                  <c:v>43899</c:v>
                </c:pt>
                <c:pt idx="123">
                  <c:v>43900</c:v>
                </c:pt>
                <c:pt idx="124">
                  <c:v>43901</c:v>
                </c:pt>
                <c:pt idx="125">
                  <c:v>43902</c:v>
                </c:pt>
                <c:pt idx="126">
                  <c:v>43903</c:v>
                </c:pt>
                <c:pt idx="127">
                  <c:v>43906</c:v>
                </c:pt>
                <c:pt idx="128">
                  <c:v>43907</c:v>
                </c:pt>
                <c:pt idx="129">
                  <c:v>43908</c:v>
                </c:pt>
                <c:pt idx="130">
                  <c:v>43909</c:v>
                </c:pt>
                <c:pt idx="131">
                  <c:v>43910</c:v>
                </c:pt>
                <c:pt idx="132">
                  <c:v>43913</c:v>
                </c:pt>
                <c:pt idx="133">
                  <c:v>43914</c:v>
                </c:pt>
                <c:pt idx="134">
                  <c:v>43915</c:v>
                </c:pt>
                <c:pt idx="135">
                  <c:v>43916</c:v>
                </c:pt>
                <c:pt idx="136">
                  <c:v>43917</c:v>
                </c:pt>
                <c:pt idx="137">
                  <c:v>43920</c:v>
                </c:pt>
                <c:pt idx="138">
                  <c:v>43921</c:v>
                </c:pt>
                <c:pt idx="139">
                  <c:v>43922</c:v>
                </c:pt>
                <c:pt idx="140">
                  <c:v>43923</c:v>
                </c:pt>
                <c:pt idx="141">
                  <c:v>43924</c:v>
                </c:pt>
                <c:pt idx="142">
                  <c:v>43928</c:v>
                </c:pt>
                <c:pt idx="143">
                  <c:v>43929</c:v>
                </c:pt>
                <c:pt idx="144">
                  <c:v>43930</c:v>
                </c:pt>
                <c:pt idx="145">
                  <c:v>43931</c:v>
                </c:pt>
                <c:pt idx="146">
                  <c:v>43934</c:v>
                </c:pt>
                <c:pt idx="147">
                  <c:v>43935</c:v>
                </c:pt>
                <c:pt idx="148">
                  <c:v>43936</c:v>
                </c:pt>
                <c:pt idx="149">
                  <c:v>43937</c:v>
                </c:pt>
                <c:pt idx="150">
                  <c:v>43938</c:v>
                </c:pt>
                <c:pt idx="151">
                  <c:v>43941</c:v>
                </c:pt>
                <c:pt idx="152">
                  <c:v>43942</c:v>
                </c:pt>
                <c:pt idx="153">
                  <c:v>43943</c:v>
                </c:pt>
                <c:pt idx="154">
                  <c:v>43944</c:v>
                </c:pt>
                <c:pt idx="155">
                  <c:v>43945</c:v>
                </c:pt>
                <c:pt idx="156">
                  <c:v>43948</c:v>
                </c:pt>
                <c:pt idx="157">
                  <c:v>43949</c:v>
                </c:pt>
                <c:pt idx="158">
                  <c:v>43950</c:v>
                </c:pt>
                <c:pt idx="159">
                  <c:v>43951</c:v>
                </c:pt>
                <c:pt idx="160">
                  <c:v>43957</c:v>
                </c:pt>
                <c:pt idx="161">
                  <c:v>43958</c:v>
                </c:pt>
                <c:pt idx="162">
                  <c:v>43959</c:v>
                </c:pt>
                <c:pt idx="163">
                  <c:v>43962</c:v>
                </c:pt>
                <c:pt idx="164">
                  <c:v>43963</c:v>
                </c:pt>
                <c:pt idx="165">
                  <c:v>43964</c:v>
                </c:pt>
                <c:pt idx="166">
                  <c:v>43965</c:v>
                </c:pt>
                <c:pt idx="167">
                  <c:v>43966</c:v>
                </c:pt>
                <c:pt idx="168">
                  <c:v>43969</c:v>
                </c:pt>
                <c:pt idx="169">
                  <c:v>43970</c:v>
                </c:pt>
                <c:pt idx="170">
                  <c:v>43971</c:v>
                </c:pt>
                <c:pt idx="171">
                  <c:v>43972</c:v>
                </c:pt>
                <c:pt idx="172">
                  <c:v>43973</c:v>
                </c:pt>
                <c:pt idx="173">
                  <c:v>43976</c:v>
                </c:pt>
              </c:numCache>
            </c:numRef>
          </c:cat>
          <c:val>
            <c:numRef>
              <c:f>顽岩烽火!$B$21:$B$194</c:f>
              <c:numCache>
                <c:formatCode>0.0000_ </c:formatCode>
                <c:ptCount val="174"/>
                <c:pt idx="0">
                  <c:v>1.0137</c:v>
                </c:pt>
                <c:pt idx="1">
                  <c:v>1.0125</c:v>
                </c:pt>
                <c:pt idx="2">
                  <c:v>1.0132000000000001</c:v>
                </c:pt>
                <c:pt idx="3">
                  <c:v>1.0130999999999999</c:v>
                </c:pt>
                <c:pt idx="4">
                  <c:v>1.0133000000000001</c:v>
                </c:pt>
                <c:pt idx="5">
                  <c:v>1.0138</c:v>
                </c:pt>
                <c:pt idx="6">
                  <c:v>1.0145999999999999</c:v>
                </c:pt>
                <c:pt idx="7">
                  <c:v>1.0152000000000001</c:v>
                </c:pt>
                <c:pt idx="8">
                  <c:v>1.0141</c:v>
                </c:pt>
                <c:pt idx="9">
                  <c:v>1.0137</c:v>
                </c:pt>
                <c:pt idx="10">
                  <c:v>1.0126999999999999</c:v>
                </c:pt>
                <c:pt idx="11">
                  <c:v>1.0122</c:v>
                </c:pt>
                <c:pt idx="12">
                  <c:v>1.0109999999999999</c:v>
                </c:pt>
                <c:pt idx="13">
                  <c:v>1.0113000000000001</c:v>
                </c:pt>
                <c:pt idx="14">
                  <c:v>1.0111000000000001</c:v>
                </c:pt>
                <c:pt idx="15">
                  <c:v>1.0096000000000001</c:v>
                </c:pt>
                <c:pt idx="16">
                  <c:v>1.0098</c:v>
                </c:pt>
                <c:pt idx="17">
                  <c:v>1.0097</c:v>
                </c:pt>
                <c:pt idx="18">
                  <c:v>1.0234000000000001</c:v>
                </c:pt>
                <c:pt idx="19">
                  <c:v>1.0224</c:v>
                </c:pt>
                <c:pt idx="20">
                  <c:v>1.0221</c:v>
                </c:pt>
                <c:pt idx="21">
                  <c:v>1.0226999999999999</c:v>
                </c:pt>
                <c:pt idx="22">
                  <c:v>1.0228999999999999</c:v>
                </c:pt>
                <c:pt idx="23">
                  <c:v>1.0226999999999999</c:v>
                </c:pt>
                <c:pt idx="24">
                  <c:v>1.0226</c:v>
                </c:pt>
                <c:pt idx="25">
                  <c:v>1.0221</c:v>
                </c:pt>
                <c:pt idx="26">
                  <c:v>1.0221</c:v>
                </c:pt>
                <c:pt idx="27">
                  <c:v>1.0219</c:v>
                </c:pt>
                <c:pt idx="28">
                  <c:v>1.0210999999999999</c:v>
                </c:pt>
                <c:pt idx="29">
                  <c:v>1.0198</c:v>
                </c:pt>
                <c:pt idx="30">
                  <c:v>1.0197000000000001</c:v>
                </c:pt>
                <c:pt idx="31">
                  <c:v>1.0197000000000001</c:v>
                </c:pt>
                <c:pt idx="32">
                  <c:v>1.0193000000000001</c:v>
                </c:pt>
                <c:pt idx="33">
                  <c:v>1.0197000000000001</c:v>
                </c:pt>
                <c:pt idx="34">
                  <c:v>1.0193000000000001</c:v>
                </c:pt>
                <c:pt idx="35">
                  <c:v>1.0242</c:v>
                </c:pt>
                <c:pt idx="36">
                  <c:v>1.024</c:v>
                </c:pt>
                <c:pt idx="37">
                  <c:v>1.0245</c:v>
                </c:pt>
                <c:pt idx="38">
                  <c:v>1.0257000000000001</c:v>
                </c:pt>
                <c:pt idx="39">
                  <c:v>1.0271999999999999</c:v>
                </c:pt>
                <c:pt idx="40">
                  <c:v>1.0265</c:v>
                </c:pt>
                <c:pt idx="41">
                  <c:v>1.0407</c:v>
                </c:pt>
                <c:pt idx="42">
                  <c:v>1.044</c:v>
                </c:pt>
                <c:pt idx="43">
                  <c:v>1.0468</c:v>
                </c:pt>
                <c:pt idx="44">
                  <c:v>1.0498000000000001</c:v>
                </c:pt>
                <c:pt idx="45">
                  <c:v>1.0548</c:v>
                </c:pt>
                <c:pt idx="46">
                  <c:v>1.0577000000000001</c:v>
                </c:pt>
                <c:pt idx="47">
                  <c:v>1.0593999999999999</c:v>
                </c:pt>
                <c:pt idx="48">
                  <c:v>1.0615000000000001</c:v>
                </c:pt>
                <c:pt idx="49">
                  <c:v>1.0630999999999999</c:v>
                </c:pt>
                <c:pt idx="50">
                  <c:v>1.0642</c:v>
                </c:pt>
                <c:pt idx="51">
                  <c:v>1.0654999999999999</c:v>
                </c:pt>
                <c:pt idx="52">
                  <c:v>1.0657000000000001</c:v>
                </c:pt>
                <c:pt idx="53">
                  <c:v>1.0669999999999999</c:v>
                </c:pt>
                <c:pt idx="54">
                  <c:v>1.0668</c:v>
                </c:pt>
                <c:pt idx="55">
                  <c:v>1.0672999999999999</c:v>
                </c:pt>
                <c:pt idx="56">
                  <c:v>1.07</c:v>
                </c:pt>
                <c:pt idx="57">
                  <c:v>1.0696000000000001</c:v>
                </c:pt>
                <c:pt idx="58">
                  <c:v>1.069</c:v>
                </c:pt>
                <c:pt idx="59">
                  <c:v>1.0704</c:v>
                </c:pt>
                <c:pt idx="60">
                  <c:v>1.073</c:v>
                </c:pt>
                <c:pt idx="61">
                  <c:v>1.0748</c:v>
                </c:pt>
                <c:pt idx="62">
                  <c:v>1.0774999999999999</c:v>
                </c:pt>
                <c:pt idx="63">
                  <c:v>1.0779000000000001</c:v>
                </c:pt>
                <c:pt idx="64">
                  <c:v>1.0771999999999999</c:v>
                </c:pt>
                <c:pt idx="65">
                  <c:v>1.0777000000000001</c:v>
                </c:pt>
                <c:pt idx="66">
                  <c:v>1.0777000000000001</c:v>
                </c:pt>
                <c:pt idx="67">
                  <c:v>1.0775999999999999</c:v>
                </c:pt>
                <c:pt idx="68">
                  <c:v>1.0779000000000001</c:v>
                </c:pt>
                <c:pt idx="69">
                  <c:v>1.0769</c:v>
                </c:pt>
                <c:pt idx="70">
                  <c:v>1.0771999999999999</c:v>
                </c:pt>
                <c:pt idx="71">
                  <c:v>1.0781000000000001</c:v>
                </c:pt>
                <c:pt idx="72">
                  <c:v>1.0763</c:v>
                </c:pt>
                <c:pt idx="73">
                  <c:v>1.0790999999999999</c:v>
                </c:pt>
                <c:pt idx="74">
                  <c:v>1.0783</c:v>
                </c:pt>
                <c:pt idx="75">
                  <c:v>1.0788</c:v>
                </c:pt>
                <c:pt idx="76">
                  <c:v>1.0795999999999999</c:v>
                </c:pt>
                <c:pt idx="77">
                  <c:v>1.0784</c:v>
                </c:pt>
                <c:pt idx="78">
                  <c:v>1.0784</c:v>
                </c:pt>
                <c:pt idx="79">
                  <c:v>1.0793999999999999</c:v>
                </c:pt>
                <c:pt idx="80">
                  <c:v>1.08</c:v>
                </c:pt>
                <c:pt idx="81">
                  <c:v>1.0814999999999999</c:v>
                </c:pt>
                <c:pt idx="82">
                  <c:v>1.0811999999999999</c:v>
                </c:pt>
                <c:pt idx="83">
                  <c:v>1.0806</c:v>
                </c:pt>
                <c:pt idx="84">
                  <c:v>1.0810999999999999</c:v>
                </c:pt>
                <c:pt idx="85">
                  <c:v>1.0812999999999999</c:v>
                </c:pt>
                <c:pt idx="86">
                  <c:v>1.0811999999999999</c:v>
                </c:pt>
                <c:pt idx="87">
                  <c:v>1.0809</c:v>
                </c:pt>
                <c:pt idx="88">
                  <c:v>1.0807</c:v>
                </c:pt>
                <c:pt idx="89">
                  <c:v>1.081</c:v>
                </c:pt>
                <c:pt idx="90">
                  <c:v>1.0813999999999999</c:v>
                </c:pt>
                <c:pt idx="91">
                  <c:v>1.0815999999999999</c:v>
                </c:pt>
                <c:pt idx="92">
                  <c:v>1.0809</c:v>
                </c:pt>
                <c:pt idx="93">
                  <c:v>1.0831</c:v>
                </c:pt>
                <c:pt idx="94">
                  <c:v>1.0828</c:v>
                </c:pt>
                <c:pt idx="95">
                  <c:v>1.0825</c:v>
                </c:pt>
                <c:pt idx="96">
                  <c:v>1.0811999999999999</c:v>
                </c:pt>
                <c:pt idx="97">
                  <c:v>1.0807</c:v>
                </c:pt>
                <c:pt idx="98">
                  <c:v>1.0806</c:v>
                </c:pt>
                <c:pt idx="99">
                  <c:v>1.0804</c:v>
                </c:pt>
                <c:pt idx="100">
                  <c:v>1.0804</c:v>
                </c:pt>
                <c:pt idx="101">
                  <c:v>1.0804</c:v>
                </c:pt>
                <c:pt idx="102">
                  <c:v>1.0801000000000001</c:v>
                </c:pt>
                <c:pt idx="103">
                  <c:v>1.0794999999999999</c:v>
                </c:pt>
                <c:pt idx="104">
                  <c:v>1.0803</c:v>
                </c:pt>
                <c:pt idx="105">
                  <c:v>1.0807</c:v>
                </c:pt>
                <c:pt idx="106">
                  <c:v>1.0809</c:v>
                </c:pt>
                <c:pt idx="107">
                  <c:v>1.0814999999999999</c:v>
                </c:pt>
                <c:pt idx="108">
                  <c:v>1.0810999999999999</c:v>
                </c:pt>
                <c:pt idx="109">
                  <c:v>1.0812999999999999</c:v>
                </c:pt>
                <c:pt idx="110">
                  <c:v>1.0792999999999999</c:v>
                </c:pt>
                <c:pt idx="111">
                  <c:v>1.0801000000000001</c:v>
                </c:pt>
                <c:pt idx="112">
                  <c:v>1.0784</c:v>
                </c:pt>
                <c:pt idx="113">
                  <c:v>1.0784</c:v>
                </c:pt>
                <c:pt idx="114">
                  <c:v>1.0778000000000001</c:v>
                </c:pt>
                <c:pt idx="115">
                  <c:v>1.0780000000000001</c:v>
                </c:pt>
                <c:pt idx="116">
                  <c:v>1.0768</c:v>
                </c:pt>
                <c:pt idx="117">
                  <c:v>1.0762</c:v>
                </c:pt>
                <c:pt idx="118">
                  <c:v>1.0771999999999999</c:v>
                </c:pt>
                <c:pt idx="119">
                  <c:v>1.0795999999999999</c:v>
                </c:pt>
                <c:pt idx="120">
                  <c:v>1.0778000000000001</c:v>
                </c:pt>
                <c:pt idx="121">
                  <c:v>1.0788</c:v>
                </c:pt>
                <c:pt idx="122">
                  <c:v>1.0789</c:v>
                </c:pt>
                <c:pt idx="123">
                  <c:v>1.0782</c:v>
                </c:pt>
                <c:pt idx="124">
                  <c:v>1.0792999999999999</c:v>
                </c:pt>
                <c:pt idx="125">
                  <c:v>1.0786</c:v>
                </c:pt>
                <c:pt idx="126">
                  <c:v>1.0745</c:v>
                </c:pt>
                <c:pt idx="127">
                  <c:v>1.0765</c:v>
                </c:pt>
                <c:pt idx="128">
                  <c:v>1.0777000000000001</c:v>
                </c:pt>
                <c:pt idx="129">
                  <c:v>1.075</c:v>
                </c:pt>
                <c:pt idx="130">
                  <c:v>1.0741000000000001</c:v>
                </c:pt>
                <c:pt idx="131">
                  <c:v>1.0744</c:v>
                </c:pt>
                <c:pt idx="132">
                  <c:v>1.08</c:v>
                </c:pt>
                <c:pt idx="133">
                  <c:v>1.0780000000000001</c:v>
                </c:pt>
                <c:pt idx="134">
                  <c:v>1.0808</c:v>
                </c:pt>
                <c:pt idx="135">
                  <c:v>1.0848</c:v>
                </c:pt>
                <c:pt idx="136">
                  <c:v>1.0868</c:v>
                </c:pt>
                <c:pt idx="137">
                  <c:v>1.0866</c:v>
                </c:pt>
                <c:pt idx="138">
                  <c:v>1.0889</c:v>
                </c:pt>
                <c:pt idx="139">
                  <c:v>1.0898000000000001</c:v>
                </c:pt>
                <c:pt idx="140">
                  <c:v>1.0935999999999999</c:v>
                </c:pt>
                <c:pt idx="141">
                  <c:v>1.0935999999999999</c:v>
                </c:pt>
                <c:pt idx="142">
                  <c:v>1.0946</c:v>
                </c:pt>
                <c:pt idx="143">
                  <c:v>1.0966</c:v>
                </c:pt>
                <c:pt idx="144">
                  <c:v>1.0979000000000001</c:v>
                </c:pt>
                <c:pt idx="145">
                  <c:v>1.0986</c:v>
                </c:pt>
                <c:pt idx="146">
                  <c:v>1.0999000000000001</c:v>
                </c:pt>
                <c:pt idx="147">
                  <c:v>1.1005</c:v>
                </c:pt>
                <c:pt idx="148">
                  <c:v>1.1016999999999999</c:v>
                </c:pt>
                <c:pt idx="149">
                  <c:v>1.1022000000000001</c:v>
                </c:pt>
                <c:pt idx="150">
                  <c:v>1.1028</c:v>
                </c:pt>
                <c:pt idx="151">
                  <c:v>1.1032</c:v>
                </c:pt>
                <c:pt idx="152">
                  <c:v>1.1036999999999999</c:v>
                </c:pt>
                <c:pt idx="153">
                  <c:v>1.1045</c:v>
                </c:pt>
                <c:pt idx="154">
                  <c:v>1.1032999999999999</c:v>
                </c:pt>
                <c:pt idx="155">
                  <c:v>1.1028</c:v>
                </c:pt>
                <c:pt idx="156">
                  <c:v>1.1022000000000001</c:v>
                </c:pt>
                <c:pt idx="157">
                  <c:v>1.1021000000000001</c:v>
                </c:pt>
                <c:pt idx="158">
                  <c:v>1.1027</c:v>
                </c:pt>
                <c:pt idx="159">
                  <c:v>1.0999000000000001</c:v>
                </c:pt>
                <c:pt idx="160">
                  <c:v>1.1021000000000001</c:v>
                </c:pt>
                <c:pt idx="161">
                  <c:v>1.1026</c:v>
                </c:pt>
                <c:pt idx="162">
                  <c:v>1.103</c:v>
                </c:pt>
                <c:pt idx="163">
                  <c:v>1.1036999999999999</c:v>
                </c:pt>
                <c:pt idx="164">
                  <c:v>1.1037999999999999</c:v>
                </c:pt>
                <c:pt idx="165">
                  <c:v>1.1048</c:v>
                </c:pt>
                <c:pt idx="166">
                  <c:v>1.1047</c:v>
                </c:pt>
                <c:pt idx="167">
                  <c:v>1.1048</c:v>
                </c:pt>
                <c:pt idx="168">
                  <c:v>1.1049</c:v>
                </c:pt>
                <c:pt idx="169">
                  <c:v>1.1041000000000001</c:v>
                </c:pt>
                <c:pt idx="170">
                  <c:v>1.1041000000000001</c:v>
                </c:pt>
                <c:pt idx="171">
                  <c:v>1.1046</c:v>
                </c:pt>
                <c:pt idx="172">
                  <c:v>1.1067</c:v>
                </c:pt>
                <c:pt idx="173">
                  <c:v>1.1046</c:v>
                </c:pt>
              </c:numCache>
            </c:numRef>
          </c:val>
          <c:smooth val="0"/>
          <c:extLst>
            <c:ext xmlns:c16="http://schemas.microsoft.com/office/drawing/2014/chart" uri="{C3380CC4-5D6E-409C-BE32-E72D297353CC}">
              <c16:uniqueId val="{00000000-AF78-4F0E-A77D-63AC3E75D103}"/>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拉普拉斯一号</a:t>
            </a:r>
            <a:endParaRPr lang="en-US" altLang="zh-CN" sz="1600"/>
          </a:p>
        </c:rich>
      </c:tx>
      <c:overlay val="0"/>
    </c:title>
    <c:autoTitleDeleted val="0"/>
    <c:plotArea>
      <c:layout/>
      <c:lineChart>
        <c:grouping val="standard"/>
        <c:varyColors val="0"/>
        <c:ser>
          <c:idx val="0"/>
          <c:order val="0"/>
          <c:tx>
            <c:strRef>
              <c:f>拉普拉斯一号!$B$20</c:f>
              <c:strCache>
                <c:ptCount val="1"/>
                <c:pt idx="0">
                  <c:v>累计净值</c:v>
                </c:pt>
              </c:strCache>
            </c:strRef>
          </c:tx>
          <c:marker>
            <c:symbol val="none"/>
          </c:marker>
          <c:cat>
            <c:numRef>
              <c:f>拉普拉斯一号!$A$21:$A$142</c:f>
              <c:numCache>
                <c:formatCode>m/d/yy</c:formatCode>
                <c:ptCount val="122"/>
                <c:pt idx="0">
                  <c:v>43718</c:v>
                </c:pt>
                <c:pt idx="1">
                  <c:v>43719</c:v>
                </c:pt>
                <c:pt idx="2">
                  <c:v>43720</c:v>
                </c:pt>
                <c:pt idx="3">
                  <c:v>43724</c:v>
                </c:pt>
                <c:pt idx="4">
                  <c:v>43725</c:v>
                </c:pt>
                <c:pt idx="5">
                  <c:v>43726</c:v>
                </c:pt>
                <c:pt idx="6">
                  <c:v>43727</c:v>
                </c:pt>
                <c:pt idx="7">
                  <c:v>43728</c:v>
                </c:pt>
                <c:pt idx="8">
                  <c:v>43731</c:v>
                </c:pt>
                <c:pt idx="9">
                  <c:v>43732</c:v>
                </c:pt>
                <c:pt idx="10">
                  <c:v>43733</c:v>
                </c:pt>
                <c:pt idx="11">
                  <c:v>43734</c:v>
                </c:pt>
                <c:pt idx="12">
                  <c:v>43735</c:v>
                </c:pt>
                <c:pt idx="13">
                  <c:v>43738</c:v>
                </c:pt>
                <c:pt idx="14">
                  <c:v>43746</c:v>
                </c:pt>
                <c:pt idx="15">
                  <c:v>43747</c:v>
                </c:pt>
                <c:pt idx="16">
                  <c:v>43748</c:v>
                </c:pt>
                <c:pt idx="17">
                  <c:v>43749</c:v>
                </c:pt>
                <c:pt idx="18">
                  <c:v>43752</c:v>
                </c:pt>
                <c:pt idx="19">
                  <c:v>43753</c:v>
                </c:pt>
                <c:pt idx="20">
                  <c:v>43754</c:v>
                </c:pt>
                <c:pt idx="21">
                  <c:v>43755</c:v>
                </c:pt>
                <c:pt idx="22">
                  <c:v>43756</c:v>
                </c:pt>
                <c:pt idx="23">
                  <c:v>43759</c:v>
                </c:pt>
                <c:pt idx="24">
                  <c:v>43760</c:v>
                </c:pt>
                <c:pt idx="25">
                  <c:v>43761</c:v>
                </c:pt>
                <c:pt idx="26">
                  <c:v>43762</c:v>
                </c:pt>
                <c:pt idx="27">
                  <c:v>43763</c:v>
                </c:pt>
                <c:pt idx="28">
                  <c:v>43766</c:v>
                </c:pt>
                <c:pt idx="29">
                  <c:v>43767</c:v>
                </c:pt>
                <c:pt idx="30">
                  <c:v>43768</c:v>
                </c:pt>
                <c:pt idx="31">
                  <c:v>43769</c:v>
                </c:pt>
                <c:pt idx="32">
                  <c:v>43770</c:v>
                </c:pt>
                <c:pt idx="33">
                  <c:v>43773</c:v>
                </c:pt>
                <c:pt idx="34">
                  <c:v>43774</c:v>
                </c:pt>
                <c:pt idx="35">
                  <c:v>43775</c:v>
                </c:pt>
                <c:pt idx="36">
                  <c:v>43776</c:v>
                </c:pt>
                <c:pt idx="37">
                  <c:v>43777</c:v>
                </c:pt>
                <c:pt idx="38">
                  <c:v>43780</c:v>
                </c:pt>
                <c:pt idx="39">
                  <c:v>43781</c:v>
                </c:pt>
                <c:pt idx="40">
                  <c:v>43782</c:v>
                </c:pt>
                <c:pt idx="41">
                  <c:v>43783</c:v>
                </c:pt>
                <c:pt idx="42">
                  <c:v>43784</c:v>
                </c:pt>
                <c:pt idx="43">
                  <c:v>43787</c:v>
                </c:pt>
                <c:pt idx="44">
                  <c:v>43788</c:v>
                </c:pt>
                <c:pt idx="45">
                  <c:v>43789</c:v>
                </c:pt>
                <c:pt idx="46">
                  <c:v>43790</c:v>
                </c:pt>
                <c:pt idx="47">
                  <c:v>43791</c:v>
                </c:pt>
                <c:pt idx="48">
                  <c:v>43794</c:v>
                </c:pt>
                <c:pt idx="49">
                  <c:v>43795</c:v>
                </c:pt>
                <c:pt idx="50">
                  <c:v>43796</c:v>
                </c:pt>
                <c:pt idx="51">
                  <c:v>43797</c:v>
                </c:pt>
                <c:pt idx="52">
                  <c:v>43798</c:v>
                </c:pt>
                <c:pt idx="53">
                  <c:v>43801</c:v>
                </c:pt>
                <c:pt idx="54">
                  <c:v>43802</c:v>
                </c:pt>
                <c:pt idx="55">
                  <c:v>43803</c:v>
                </c:pt>
                <c:pt idx="56">
                  <c:v>43804</c:v>
                </c:pt>
                <c:pt idx="57">
                  <c:v>43805</c:v>
                </c:pt>
                <c:pt idx="58">
                  <c:v>43808</c:v>
                </c:pt>
                <c:pt idx="59">
                  <c:v>43809</c:v>
                </c:pt>
                <c:pt idx="60">
                  <c:v>43810</c:v>
                </c:pt>
                <c:pt idx="61">
                  <c:v>43811</c:v>
                </c:pt>
                <c:pt idx="62">
                  <c:v>43812</c:v>
                </c:pt>
                <c:pt idx="63">
                  <c:v>43815</c:v>
                </c:pt>
                <c:pt idx="64">
                  <c:v>43816</c:v>
                </c:pt>
                <c:pt idx="65">
                  <c:v>43817</c:v>
                </c:pt>
                <c:pt idx="66">
                  <c:v>43818</c:v>
                </c:pt>
                <c:pt idx="67">
                  <c:v>43819</c:v>
                </c:pt>
                <c:pt idx="68">
                  <c:v>43822</c:v>
                </c:pt>
                <c:pt idx="69">
                  <c:v>43823</c:v>
                </c:pt>
                <c:pt idx="70">
                  <c:v>43824</c:v>
                </c:pt>
                <c:pt idx="71">
                  <c:v>43825</c:v>
                </c:pt>
                <c:pt idx="72">
                  <c:v>43826</c:v>
                </c:pt>
                <c:pt idx="73">
                  <c:v>43829</c:v>
                </c:pt>
                <c:pt idx="74">
                  <c:v>43830</c:v>
                </c:pt>
                <c:pt idx="75">
                  <c:v>43832</c:v>
                </c:pt>
                <c:pt idx="76">
                  <c:v>43833</c:v>
                </c:pt>
                <c:pt idx="77">
                  <c:v>43836</c:v>
                </c:pt>
                <c:pt idx="78">
                  <c:v>43837</c:v>
                </c:pt>
                <c:pt idx="79">
                  <c:v>43838</c:v>
                </c:pt>
                <c:pt idx="80">
                  <c:v>43839</c:v>
                </c:pt>
                <c:pt idx="81">
                  <c:v>43840</c:v>
                </c:pt>
                <c:pt idx="82">
                  <c:v>43843</c:v>
                </c:pt>
                <c:pt idx="83">
                  <c:v>43844</c:v>
                </c:pt>
                <c:pt idx="84">
                  <c:v>43845</c:v>
                </c:pt>
                <c:pt idx="85">
                  <c:v>43846</c:v>
                </c:pt>
                <c:pt idx="86">
                  <c:v>43847</c:v>
                </c:pt>
                <c:pt idx="87">
                  <c:v>43850</c:v>
                </c:pt>
                <c:pt idx="88">
                  <c:v>43851</c:v>
                </c:pt>
                <c:pt idx="89">
                  <c:v>43852</c:v>
                </c:pt>
                <c:pt idx="90">
                  <c:v>43853</c:v>
                </c:pt>
                <c:pt idx="91">
                  <c:v>43864</c:v>
                </c:pt>
                <c:pt idx="92">
                  <c:v>43865</c:v>
                </c:pt>
                <c:pt idx="93">
                  <c:v>43866</c:v>
                </c:pt>
                <c:pt idx="94">
                  <c:v>43867</c:v>
                </c:pt>
                <c:pt idx="95">
                  <c:v>43868</c:v>
                </c:pt>
                <c:pt idx="96">
                  <c:v>43871</c:v>
                </c:pt>
                <c:pt idx="97">
                  <c:v>43872</c:v>
                </c:pt>
                <c:pt idx="98">
                  <c:v>43873</c:v>
                </c:pt>
                <c:pt idx="99">
                  <c:v>43874</c:v>
                </c:pt>
                <c:pt idx="100">
                  <c:v>43875</c:v>
                </c:pt>
                <c:pt idx="101">
                  <c:v>43878</c:v>
                </c:pt>
                <c:pt idx="102">
                  <c:v>43879</c:v>
                </c:pt>
                <c:pt idx="103">
                  <c:v>43880</c:v>
                </c:pt>
                <c:pt idx="104">
                  <c:v>43881</c:v>
                </c:pt>
                <c:pt idx="105">
                  <c:v>43882</c:v>
                </c:pt>
                <c:pt idx="106">
                  <c:v>43885</c:v>
                </c:pt>
                <c:pt idx="107">
                  <c:v>43886</c:v>
                </c:pt>
                <c:pt idx="108">
                  <c:v>43887</c:v>
                </c:pt>
                <c:pt idx="109">
                  <c:v>43888</c:v>
                </c:pt>
                <c:pt idx="110">
                  <c:v>43889</c:v>
                </c:pt>
                <c:pt idx="111">
                  <c:v>43892</c:v>
                </c:pt>
                <c:pt idx="112">
                  <c:v>43893</c:v>
                </c:pt>
                <c:pt idx="113">
                  <c:v>43894</c:v>
                </c:pt>
                <c:pt idx="114">
                  <c:v>43895</c:v>
                </c:pt>
                <c:pt idx="115">
                  <c:v>43896</c:v>
                </c:pt>
                <c:pt idx="116">
                  <c:v>43899</c:v>
                </c:pt>
                <c:pt idx="117">
                  <c:v>43900</c:v>
                </c:pt>
                <c:pt idx="118">
                  <c:v>43901</c:v>
                </c:pt>
                <c:pt idx="119">
                  <c:v>43902</c:v>
                </c:pt>
                <c:pt idx="120">
                  <c:v>43903</c:v>
                </c:pt>
                <c:pt idx="121">
                  <c:v>43906</c:v>
                </c:pt>
              </c:numCache>
            </c:numRef>
          </c:cat>
          <c:val>
            <c:numRef>
              <c:f>拉普拉斯一号!$B$21:$B$142</c:f>
              <c:numCache>
                <c:formatCode>0.0000_ </c:formatCode>
                <c:ptCount val="122"/>
                <c:pt idx="0">
                  <c:v>1.0787</c:v>
                </c:pt>
                <c:pt idx="1">
                  <c:v>1.0762</c:v>
                </c:pt>
                <c:pt idx="2">
                  <c:v>1.0759000000000001</c:v>
                </c:pt>
                <c:pt idx="3">
                  <c:v>1.0802</c:v>
                </c:pt>
                <c:pt idx="4">
                  <c:v>1.0778000000000001</c:v>
                </c:pt>
                <c:pt idx="5">
                  <c:v>1.0787</c:v>
                </c:pt>
                <c:pt idx="6">
                  <c:v>1.0812999999999999</c:v>
                </c:pt>
                <c:pt idx="7">
                  <c:v>1.0807</c:v>
                </c:pt>
                <c:pt idx="8">
                  <c:v>1.0808</c:v>
                </c:pt>
                <c:pt idx="9">
                  <c:v>1.0806</c:v>
                </c:pt>
                <c:pt idx="10">
                  <c:v>1.0799000000000001</c:v>
                </c:pt>
                <c:pt idx="11">
                  <c:v>1.0775999999999999</c:v>
                </c:pt>
                <c:pt idx="12">
                  <c:v>1.0806</c:v>
                </c:pt>
                <c:pt idx="13">
                  <c:v>1.0792999999999999</c:v>
                </c:pt>
                <c:pt idx="14">
                  <c:v>1.0808</c:v>
                </c:pt>
                <c:pt idx="15">
                  <c:v>1.0823</c:v>
                </c:pt>
                <c:pt idx="16">
                  <c:v>1.0840000000000001</c:v>
                </c:pt>
                <c:pt idx="17">
                  <c:v>1.0829</c:v>
                </c:pt>
                <c:pt idx="18">
                  <c:v>1.0849</c:v>
                </c:pt>
                <c:pt idx="19">
                  <c:v>1.0837000000000001</c:v>
                </c:pt>
                <c:pt idx="20">
                  <c:v>1.0845</c:v>
                </c:pt>
                <c:pt idx="21">
                  <c:v>1.085</c:v>
                </c:pt>
                <c:pt idx="22">
                  <c:v>1.0853999999999999</c:v>
                </c:pt>
                <c:pt idx="23">
                  <c:v>1.0849</c:v>
                </c:pt>
                <c:pt idx="24">
                  <c:v>1.0851999999999999</c:v>
                </c:pt>
                <c:pt idx="25">
                  <c:v>1.085</c:v>
                </c:pt>
                <c:pt idx="26">
                  <c:v>1.0849</c:v>
                </c:pt>
                <c:pt idx="27">
                  <c:v>1.0854999999999999</c:v>
                </c:pt>
                <c:pt idx="28">
                  <c:v>1.0885</c:v>
                </c:pt>
                <c:pt idx="29">
                  <c:v>1.0873999999999999</c:v>
                </c:pt>
                <c:pt idx="30">
                  <c:v>1.0886</c:v>
                </c:pt>
                <c:pt idx="31">
                  <c:v>1.0878000000000001</c:v>
                </c:pt>
                <c:pt idx="32">
                  <c:v>1.0898000000000001</c:v>
                </c:pt>
                <c:pt idx="33">
                  <c:v>1.0915999999999999</c:v>
                </c:pt>
                <c:pt idx="34">
                  <c:v>1.0884</c:v>
                </c:pt>
                <c:pt idx="35">
                  <c:v>1.0904</c:v>
                </c:pt>
                <c:pt idx="36">
                  <c:v>1.0907</c:v>
                </c:pt>
                <c:pt idx="37">
                  <c:v>1.0911</c:v>
                </c:pt>
                <c:pt idx="38">
                  <c:v>1.0888</c:v>
                </c:pt>
                <c:pt idx="39">
                  <c:v>1.0902000000000001</c:v>
                </c:pt>
                <c:pt idx="40">
                  <c:v>1.0891999999999999</c:v>
                </c:pt>
                <c:pt idx="41">
                  <c:v>1.0889</c:v>
                </c:pt>
                <c:pt idx="42">
                  <c:v>1.0880000000000001</c:v>
                </c:pt>
                <c:pt idx="43">
                  <c:v>1.0891999999999999</c:v>
                </c:pt>
                <c:pt idx="44">
                  <c:v>1.0906</c:v>
                </c:pt>
                <c:pt idx="45">
                  <c:v>1.0887</c:v>
                </c:pt>
                <c:pt idx="46">
                  <c:v>1.0884</c:v>
                </c:pt>
                <c:pt idx="47">
                  <c:v>1.0884</c:v>
                </c:pt>
                <c:pt idx="48">
                  <c:v>1.0840000000000001</c:v>
                </c:pt>
                <c:pt idx="49">
                  <c:v>1.0831999999999999</c:v>
                </c:pt>
                <c:pt idx="50">
                  <c:v>1.0840000000000001</c:v>
                </c:pt>
                <c:pt idx="51">
                  <c:v>1.0821000000000001</c:v>
                </c:pt>
                <c:pt idx="52">
                  <c:v>1.0819000000000001</c:v>
                </c:pt>
                <c:pt idx="53">
                  <c:v>1.0823</c:v>
                </c:pt>
                <c:pt idx="54">
                  <c:v>1.0835999999999999</c:v>
                </c:pt>
                <c:pt idx="55">
                  <c:v>1.0841000000000001</c:v>
                </c:pt>
                <c:pt idx="56">
                  <c:v>1.0844</c:v>
                </c:pt>
                <c:pt idx="57">
                  <c:v>1.0865</c:v>
                </c:pt>
                <c:pt idx="58">
                  <c:v>1.0849</c:v>
                </c:pt>
                <c:pt idx="59">
                  <c:v>1.0821000000000001</c:v>
                </c:pt>
                <c:pt idx="60">
                  <c:v>1.0839000000000001</c:v>
                </c:pt>
                <c:pt idx="61">
                  <c:v>1.0838000000000001</c:v>
                </c:pt>
                <c:pt idx="62">
                  <c:v>1.0863</c:v>
                </c:pt>
                <c:pt idx="63">
                  <c:v>1.0899000000000001</c:v>
                </c:pt>
                <c:pt idx="64">
                  <c:v>1.0842000000000001</c:v>
                </c:pt>
                <c:pt idx="65">
                  <c:v>1.0857000000000001</c:v>
                </c:pt>
                <c:pt idx="66">
                  <c:v>1.0879000000000001</c:v>
                </c:pt>
                <c:pt idx="67">
                  <c:v>1.0858000000000001</c:v>
                </c:pt>
                <c:pt idx="68">
                  <c:v>1.0871999999999999</c:v>
                </c:pt>
                <c:pt idx="69">
                  <c:v>1.0919000000000001</c:v>
                </c:pt>
                <c:pt idx="70">
                  <c:v>1.0965</c:v>
                </c:pt>
                <c:pt idx="71">
                  <c:v>1.0968</c:v>
                </c:pt>
                <c:pt idx="72">
                  <c:v>1.0916999999999999</c:v>
                </c:pt>
                <c:pt idx="73">
                  <c:v>1.0908</c:v>
                </c:pt>
                <c:pt idx="74">
                  <c:v>1.0919000000000001</c:v>
                </c:pt>
                <c:pt idx="75">
                  <c:v>1.0911</c:v>
                </c:pt>
                <c:pt idx="76">
                  <c:v>1.0912999999999999</c:v>
                </c:pt>
                <c:pt idx="77">
                  <c:v>1.0908</c:v>
                </c:pt>
                <c:pt idx="78">
                  <c:v>1.0919000000000001</c:v>
                </c:pt>
                <c:pt idx="79">
                  <c:v>1.0887</c:v>
                </c:pt>
                <c:pt idx="80">
                  <c:v>1.0966</c:v>
                </c:pt>
                <c:pt idx="81">
                  <c:v>1.0972</c:v>
                </c:pt>
                <c:pt idx="82">
                  <c:v>1.0979000000000001</c:v>
                </c:pt>
                <c:pt idx="83">
                  <c:v>1.0952999999999999</c:v>
                </c:pt>
                <c:pt idx="84">
                  <c:v>1.0975999999999999</c:v>
                </c:pt>
                <c:pt idx="85">
                  <c:v>1.0969</c:v>
                </c:pt>
                <c:pt idx="86">
                  <c:v>1.0974999999999999</c:v>
                </c:pt>
                <c:pt idx="87">
                  <c:v>1.0972999999999999</c:v>
                </c:pt>
                <c:pt idx="88">
                  <c:v>1.0978000000000001</c:v>
                </c:pt>
                <c:pt idx="89">
                  <c:v>1.0912999999999999</c:v>
                </c:pt>
                <c:pt idx="90">
                  <c:v>1.0987</c:v>
                </c:pt>
                <c:pt idx="91">
                  <c:v>1.1065</c:v>
                </c:pt>
                <c:pt idx="92">
                  <c:v>1.0931</c:v>
                </c:pt>
                <c:pt idx="93">
                  <c:v>1.0952</c:v>
                </c:pt>
                <c:pt idx="94">
                  <c:v>1.0926</c:v>
                </c:pt>
                <c:pt idx="95">
                  <c:v>1.0939000000000001</c:v>
                </c:pt>
                <c:pt idx="96">
                  <c:v>1.0959000000000001</c:v>
                </c:pt>
                <c:pt idx="97">
                  <c:v>1.0949</c:v>
                </c:pt>
                <c:pt idx="98">
                  <c:v>1.0946</c:v>
                </c:pt>
                <c:pt idx="99">
                  <c:v>1.0941000000000001</c:v>
                </c:pt>
                <c:pt idx="100">
                  <c:v>1.0959000000000001</c:v>
                </c:pt>
                <c:pt idx="101">
                  <c:v>1.0984</c:v>
                </c:pt>
                <c:pt idx="102">
                  <c:v>1.1039000000000001</c:v>
                </c:pt>
                <c:pt idx="103">
                  <c:v>1.1031</c:v>
                </c:pt>
                <c:pt idx="104">
                  <c:v>1.1071</c:v>
                </c:pt>
                <c:pt idx="105">
                  <c:v>1.1059000000000001</c:v>
                </c:pt>
                <c:pt idx="106">
                  <c:v>1.1051</c:v>
                </c:pt>
                <c:pt idx="107">
                  <c:v>1.1019000000000001</c:v>
                </c:pt>
                <c:pt idx="108">
                  <c:v>1.105</c:v>
                </c:pt>
                <c:pt idx="109">
                  <c:v>1.1079000000000001</c:v>
                </c:pt>
                <c:pt idx="110">
                  <c:v>1.1060000000000001</c:v>
                </c:pt>
                <c:pt idx="111">
                  <c:v>1.1082000000000001</c:v>
                </c:pt>
                <c:pt idx="112">
                  <c:v>1.1122000000000001</c:v>
                </c:pt>
                <c:pt idx="113">
                  <c:v>1.1152</c:v>
                </c:pt>
                <c:pt idx="114">
                  <c:v>1.1157999999999999</c:v>
                </c:pt>
                <c:pt idx="115">
                  <c:v>1.1153</c:v>
                </c:pt>
                <c:pt idx="116">
                  <c:v>1.1134999999999999</c:v>
                </c:pt>
                <c:pt idx="117">
                  <c:v>1.1194</c:v>
                </c:pt>
                <c:pt idx="118">
                  <c:v>1.1191</c:v>
                </c:pt>
                <c:pt idx="119">
                  <c:v>1.1183000000000001</c:v>
                </c:pt>
                <c:pt idx="120">
                  <c:v>1.1164000000000001</c:v>
                </c:pt>
                <c:pt idx="121">
                  <c:v>1.1151</c:v>
                </c:pt>
              </c:numCache>
            </c:numRef>
          </c:val>
          <c:smooth val="0"/>
          <c:extLst>
            <c:ext xmlns:c16="http://schemas.microsoft.com/office/drawing/2014/chart" uri="{C3380CC4-5D6E-409C-BE32-E72D297353CC}">
              <c16:uniqueId val="{00000000-7B18-4406-8EE9-7B17A804D330}"/>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千朔量化六号</a:t>
            </a:r>
            <a:endParaRPr lang="en-US" altLang="zh-CN" sz="1600"/>
          </a:p>
        </c:rich>
      </c:tx>
      <c:overlay val="0"/>
    </c:title>
    <c:autoTitleDeleted val="0"/>
    <c:plotArea>
      <c:layout/>
      <c:lineChart>
        <c:grouping val="standard"/>
        <c:varyColors val="0"/>
        <c:ser>
          <c:idx val="0"/>
          <c:order val="0"/>
          <c:tx>
            <c:strRef>
              <c:f>千朔量化六号!$B$20</c:f>
              <c:strCache>
                <c:ptCount val="1"/>
                <c:pt idx="0">
                  <c:v>累计净值</c:v>
                </c:pt>
              </c:strCache>
            </c:strRef>
          </c:tx>
          <c:marker>
            <c:symbol val="none"/>
          </c:marker>
          <c:cat>
            <c:numRef>
              <c:f>千朔量化六号!$A$21:$A$150</c:f>
              <c:numCache>
                <c:formatCode>m/d/yy</c:formatCode>
                <c:ptCount val="130"/>
                <c:pt idx="0">
                  <c:v>43705</c:v>
                </c:pt>
                <c:pt idx="1">
                  <c:v>43706</c:v>
                </c:pt>
                <c:pt idx="2">
                  <c:v>43707</c:v>
                </c:pt>
                <c:pt idx="3">
                  <c:v>43710</c:v>
                </c:pt>
                <c:pt idx="4">
                  <c:v>43711</c:v>
                </c:pt>
                <c:pt idx="5">
                  <c:v>43712</c:v>
                </c:pt>
                <c:pt idx="6">
                  <c:v>43713</c:v>
                </c:pt>
                <c:pt idx="7">
                  <c:v>43714</c:v>
                </c:pt>
                <c:pt idx="8">
                  <c:v>43717</c:v>
                </c:pt>
                <c:pt idx="9">
                  <c:v>43718</c:v>
                </c:pt>
                <c:pt idx="10">
                  <c:v>43719</c:v>
                </c:pt>
                <c:pt idx="11">
                  <c:v>43720</c:v>
                </c:pt>
                <c:pt idx="12">
                  <c:v>43724</c:v>
                </c:pt>
                <c:pt idx="13">
                  <c:v>43725</c:v>
                </c:pt>
                <c:pt idx="14">
                  <c:v>43726</c:v>
                </c:pt>
                <c:pt idx="15">
                  <c:v>43727</c:v>
                </c:pt>
                <c:pt idx="16">
                  <c:v>43728</c:v>
                </c:pt>
                <c:pt idx="17">
                  <c:v>43731</c:v>
                </c:pt>
                <c:pt idx="18">
                  <c:v>43732</c:v>
                </c:pt>
                <c:pt idx="19">
                  <c:v>43733</c:v>
                </c:pt>
                <c:pt idx="20">
                  <c:v>43734</c:v>
                </c:pt>
                <c:pt idx="21">
                  <c:v>43735</c:v>
                </c:pt>
                <c:pt idx="22">
                  <c:v>43738</c:v>
                </c:pt>
                <c:pt idx="23">
                  <c:v>43746</c:v>
                </c:pt>
                <c:pt idx="24">
                  <c:v>43747</c:v>
                </c:pt>
                <c:pt idx="25">
                  <c:v>43748</c:v>
                </c:pt>
                <c:pt idx="26">
                  <c:v>43749</c:v>
                </c:pt>
                <c:pt idx="27">
                  <c:v>43752</c:v>
                </c:pt>
                <c:pt idx="28">
                  <c:v>43753</c:v>
                </c:pt>
                <c:pt idx="29">
                  <c:v>43754</c:v>
                </c:pt>
                <c:pt idx="30">
                  <c:v>43755</c:v>
                </c:pt>
                <c:pt idx="31">
                  <c:v>43756</c:v>
                </c:pt>
                <c:pt idx="32">
                  <c:v>43759</c:v>
                </c:pt>
                <c:pt idx="33">
                  <c:v>43760</c:v>
                </c:pt>
                <c:pt idx="34">
                  <c:v>43761</c:v>
                </c:pt>
                <c:pt idx="35">
                  <c:v>43762</c:v>
                </c:pt>
                <c:pt idx="36">
                  <c:v>43763</c:v>
                </c:pt>
                <c:pt idx="37">
                  <c:v>43766</c:v>
                </c:pt>
                <c:pt idx="38">
                  <c:v>43767</c:v>
                </c:pt>
                <c:pt idx="39">
                  <c:v>43768</c:v>
                </c:pt>
                <c:pt idx="40">
                  <c:v>43769</c:v>
                </c:pt>
                <c:pt idx="41">
                  <c:v>43770</c:v>
                </c:pt>
                <c:pt idx="42">
                  <c:v>43773</c:v>
                </c:pt>
                <c:pt idx="43">
                  <c:v>43774</c:v>
                </c:pt>
                <c:pt idx="44">
                  <c:v>43775</c:v>
                </c:pt>
                <c:pt idx="45">
                  <c:v>43776</c:v>
                </c:pt>
                <c:pt idx="46">
                  <c:v>43777</c:v>
                </c:pt>
                <c:pt idx="47">
                  <c:v>43780</c:v>
                </c:pt>
                <c:pt idx="48">
                  <c:v>43781</c:v>
                </c:pt>
                <c:pt idx="49">
                  <c:v>43782</c:v>
                </c:pt>
                <c:pt idx="50">
                  <c:v>43783</c:v>
                </c:pt>
                <c:pt idx="51">
                  <c:v>43784</c:v>
                </c:pt>
                <c:pt idx="52">
                  <c:v>43787</c:v>
                </c:pt>
                <c:pt idx="53">
                  <c:v>43788</c:v>
                </c:pt>
                <c:pt idx="54">
                  <c:v>43789</c:v>
                </c:pt>
                <c:pt idx="55">
                  <c:v>43790</c:v>
                </c:pt>
                <c:pt idx="56">
                  <c:v>43791</c:v>
                </c:pt>
                <c:pt idx="57">
                  <c:v>43794</c:v>
                </c:pt>
                <c:pt idx="58">
                  <c:v>43795</c:v>
                </c:pt>
                <c:pt idx="59">
                  <c:v>43796</c:v>
                </c:pt>
                <c:pt idx="60">
                  <c:v>43797</c:v>
                </c:pt>
                <c:pt idx="61">
                  <c:v>43798</c:v>
                </c:pt>
                <c:pt idx="62">
                  <c:v>43801</c:v>
                </c:pt>
                <c:pt idx="63">
                  <c:v>43802</c:v>
                </c:pt>
                <c:pt idx="64">
                  <c:v>43803</c:v>
                </c:pt>
                <c:pt idx="65">
                  <c:v>43804</c:v>
                </c:pt>
                <c:pt idx="66">
                  <c:v>43805</c:v>
                </c:pt>
                <c:pt idx="67">
                  <c:v>43808</c:v>
                </c:pt>
                <c:pt idx="68">
                  <c:v>43809</c:v>
                </c:pt>
                <c:pt idx="69">
                  <c:v>43810</c:v>
                </c:pt>
                <c:pt idx="70">
                  <c:v>43811</c:v>
                </c:pt>
                <c:pt idx="71">
                  <c:v>43812</c:v>
                </c:pt>
                <c:pt idx="72">
                  <c:v>43815</c:v>
                </c:pt>
                <c:pt idx="73">
                  <c:v>43816</c:v>
                </c:pt>
                <c:pt idx="74">
                  <c:v>43817</c:v>
                </c:pt>
                <c:pt idx="75">
                  <c:v>43818</c:v>
                </c:pt>
                <c:pt idx="76">
                  <c:v>43819</c:v>
                </c:pt>
                <c:pt idx="77">
                  <c:v>43822</c:v>
                </c:pt>
                <c:pt idx="78">
                  <c:v>43823</c:v>
                </c:pt>
                <c:pt idx="79">
                  <c:v>43824</c:v>
                </c:pt>
                <c:pt idx="80">
                  <c:v>43825</c:v>
                </c:pt>
                <c:pt idx="81">
                  <c:v>43826</c:v>
                </c:pt>
                <c:pt idx="82">
                  <c:v>43829</c:v>
                </c:pt>
                <c:pt idx="83">
                  <c:v>43830</c:v>
                </c:pt>
                <c:pt idx="84">
                  <c:v>43832</c:v>
                </c:pt>
                <c:pt idx="85">
                  <c:v>43833</c:v>
                </c:pt>
                <c:pt idx="86">
                  <c:v>43836</c:v>
                </c:pt>
                <c:pt idx="87">
                  <c:v>43837</c:v>
                </c:pt>
                <c:pt idx="88">
                  <c:v>43838</c:v>
                </c:pt>
                <c:pt idx="89">
                  <c:v>43839</c:v>
                </c:pt>
                <c:pt idx="90">
                  <c:v>43840</c:v>
                </c:pt>
                <c:pt idx="91">
                  <c:v>43843</c:v>
                </c:pt>
                <c:pt idx="92">
                  <c:v>43844</c:v>
                </c:pt>
                <c:pt idx="93">
                  <c:v>43845</c:v>
                </c:pt>
                <c:pt idx="94">
                  <c:v>43846</c:v>
                </c:pt>
                <c:pt idx="95">
                  <c:v>43847</c:v>
                </c:pt>
                <c:pt idx="96">
                  <c:v>43850</c:v>
                </c:pt>
                <c:pt idx="97">
                  <c:v>43851</c:v>
                </c:pt>
                <c:pt idx="98">
                  <c:v>43852</c:v>
                </c:pt>
                <c:pt idx="99">
                  <c:v>43853</c:v>
                </c:pt>
                <c:pt idx="100">
                  <c:v>43864</c:v>
                </c:pt>
                <c:pt idx="101">
                  <c:v>43865</c:v>
                </c:pt>
                <c:pt idx="102">
                  <c:v>43866</c:v>
                </c:pt>
                <c:pt idx="103">
                  <c:v>43867</c:v>
                </c:pt>
                <c:pt idx="104">
                  <c:v>43868</c:v>
                </c:pt>
                <c:pt idx="105">
                  <c:v>43871</c:v>
                </c:pt>
                <c:pt idx="106">
                  <c:v>43872</c:v>
                </c:pt>
                <c:pt idx="107">
                  <c:v>43873</c:v>
                </c:pt>
                <c:pt idx="108">
                  <c:v>43874</c:v>
                </c:pt>
                <c:pt idx="109">
                  <c:v>43875</c:v>
                </c:pt>
                <c:pt idx="110">
                  <c:v>43878</c:v>
                </c:pt>
                <c:pt idx="111">
                  <c:v>43879</c:v>
                </c:pt>
                <c:pt idx="112">
                  <c:v>43880</c:v>
                </c:pt>
                <c:pt idx="113">
                  <c:v>43881</c:v>
                </c:pt>
                <c:pt idx="114">
                  <c:v>43882</c:v>
                </c:pt>
                <c:pt idx="115">
                  <c:v>43885</c:v>
                </c:pt>
                <c:pt idx="116">
                  <c:v>43886</c:v>
                </c:pt>
                <c:pt idx="117">
                  <c:v>43887</c:v>
                </c:pt>
                <c:pt idx="118">
                  <c:v>43888</c:v>
                </c:pt>
                <c:pt idx="119">
                  <c:v>43889</c:v>
                </c:pt>
                <c:pt idx="120">
                  <c:v>43892</c:v>
                </c:pt>
                <c:pt idx="121">
                  <c:v>43893</c:v>
                </c:pt>
                <c:pt idx="122">
                  <c:v>43894</c:v>
                </c:pt>
                <c:pt idx="123">
                  <c:v>43895</c:v>
                </c:pt>
                <c:pt idx="124">
                  <c:v>43896</c:v>
                </c:pt>
                <c:pt idx="125">
                  <c:v>43899</c:v>
                </c:pt>
                <c:pt idx="126">
                  <c:v>43900</c:v>
                </c:pt>
                <c:pt idx="127">
                  <c:v>43901</c:v>
                </c:pt>
                <c:pt idx="128">
                  <c:v>43902</c:v>
                </c:pt>
                <c:pt idx="129">
                  <c:v>43903</c:v>
                </c:pt>
              </c:numCache>
            </c:numRef>
          </c:cat>
          <c:val>
            <c:numRef>
              <c:f>千朔量化六号!$B$21:$B$150</c:f>
              <c:numCache>
                <c:formatCode>0.0000_ </c:formatCode>
                <c:ptCount val="130"/>
                <c:pt idx="0">
                  <c:v>1.01</c:v>
                </c:pt>
                <c:pt idx="1">
                  <c:v>1.01</c:v>
                </c:pt>
                <c:pt idx="2">
                  <c:v>1.0049999999999999</c:v>
                </c:pt>
                <c:pt idx="3">
                  <c:v>1.008</c:v>
                </c:pt>
                <c:pt idx="4">
                  <c:v>1.0069999999999999</c:v>
                </c:pt>
                <c:pt idx="5">
                  <c:v>1.002</c:v>
                </c:pt>
                <c:pt idx="6">
                  <c:v>1.004</c:v>
                </c:pt>
                <c:pt idx="7">
                  <c:v>1.0049999999999999</c:v>
                </c:pt>
                <c:pt idx="8">
                  <c:v>1.006</c:v>
                </c:pt>
                <c:pt idx="9">
                  <c:v>1.006</c:v>
                </c:pt>
                <c:pt idx="10">
                  <c:v>1.004</c:v>
                </c:pt>
                <c:pt idx="11">
                  <c:v>1.006</c:v>
                </c:pt>
                <c:pt idx="12">
                  <c:v>1.008</c:v>
                </c:pt>
                <c:pt idx="13">
                  <c:v>1.0069999999999999</c:v>
                </c:pt>
                <c:pt idx="14">
                  <c:v>1.01</c:v>
                </c:pt>
                <c:pt idx="15">
                  <c:v>1.0109999999999999</c:v>
                </c:pt>
                <c:pt idx="16">
                  <c:v>1.0109999999999999</c:v>
                </c:pt>
                <c:pt idx="17">
                  <c:v>1.006</c:v>
                </c:pt>
                <c:pt idx="18">
                  <c:v>1.01</c:v>
                </c:pt>
                <c:pt idx="19">
                  <c:v>1.0089999999999999</c:v>
                </c:pt>
                <c:pt idx="20">
                  <c:v>1.0109999999999999</c:v>
                </c:pt>
                <c:pt idx="21">
                  <c:v>1.0129999999999999</c:v>
                </c:pt>
                <c:pt idx="22">
                  <c:v>1.016</c:v>
                </c:pt>
                <c:pt idx="23">
                  <c:v>1.014</c:v>
                </c:pt>
                <c:pt idx="24">
                  <c:v>1.014</c:v>
                </c:pt>
                <c:pt idx="25">
                  <c:v>1.018</c:v>
                </c:pt>
                <c:pt idx="26">
                  <c:v>1.016</c:v>
                </c:pt>
                <c:pt idx="27">
                  <c:v>1.02</c:v>
                </c:pt>
                <c:pt idx="28">
                  <c:v>1.0209999999999999</c:v>
                </c:pt>
                <c:pt idx="29">
                  <c:v>1.022</c:v>
                </c:pt>
                <c:pt idx="30">
                  <c:v>1.0209999999999999</c:v>
                </c:pt>
                <c:pt idx="31">
                  <c:v>1.0209999999999999</c:v>
                </c:pt>
                <c:pt idx="32">
                  <c:v>1.0189999999999999</c:v>
                </c:pt>
                <c:pt idx="33">
                  <c:v>1.0209999999999999</c:v>
                </c:pt>
                <c:pt idx="34">
                  <c:v>1.018</c:v>
                </c:pt>
                <c:pt idx="35">
                  <c:v>1.0169999999999999</c:v>
                </c:pt>
                <c:pt idx="36">
                  <c:v>1.0149999999999999</c:v>
                </c:pt>
                <c:pt idx="37">
                  <c:v>1.0169999999999999</c:v>
                </c:pt>
                <c:pt idx="38">
                  <c:v>1.016</c:v>
                </c:pt>
                <c:pt idx="39">
                  <c:v>1.0169999999999999</c:v>
                </c:pt>
                <c:pt idx="40">
                  <c:v>1.016</c:v>
                </c:pt>
                <c:pt idx="41">
                  <c:v>1.0149999999999999</c:v>
                </c:pt>
                <c:pt idx="42">
                  <c:v>1.0169999999999999</c:v>
                </c:pt>
                <c:pt idx="43">
                  <c:v>1.014</c:v>
                </c:pt>
                <c:pt idx="44">
                  <c:v>1.0149999999999999</c:v>
                </c:pt>
                <c:pt idx="45">
                  <c:v>1.0129999999999999</c:v>
                </c:pt>
                <c:pt idx="46">
                  <c:v>1.0149999999999999</c:v>
                </c:pt>
                <c:pt idx="47">
                  <c:v>1.012</c:v>
                </c:pt>
                <c:pt idx="48">
                  <c:v>1.0129999999999999</c:v>
                </c:pt>
                <c:pt idx="49">
                  <c:v>1.012</c:v>
                </c:pt>
                <c:pt idx="50">
                  <c:v>1.0129999999999999</c:v>
                </c:pt>
                <c:pt idx="51">
                  <c:v>1.0089999999999999</c:v>
                </c:pt>
                <c:pt idx="52">
                  <c:v>1.014</c:v>
                </c:pt>
                <c:pt idx="53">
                  <c:v>1.016</c:v>
                </c:pt>
                <c:pt idx="54">
                  <c:v>1.0149999999999999</c:v>
                </c:pt>
                <c:pt idx="55">
                  <c:v>1.0129999999999999</c:v>
                </c:pt>
                <c:pt idx="56">
                  <c:v>1.0129999999999999</c:v>
                </c:pt>
                <c:pt idx="57">
                  <c:v>1.014</c:v>
                </c:pt>
                <c:pt idx="58">
                  <c:v>1.016</c:v>
                </c:pt>
                <c:pt idx="59">
                  <c:v>1.0109999999999999</c:v>
                </c:pt>
                <c:pt idx="60">
                  <c:v>1.01</c:v>
                </c:pt>
                <c:pt idx="61">
                  <c:v>1.008</c:v>
                </c:pt>
                <c:pt idx="62">
                  <c:v>1.0069999999999999</c:v>
                </c:pt>
                <c:pt idx="63">
                  <c:v>1.0069999999999999</c:v>
                </c:pt>
                <c:pt idx="64">
                  <c:v>1.0089999999999999</c:v>
                </c:pt>
                <c:pt idx="65">
                  <c:v>1.0109999999999999</c:v>
                </c:pt>
                <c:pt idx="66">
                  <c:v>1.01</c:v>
                </c:pt>
                <c:pt idx="67">
                  <c:v>1.0089999999999999</c:v>
                </c:pt>
                <c:pt idx="68">
                  <c:v>1.008</c:v>
                </c:pt>
                <c:pt idx="69">
                  <c:v>1.01</c:v>
                </c:pt>
                <c:pt idx="70">
                  <c:v>1.01</c:v>
                </c:pt>
                <c:pt idx="71">
                  <c:v>1.012</c:v>
                </c:pt>
                <c:pt idx="72">
                  <c:v>1.0089999999999999</c:v>
                </c:pt>
                <c:pt idx="73">
                  <c:v>1.0049999999999999</c:v>
                </c:pt>
                <c:pt idx="74">
                  <c:v>1.002</c:v>
                </c:pt>
                <c:pt idx="75">
                  <c:v>1.0009999999999999</c:v>
                </c:pt>
                <c:pt idx="76">
                  <c:v>1</c:v>
                </c:pt>
                <c:pt idx="77">
                  <c:v>1.0049999999999999</c:v>
                </c:pt>
                <c:pt idx="78">
                  <c:v>1.006</c:v>
                </c:pt>
                <c:pt idx="79">
                  <c:v>1.006</c:v>
                </c:pt>
                <c:pt idx="80">
                  <c:v>1.0049999999999999</c:v>
                </c:pt>
                <c:pt idx="81">
                  <c:v>1.006</c:v>
                </c:pt>
                <c:pt idx="82">
                  <c:v>1.0049999999999999</c:v>
                </c:pt>
                <c:pt idx="83">
                  <c:v>1.008</c:v>
                </c:pt>
                <c:pt idx="84">
                  <c:v>1.008</c:v>
                </c:pt>
                <c:pt idx="85">
                  <c:v>1.0069999999999999</c:v>
                </c:pt>
                <c:pt idx="86">
                  <c:v>1.0009999999999999</c:v>
                </c:pt>
                <c:pt idx="87">
                  <c:v>1.002</c:v>
                </c:pt>
                <c:pt idx="88">
                  <c:v>1</c:v>
                </c:pt>
                <c:pt idx="89">
                  <c:v>1.008</c:v>
                </c:pt>
                <c:pt idx="90">
                  <c:v>1.0109999999999999</c:v>
                </c:pt>
                <c:pt idx="91">
                  <c:v>1.0089999999999999</c:v>
                </c:pt>
                <c:pt idx="92">
                  <c:v>1.0109999999999999</c:v>
                </c:pt>
                <c:pt idx="93">
                  <c:v>1.0129999999999999</c:v>
                </c:pt>
                <c:pt idx="94">
                  <c:v>1.012</c:v>
                </c:pt>
                <c:pt idx="95">
                  <c:v>1.016</c:v>
                </c:pt>
                <c:pt idx="96">
                  <c:v>1.0129999999999999</c:v>
                </c:pt>
                <c:pt idx="97">
                  <c:v>1.0129999999999999</c:v>
                </c:pt>
                <c:pt idx="98">
                  <c:v>1.0008999999999999</c:v>
                </c:pt>
                <c:pt idx="99">
                  <c:v>1.006</c:v>
                </c:pt>
                <c:pt idx="100">
                  <c:v>0.998</c:v>
                </c:pt>
                <c:pt idx="101">
                  <c:v>0.997</c:v>
                </c:pt>
                <c:pt idx="102">
                  <c:v>0.99399999999999999</c:v>
                </c:pt>
                <c:pt idx="103">
                  <c:v>0.99199999999999999</c:v>
                </c:pt>
                <c:pt idx="104">
                  <c:v>0.99199999999999999</c:v>
                </c:pt>
                <c:pt idx="105">
                  <c:v>1.0009999999999999</c:v>
                </c:pt>
                <c:pt idx="106">
                  <c:v>1.006</c:v>
                </c:pt>
                <c:pt idx="107">
                  <c:v>1.0029999999999999</c:v>
                </c:pt>
                <c:pt idx="108">
                  <c:v>1.0029999999999999</c:v>
                </c:pt>
                <c:pt idx="109">
                  <c:v>1.0049999999999999</c:v>
                </c:pt>
                <c:pt idx="110">
                  <c:v>1.0069999999999999</c:v>
                </c:pt>
                <c:pt idx="111">
                  <c:v>1.0089999999999999</c:v>
                </c:pt>
                <c:pt idx="112">
                  <c:v>1.0129999999999999</c:v>
                </c:pt>
                <c:pt idx="113">
                  <c:v>1.0189999999999999</c:v>
                </c:pt>
                <c:pt idx="114">
                  <c:v>1.0149999999999999</c:v>
                </c:pt>
                <c:pt idx="115">
                  <c:v>1.018</c:v>
                </c:pt>
                <c:pt idx="116">
                  <c:v>1.0109999999999999</c:v>
                </c:pt>
                <c:pt idx="117">
                  <c:v>1.0129999999999999</c:v>
                </c:pt>
                <c:pt idx="118">
                  <c:v>1.022</c:v>
                </c:pt>
                <c:pt idx="119">
                  <c:v>1.0169999999999999</c:v>
                </c:pt>
                <c:pt idx="120">
                  <c:v>1.0249999999999999</c:v>
                </c:pt>
                <c:pt idx="121">
                  <c:v>1.026</c:v>
                </c:pt>
                <c:pt idx="122">
                  <c:v>1.032</c:v>
                </c:pt>
                <c:pt idx="123">
                  <c:v>1.04</c:v>
                </c:pt>
                <c:pt idx="124">
                  <c:v>1.038</c:v>
                </c:pt>
                <c:pt idx="125">
                  <c:v>1.0309999999999999</c:v>
                </c:pt>
                <c:pt idx="126">
                  <c:v>1.0369999999999999</c:v>
                </c:pt>
                <c:pt idx="127">
                  <c:v>1.0369999999999999</c:v>
                </c:pt>
                <c:pt idx="128">
                  <c:v>1.0289999999999999</c:v>
                </c:pt>
                <c:pt idx="129">
                  <c:v>1.024</c:v>
                </c:pt>
              </c:numCache>
            </c:numRef>
          </c:val>
          <c:smooth val="0"/>
          <c:extLst>
            <c:ext xmlns:c16="http://schemas.microsoft.com/office/drawing/2014/chart" uri="{C3380CC4-5D6E-409C-BE32-E72D297353CC}">
              <c16:uniqueId val="{00000000-89BA-48A1-AA0B-2ADAA4C6B5D5}"/>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社润悟林二号</a:t>
            </a:r>
            <a:endParaRPr lang="en-US" altLang="zh-CN" sz="1600"/>
          </a:p>
        </c:rich>
      </c:tx>
      <c:overlay val="0"/>
    </c:title>
    <c:autoTitleDeleted val="0"/>
    <c:plotArea>
      <c:layout/>
      <c:lineChart>
        <c:grouping val="standard"/>
        <c:varyColors val="0"/>
        <c:ser>
          <c:idx val="0"/>
          <c:order val="0"/>
          <c:tx>
            <c:strRef>
              <c:f>社润悟林二号!$B$20</c:f>
              <c:strCache>
                <c:ptCount val="1"/>
                <c:pt idx="0">
                  <c:v>累计净值</c:v>
                </c:pt>
              </c:strCache>
            </c:strRef>
          </c:tx>
          <c:marker>
            <c:symbol val="none"/>
          </c:marker>
          <c:cat>
            <c:numRef>
              <c:f>社润悟林二号!$A$21:$A$390</c:f>
              <c:numCache>
                <c:formatCode>m/d/yy</c:formatCode>
                <c:ptCount val="370"/>
                <c:pt idx="0">
                  <c:v>43775</c:v>
                </c:pt>
                <c:pt idx="1">
                  <c:v>43776</c:v>
                </c:pt>
                <c:pt idx="2">
                  <c:v>43777</c:v>
                </c:pt>
                <c:pt idx="3">
                  <c:v>43780</c:v>
                </c:pt>
                <c:pt idx="4">
                  <c:v>43781</c:v>
                </c:pt>
                <c:pt idx="5">
                  <c:v>43782</c:v>
                </c:pt>
                <c:pt idx="6">
                  <c:v>43783</c:v>
                </c:pt>
                <c:pt idx="7">
                  <c:v>43784</c:v>
                </c:pt>
                <c:pt idx="8">
                  <c:v>43787</c:v>
                </c:pt>
                <c:pt idx="9">
                  <c:v>43788</c:v>
                </c:pt>
                <c:pt idx="10">
                  <c:v>43789</c:v>
                </c:pt>
                <c:pt idx="11">
                  <c:v>43790</c:v>
                </c:pt>
                <c:pt idx="12">
                  <c:v>43791</c:v>
                </c:pt>
                <c:pt idx="13">
                  <c:v>43794</c:v>
                </c:pt>
                <c:pt idx="14">
                  <c:v>43795</c:v>
                </c:pt>
                <c:pt idx="15">
                  <c:v>43796</c:v>
                </c:pt>
                <c:pt idx="16">
                  <c:v>43797</c:v>
                </c:pt>
                <c:pt idx="17">
                  <c:v>43798</c:v>
                </c:pt>
                <c:pt idx="18">
                  <c:v>43801</c:v>
                </c:pt>
                <c:pt idx="19">
                  <c:v>43802</c:v>
                </c:pt>
                <c:pt idx="20">
                  <c:v>43803</c:v>
                </c:pt>
                <c:pt idx="21">
                  <c:v>43804</c:v>
                </c:pt>
                <c:pt idx="22">
                  <c:v>43805</c:v>
                </c:pt>
                <c:pt idx="23">
                  <c:v>43808</c:v>
                </c:pt>
                <c:pt idx="24">
                  <c:v>43809</c:v>
                </c:pt>
                <c:pt idx="25">
                  <c:v>43810</c:v>
                </c:pt>
                <c:pt idx="26">
                  <c:v>43811</c:v>
                </c:pt>
                <c:pt idx="27">
                  <c:v>43812</c:v>
                </c:pt>
                <c:pt idx="28">
                  <c:v>43815</c:v>
                </c:pt>
                <c:pt idx="29">
                  <c:v>43816</c:v>
                </c:pt>
                <c:pt idx="30">
                  <c:v>43817</c:v>
                </c:pt>
                <c:pt idx="31">
                  <c:v>43818</c:v>
                </c:pt>
                <c:pt idx="32">
                  <c:v>43819</c:v>
                </c:pt>
                <c:pt idx="33">
                  <c:v>43822</c:v>
                </c:pt>
                <c:pt idx="34">
                  <c:v>43823</c:v>
                </c:pt>
                <c:pt idx="35">
                  <c:v>43824</c:v>
                </c:pt>
                <c:pt idx="36">
                  <c:v>43825</c:v>
                </c:pt>
                <c:pt idx="37">
                  <c:v>43826</c:v>
                </c:pt>
                <c:pt idx="38">
                  <c:v>43829</c:v>
                </c:pt>
                <c:pt idx="39">
                  <c:v>43830</c:v>
                </c:pt>
                <c:pt idx="40">
                  <c:v>43832</c:v>
                </c:pt>
                <c:pt idx="41">
                  <c:v>43833</c:v>
                </c:pt>
                <c:pt idx="42">
                  <c:v>43836</c:v>
                </c:pt>
                <c:pt idx="43">
                  <c:v>43837</c:v>
                </c:pt>
                <c:pt idx="44">
                  <c:v>43838</c:v>
                </c:pt>
                <c:pt idx="45">
                  <c:v>43839</c:v>
                </c:pt>
                <c:pt idx="46">
                  <c:v>43840</c:v>
                </c:pt>
                <c:pt idx="47">
                  <c:v>43843</c:v>
                </c:pt>
                <c:pt idx="48">
                  <c:v>43844</c:v>
                </c:pt>
                <c:pt idx="49">
                  <c:v>43845</c:v>
                </c:pt>
                <c:pt idx="50">
                  <c:v>43846</c:v>
                </c:pt>
                <c:pt idx="51">
                  <c:v>43847</c:v>
                </c:pt>
                <c:pt idx="52">
                  <c:v>43850</c:v>
                </c:pt>
                <c:pt idx="53">
                  <c:v>43851</c:v>
                </c:pt>
                <c:pt idx="54">
                  <c:v>43852</c:v>
                </c:pt>
                <c:pt idx="55">
                  <c:v>43853</c:v>
                </c:pt>
                <c:pt idx="56">
                  <c:v>43864</c:v>
                </c:pt>
                <c:pt idx="57">
                  <c:v>43865</c:v>
                </c:pt>
                <c:pt idx="58">
                  <c:v>43866</c:v>
                </c:pt>
                <c:pt idx="59">
                  <c:v>43867</c:v>
                </c:pt>
                <c:pt idx="60">
                  <c:v>43868</c:v>
                </c:pt>
                <c:pt idx="61">
                  <c:v>43871</c:v>
                </c:pt>
                <c:pt idx="62">
                  <c:v>43872</c:v>
                </c:pt>
                <c:pt idx="63">
                  <c:v>43873</c:v>
                </c:pt>
                <c:pt idx="64">
                  <c:v>43874</c:v>
                </c:pt>
                <c:pt idx="65">
                  <c:v>43875</c:v>
                </c:pt>
                <c:pt idx="66">
                  <c:v>43878</c:v>
                </c:pt>
                <c:pt idx="67">
                  <c:v>43879</c:v>
                </c:pt>
                <c:pt idx="68">
                  <c:v>43880</c:v>
                </c:pt>
                <c:pt idx="69">
                  <c:v>43881</c:v>
                </c:pt>
                <c:pt idx="70">
                  <c:v>43882</c:v>
                </c:pt>
                <c:pt idx="71">
                  <c:v>43885</c:v>
                </c:pt>
                <c:pt idx="72">
                  <c:v>43886</c:v>
                </c:pt>
                <c:pt idx="73">
                  <c:v>43887</c:v>
                </c:pt>
                <c:pt idx="74">
                  <c:v>43888</c:v>
                </c:pt>
                <c:pt idx="75">
                  <c:v>43889</c:v>
                </c:pt>
                <c:pt idx="76">
                  <c:v>43892</c:v>
                </c:pt>
                <c:pt idx="77">
                  <c:v>43893</c:v>
                </c:pt>
                <c:pt idx="78">
                  <c:v>43894</c:v>
                </c:pt>
                <c:pt idx="79">
                  <c:v>43895</c:v>
                </c:pt>
                <c:pt idx="80">
                  <c:v>43896</c:v>
                </c:pt>
                <c:pt idx="81">
                  <c:v>43899</c:v>
                </c:pt>
                <c:pt idx="82">
                  <c:v>43900</c:v>
                </c:pt>
                <c:pt idx="83">
                  <c:v>43901</c:v>
                </c:pt>
                <c:pt idx="84">
                  <c:v>43902</c:v>
                </c:pt>
                <c:pt idx="85">
                  <c:v>43903</c:v>
                </c:pt>
                <c:pt idx="86">
                  <c:v>43906</c:v>
                </c:pt>
                <c:pt idx="87">
                  <c:v>43907</c:v>
                </c:pt>
                <c:pt idx="88">
                  <c:v>43908</c:v>
                </c:pt>
                <c:pt idx="89">
                  <c:v>43909</c:v>
                </c:pt>
                <c:pt idx="90">
                  <c:v>43910</c:v>
                </c:pt>
                <c:pt idx="91">
                  <c:v>43913</c:v>
                </c:pt>
                <c:pt idx="92">
                  <c:v>43914</c:v>
                </c:pt>
                <c:pt idx="93">
                  <c:v>43915</c:v>
                </c:pt>
                <c:pt idx="94">
                  <c:v>43916</c:v>
                </c:pt>
                <c:pt idx="95">
                  <c:v>43917</c:v>
                </c:pt>
                <c:pt idx="96">
                  <c:v>43920</c:v>
                </c:pt>
                <c:pt idx="97">
                  <c:v>43921</c:v>
                </c:pt>
                <c:pt idx="98">
                  <c:v>43922</c:v>
                </c:pt>
                <c:pt idx="99">
                  <c:v>43923</c:v>
                </c:pt>
                <c:pt idx="100">
                  <c:v>43924</c:v>
                </c:pt>
                <c:pt idx="101">
                  <c:v>43928</c:v>
                </c:pt>
                <c:pt idx="102">
                  <c:v>43929</c:v>
                </c:pt>
                <c:pt idx="103">
                  <c:v>43930</c:v>
                </c:pt>
                <c:pt idx="104">
                  <c:v>43931</c:v>
                </c:pt>
                <c:pt idx="105">
                  <c:v>43934</c:v>
                </c:pt>
                <c:pt idx="106">
                  <c:v>43935</c:v>
                </c:pt>
                <c:pt idx="107">
                  <c:v>43936</c:v>
                </c:pt>
                <c:pt idx="108">
                  <c:v>43937</c:v>
                </c:pt>
                <c:pt idx="109">
                  <c:v>43938</c:v>
                </c:pt>
                <c:pt idx="110">
                  <c:v>43941</c:v>
                </c:pt>
                <c:pt idx="111">
                  <c:v>43942</c:v>
                </c:pt>
                <c:pt idx="112">
                  <c:v>43943</c:v>
                </c:pt>
                <c:pt idx="113">
                  <c:v>43944</c:v>
                </c:pt>
                <c:pt idx="114">
                  <c:v>43945</c:v>
                </c:pt>
                <c:pt idx="115">
                  <c:v>43948</c:v>
                </c:pt>
                <c:pt idx="116">
                  <c:v>43949</c:v>
                </c:pt>
                <c:pt idx="117">
                  <c:v>43950</c:v>
                </c:pt>
                <c:pt idx="118">
                  <c:v>43951</c:v>
                </c:pt>
                <c:pt idx="119">
                  <c:v>43957</c:v>
                </c:pt>
                <c:pt idx="120">
                  <c:v>43958</c:v>
                </c:pt>
                <c:pt idx="121">
                  <c:v>43959</c:v>
                </c:pt>
                <c:pt idx="122">
                  <c:v>43962</c:v>
                </c:pt>
                <c:pt idx="123">
                  <c:v>43963</c:v>
                </c:pt>
                <c:pt idx="124">
                  <c:v>43964</c:v>
                </c:pt>
                <c:pt idx="125">
                  <c:v>43965</c:v>
                </c:pt>
                <c:pt idx="126">
                  <c:v>43966</c:v>
                </c:pt>
                <c:pt idx="127">
                  <c:v>43969</c:v>
                </c:pt>
                <c:pt idx="128">
                  <c:v>43970</c:v>
                </c:pt>
                <c:pt idx="129">
                  <c:v>43971</c:v>
                </c:pt>
                <c:pt idx="130">
                  <c:v>43972</c:v>
                </c:pt>
                <c:pt idx="131">
                  <c:v>43973</c:v>
                </c:pt>
                <c:pt idx="132">
                  <c:v>43976</c:v>
                </c:pt>
                <c:pt idx="133">
                  <c:v>43977</c:v>
                </c:pt>
                <c:pt idx="134">
                  <c:v>43978</c:v>
                </c:pt>
                <c:pt idx="135">
                  <c:v>43979</c:v>
                </c:pt>
                <c:pt idx="136">
                  <c:v>43980</c:v>
                </c:pt>
                <c:pt idx="137">
                  <c:v>43983</c:v>
                </c:pt>
                <c:pt idx="138">
                  <c:v>43984</c:v>
                </c:pt>
                <c:pt idx="139">
                  <c:v>43985</c:v>
                </c:pt>
                <c:pt idx="140">
                  <c:v>43986</c:v>
                </c:pt>
                <c:pt idx="141">
                  <c:v>43987</c:v>
                </c:pt>
                <c:pt idx="142">
                  <c:v>43990</c:v>
                </c:pt>
                <c:pt idx="143">
                  <c:v>43991</c:v>
                </c:pt>
                <c:pt idx="144">
                  <c:v>43992</c:v>
                </c:pt>
                <c:pt idx="145">
                  <c:v>43993</c:v>
                </c:pt>
                <c:pt idx="146">
                  <c:v>43994</c:v>
                </c:pt>
                <c:pt idx="147">
                  <c:v>43997</c:v>
                </c:pt>
                <c:pt idx="148">
                  <c:v>43998</c:v>
                </c:pt>
                <c:pt idx="149">
                  <c:v>43999</c:v>
                </c:pt>
                <c:pt idx="150">
                  <c:v>44000</c:v>
                </c:pt>
                <c:pt idx="151">
                  <c:v>44001</c:v>
                </c:pt>
                <c:pt idx="152">
                  <c:v>44004</c:v>
                </c:pt>
                <c:pt idx="153">
                  <c:v>44005</c:v>
                </c:pt>
                <c:pt idx="154">
                  <c:v>44006</c:v>
                </c:pt>
                <c:pt idx="155">
                  <c:v>44011</c:v>
                </c:pt>
                <c:pt idx="156">
                  <c:v>44012</c:v>
                </c:pt>
                <c:pt idx="157">
                  <c:v>44013</c:v>
                </c:pt>
                <c:pt idx="158">
                  <c:v>44014</c:v>
                </c:pt>
                <c:pt idx="159">
                  <c:v>44015</c:v>
                </c:pt>
                <c:pt idx="160">
                  <c:v>44018</c:v>
                </c:pt>
                <c:pt idx="161">
                  <c:v>44019</c:v>
                </c:pt>
                <c:pt idx="162">
                  <c:v>44020</c:v>
                </c:pt>
                <c:pt idx="163">
                  <c:v>44021</c:v>
                </c:pt>
                <c:pt idx="164">
                  <c:v>44022</c:v>
                </c:pt>
                <c:pt idx="165">
                  <c:v>44025</c:v>
                </c:pt>
                <c:pt idx="166">
                  <c:v>44026</c:v>
                </c:pt>
                <c:pt idx="167">
                  <c:v>44027</c:v>
                </c:pt>
                <c:pt idx="168">
                  <c:v>44028</c:v>
                </c:pt>
                <c:pt idx="169">
                  <c:v>44029</c:v>
                </c:pt>
                <c:pt idx="170">
                  <c:v>44032</c:v>
                </c:pt>
                <c:pt idx="171">
                  <c:v>44033</c:v>
                </c:pt>
                <c:pt idx="172">
                  <c:v>44034</c:v>
                </c:pt>
                <c:pt idx="173">
                  <c:v>44035</c:v>
                </c:pt>
                <c:pt idx="174">
                  <c:v>44036</c:v>
                </c:pt>
                <c:pt idx="175">
                  <c:v>44039</c:v>
                </c:pt>
                <c:pt idx="176">
                  <c:v>44040</c:v>
                </c:pt>
                <c:pt idx="177">
                  <c:v>44041</c:v>
                </c:pt>
                <c:pt idx="178">
                  <c:v>44042</c:v>
                </c:pt>
                <c:pt idx="179">
                  <c:v>44043</c:v>
                </c:pt>
                <c:pt idx="180">
                  <c:v>44046</c:v>
                </c:pt>
                <c:pt idx="181">
                  <c:v>44047</c:v>
                </c:pt>
                <c:pt idx="182">
                  <c:v>44048</c:v>
                </c:pt>
                <c:pt idx="183">
                  <c:v>44049</c:v>
                </c:pt>
                <c:pt idx="184">
                  <c:v>44050</c:v>
                </c:pt>
                <c:pt idx="185">
                  <c:v>44053</c:v>
                </c:pt>
                <c:pt idx="186">
                  <c:v>44054</c:v>
                </c:pt>
                <c:pt idx="187">
                  <c:v>44055</c:v>
                </c:pt>
                <c:pt idx="188">
                  <c:v>44056</c:v>
                </c:pt>
                <c:pt idx="189">
                  <c:v>44057</c:v>
                </c:pt>
                <c:pt idx="190">
                  <c:v>44060</c:v>
                </c:pt>
                <c:pt idx="191">
                  <c:v>44061</c:v>
                </c:pt>
                <c:pt idx="192">
                  <c:v>44062</c:v>
                </c:pt>
                <c:pt idx="193">
                  <c:v>44063</c:v>
                </c:pt>
                <c:pt idx="194">
                  <c:v>44064</c:v>
                </c:pt>
                <c:pt idx="195">
                  <c:v>44067</c:v>
                </c:pt>
                <c:pt idx="196">
                  <c:v>44068</c:v>
                </c:pt>
                <c:pt idx="197">
                  <c:v>44069</c:v>
                </c:pt>
                <c:pt idx="198">
                  <c:v>44070</c:v>
                </c:pt>
                <c:pt idx="199">
                  <c:v>44071</c:v>
                </c:pt>
                <c:pt idx="200">
                  <c:v>44074</c:v>
                </c:pt>
                <c:pt idx="201">
                  <c:v>44075</c:v>
                </c:pt>
                <c:pt idx="202">
                  <c:v>44076</c:v>
                </c:pt>
                <c:pt idx="203">
                  <c:v>44077</c:v>
                </c:pt>
                <c:pt idx="204">
                  <c:v>44078</c:v>
                </c:pt>
                <c:pt idx="205">
                  <c:v>44081</c:v>
                </c:pt>
                <c:pt idx="206">
                  <c:v>44082</c:v>
                </c:pt>
                <c:pt idx="207">
                  <c:v>44083</c:v>
                </c:pt>
                <c:pt idx="208">
                  <c:v>44084</c:v>
                </c:pt>
                <c:pt idx="209">
                  <c:v>44085</c:v>
                </c:pt>
                <c:pt idx="210">
                  <c:v>44088</c:v>
                </c:pt>
                <c:pt idx="211">
                  <c:v>44089</c:v>
                </c:pt>
                <c:pt idx="212">
                  <c:v>44090</c:v>
                </c:pt>
                <c:pt idx="213">
                  <c:v>44091</c:v>
                </c:pt>
                <c:pt idx="214">
                  <c:v>44092</c:v>
                </c:pt>
                <c:pt idx="215">
                  <c:v>44095</c:v>
                </c:pt>
                <c:pt idx="216">
                  <c:v>44096</c:v>
                </c:pt>
                <c:pt idx="217">
                  <c:v>44097</c:v>
                </c:pt>
                <c:pt idx="218">
                  <c:v>44098</c:v>
                </c:pt>
                <c:pt idx="219">
                  <c:v>44099</c:v>
                </c:pt>
                <c:pt idx="220">
                  <c:v>44102</c:v>
                </c:pt>
                <c:pt idx="221">
                  <c:v>44103</c:v>
                </c:pt>
                <c:pt idx="222">
                  <c:v>44104</c:v>
                </c:pt>
                <c:pt idx="223">
                  <c:v>44113</c:v>
                </c:pt>
                <c:pt idx="224">
                  <c:v>44116</c:v>
                </c:pt>
                <c:pt idx="225">
                  <c:v>44117</c:v>
                </c:pt>
                <c:pt idx="226">
                  <c:v>44118</c:v>
                </c:pt>
                <c:pt idx="227">
                  <c:v>44119</c:v>
                </c:pt>
                <c:pt idx="228">
                  <c:v>44120</c:v>
                </c:pt>
                <c:pt idx="229">
                  <c:v>44123</c:v>
                </c:pt>
                <c:pt idx="230">
                  <c:v>44124</c:v>
                </c:pt>
                <c:pt idx="231">
                  <c:v>44125</c:v>
                </c:pt>
                <c:pt idx="232">
                  <c:v>44126</c:v>
                </c:pt>
                <c:pt idx="233">
                  <c:v>44127</c:v>
                </c:pt>
                <c:pt idx="234">
                  <c:v>44130</c:v>
                </c:pt>
                <c:pt idx="235">
                  <c:v>44131</c:v>
                </c:pt>
                <c:pt idx="236">
                  <c:v>44132</c:v>
                </c:pt>
                <c:pt idx="237">
                  <c:v>44133</c:v>
                </c:pt>
                <c:pt idx="238">
                  <c:v>44134</c:v>
                </c:pt>
                <c:pt idx="239">
                  <c:v>44137</c:v>
                </c:pt>
                <c:pt idx="240">
                  <c:v>44138</c:v>
                </c:pt>
                <c:pt idx="241">
                  <c:v>44139</c:v>
                </c:pt>
                <c:pt idx="242">
                  <c:v>44140</c:v>
                </c:pt>
                <c:pt idx="243">
                  <c:v>44141</c:v>
                </c:pt>
                <c:pt idx="244">
                  <c:v>44144</c:v>
                </c:pt>
                <c:pt idx="245">
                  <c:v>44145</c:v>
                </c:pt>
                <c:pt idx="246">
                  <c:v>44146</c:v>
                </c:pt>
                <c:pt idx="247">
                  <c:v>44147</c:v>
                </c:pt>
                <c:pt idx="248">
                  <c:v>44148</c:v>
                </c:pt>
                <c:pt idx="249">
                  <c:v>44151</c:v>
                </c:pt>
                <c:pt idx="250">
                  <c:v>44152</c:v>
                </c:pt>
                <c:pt idx="251">
                  <c:v>44153</c:v>
                </c:pt>
                <c:pt idx="252">
                  <c:v>44154</c:v>
                </c:pt>
                <c:pt idx="253">
                  <c:v>44155</c:v>
                </c:pt>
                <c:pt idx="254">
                  <c:v>44158</c:v>
                </c:pt>
                <c:pt idx="255">
                  <c:v>44159</c:v>
                </c:pt>
                <c:pt idx="256">
                  <c:v>44160</c:v>
                </c:pt>
                <c:pt idx="257">
                  <c:v>44161</c:v>
                </c:pt>
                <c:pt idx="258">
                  <c:v>44162</c:v>
                </c:pt>
                <c:pt idx="259">
                  <c:v>44165</c:v>
                </c:pt>
                <c:pt idx="260">
                  <c:v>44166</c:v>
                </c:pt>
                <c:pt idx="261">
                  <c:v>44167</c:v>
                </c:pt>
                <c:pt idx="262">
                  <c:v>44168</c:v>
                </c:pt>
                <c:pt idx="263">
                  <c:v>44169</c:v>
                </c:pt>
                <c:pt idx="264">
                  <c:v>44172</c:v>
                </c:pt>
                <c:pt idx="265">
                  <c:v>44173</c:v>
                </c:pt>
                <c:pt idx="266">
                  <c:v>44174</c:v>
                </c:pt>
                <c:pt idx="267">
                  <c:v>44175</c:v>
                </c:pt>
                <c:pt idx="268">
                  <c:v>44176</c:v>
                </c:pt>
                <c:pt idx="269">
                  <c:v>44179</c:v>
                </c:pt>
                <c:pt idx="270">
                  <c:v>44180</c:v>
                </c:pt>
                <c:pt idx="271">
                  <c:v>44181</c:v>
                </c:pt>
                <c:pt idx="272">
                  <c:v>44182</c:v>
                </c:pt>
                <c:pt idx="273">
                  <c:v>44183</c:v>
                </c:pt>
                <c:pt idx="274">
                  <c:v>44186</c:v>
                </c:pt>
                <c:pt idx="275">
                  <c:v>44187</c:v>
                </c:pt>
                <c:pt idx="276">
                  <c:v>44188</c:v>
                </c:pt>
                <c:pt idx="277">
                  <c:v>44189</c:v>
                </c:pt>
                <c:pt idx="278">
                  <c:v>44190</c:v>
                </c:pt>
                <c:pt idx="279">
                  <c:v>44193</c:v>
                </c:pt>
                <c:pt idx="280">
                  <c:v>44194</c:v>
                </c:pt>
                <c:pt idx="281">
                  <c:v>44195</c:v>
                </c:pt>
                <c:pt idx="282">
                  <c:v>44196</c:v>
                </c:pt>
                <c:pt idx="283">
                  <c:v>44200</c:v>
                </c:pt>
                <c:pt idx="284">
                  <c:v>44201</c:v>
                </c:pt>
                <c:pt idx="285">
                  <c:v>44202</c:v>
                </c:pt>
                <c:pt idx="286">
                  <c:v>44203</c:v>
                </c:pt>
                <c:pt idx="287">
                  <c:v>44204</c:v>
                </c:pt>
                <c:pt idx="288">
                  <c:v>44207</c:v>
                </c:pt>
                <c:pt idx="289">
                  <c:v>44208</c:v>
                </c:pt>
                <c:pt idx="290">
                  <c:v>44209</c:v>
                </c:pt>
                <c:pt idx="291">
                  <c:v>44210</c:v>
                </c:pt>
                <c:pt idx="292">
                  <c:v>44211</c:v>
                </c:pt>
                <c:pt idx="293">
                  <c:v>44214</c:v>
                </c:pt>
                <c:pt idx="294">
                  <c:v>44215</c:v>
                </c:pt>
                <c:pt idx="295">
                  <c:v>44216</c:v>
                </c:pt>
                <c:pt idx="296">
                  <c:v>44217</c:v>
                </c:pt>
                <c:pt idx="297">
                  <c:v>44218</c:v>
                </c:pt>
                <c:pt idx="298">
                  <c:v>44221</c:v>
                </c:pt>
                <c:pt idx="299">
                  <c:v>44222</c:v>
                </c:pt>
                <c:pt idx="300">
                  <c:v>44223</c:v>
                </c:pt>
                <c:pt idx="301">
                  <c:v>44224</c:v>
                </c:pt>
                <c:pt idx="302">
                  <c:v>44225</c:v>
                </c:pt>
                <c:pt idx="303">
                  <c:v>44228</c:v>
                </c:pt>
                <c:pt idx="304">
                  <c:v>44229</c:v>
                </c:pt>
                <c:pt idx="305">
                  <c:v>44230</c:v>
                </c:pt>
                <c:pt idx="306">
                  <c:v>44231</c:v>
                </c:pt>
                <c:pt idx="307">
                  <c:v>44232</c:v>
                </c:pt>
                <c:pt idx="308">
                  <c:v>44235</c:v>
                </c:pt>
                <c:pt idx="309">
                  <c:v>44236</c:v>
                </c:pt>
                <c:pt idx="310">
                  <c:v>44237</c:v>
                </c:pt>
                <c:pt idx="311">
                  <c:v>44245</c:v>
                </c:pt>
                <c:pt idx="312">
                  <c:v>44246</c:v>
                </c:pt>
                <c:pt idx="313">
                  <c:v>44249</c:v>
                </c:pt>
                <c:pt idx="314">
                  <c:v>44250</c:v>
                </c:pt>
                <c:pt idx="315">
                  <c:v>44251</c:v>
                </c:pt>
                <c:pt idx="316">
                  <c:v>44252</c:v>
                </c:pt>
                <c:pt idx="317">
                  <c:v>44253</c:v>
                </c:pt>
                <c:pt idx="318">
                  <c:v>44256</c:v>
                </c:pt>
                <c:pt idx="319">
                  <c:v>44257</c:v>
                </c:pt>
                <c:pt idx="320">
                  <c:v>44258</c:v>
                </c:pt>
                <c:pt idx="321">
                  <c:v>44259</c:v>
                </c:pt>
                <c:pt idx="322">
                  <c:v>44260</c:v>
                </c:pt>
                <c:pt idx="323">
                  <c:v>44263</c:v>
                </c:pt>
                <c:pt idx="324">
                  <c:v>44264</c:v>
                </c:pt>
                <c:pt idx="325">
                  <c:v>44265</c:v>
                </c:pt>
                <c:pt idx="326">
                  <c:v>44266</c:v>
                </c:pt>
                <c:pt idx="327">
                  <c:v>44267</c:v>
                </c:pt>
                <c:pt idx="328">
                  <c:v>44270</c:v>
                </c:pt>
                <c:pt idx="329">
                  <c:v>44271</c:v>
                </c:pt>
                <c:pt idx="330">
                  <c:v>44272</c:v>
                </c:pt>
                <c:pt idx="331">
                  <c:v>44273</c:v>
                </c:pt>
                <c:pt idx="332">
                  <c:v>44274</c:v>
                </c:pt>
                <c:pt idx="333">
                  <c:v>44277</c:v>
                </c:pt>
                <c:pt idx="334">
                  <c:v>44278</c:v>
                </c:pt>
                <c:pt idx="335">
                  <c:v>44279</c:v>
                </c:pt>
                <c:pt idx="336">
                  <c:v>44280</c:v>
                </c:pt>
                <c:pt idx="337">
                  <c:v>44281</c:v>
                </c:pt>
                <c:pt idx="338">
                  <c:v>44284</c:v>
                </c:pt>
                <c:pt idx="339">
                  <c:v>44285</c:v>
                </c:pt>
                <c:pt idx="340">
                  <c:v>44286</c:v>
                </c:pt>
                <c:pt idx="341">
                  <c:v>44287</c:v>
                </c:pt>
                <c:pt idx="342">
                  <c:v>44288</c:v>
                </c:pt>
                <c:pt idx="343">
                  <c:v>44292</c:v>
                </c:pt>
                <c:pt idx="344">
                  <c:v>44293</c:v>
                </c:pt>
                <c:pt idx="345">
                  <c:v>44294</c:v>
                </c:pt>
                <c:pt idx="346">
                  <c:v>44295</c:v>
                </c:pt>
                <c:pt idx="347">
                  <c:v>44298</c:v>
                </c:pt>
                <c:pt idx="348">
                  <c:v>44299</c:v>
                </c:pt>
                <c:pt idx="349">
                  <c:v>44300</c:v>
                </c:pt>
                <c:pt idx="350">
                  <c:v>44301</c:v>
                </c:pt>
                <c:pt idx="351">
                  <c:v>44302</c:v>
                </c:pt>
                <c:pt idx="352">
                  <c:v>44305</c:v>
                </c:pt>
                <c:pt idx="353">
                  <c:v>44306</c:v>
                </c:pt>
                <c:pt idx="354">
                  <c:v>44307</c:v>
                </c:pt>
                <c:pt idx="355">
                  <c:v>44308</c:v>
                </c:pt>
                <c:pt idx="356">
                  <c:v>44309</c:v>
                </c:pt>
                <c:pt idx="357">
                  <c:v>44312</c:v>
                </c:pt>
                <c:pt idx="358">
                  <c:v>44313</c:v>
                </c:pt>
                <c:pt idx="359">
                  <c:v>44314</c:v>
                </c:pt>
                <c:pt idx="360">
                  <c:v>44315</c:v>
                </c:pt>
                <c:pt idx="361">
                  <c:v>44316</c:v>
                </c:pt>
                <c:pt idx="362">
                  <c:v>44322</c:v>
                </c:pt>
                <c:pt idx="363">
                  <c:v>44323</c:v>
                </c:pt>
                <c:pt idx="364">
                  <c:v>44326</c:v>
                </c:pt>
                <c:pt idx="365">
                  <c:v>44327</c:v>
                </c:pt>
                <c:pt idx="366">
                  <c:v>44328</c:v>
                </c:pt>
                <c:pt idx="367">
                  <c:v>44329</c:v>
                </c:pt>
                <c:pt idx="368">
                  <c:v>44330</c:v>
                </c:pt>
                <c:pt idx="369">
                  <c:v>44333</c:v>
                </c:pt>
              </c:numCache>
            </c:numRef>
          </c:cat>
          <c:val>
            <c:numRef>
              <c:f>社润悟林二号!$B$21:$B$390</c:f>
              <c:numCache>
                <c:formatCode>0.0000_ </c:formatCode>
                <c:ptCount val="370"/>
                <c:pt idx="0">
                  <c:v>0.99119999999999997</c:v>
                </c:pt>
                <c:pt idx="1">
                  <c:v>0.99119999999999997</c:v>
                </c:pt>
                <c:pt idx="2">
                  <c:v>0.99080000000000001</c:v>
                </c:pt>
                <c:pt idx="3">
                  <c:v>0.99399999999999999</c:v>
                </c:pt>
                <c:pt idx="4">
                  <c:v>0.99450000000000005</c:v>
                </c:pt>
                <c:pt idx="5">
                  <c:v>0.99</c:v>
                </c:pt>
                <c:pt idx="6">
                  <c:v>0.99</c:v>
                </c:pt>
                <c:pt idx="7">
                  <c:v>0.99539999999999995</c:v>
                </c:pt>
                <c:pt idx="8">
                  <c:v>0.99680000000000002</c:v>
                </c:pt>
                <c:pt idx="9">
                  <c:v>0.99650000000000005</c:v>
                </c:pt>
                <c:pt idx="10">
                  <c:v>0.99929999999999997</c:v>
                </c:pt>
                <c:pt idx="11">
                  <c:v>0.99439999999999995</c:v>
                </c:pt>
                <c:pt idx="12">
                  <c:v>0.99270000000000003</c:v>
                </c:pt>
                <c:pt idx="13">
                  <c:v>0.99639999999999995</c:v>
                </c:pt>
                <c:pt idx="14">
                  <c:v>0.99539999999999995</c:v>
                </c:pt>
                <c:pt idx="15">
                  <c:v>0.99209999999999998</c:v>
                </c:pt>
                <c:pt idx="16">
                  <c:v>0.99080000000000001</c:v>
                </c:pt>
                <c:pt idx="17">
                  <c:v>0.99319999999999997</c:v>
                </c:pt>
                <c:pt idx="18">
                  <c:v>0.98760000000000003</c:v>
                </c:pt>
                <c:pt idx="19">
                  <c:v>0.98970000000000002</c:v>
                </c:pt>
                <c:pt idx="20">
                  <c:v>0.98870000000000002</c:v>
                </c:pt>
                <c:pt idx="21">
                  <c:v>0.98209999999999997</c:v>
                </c:pt>
                <c:pt idx="22">
                  <c:v>0.97719999999999996</c:v>
                </c:pt>
                <c:pt idx="23">
                  <c:v>0.99760000000000004</c:v>
                </c:pt>
                <c:pt idx="24">
                  <c:v>1.0014000000000001</c:v>
                </c:pt>
                <c:pt idx="25">
                  <c:v>1</c:v>
                </c:pt>
                <c:pt idx="26">
                  <c:v>1.0011000000000001</c:v>
                </c:pt>
                <c:pt idx="27">
                  <c:v>1.0013000000000001</c:v>
                </c:pt>
                <c:pt idx="28">
                  <c:v>1.0051000000000001</c:v>
                </c:pt>
                <c:pt idx="29">
                  <c:v>0.99690000000000001</c:v>
                </c:pt>
                <c:pt idx="30">
                  <c:v>0.99670000000000003</c:v>
                </c:pt>
                <c:pt idx="31">
                  <c:v>1.0017</c:v>
                </c:pt>
                <c:pt idx="32">
                  <c:v>1.0072000000000001</c:v>
                </c:pt>
                <c:pt idx="33">
                  <c:v>1.0105999999999999</c:v>
                </c:pt>
                <c:pt idx="34">
                  <c:v>1.0085</c:v>
                </c:pt>
                <c:pt idx="35">
                  <c:v>1.0082</c:v>
                </c:pt>
                <c:pt idx="36">
                  <c:v>1.0065</c:v>
                </c:pt>
                <c:pt idx="37">
                  <c:v>1.0145</c:v>
                </c:pt>
                <c:pt idx="38">
                  <c:v>1.0094000000000001</c:v>
                </c:pt>
                <c:pt idx="39">
                  <c:v>1.0095000000000001</c:v>
                </c:pt>
                <c:pt idx="40">
                  <c:v>1.0079</c:v>
                </c:pt>
                <c:pt idx="41">
                  <c:v>1.0132000000000001</c:v>
                </c:pt>
                <c:pt idx="42">
                  <c:v>1.0076000000000001</c:v>
                </c:pt>
                <c:pt idx="43">
                  <c:v>1.0017</c:v>
                </c:pt>
                <c:pt idx="44">
                  <c:v>1.0035000000000001</c:v>
                </c:pt>
                <c:pt idx="45">
                  <c:v>1.0093000000000001</c:v>
                </c:pt>
                <c:pt idx="46">
                  <c:v>1.0169999999999999</c:v>
                </c:pt>
                <c:pt idx="47">
                  <c:v>1.0194000000000001</c:v>
                </c:pt>
                <c:pt idx="48">
                  <c:v>1.0190999999999999</c:v>
                </c:pt>
                <c:pt idx="49">
                  <c:v>1.0158</c:v>
                </c:pt>
                <c:pt idx="50">
                  <c:v>1.0123</c:v>
                </c:pt>
                <c:pt idx="51">
                  <c:v>1.0077</c:v>
                </c:pt>
                <c:pt idx="52">
                  <c:v>1.0082</c:v>
                </c:pt>
                <c:pt idx="53">
                  <c:v>1.0081</c:v>
                </c:pt>
                <c:pt idx="54">
                  <c:v>1.0182</c:v>
                </c:pt>
                <c:pt idx="55">
                  <c:v>1.0244</c:v>
                </c:pt>
                <c:pt idx="56">
                  <c:v>1.0604</c:v>
                </c:pt>
                <c:pt idx="57">
                  <c:v>1.0826</c:v>
                </c:pt>
                <c:pt idx="58">
                  <c:v>1.0819000000000001</c:v>
                </c:pt>
                <c:pt idx="59">
                  <c:v>1.0809</c:v>
                </c:pt>
                <c:pt idx="60">
                  <c:v>1.0759000000000001</c:v>
                </c:pt>
                <c:pt idx="61">
                  <c:v>1.083</c:v>
                </c:pt>
                <c:pt idx="62">
                  <c:v>1.0746</c:v>
                </c:pt>
                <c:pt idx="63">
                  <c:v>1.0775999999999999</c:v>
                </c:pt>
                <c:pt idx="64">
                  <c:v>1.0681</c:v>
                </c:pt>
                <c:pt idx="65">
                  <c:v>1.0677000000000001</c:v>
                </c:pt>
                <c:pt idx="66">
                  <c:v>1.0671999999999999</c:v>
                </c:pt>
                <c:pt idx="67">
                  <c:v>1.0633999999999999</c:v>
                </c:pt>
                <c:pt idx="68">
                  <c:v>1.0568</c:v>
                </c:pt>
                <c:pt idx="69">
                  <c:v>1.0484</c:v>
                </c:pt>
                <c:pt idx="70">
                  <c:v>1.0488999999999999</c:v>
                </c:pt>
                <c:pt idx="71">
                  <c:v>1.071</c:v>
                </c:pt>
                <c:pt idx="72">
                  <c:v>1.0738000000000001</c:v>
                </c:pt>
                <c:pt idx="73">
                  <c:v>1.077</c:v>
                </c:pt>
                <c:pt idx="74">
                  <c:v>1.0981000000000001</c:v>
                </c:pt>
                <c:pt idx="75">
                  <c:v>1.1177999999999999</c:v>
                </c:pt>
                <c:pt idx="76">
                  <c:v>1.125</c:v>
                </c:pt>
                <c:pt idx="77">
                  <c:v>1.1124000000000001</c:v>
                </c:pt>
                <c:pt idx="78">
                  <c:v>1.1195999999999999</c:v>
                </c:pt>
                <c:pt idx="79">
                  <c:v>1.1215999999999999</c:v>
                </c:pt>
                <c:pt idx="80">
                  <c:v>1.1299999999999999</c:v>
                </c:pt>
                <c:pt idx="81">
                  <c:v>1.1452</c:v>
                </c:pt>
                <c:pt idx="82">
                  <c:v>1.1447000000000001</c:v>
                </c:pt>
                <c:pt idx="83">
                  <c:v>1.1466000000000001</c:v>
                </c:pt>
                <c:pt idx="84">
                  <c:v>1.1586000000000001</c:v>
                </c:pt>
                <c:pt idx="85">
                  <c:v>1.1617</c:v>
                </c:pt>
                <c:pt idx="86">
                  <c:v>1.1140000000000001</c:v>
                </c:pt>
                <c:pt idx="87">
                  <c:v>1.1183000000000001</c:v>
                </c:pt>
                <c:pt idx="88">
                  <c:v>1.1523000000000001</c:v>
                </c:pt>
                <c:pt idx="89">
                  <c:v>1.1624000000000001</c:v>
                </c:pt>
                <c:pt idx="90">
                  <c:v>1.1807000000000001</c:v>
                </c:pt>
                <c:pt idx="91">
                  <c:v>1.1598999999999999</c:v>
                </c:pt>
                <c:pt idx="92">
                  <c:v>1.1564000000000001</c:v>
                </c:pt>
                <c:pt idx="93">
                  <c:v>1.1526000000000001</c:v>
                </c:pt>
                <c:pt idx="94">
                  <c:v>1.1591</c:v>
                </c:pt>
                <c:pt idx="95">
                  <c:v>1.1593</c:v>
                </c:pt>
                <c:pt idx="96">
                  <c:v>1.1753</c:v>
                </c:pt>
                <c:pt idx="97">
                  <c:v>1.1711</c:v>
                </c:pt>
                <c:pt idx="98">
                  <c:v>1.1783999999999999</c:v>
                </c:pt>
                <c:pt idx="99">
                  <c:v>1.1973</c:v>
                </c:pt>
                <c:pt idx="100">
                  <c:v>1.1856</c:v>
                </c:pt>
                <c:pt idx="101">
                  <c:v>1.1805000000000001</c:v>
                </c:pt>
                <c:pt idx="102">
                  <c:v>1.1971000000000001</c:v>
                </c:pt>
                <c:pt idx="103">
                  <c:v>1.2035</c:v>
                </c:pt>
                <c:pt idx="104">
                  <c:v>1.2068000000000001</c:v>
                </c:pt>
                <c:pt idx="105">
                  <c:v>1.2009000000000001</c:v>
                </c:pt>
                <c:pt idx="106">
                  <c:v>1.2302</c:v>
                </c:pt>
                <c:pt idx="107">
                  <c:v>1.2369000000000001</c:v>
                </c:pt>
                <c:pt idx="108">
                  <c:v>1.2415</c:v>
                </c:pt>
                <c:pt idx="109">
                  <c:v>1.2484</c:v>
                </c:pt>
                <c:pt idx="110">
                  <c:v>1.2533000000000001</c:v>
                </c:pt>
                <c:pt idx="111">
                  <c:v>1.2272000000000001</c:v>
                </c:pt>
                <c:pt idx="112">
                  <c:v>1.2474000000000001</c:v>
                </c:pt>
                <c:pt idx="113">
                  <c:v>1.2618</c:v>
                </c:pt>
                <c:pt idx="114">
                  <c:v>1.2630999999999999</c:v>
                </c:pt>
                <c:pt idx="115">
                  <c:v>1.2808999999999999</c:v>
                </c:pt>
                <c:pt idx="116">
                  <c:v>1.2676000000000001</c:v>
                </c:pt>
                <c:pt idx="117">
                  <c:v>1.2585</c:v>
                </c:pt>
                <c:pt idx="118">
                  <c:v>1.2606999999999999</c:v>
                </c:pt>
                <c:pt idx="119">
                  <c:v>1.2824</c:v>
                </c:pt>
                <c:pt idx="120">
                  <c:v>1.2886</c:v>
                </c:pt>
                <c:pt idx="121">
                  <c:v>1.2915000000000001</c:v>
                </c:pt>
                <c:pt idx="122">
                  <c:v>1.2935000000000001</c:v>
                </c:pt>
                <c:pt idx="123">
                  <c:v>1.3030999999999999</c:v>
                </c:pt>
                <c:pt idx="124">
                  <c:v>1.3117000000000001</c:v>
                </c:pt>
                <c:pt idx="125">
                  <c:v>1.3169999999999999</c:v>
                </c:pt>
                <c:pt idx="126">
                  <c:v>1.3072999999999999</c:v>
                </c:pt>
                <c:pt idx="127">
                  <c:v>1.3076000000000001</c:v>
                </c:pt>
                <c:pt idx="128">
                  <c:v>1.3005</c:v>
                </c:pt>
                <c:pt idx="129">
                  <c:v>1.2948</c:v>
                </c:pt>
                <c:pt idx="130">
                  <c:v>1.2928999999999999</c:v>
                </c:pt>
                <c:pt idx="131">
                  <c:v>1.2968999999999999</c:v>
                </c:pt>
                <c:pt idx="132">
                  <c:v>1.3004</c:v>
                </c:pt>
                <c:pt idx="133">
                  <c:v>1.2937000000000001</c:v>
                </c:pt>
                <c:pt idx="134">
                  <c:v>1.2790999999999999</c:v>
                </c:pt>
                <c:pt idx="135">
                  <c:v>1.2830999999999999</c:v>
                </c:pt>
                <c:pt idx="136">
                  <c:v>1.2912999999999999</c:v>
                </c:pt>
                <c:pt idx="137">
                  <c:v>1.3016000000000001</c:v>
                </c:pt>
                <c:pt idx="138">
                  <c:v>1.3066</c:v>
                </c:pt>
                <c:pt idx="139">
                  <c:v>1.31</c:v>
                </c:pt>
                <c:pt idx="140">
                  <c:v>1.3069999999999999</c:v>
                </c:pt>
                <c:pt idx="141">
                  <c:v>1.3031999999999999</c:v>
                </c:pt>
                <c:pt idx="142">
                  <c:v>1.3231999999999999</c:v>
                </c:pt>
                <c:pt idx="143">
                  <c:v>1.3263</c:v>
                </c:pt>
                <c:pt idx="144">
                  <c:v>1.3293999999999999</c:v>
                </c:pt>
                <c:pt idx="145">
                  <c:v>1.3273999999999999</c:v>
                </c:pt>
                <c:pt idx="146">
                  <c:v>1.3252999999999999</c:v>
                </c:pt>
                <c:pt idx="147">
                  <c:v>1.3182</c:v>
                </c:pt>
                <c:pt idx="148">
                  <c:v>1.3293999999999999</c:v>
                </c:pt>
                <c:pt idx="149">
                  <c:v>1.3310999999999999</c:v>
                </c:pt>
                <c:pt idx="150">
                  <c:v>1.3297000000000001</c:v>
                </c:pt>
                <c:pt idx="151">
                  <c:v>1.3212999999999999</c:v>
                </c:pt>
                <c:pt idx="152">
                  <c:v>1.3126</c:v>
                </c:pt>
                <c:pt idx="153">
                  <c:v>1.3147</c:v>
                </c:pt>
                <c:pt idx="154">
                  <c:v>1.3123</c:v>
                </c:pt>
                <c:pt idx="155">
                  <c:v>1.3149999999999999</c:v>
                </c:pt>
                <c:pt idx="156">
                  <c:v>1.3248</c:v>
                </c:pt>
                <c:pt idx="157">
                  <c:v>1.3136000000000001</c:v>
                </c:pt>
                <c:pt idx="158">
                  <c:v>1.3008</c:v>
                </c:pt>
                <c:pt idx="159">
                  <c:v>1.2908999999999999</c:v>
                </c:pt>
                <c:pt idx="160">
                  <c:v>1.2722</c:v>
                </c:pt>
                <c:pt idx="161">
                  <c:v>1.2947</c:v>
                </c:pt>
                <c:pt idx="162">
                  <c:v>1.2897000000000001</c:v>
                </c:pt>
                <c:pt idx="163">
                  <c:v>1.2859</c:v>
                </c:pt>
                <c:pt idx="164">
                  <c:v>1.2865</c:v>
                </c:pt>
                <c:pt idx="165">
                  <c:v>1.3010999999999999</c:v>
                </c:pt>
                <c:pt idx="166">
                  <c:v>1.2895000000000001</c:v>
                </c:pt>
                <c:pt idx="167">
                  <c:v>1.2836000000000001</c:v>
                </c:pt>
                <c:pt idx="168">
                  <c:v>1.2652000000000001</c:v>
                </c:pt>
                <c:pt idx="169">
                  <c:v>1.2776000000000001</c:v>
                </c:pt>
                <c:pt idx="170">
                  <c:v>1.2845</c:v>
                </c:pt>
                <c:pt idx="171">
                  <c:v>1.2929999999999999</c:v>
                </c:pt>
                <c:pt idx="172">
                  <c:v>1.2879</c:v>
                </c:pt>
                <c:pt idx="173">
                  <c:v>1.2748999999999999</c:v>
                </c:pt>
                <c:pt idx="174">
                  <c:v>1.2451000000000001</c:v>
                </c:pt>
                <c:pt idx="175">
                  <c:v>1.2484</c:v>
                </c:pt>
                <c:pt idx="176">
                  <c:v>1.2421</c:v>
                </c:pt>
                <c:pt idx="177">
                  <c:v>1.2386999999999999</c:v>
                </c:pt>
                <c:pt idx="178">
                  <c:v>1.2358</c:v>
                </c:pt>
                <c:pt idx="179">
                  <c:v>1.2374000000000001</c:v>
                </c:pt>
                <c:pt idx="180">
                  <c:v>1.242</c:v>
                </c:pt>
                <c:pt idx="181">
                  <c:v>1.2524</c:v>
                </c:pt>
                <c:pt idx="182">
                  <c:v>1.2545999999999999</c:v>
                </c:pt>
                <c:pt idx="183">
                  <c:v>1.2625</c:v>
                </c:pt>
                <c:pt idx="184">
                  <c:v>1.2563</c:v>
                </c:pt>
                <c:pt idx="185">
                  <c:v>1.2597</c:v>
                </c:pt>
                <c:pt idx="186">
                  <c:v>1.2753000000000001</c:v>
                </c:pt>
                <c:pt idx="187">
                  <c:v>1.2789999999999999</c:v>
                </c:pt>
                <c:pt idx="188">
                  <c:v>1.2823</c:v>
                </c:pt>
                <c:pt idx="189">
                  <c:v>1.2844</c:v>
                </c:pt>
                <c:pt idx="190">
                  <c:v>1.2766</c:v>
                </c:pt>
                <c:pt idx="191">
                  <c:v>1.2785</c:v>
                </c:pt>
                <c:pt idx="192">
                  <c:v>1.2867</c:v>
                </c:pt>
                <c:pt idx="193">
                  <c:v>1.2927</c:v>
                </c:pt>
                <c:pt idx="194">
                  <c:v>1.2969999999999999</c:v>
                </c:pt>
                <c:pt idx="195">
                  <c:v>1.298</c:v>
                </c:pt>
                <c:pt idx="196">
                  <c:v>1.2922</c:v>
                </c:pt>
                <c:pt idx="197">
                  <c:v>1.2867999999999999</c:v>
                </c:pt>
                <c:pt idx="198">
                  <c:v>1.2846</c:v>
                </c:pt>
                <c:pt idx="199">
                  <c:v>1.2841</c:v>
                </c:pt>
                <c:pt idx="200">
                  <c:v>1.2807999999999999</c:v>
                </c:pt>
                <c:pt idx="201">
                  <c:v>1.2774000000000001</c:v>
                </c:pt>
                <c:pt idx="202">
                  <c:v>1.2741</c:v>
                </c:pt>
                <c:pt idx="203">
                  <c:v>1.2858000000000001</c:v>
                </c:pt>
                <c:pt idx="204">
                  <c:v>1.2926</c:v>
                </c:pt>
                <c:pt idx="205">
                  <c:v>1.2934000000000001</c:v>
                </c:pt>
                <c:pt idx="206">
                  <c:v>1.2942</c:v>
                </c:pt>
                <c:pt idx="207">
                  <c:v>1.3028</c:v>
                </c:pt>
                <c:pt idx="208">
                  <c:v>1.3033999999999999</c:v>
                </c:pt>
                <c:pt idx="209">
                  <c:v>1.3141</c:v>
                </c:pt>
                <c:pt idx="210">
                  <c:v>1.3154999999999999</c:v>
                </c:pt>
                <c:pt idx="211">
                  <c:v>1.3148</c:v>
                </c:pt>
                <c:pt idx="212">
                  <c:v>1.3106</c:v>
                </c:pt>
                <c:pt idx="213">
                  <c:v>1.3047</c:v>
                </c:pt>
                <c:pt idx="214">
                  <c:v>1.3148</c:v>
                </c:pt>
                <c:pt idx="215">
                  <c:v>1.3157000000000001</c:v>
                </c:pt>
                <c:pt idx="216">
                  <c:v>1.3236000000000001</c:v>
                </c:pt>
                <c:pt idx="217">
                  <c:v>1.3241000000000001</c:v>
                </c:pt>
                <c:pt idx="218">
                  <c:v>1.3084</c:v>
                </c:pt>
                <c:pt idx="219">
                  <c:v>1.3028</c:v>
                </c:pt>
                <c:pt idx="220">
                  <c:v>1.3030999999999999</c:v>
                </c:pt>
                <c:pt idx="221">
                  <c:v>1.3063</c:v>
                </c:pt>
                <c:pt idx="222">
                  <c:v>1.3069999999999999</c:v>
                </c:pt>
                <c:pt idx="223">
                  <c:v>1.3249</c:v>
                </c:pt>
                <c:pt idx="224">
                  <c:v>1.3178000000000001</c:v>
                </c:pt>
                <c:pt idx="225">
                  <c:v>1.3231999999999999</c:v>
                </c:pt>
                <c:pt idx="226">
                  <c:v>1.3172999999999999</c:v>
                </c:pt>
                <c:pt idx="227">
                  <c:v>1.3072999999999999</c:v>
                </c:pt>
                <c:pt idx="228">
                  <c:v>1.2968</c:v>
                </c:pt>
                <c:pt idx="229">
                  <c:v>1.2947</c:v>
                </c:pt>
                <c:pt idx="230">
                  <c:v>1.2962</c:v>
                </c:pt>
                <c:pt idx="231">
                  <c:v>1.2883</c:v>
                </c:pt>
                <c:pt idx="232">
                  <c:v>1.2882</c:v>
                </c:pt>
                <c:pt idx="233">
                  <c:v>1.2841</c:v>
                </c:pt>
                <c:pt idx="234">
                  <c:v>1.2859</c:v>
                </c:pt>
                <c:pt idx="235">
                  <c:v>1.2924</c:v>
                </c:pt>
                <c:pt idx="236">
                  <c:v>1.3041</c:v>
                </c:pt>
                <c:pt idx="237">
                  <c:v>1.3145</c:v>
                </c:pt>
                <c:pt idx="238">
                  <c:v>1.3226</c:v>
                </c:pt>
                <c:pt idx="239">
                  <c:v>1.3232999999999999</c:v>
                </c:pt>
                <c:pt idx="240">
                  <c:v>1.3107</c:v>
                </c:pt>
                <c:pt idx="241">
                  <c:v>1.3105</c:v>
                </c:pt>
                <c:pt idx="242">
                  <c:v>1.3119000000000001</c:v>
                </c:pt>
                <c:pt idx="243">
                  <c:v>1.3204</c:v>
                </c:pt>
                <c:pt idx="244">
                  <c:v>1.3144</c:v>
                </c:pt>
                <c:pt idx="245">
                  <c:v>1.3178000000000001</c:v>
                </c:pt>
                <c:pt idx="246">
                  <c:v>1.3144</c:v>
                </c:pt>
                <c:pt idx="247">
                  <c:v>1.3193999999999999</c:v>
                </c:pt>
                <c:pt idx="248">
                  <c:v>1.3246</c:v>
                </c:pt>
                <c:pt idx="249">
                  <c:v>1.3205</c:v>
                </c:pt>
                <c:pt idx="250">
                  <c:v>1.3193999999999999</c:v>
                </c:pt>
                <c:pt idx="251">
                  <c:v>1.3184</c:v>
                </c:pt>
                <c:pt idx="252">
                  <c:v>1.3246</c:v>
                </c:pt>
                <c:pt idx="253">
                  <c:v>1.3268</c:v>
                </c:pt>
                <c:pt idx="254">
                  <c:v>1.3093999999999999</c:v>
                </c:pt>
                <c:pt idx="255">
                  <c:v>1.2997000000000001</c:v>
                </c:pt>
                <c:pt idx="256">
                  <c:v>1.2926</c:v>
                </c:pt>
                <c:pt idx="257">
                  <c:v>1.2989999999999999</c:v>
                </c:pt>
                <c:pt idx="258">
                  <c:v>1.3042</c:v>
                </c:pt>
                <c:pt idx="259">
                  <c:v>1.2995000000000001</c:v>
                </c:pt>
                <c:pt idx="260">
                  <c:v>1.3008</c:v>
                </c:pt>
                <c:pt idx="261">
                  <c:v>1.3149</c:v>
                </c:pt>
                <c:pt idx="262">
                  <c:v>1.3163</c:v>
                </c:pt>
                <c:pt idx="263">
                  <c:v>1.3177000000000001</c:v>
                </c:pt>
                <c:pt idx="264">
                  <c:v>1.3271999999999999</c:v>
                </c:pt>
                <c:pt idx="265">
                  <c:v>1.3309</c:v>
                </c:pt>
                <c:pt idx="266">
                  <c:v>1.3387</c:v>
                </c:pt>
                <c:pt idx="267">
                  <c:v>1.3531</c:v>
                </c:pt>
                <c:pt idx="268">
                  <c:v>1.3644000000000001</c:v>
                </c:pt>
                <c:pt idx="269">
                  <c:v>1.3484</c:v>
                </c:pt>
                <c:pt idx="270">
                  <c:v>1.3359000000000001</c:v>
                </c:pt>
                <c:pt idx="271">
                  <c:v>1.3392999999999999</c:v>
                </c:pt>
                <c:pt idx="272">
                  <c:v>1.3303</c:v>
                </c:pt>
                <c:pt idx="273">
                  <c:v>1.3312999999999999</c:v>
                </c:pt>
                <c:pt idx="274">
                  <c:v>1.3595999999999999</c:v>
                </c:pt>
                <c:pt idx="275">
                  <c:v>1.3634999999999999</c:v>
                </c:pt>
                <c:pt idx="276">
                  <c:v>1.3532</c:v>
                </c:pt>
                <c:pt idx="277">
                  <c:v>1.3474999999999999</c:v>
                </c:pt>
                <c:pt idx="278">
                  <c:v>1.3447</c:v>
                </c:pt>
                <c:pt idx="279">
                  <c:v>1.3517999999999999</c:v>
                </c:pt>
                <c:pt idx="280">
                  <c:v>1.3469</c:v>
                </c:pt>
                <c:pt idx="281">
                  <c:v>1.3403</c:v>
                </c:pt>
                <c:pt idx="282">
                  <c:v>1.3460000000000001</c:v>
                </c:pt>
                <c:pt idx="283">
                  <c:v>1.3305</c:v>
                </c:pt>
                <c:pt idx="284">
                  <c:v>1.3436999999999999</c:v>
                </c:pt>
                <c:pt idx="285">
                  <c:v>1.3359000000000001</c:v>
                </c:pt>
                <c:pt idx="286">
                  <c:v>1.3266</c:v>
                </c:pt>
                <c:pt idx="287">
                  <c:v>1.3298000000000001</c:v>
                </c:pt>
                <c:pt idx="288">
                  <c:v>1.3347</c:v>
                </c:pt>
                <c:pt idx="289">
                  <c:v>1.3442000000000001</c:v>
                </c:pt>
                <c:pt idx="290">
                  <c:v>1.3245</c:v>
                </c:pt>
                <c:pt idx="291">
                  <c:v>1.325</c:v>
                </c:pt>
                <c:pt idx="292">
                  <c:v>1.3381000000000001</c:v>
                </c:pt>
                <c:pt idx="293">
                  <c:v>1.3472999999999999</c:v>
                </c:pt>
                <c:pt idx="294">
                  <c:v>1.3328</c:v>
                </c:pt>
                <c:pt idx="295">
                  <c:v>1.3244</c:v>
                </c:pt>
                <c:pt idx="296">
                  <c:v>1.3259000000000001</c:v>
                </c:pt>
                <c:pt idx="297">
                  <c:v>1.3374999999999999</c:v>
                </c:pt>
                <c:pt idx="298">
                  <c:v>1.3403</c:v>
                </c:pt>
                <c:pt idx="299">
                  <c:v>1.3368</c:v>
                </c:pt>
                <c:pt idx="300">
                  <c:v>1.3386</c:v>
                </c:pt>
                <c:pt idx="301">
                  <c:v>1.3177000000000001</c:v>
                </c:pt>
                <c:pt idx="302">
                  <c:v>1.2964</c:v>
                </c:pt>
                <c:pt idx="303">
                  <c:v>1.3011999999999999</c:v>
                </c:pt>
                <c:pt idx="304">
                  <c:v>1.2954000000000001</c:v>
                </c:pt>
                <c:pt idx="305">
                  <c:v>1.2874000000000001</c:v>
                </c:pt>
                <c:pt idx="306">
                  <c:v>1.2858000000000001</c:v>
                </c:pt>
                <c:pt idx="307">
                  <c:v>1.29</c:v>
                </c:pt>
                <c:pt idx="308">
                  <c:v>1.2928999999999999</c:v>
                </c:pt>
                <c:pt idx="309">
                  <c:v>1.3001</c:v>
                </c:pt>
                <c:pt idx="310">
                  <c:v>1.3015000000000001</c:v>
                </c:pt>
                <c:pt idx="311">
                  <c:v>1.3218000000000001</c:v>
                </c:pt>
                <c:pt idx="312">
                  <c:v>1.3324</c:v>
                </c:pt>
                <c:pt idx="313">
                  <c:v>1.3440000000000001</c:v>
                </c:pt>
                <c:pt idx="314">
                  <c:v>1.3363</c:v>
                </c:pt>
                <c:pt idx="315">
                  <c:v>1.3286</c:v>
                </c:pt>
                <c:pt idx="316">
                  <c:v>1.3360000000000001</c:v>
                </c:pt>
                <c:pt idx="317">
                  <c:v>1.3409</c:v>
                </c:pt>
                <c:pt idx="318">
                  <c:v>1.3402000000000001</c:v>
                </c:pt>
                <c:pt idx="319">
                  <c:v>1.3337000000000001</c:v>
                </c:pt>
                <c:pt idx="320">
                  <c:v>1.3452</c:v>
                </c:pt>
                <c:pt idx="321">
                  <c:v>1.3380000000000001</c:v>
                </c:pt>
                <c:pt idx="322">
                  <c:v>1.3345</c:v>
                </c:pt>
                <c:pt idx="323">
                  <c:v>1.3412999999999999</c:v>
                </c:pt>
                <c:pt idx="324">
                  <c:v>1.3232999999999999</c:v>
                </c:pt>
                <c:pt idx="325">
                  <c:v>1.3183</c:v>
                </c:pt>
                <c:pt idx="326">
                  <c:v>1.3303</c:v>
                </c:pt>
                <c:pt idx="327">
                  <c:v>1.3404</c:v>
                </c:pt>
                <c:pt idx="328">
                  <c:v>1.3250999999999999</c:v>
                </c:pt>
                <c:pt idx="329">
                  <c:v>1.3411</c:v>
                </c:pt>
                <c:pt idx="330">
                  <c:v>1.3284</c:v>
                </c:pt>
                <c:pt idx="331">
                  <c:v>1.3411</c:v>
                </c:pt>
                <c:pt idx="332">
                  <c:v>1.33</c:v>
                </c:pt>
                <c:pt idx="333">
                  <c:v>1.3199000000000001</c:v>
                </c:pt>
                <c:pt idx="334">
                  <c:v>1.3280000000000001</c:v>
                </c:pt>
                <c:pt idx="335">
                  <c:v>1.3284</c:v>
                </c:pt>
                <c:pt idx="336">
                  <c:v>1.3318000000000001</c:v>
                </c:pt>
                <c:pt idx="337">
                  <c:v>1.3363</c:v>
                </c:pt>
                <c:pt idx="338">
                  <c:v>1.3474999999999999</c:v>
                </c:pt>
                <c:pt idx="339">
                  <c:v>1.3501000000000001</c:v>
                </c:pt>
                <c:pt idx="340">
                  <c:v>1.3409</c:v>
                </c:pt>
                <c:pt idx="341">
                  <c:v>1.3496999999999999</c:v>
                </c:pt>
                <c:pt idx="342">
                  <c:v>1.3534999999999999</c:v>
                </c:pt>
                <c:pt idx="343">
                  <c:v>1.3584000000000001</c:v>
                </c:pt>
                <c:pt idx="344">
                  <c:v>1.3485</c:v>
                </c:pt>
                <c:pt idx="345">
                  <c:v>1.3482000000000001</c:v>
                </c:pt>
                <c:pt idx="346">
                  <c:v>1.3486</c:v>
                </c:pt>
                <c:pt idx="347">
                  <c:v>1.3319000000000001</c:v>
                </c:pt>
                <c:pt idx="348">
                  <c:v>1.3403</c:v>
                </c:pt>
                <c:pt idx="349">
                  <c:v>1.3513999999999999</c:v>
                </c:pt>
                <c:pt idx="350">
                  <c:v>1.3465</c:v>
                </c:pt>
                <c:pt idx="351">
                  <c:v>1.3478000000000001</c:v>
                </c:pt>
                <c:pt idx="352">
                  <c:v>1.3596999999999999</c:v>
                </c:pt>
                <c:pt idx="353">
                  <c:v>1.3580000000000001</c:v>
                </c:pt>
                <c:pt idx="354">
                  <c:v>1.3667</c:v>
                </c:pt>
                <c:pt idx="355">
                  <c:v>1.3683000000000001</c:v>
                </c:pt>
                <c:pt idx="356">
                  <c:v>1.3686</c:v>
                </c:pt>
                <c:pt idx="357">
                  <c:v>1.377</c:v>
                </c:pt>
                <c:pt idx="358">
                  <c:v>1.383</c:v>
                </c:pt>
                <c:pt idx="359">
                  <c:v>1.385</c:v>
                </c:pt>
                <c:pt idx="360">
                  <c:v>1.3834</c:v>
                </c:pt>
                <c:pt idx="361">
                  <c:v>1.3868</c:v>
                </c:pt>
                <c:pt idx="362">
                  <c:v>1.4149</c:v>
                </c:pt>
                <c:pt idx="363">
                  <c:v>1.4166000000000001</c:v>
                </c:pt>
                <c:pt idx="364">
                  <c:v>1.4419</c:v>
                </c:pt>
                <c:pt idx="365">
                  <c:v>1.4537</c:v>
                </c:pt>
                <c:pt idx="366">
                  <c:v>1.4537</c:v>
                </c:pt>
                <c:pt idx="367">
                  <c:v>1.4503999999999999</c:v>
                </c:pt>
                <c:pt idx="368">
                  <c:v>1.4459</c:v>
                </c:pt>
                <c:pt idx="369">
                  <c:v>1.4478</c:v>
                </c:pt>
              </c:numCache>
            </c:numRef>
          </c:val>
          <c:smooth val="0"/>
          <c:extLst>
            <c:ext xmlns:c16="http://schemas.microsoft.com/office/drawing/2014/chart" uri="{C3380CC4-5D6E-409C-BE32-E72D297353CC}">
              <c16:uniqueId val="{00000000-7B92-4033-B5AF-8C0AB60018B6}"/>
            </c:ext>
          </c:extLst>
        </c:ser>
        <c:dLbls>
          <c:showLegendKey val="0"/>
          <c:showVal val="0"/>
          <c:showCatName val="0"/>
          <c:showSerName val="0"/>
          <c:showPercent val="0"/>
          <c:showBubbleSize val="0"/>
        </c:dLbls>
        <c:smooth val="0"/>
        <c:axId val="-490982512"/>
        <c:axId val="-490965104"/>
      </c:lineChart>
      <c:catAx>
        <c:axId val="-490982512"/>
        <c:scaling>
          <c:orientation val="minMax"/>
        </c:scaling>
        <c:delete val="0"/>
        <c:axPos val="b"/>
        <c:numFmt formatCode="m/d/yy" sourceLinked="1"/>
        <c:majorTickMark val="none"/>
        <c:minorTickMark val="none"/>
        <c:tickLblPos val="nextTo"/>
        <c:crossAx val="-490965104"/>
        <c:crosses val="autoZero"/>
        <c:auto val="0"/>
        <c:lblAlgn val="ctr"/>
        <c:lblOffset val="100"/>
        <c:noMultiLvlLbl val="1"/>
      </c:catAx>
      <c:valAx>
        <c:axId val="-490965104"/>
        <c:scaling>
          <c:orientation val="minMax"/>
          <c:min val="0.95000000000000007"/>
        </c:scaling>
        <c:delete val="0"/>
        <c:axPos val="l"/>
        <c:majorGridlines/>
        <c:numFmt formatCode="0.0000_ " sourceLinked="1"/>
        <c:majorTickMark val="none"/>
        <c:minorTickMark val="none"/>
        <c:tickLblPos val="nextTo"/>
        <c:spPr>
          <a:ln w="9525">
            <a:noFill/>
          </a:ln>
        </c:spPr>
        <c:crossAx val="-490982512"/>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纯享</a:t>
            </a:r>
            <a:r>
              <a:rPr lang="en-US" altLang="zh-CN" sz="1600"/>
              <a:t>CTA</a:t>
            </a:r>
            <a:r>
              <a:rPr lang="zh-CN" altLang="en-US" sz="1600"/>
              <a:t>三期</a:t>
            </a:r>
            <a:endParaRPr lang="en-US" altLang="zh-CN" sz="1600"/>
          </a:p>
        </c:rich>
      </c:tx>
      <c:overlay val="0"/>
    </c:title>
    <c:autoTitleDeleted val="0"/>
    <c:plotArea>
      <c:layout/>
      <c:lineChart>
        <c:grouping val="standard"/>
        <c:varyColors val="0"/>
        <c:ser>
          <c:idx val="0"/>
          <c:order val="0"/>
          <c:tx>
            <c:strRef>
              <c:f>纯享CTA三期!$B$20</c:f>
              <c:strCache>
                <c:ptCount val="1"/>
                <c:pt idx="0">
                  <c:v>累计净值</c:v>
                </c:pt>
              </c:strCache>
            </c:strRef>
          </c:tx>
          <c:marker>
            <c:symbol val="none"/>
          </c:marker>
          <c:cat>
            <c:numRef>
              <c:f>纯享CTA三期!$A$21:$A$371</c:f>
              <c:numCache>
                <c:formatCode>m/d/yy</c:formatCode>
                <c:ptCount val="351"/>
                <c:pt idx="0">
                  <c:v>43801</c:v>
                </c:pt>
                <c:pt idx="1">
                  <c:v>43802</c:v>
                </c:pt>
                <c:pt idx="2">
                  <c:v>43803</c:v>
                </c:pt>
                <c:pt idx="3">
                  <c:v>43804</c:v>
                </c:pt>
                <c:pt idx="4">
                  <c:v>43805</c:v>
                </c:pt>
                <c:pt idx="5">
                  <c:v>43808</c:v>
                </c:pt>
                <c:pt idx="6">
                  <c:v>43809</c:v>
                </c:pt>
                <c:pt idx="7">
                  <c:v>43810</c:v>
                </c:pt>
                <c:pt idx="8">
                  <c:v>43811</c:v>
                </c:pt>
                <c:pt idx="9">
                  <c:v>43812</c:v>
                </c:pt>
                <c:pt idx="10">
                  <c:v>43815</c:v>
                </c:pt>
                <c:pt idx="11">
                  <c:v>43816</c:v>
                </c:pt>
                <c:pt idx="12">
                  <c:v>43817</c:v>
                </c:pt>
                <c:pt idx="13">
                  <c:v>43818</c:v>
                </c:pt>
                <c:pt idx="14">
                  <c:v>43819</c:v>
                </c:pt>
                <c:pt idx="15">
                  <c:v>43822</c:v>
                </c:pt>
                <c:pt idx="16">
                  <c:v>43823</c:v>
                </c:pt>
                <c:pt idx="17">
                  <c:v>43824</c:v>
                </c:pt>
                <c:pt idx="18">
                  <c:v>43825</c:v>
                </c:pt>
                <c:pt idx="19">
                  <c:v>43826</c:v>
                </c:pt>
                <c:pt idx="20">
                  <c:v>43829</c:v>
                </c:pt>
                <c:pt idx="21">
                  <c:v>43830</c:v>
                </c:pt>
                <c:pt idx="22">
                  <c:v>43832</c:v>
                </c:pt>
                <c:pt idx="23">
                  <c:v>43833</c:v>
                </c:pt>
                <c:pt idx="24">
                  <c:v>43836</c:v>
                </c:pt>
                <c:pt idx="25">
                  <c:v>43837</c:v>
                </c:pt>
                <c:pt idx="26">
                  <c:v>43838</c:v>
                </c:pt>
                <c:pt idx="27">
                  <c:v>43839</c:v>
                </c:pt>
                <c:pt idx="28">
                  <c:v>43840</c:v>
                </c:pt>
                <c:pt idx="29">
                  <c:v>43843</c:v>
                </c:pt>
                <c:pt idx="30">
                  <c:v>43844</c:v>
                </c:pt>
                <c:pt idx="31">
                  <c:v>43845</c:v>
                </c:pt>
                <c:pt idx="32">
                  <c:v>43846</c:v>
                </c:pt>
                <c:pt idx="33">
                  <c:v>43847</c:v>
                </c:pt>
                <c:pt idx="34">
                  <c:v>43850</c:v>
                </c:pt>
                <c:pt idx="35">
                  <c:v>43851</c:v>
                </c:pt>
                <c:pt idx="36">
                  <c:v>43852</c:v>
                </c:pt>
                <c:pt idx="37">
                  <c:v>43853</c:v>
                </c:pt>
                <c:pt idx="38">
                  <c:v>43864</c:v>
                </c:pt>
                <c:pt idx="39">
                  <c:v>43865</c:v>
                </c:pt>
                <c:pt idx="40">
                  <c:v>43866</c:v>
                </c:pt>
                <c:pt idx="41">
                  <c:v>43867</c:v>
                </c:pt>
                <c:pt idx="42">
                  <c:v>43868</c:v>
                </c:pt>
                <c:pt idx="43">
                  <c:v>43871</c:v>
                </c:pt>
                <c:pt idx="44">
                  <c:v>43872</c:v>
                </c:pt>
                <c:pt idx="45">
                  <c:v>43873</c:v>
                </c:pt>
                <c:pt idx="46">
                  <c:v>43874</c:v>
                </c:pt>
                <c:pt idx="47">
                  <c:v>43875</c:v>
                </c:pt>
                <c:pt idx="48">
                  <c:v>43878</c:v>
                </c:pt>
                <c:pt idx="49">
                  <c:v>43879</c:v>
                </c:pt>
                <c:pt idx="50">
                  <c:v>43880</c:v>
                </c:pt>
                <c:pt idx="51">
                  <c:v>43881</c:v>
                </c:pt>
                <c:pt idx="52">
                  <c:v>43882</c:v>
                </c:pt>
                <c:pt idx="53">
                  <c:v>43885</c:v>
                </c:pt>
                <c:pt idx="54">
                  <c:v>43886</c:v>
                </c:pt>
                <c:pt idx="55">
                  <c:v>43887</c:v>
                </c:pt>
                <c:pt idx="56">
                  <c:v>43888</c:v>
                </c:pt>
                <c:pt idx="57">
                  <c:v>43889</c:v>
                </c:pt>
                <c:pt idx="58">
                  <c:v>43892</c:v>
                </c:pt>
                <c:pt idx="59">
                  <c:v>43893</c:v>
                </c:pt>
                <c:pt idx="60">
                  <c:v>43894</c:v>
                </c:pt>
                <c:pt idx="61">
                  <c:v>43895</c:v>
                </c:pt>
                <c:pt idx="62">
                  <c:v>43896</c:v>
                </c:pt>
                <c:pt idx="63">
                  <c:v>43899</c:v>
                </c:pt>
                <c:pt idx="64">
                  <c:v>43900</c:v>
                </c:pt>
                <c:pt idx="65">
                  <c:v>43901</c:v>
                </c:pt>
                <c:pt idx="66">
                  <c:v>43902</c:v>
                </c:pt>
                <c:pt idx="67">
                  <c:v>43903</c:v>
                </c:pt>
                <c:pt idx="68">
                  <c:v>43906</c:v>
                </c:pt>
                <c:pt idx="69">
                  <c:v>43907</c:v>
                </c:pt>
                <c:pt idx="70">
                  <c:v>43908</c:v>
                </c:pt>
                <c:pt idx="71">
                  <c:v>43909</c:v>
                </c:pt>
                <c:pt idx="72">
                  <c:v>43910</c:v>
                </c:pt>
                <c:pt idx="73">
                  <c:v>43913</c:v>
                </c:pt>
                <c:pt idx="74">
                  <c:v>43914</c:v>
                </c:pt>
                <c:pt idx="75">
                  <c:v>43915</c:v>
                </c:pt>
                <c:pt idx="76">
                  <c:v>43916</c:v>
                </c:pt>
                <c:pt idx="77">
                  <c:v>43917</c:v>
                </c:pt>
                <c:pt idx="78">
                  <c:v>43920</c:v>
                </c:pt>
                <c:pt idx="79">
                  <c:v>43921</c:v>
                </c:pt>
                <c:pt idx="80">
                  <c:v>43922</c:v>
                </c:pt>
                <c:pt idx="81">
                  <c:v>43923</c:v>
                </c:pt>
                <c:pt idx="82">
                  <c:v>43924</c:v>
                </c:pt>
                <c:pt idx="83">
                  <c:v>43928</c:v>
                </c:pt>
                <c:pt idx="84">
                  <c:v>43929</c:v>
                </c:pt>
                <c:pt idx="85">
                  <c:v>43930</c:v>
                </c:pt>
                <c:pt idx="86">
                  <c:v>43931</c:v>
                </c:pt>
                <c:pt idx="87">
                  <c:v>43934</c:v>
                </c:pt>
                <c:pt idx="88">
                  <c:v>43935</c:v>
                </c:pt>
                <c:pt idx="89">
                  <c:v>43936</c:v>
                </c:pt>
                <c:pt idx="90">
                  <c:v>43937</c:v>
                </c:pt>
                <c:pt idx="91">
                  <c:v>43938</c:v>
                </c:pt>
                <c:pt idx="92">
                  <c:v>43941</c:v>
                </c:pt>
                <c:pt idx="93">
                  <c:v>43942</c:v>
                </c:pt>
                <c:pt idx="94">
                  <c:v>43943</c:v>
                </c:pt>
                <c:pt idx="95">
                  <c:v>43944</c:v>
                </c:pt>
                <c:pt idx="96">
                  <c:v>43945</c:v>
                </c:pt>
                <c:pt idx="97">
                  <c:v>43948</c:v>
                </c:pt>
                <c:pt idx="98">
                  <c:v>43949</c:v>
                </c:pt>
                <c:pt idx="99">
                  <c:v>43950</c:v>
                </c:pt>
                <c:pt idx="100">
                  <c:v>43951</c:v>
                </c:pt>
                <c:pt idx="101">
                  <c:v>43957</c:v>
                </c:pt>
                <c:pt idx="102">
                  <c:v>43958</c:v>
                </c:pt>
                <c:pt idx="103">
                  <c:v>43959</c:v>
                </c:pt>
                <c:pt idx="104">
                  <c:v>43962</c:v>
                </c:pt>
                <c:pt idx="105">
                  <c:v>43963</c:v>
                </c:pt>
                <c:pt idx="106">
                  <c:v>43964</c:v>
                </c:pt>
                <c:pt idx="107">
                  <c:v>43965</c:v>
                </c:pt>
                <c:pt idx="108">
                  <c:v>43966</c:v>
                </c:pt>
                <c:pt idx="109">
                  <c:v>43969</c:v>
                </c:pt>
                <c:pt idx="110">
                  <c:v>43970</c:v>
                </c:pt>
                <c:pt idx="111">
                  <c:v>43971</c:v>
                </c:pt>
                <c:pt idx="112">
                  <c:v>43972</c:v>
                </c:pt>
                <c:pt idx="113">
                  <c:v>43973</c:v>
                </c:pt>
                <c:pt idx="114">
                  <c:v>43976</c:v>
                </c:pt>
                <c:pt idx="115">
                  <c:v>43977</c:v>
                </c:pt>
                <c:pt idx="116">
                  <c:v>43978</c:v>
                </c:pt>
                <c:pt idx="117">
                  <c:v>43979</c:v>
                </c:pt>
                <c:pt idx="118">
                  <c:v>43980</c:v>
                </c:pt>
                <c:pt idx="119">
                  <c:v>43983</c:v>
                </c:pt>
                <c:pt idx="120">
                  <c:v>43984</c:v>
                </c:pt>
                <c:pt idx="121">
                  <c:v>43985</c:v>
                </c:pt>
                <c:pt idx="122">
                  <c:v>43986</c:v>
                </c:pt>
                <c:pt idx="123">
                  <c:v>43987</c:v>
                </c:pt>
                <c:pt idx="124">
                  <c:v>43990</c:v>
                </c:pt>
                <c:pt idx="125">
                  <c:v>43991</c:v>
                </c:pt>
                <c:pt idx="126">
                  <c:v>43992</c:v>
                </c:pt>
                <c:pt idx="127">
                  <c:v>43993</c:v>
                </c:pt>
                <c:pt idx="128">
                  <c:v>43994</c:v>
                </c:pt>
                <c:pt idx="129">
                  <c:v>43997</c:v>
                </c:pt>
                <c:pt idx="130">
                  <c:v>43998</c:v>
                </c:pt>
                <c:pt idx="131">
                  <c:v>43999</c:v>
                </c:pt>
                <c:pt idx="132">
                  <c:v>44000</c:v>
                </c:pt>
                <c:pt idx="133">
                  <c:v>44001</c:v>
                </c:pt>
                <c:pt idx="134">
                  <c:v>44004</c:v>
                </c:pt>
                <c:pt idx="135">
                  <c:v>44005</c:v>
                </c:pt>
                <c:pt idx="136">
                  <c:v>44006</c:v>
                </c:pt>
                <c:pt idx="137">
                  <c:v>44011</c:v>
                </c:pt>
                <c:pt idx="138">
                  <c:v>44012</c:v>
                </c:pt>
                <c:pt idx="139">
                  <c:v>44013</c:v>
                </c:pt>
                <c:pt idx="140">
                  <c:v>44014</c:v>
                </c:pt>
                <c:pt idx="141">
                  <c:v>44015</c:v>
                </c:pt>
                <c:pt idx="142">
                  <c:v>44018</c:v>
                </c:pt>
                <c:pt idx="143">
                  <c:v>44019</c:v>
                </c:pt>
                <c:pt idx="144">
                  <c:v>44020</c:v>
                </c:pt>
                <c:pt idx="145">
                  <c:v>44021</c:v>
                </c:pt>
                <c:pt idx="146">
                  <c:v>44022</c:v>
                </c:pt>
                <c:pt idx="147">
                  <c:v>44025</c:v>
                </c:pt>
                <c:pt idx="148">
                  <c:v>44026</c:v>
                </c:pt>
                <c:pt idx="149">
                  <c:v>44027</c:v>
                </c:pt>
                <c:pt idx="150">
                  <c:v>44028</c:v>
                </c:pt>
                <c:pt idx="151">
                  <c:v>44029</c:v>
                </c:pt>
                <c:pt idx="152">
                  <c:v>44032</c:v>
                </c:pt>
                <c:pt idx="153">
                  <c:v>44033</c:v>
                </c:pt>
                <c:pt idx="154">
                  <c:v>44034</c:v>
                </c:pt>
                <c:pt idx="155">
                  <c:v>44035</c:v>
                </c:pt>
                <c:pt idx="156">
                  <c:v>44036</c:v>
                </c:pt>
                <c:pt idx="157">
                  <c:v>44039</c:v>
                </c:pt>
                <c:pt idx="158">
                  <c:v>44040</c:v>
                </c:pt>
                <c:pt idx="159">
                  <c:v>44041</c:v>
                </c:pt>
                <c:pt idx="160">
                  <c:v>44042</c:v>
                </c:pt>
                <c:pt idx="161">
                  <c:v>44043</c:v>
                </c:pt>
                <c:pt idx="162">
                  <c:v>44046</c:v>
                </c:pt>
                <c:pt idx="163">
                  <c:v>44047</c:v>
                </c:pt>
                <c:pt idx="164">
                  <c:v>44048</c:v>
                </c:pt>
                <c:pt idx="165">
                  <c:v>44049</c:v>
                </c:pt>
                <c:pt idx="166">
                  <c:v>44050</c:v>
                </c:pt>
                <c:pt idx="167">
                  <c:v>44053</c:v>
                </c:pt>
                <c:pt idx="168">
                  <c:v>44054</c:v>
                </c:pt>
                <c:pt idx="169">
                  <c:v>44055</c:v>
                </c:pt>
                <c:pt idx="170">
                  <c:v>44056</c:v>
                </c:pt>
                <c:pt idx="171">
                  <c:v>44057</c:v>
                </c:pt>
                <c:pt idx="172">
                  <c:v>44060</c:v>
                </c:pt>
                <c:pt idx="173">
                  <c:v>44061</c:v>
                </c:pt>
                <c:pt idx="174">
                  <c:v>44062</c:v>
                </c:pt>
                <c:pt idx="175">
                  <c:v>44063</c:v>
                </c:pt>
                <c:pt idx="176">
                  <c:v>44064</c:v>
                </c:pt>
                <c:pt idx="177">
                  <c:v>44067</c:v>
                </c:pt>
                <c:pt idx="178">
                  <c:v>44068</c:v>
                </c:pt>
                <c:pt idx="179">
                  <c:v>44069</c:v>
                </c:pt>
                <c:pt idx="180">
                  <c:v>44070</c:v>
                </c:pt>
                <c:pt idx="181">
                  <c:v>44071</c:v>
                </c:pt>
                <c:pt idx="182">
                  <c:v>44074</c:v>
                </c:pt>
                <c:pt idx="183">
                  <c:v>44075</c:v>
                </c:pt>
                <c:pt idx="184">
                  <c:v>44076</c:v>
                </c:pt>
                <c:pt idx="185">
                  <c:v>44077</c:v>
                </c:pt>
                <c:pt idx="186">
                  <c:v>44078</c:v>
                </c:pt>
                <c:pt idx="187">
                  <c:v>44081</c:v>
                </c:pt>
                <c:pt idx="188">
                  <c:v>44082</c:v>
                </c:pt>
                <c:pt idx="189">
                  <c:v>44083</c:v>
                </c:pt>
                <c:pt idx="190">
                  <c:v>44084</c:v>
                </c:pt>
                <c:pt idx="191">
                  <c:v>44085</c:v>
                </c:pt>
                <c:pt idx="192">
                  <c:v>44088</c:v>
                </c:pt>
                <c:pt idx="193">
                  <c:v>44089</c:v>
                </c:pt>
                <c:pt idx="194">
                  <c:v>44090</c:v>
                </c:pt>
                <c:pt idx="195">
                  <c:v>44091</c:v>
                </c:pt>
                <c:pt idx="196">
                  <c:v>44092</c:v>
                </c:pt>
                <c:pt idx="197">
                  <c:v>44095</c:v>
                </c:pt>
                <c:pt idx="198">
                  <c:v>44096</c:v>
                </c:pt>
                <c:pt idx="199">
                  <c:v>44097</c:v>
                </c:pt>
                <c:pt idx="200">
                  <c:v>44098</c:v>
                </c:pt>
                <c:pt idx="201">
                  <c:v>44099</c:v>
                </c:pt>
                <c:pt idx="202">
                  <c:v>44102</c:v>
                </c:pt>
                <c:pt idx="203">
                  <c:v>44103</c:v>
                </c:pt>
                <c:pt idx="204">
                  <c:v>44104</c:v>
                </c:pt>
                <c:pt idx="205">
                  <c:v>44113</c:v>
                </c:pt>
                <c:pt idx="206">
                  <c:v>44116</c:v>
                </c:pt>
                <c:pt idx="207">
                  <c:v>44117</c:v>
                </c:pt>
                <c:pt idx="208">
                  <c:v>44118</c:v>
                </c:pt>
                <c:pt idx="209">
                  <c:v>44119</c:v>
                </c:pt>
                <c:pt idx="210">
                  <c:v>44120</c:v>
                </c:pt>
                <c:pt idx="211">
                  <c:v>44123</c:v>
                </c:pt>
                <c:pt idx="212">
                  <c:v>44124</c:v>
                </c:pt>
                <c:pt idx="213">
                  <c:v>44125</c:v>
                </c:pt>
                <c:pt idx="214">
                  <c:v>44126</c:v>
                </c:pt>
                <c:pt idx="215">
                  <c:v>44127</c:v>
                </c:pt>
                <c:pt idx="216">
                  <c:v>44130</c:v>
                </c:pt>
                <c:pt idx="217">
                  <c:v>44131</c:v>
                </c:pt>
                <c:pt idx="218">
                  <c:v>44132</c:v>
                </c:pt>
                <c:pt idx="219">
                  <c:v>44133</c:v>
                </c:pt>
                <c:pt idx="220">
                  <c:v>44134</c:v>
                </c:pt>
                <c:pt idx="221">
                  <c:v>44137</c:v>
                </c:pt>
                <c:pt idx="222">
                  <c:v>44138</c:v>
                </c:pt>
                <c:pt idx="223">
                  <c:v>44139</c:v>
                </c:pt>
                <c:pt idx="224">
                  <c:v>44140</c:v>
                </c:pt>
                <c:pt idx="225">
                  <c:v>44141</c:v>
                </c:pt>
                <c:pt idx="226">
                  <c:v>44144</c:v>
                </c:pt>
                <c:pt idx="227">
                  <c:v>44145</c:v>
                </c:pt>
                <c:pt idx="228">
                  <c:v>44146</c:v>
                </c:pt>
                <c:pt idx="229">
                  <c:v>44147</c:v>
                </c:pt>
                <c:pt idx="230">
                  <c:v>44148</c:v>
                </c:pt>
                <c:pt idx="231">
                  <c:v>44151</c:v>
                </c:pt>
                <c:pt idx="232">
                  <c:v>44152</c:v>
                </c:pt>
                <c:pt idx="233">
                  <c:v>44153</c:v>
                </c:pt>
                <c:pt idx="234">
                  <c:v>44154</c:v>
                </c:pt>
                <c:pt idx="235">
                  <c:v>44155</c:v>
                </c:pt>
                <c:pt idx="236">
                  <c:v>44158</c:v>
                </c:pt>
                <c:pt idx="237">
                  <c:v>44159</c:v>
                </c:pt>
                <c:pt idx="238">
                  <c:v>44160</c:v>
                </c:pt>
                <c:pt idx="239">
                  <c:v>44161</c:v>
                </c:pt>
                <c:pt idx="240">
                  <c:v>44162</c:v>
                </c:pt>
                <c:pt idx="241">
                  <c:v>44165</c:v>
                </c:pt>
                <c:pt idx="242">
                  <c:v>44166</c:v>
                </c:pt>
                <c:pt idx="243">
                  <c:v>44167</c:v>
                </c:pt>
                <c:pt idx="244">
                  <c:v>44168</c:v>
                </c:pt>
                <c:pt idx="245">
                  <c:v>44169</c:v>
                </c:pt>
                <c:pt idx="246">
                  <c:v>44172</c:v>
                </c:pt>
                <c:pt idx="247">
                  <c:v>44173</c:v>
                </c:pt>
                <c:pt idx="248">
                  <c:v>44174</c:v>
                </c:pt>
                <c:pt idx="249">
                  <c:v>44175</c:v>
                </c:pt>
                <c:pt idx="250">
                  <c:v>44176</c:v>
                </c:pt>
                <c:pt idx="251">
                  <c:v>44179</c:v>
                </c:pt>
                <c:pt idx="252">
                  <c:v>44180</c:v>
                </c:pt>
                <c:pt idx="253">
                  <c:v>44181</c:v>
                </c:pt>
                <c:pt idx="254">
                  <c:v>44182</c:v>
                </c:pt>
                <c:pt idx="255">
                  <c:v>44183</c:v>
                </c:pt>
                <c:pt idx="256">
                  <c:v>44186</c:v>
                </c:pt>
                <c:pt idx="257">
                  <c:v>44187</c:v>
                </c:pt>
                <c:pt idx="258">
                  <c:v>44188</c:v>
                </c:pt>
                <c:pt idx="259">
                  <c:v>44189</c:v>
                </c:pt>
                <c:pt idx="260">
                  <c:v>44190</c:v>
                </c:pt>
                <c:pt idx="261">
                  <c:v>44193</c:v>
                </c:pt>
                <c:pt idx="262">
                  <c:v>44194</c:v>
                </c:pt>
                <c:pt idx="263">
                  <c:v>44195</c:v>
                </c:pt>
                <c:pt idx="264">
                  <c:v>44196</c:v>
                </c:pt>
                <c:pt idx="265">
                  <c:v>44200</c:v>
                </c:pt>
                <c:pt idx="266">
                  <c:v>44201</c:v>
                </c:pt>
                <c:pt idx="267">
                  <c:v>44202</c:v>
                </c:pt>
                <c:pt idx="268">
                  <c:v>44203</c:v>
                </c:pt>
                <c:pt idx="269">
                  <c:v>44204</c:v>
                </c:pt>
                <c:pt idx="270">
                  <c:v>44207</c:v>
                </c:pt>
                <c:pt idx="271">
                  <c:v>44208</c:v>
                </c:pt>
                <c:pt idx="272">
                  <c:v>44209</c:v>
                </c:pt>
                <c:pt idx="273">
                  <c:v>44210</c:v>
                </c:pt>
                <c:pt idx="274">
                  <c:v>44211</c:v>
                </c:pt>
                <c:pt idx="275">
                  <c:v>44214</c:v>
                </c:pt>
                <c:pt idx="276">
                  <c:v>44215</c:v>
                </c:pt>
                <c:pt idx="277">
                  <c:v>44216</c:v>
                </c:pt>
                <c:pt idx="278">
                  <c:v>44217</c:v>
                </c:pt>
                <c:pt idx="279">
                  <c:v>44218</c:v>
                </c:pt>
                <c:pt idx="280">
                  <c:v>44221</c:v>
                </c:pt>
                <c:pt idx="281">
                  <c:v>44222</c:v>
                </c:pt>
                <c:pt idx="282">
                  <c:v>44223</c:v>
                </c:pt>
                <c:pt idx="283">
                  <c:v>44224</c:v>
                </c:pt>
                <c:pt idx="284">
                  <c:v>44225</c:v>
                </c:pt>
                <c:pt idx="285">
                  <c:v>44228</c:v>
                </c:pt>
                <c:pt idx="286">
                  <c:v>44229</c:v>
                </c:pt>
                <c:pt idx="287">
                  <c:v>44230</c:v>
                </c:pt>
                <c:pt idx="288">
                  <c:v>44231</c:v>
                </c:pt>
                <c:pt idx="289">
                  <c:v>44232</c:v>
                </c:pt>
                <c:pt idx="290">
                  <c:v>44235</c:v>
                </c:pt>
                <c:pt idx="291">
                  <c:v>44236</c:v>
                </c:pt>
                <c:pt idx="292">
                  <c:v>44237</c:v>
                </c:pt>
                <c:pt idx="293">
                  <c:v>44245</c:v>
                </c:pt>
                <c:pt idx="294">
                  <c:v>44246</c:v>
                </c:pt>
                <c:pt idx="295">
                  <c:v>44249</c:v>
                </c:pt>
                <c:pt idx="296">
                  <c:v>44250</c:v>
                </c:pt>
                <c:pt idx="297">
                  <c:v>44251</c:v>
                </c:pt>
                <c:pt idx="298">
                  <c:v>44252</c:v>
                </c:pt>
                <c:pt idx="299">
                  <c:v>44253</c:v>
                </c:pt>
                <c:pt idx="300">
                  <c:v>44256</c:v>
                </c:pt>
                <c:pt idx="301">
                  <c:v>44257</c:v>
                </c:pt>
                <c:pt idx="302">
                  <c:v>44258</c:v>
                </c:pt>
                <c:pt idx="303">
                  <c:v>44259</c:v>
                </c:pt>
                <c:pt idx="304">
                  <c:v>44260</c:v>
                </c:pt>
                <c:pt idx="305">
                  <c:v>44263</c:v>
                </c:pt>
                <c:pt idx="306">
                  <c:v>44264</c:v>
                </c:pt>
                <c:pt idx="307">
                  <c:v>44265</c:v>
                </c:pt>
                <c:pt idx="308">
                  <c:v>44266</c:v>
                </c:pt>
                <c:pt idx="309">
                  <c:v>44267</c:v>
                </c:pt>
                <c:pt idx="310">
                  <c:v>44270</c:v>
                </c:pt>
                <c:pt idx="311">
                  <c:v>44271</c:v>
                </c:pt>
                <c:pt idx="312">
                  <c:v>44272</c:v>
                </c:pt>
                <c:pt idx="313">
                  <c:v>44273</c:v>
                </c:pt>
                <c:pt idx="314">
                  <c:v>44274</c:v>
                </c:pt>
                <c:pt idx="315">
                  <c:v>44277</c:v>
                </c:pt>
                <c:pt idx="316">
                  <c:v>44278</c:v>
                </c:pt>
                <c:pt idx="317">
                  <c:v>44279</c:v>
                </c:pt>
                <c:pt idx="318">
                  <c:v>44280</c:v>
                </c:pt>
                <c:pt idx="319">
                  <c:v>44281</c:v>
                </c:pt>
                <c:pt idx="320">
                  <c:v>44284</c:v>
                </c:pt>
                <c:pt idx="321">
                  <c:v>44285</c:v>
                </c:pt>
                <c:pt idx="322">
                  <c:v>44286</c:v>
                </c:pt>
                <c:pt idx="323">
                  <c:v>44287</c:v>
                </c:pt>
                <c:pt idx="324">
                  <c:v>44288</c:v>
                </c:pt>
                <c:pt idx="325">
                  <c:v>44292</c:v>
                </c:pt>
                <c:pt idx="326">
                  <c:v>44293</c:v>
                </c:pt>
                <c:pt idx="327">
                  <c:v>44294</c:v>
                </c:pt>
                <c:pt idx="328">
                  <c:v>44295</c:v>
                </c:pt>
                <c:pt idx="329">
                  <c:v>44298</c:v>
                </c:pt>
                <c:pt idx="330">
                  <c:v>44299</c:v>
                </c:pt>
                <c:pt idx="331">
                  <c:v>44300</c:v>
                </c:pt>
                <c:pt idx="332">
                  <c:v>44301</c:v>
                </c:pt>
                <c:pt idx="333">
                  <c:v>44302</c:v>
                </c:pt>
                <c:pt idx="334">
                  <c:v>44305</c:v>
                </c:pt>
                <c:pt idx="335">
                  <c:v>44306</c:v>
                </c:pt>
                <c:pt idx="336">
                  <c:v>44307</c:v>
                </c:pt>
                <c:pt idx="337">
                  <c:v>44308</c:v>
                </c:pt>
                <c:pt idx="338">
                  <c:v>44309</c:v>
                </c:pt>
                <c:pt idx="339">
                  <c:v>44312</c:v>
                </c:pt>
                <c:pt idx="340">
                  <c:v>44313</c:v>
                </c:pt>
                <c:pt idx="341">
                  <c:v>44314</c:v>
                </c:pt>
                <c:pt idx="342">
                  <c:v>44315</c:v>
                </c:pt>
                <c:pt idx="343">
                  <c:v>44316</c:v>
                </c:pt>
                <c:pt idx="344">
                  <c:v>44322</c:v>
                </c:pt>
                <c:pt idx="345">
                  <c:v>44323</c:v>
                </c:pt>
                <c:pt idx="346">
                  <c:v>44326</c:v>
                </c:pt>
                <c:pt idx="347">
                  <c:v>44327</c:v>
                </c:pt>
                <c:pt idx="348">
                  <c:v>44328</c:v>
                </c:pt>
                <c:pt idx="349">
                  <c:v>44329</c:v>
                </c:pt>
                <c:pt idx="350">
                  <c:v>44330</c:v>
                </c:pt>
              </c:numCache>
            </c:numRef>
          </c:cat>
          <c:val>
            <c:numRef>
              <c:f>纯享CTA三期!$B$21:$B$371</c:f>
              <c:numCache>
                <c:formatCode>0.0000_ </c:formatCode>
                <c:ptCount val="351"/>
                <c:pt idx="0">
                  <c:v>1.0006999999999999</c:v>
                </c:pt>
                <c:pt idx="1">
                  <c:v>1.0006999999999999</c:v>
                </c:pt>
                <c:pt idx="2">
                  <c:v>1.0007999999999999</c:v>
                </c:pt>
                <c:pt idx="3">
                  <c:v>1.0006999999999999</c:v>
                </c:pt>
                <c:pt idx="4">
                  <c:v>0.99960000000000004</c:v>
                </c:pt>
                <c:pt idx="5">
                  <c:v>1.0031000000000001</c:v>
                </c:pt>
                <c:pt idx="6">
                  <c:v>1.0055000000000001</c:v>
                </c:pt>
                <c:pt idx="7">
                  <c:v>1.0067999999999999</c:v>
                </c:pt>
                <c:pt idx="8">
                  <c:v>1.0061</c:v>
                </c:pt>
                <c:pt idx="9">
                  <c:v>1.0052000000000001</c:v>
                </c:pt>
                <c:pt idx="10">
                  <c:v>1.0044</c:v>
                </c:pt>
                <c:pt idx="11">
                  <c:v>1.0044999999999999</c:v>
                </c:pt>
                <c:pt idx="12">
                  <c:v>1.0039</c:v>
                </c:pt>
                <c:pt idx="13">
                  <c:v>1.0032000000000001</c:v>
                </c:pt>
                <c:pt idx="14">
                  <c:v>1.0013000000000001</c:v>
                </c:pt>
                <c:pt idx="15">
                  <c:v>1.0022</c:v>
                </c:pt>
                <c:pt idx="16">
                  <c:v>1.0021</c:v>
                </c:pt>
                <c:pt idx="17">
                  <c:v>1.0025999999999999</c:v>
                </c:pt>
                <c:pt idx="18">
                  <c:v>1.0024</c:v>
                </c:pt>
                <c:pt idx="19">
                  <c:v>1.0027999999999999</c:v>
                </c:pt>
                <c:pt idx="20">
                  <c:v>1.0028999999999999</c:v>
                </c:pt>
                <c:pt idx="21">
                  <c:v>1.0029999999999999</c:v>
                </c:pt>
                <c:pt idx="22">
                  <c:v>1.0007999999999999</c:v>
                </c:pt>
                <c:pt idx="23">
                  <c:v>0.99909999999999999</c:v>
                </c:pt>
                <c:pt idx="24">
                  <c:v>1.0004999999999999</c:v>
                </c:pt>
                <c:pt idx="25">
                  <c:v>0.99950000000000006</c:v>
                </c:pt>
                <c:pt idx="26">
                  <c:v>0.99970000000000003</c:v>
                </c:pt>
                <c:pt idx="27">
                  <c:v>0.99150000000000005</c:v>
                </c:pt>
                <c:pt idx="28">
                  <c:v>0.99490000000000001</c:v>
                </c:pt>
                <c:pt idx="29">
                  <c:v>0.99470000000000003</c:v>
                </c:pt>
                <c:pt idx="30">
                  <c:v>0.99439999999999995</c:v>
                </c:pt>
                <c:pt idx="31">
                  <c:v>0.99519999999999997</c:v>
                </c:pt>
                <c:pt idx="32">
                  <c:v>0.99419999999999997</c:v>
                </c:pt>
                <c:pt idx="33">
                  <c:v>0.99429999999999996</c:v>
                </c:pt>
                <c:pt idx="34">
                  <c:v>0.99429999999999996</c:v>
                </c:pt>
                <c:pt idx="35">
                  <c:v>0.99429999999999996</c:v>
                </c:pt>
                <c:pt idx="36">
                  <c:v>0.99429999999999996</c:v>
                </c:pt>
                <c:pt idx="37">
                  <c:v>0.99429999999999996</c:v>
                </c:pt>
                <c:pt idx="38">
                  <c:v>0.99450000000000005</c:v>
                </c:pt>
                <c:pt idx="39">
                  <c:v>0.99460000000000004</c:v>
                </c:pt>
                <c:pt idx="40">
                  <c:v>0.99460000000000004</c:v>
                </c:pt>
                <c:pt idx="41">
                  <c:v>0.99470000000000003</c:v>
                </c:pt>
                <c:pt idx="42">
                  <c:v>0.99470000000000003</c:v>
                </c:pt>
                <c:pt idx="43">
                  <c:v>0.99460000000000004</c:v>
                </c:pt>
                <c:pt idx="44">
                  <c:v>0.99470000000000003</c:v>
                </c:pt>
                <c:pt idx="45">
                  <c:v>0.99480000000000002</c:v>
                </c:pt>
                <c:pt idx="46">
                  <c:v>0.99419999999999997</c:v>
                </c:pt>
                <c:pt idx="47">
                  <c:v>0.99309999999999998</c:v>
                </c:pt>
                <c:pt idx="48">
                  <c:v>0.99280000000000002</c:v>
                </c:pt>
                <c:pt idx="49">
                  <c:v>0.99080000000000001</c:v>
                </c:pt>
                <c:pt idx="50">
                  <c:v>0.99080000000000001</c:v>
                </c:pt>
                <c:pt idx="51">
                  <c:v>0.98970000000000002</c:v>
                </c:pt>
                <c:pt idx="52">
                  <c:v>0.99150000000000005</c:v>
                </c:pt>
                <c:pt idx="53">
                  <c:v>0.99209999999999998</c:v>
                </c:pt>
                <c:pt idx="54">
                  <c:v>0.98950000000000005</c:v>
                </c:pt>
                <c:pt idx="55">
                  <c:v>0.98960000000000004</c:v>
                </c:pt>
                <c:pt idx="56">
                  <c:v>0.99439999999999995</c:v>
                </c:pt>
                <c:pt idx="57">
                  <c:v>1.0056</c:v>
                </c:pt>
                <c:pt idx="58">
                  <c:v>1.0002</c:v>
                </c:pt>
                <c:pt idx="59">
                  <c:v>0.99109999999999998</c:v>
                </c:pt>
                <c:pt idx="60">
                  <c:v>0.99099999999999999</c:v>
                </c:pt>
                <c:pt idx="61">
                  <c:v>0.99099999999999999</c:v>
                </c:pt>
                <c:pt idx="62">
                  <c:v>0.99019999999999997</c:v>
                </c:pt>
                <c:pt idx="63">
                  <c:v>0.98839999999999995</c:v>
                </c:pt>
                <c:pt idx="64">
                  <c:v>0.9829</c:v>
                </c:pt>
                <c:pt idx="65">
                  <c:v>0.9829</c:v>
                </c:pt>
                <c:pt idx="66">
                  <c:v>0.98699999999999999</c:v>
                </c:pt>
                <c:pt idx="67">
                  <c:v>0.98640000000000005</c:v>
                </c:pt>
                <c:pt idx="68">
                  <c:v>0.99039999999999995</c:v>
                </c:pt>
                <c:pt idx="69">
                  <c:v>0.99039999999999995</c:v>
                </c:pt>
                <c:pt idx="70">
                  <c:v>0.99009999999999998</c:v>
                </c:pt>
                <c:pt idx="71">
                  <c:v>0.98670000000000002</c:v>
                </c:pt>
                <c:pt idx="72">
                  <c:v>0.98650000000000004</c:v>
                </c:pt>
                <c:pt idx="73">
                  <c:v>0.98740000000000006</c:v>
                </c:pt>
                <c:pt idx="74">
                  <c:v>0.9899</c:v>
                </c:pt>
                <c:pt idx="75">
                  <c:v>0.98980000000000001</c:v>
                </c:pt>
                <c:pt idx="76">
                  <c:v>0.99060000000000004</c:v>
                </c:pt>
                <c:pt idx="77">
                  <c:v>0.99150000000000005</c:v>
                </c:pt>
                <c:pt idx="78">
                  <c:v>0.9929</c:v>
                </c:pt>
                <c:pt idx="79">
                  <c:v>0.99139999999999995</c:v>
                </c:pt>
                <c:pt idx="80">
                  <c:v>0.99219999999999997</c:v>
                </c:pt>
                <c:pt idx="81">
                  <c:v>0.98950000000000005</c:v>
                </c:pt>
                <c:pt idx="82">
                  <c:v>0.98770000000000002</c:v>
                </c:pt>
                <c:pt idx="83">
                  <c:v>0.98709999999999998</c:v>
                </c:pt>
                <c:pt idx="84">
                  <c:v>0.98680000000000001</c:v>
                </c:pt>
                <c:pt idx="85">
                  <c:v>0.98670000000000002</c:v>
                </c:pt>
                <c:pt idx="86">
                  <c:v>0.98560000000000003</c:v>
                </c:pt>
                <c:pt idx="87">
                  <c:v>0.98580000000000001</c:v>
                </c:pt>
                <c:pt idx="88">
                  <c:v>0.98540000000000005</c:v>
                </c:pt>
                <c:pt idx="89">
                  <c:v>0.98350000000000004</c:v>
                </c:pt>
                <c:pt idx="90">
                  <c:v>0.98180000000000001</c:v>
                </c:pt>
                <c:pt idx="91">
                  <c:v>0.98060000000000003</c:v>
                </c:pt>
                <c:pt idx="92">
                  <c:v>0.9859</c:v>
                </c:pt>
                <c:pt idx="93">
                  <c:v>0.98680000000000001</c:v>
                </c:pt>
                <c:pt idx="94">
                  <c:v>0.98180000000000001</c:v>
                </c:pt>
                <c:pt idx="95">
                  <c:v>0.97970000000000002</c:v>
                </c:pt>
                <c:pt idx="96">
                  <c:v>0.98089999999999999</c:v>
                </c:pt>
                <c:pt idx="97">
                  <c:v>0.97850000000000004</c:v>
                </c:pt>
                <c:pt idx="98">
                  <c:v>0.96989999999999998</c:v>
                </c:pt>
                <c:pt idx="99">
                  <c:v>0.97089999999999999</c:v>
                </c:pt>
                <c:pt idx="100">
                  <c:v>0.97240000000000004</c:v>
                </c:pt>
                <c:pt idx="101">
                  <c:v>0.9708</c:v>
                </c:pt>
                <c:pt idx="102">
                  <c:v>0.96830000000000005</c:v>
                </c:pt>
                <c:pt idx="103">
                  <c:v>0.9768</c:v>
                </c:pt>
                <c:pt idx="104">
                  <c:v>0.9758</c:v>
                </c:pt>
                <c:pt idx="105">
                  <c:v>0.97409999999999997</c:v>
                </c:pt>
                <c:pt idx="106">
                  <c:v>0.9738</c:v>
                </c:pt>
                <c:pt idx="107">
                  <c:v>0.97060000000000002</c:v>
                </c:pt>
                <c:pt idx="108">
                  <c:v>0.99180000000000001</c:v>
                </c:pt>
                <c:pt idx="109">
                  <c:v>1.0276000000000001</c:v>
                </c:pt>
                <c:pt idx="110">
                  <c:v>1.0291999999999999</c:v>
                </c:pt>
                <c:pt idx="111">
                  <c:v>1.0364</c:v>
                </c:pt>
                <c:pt idx="112">
                  <c:v>1.0422</c:v>
                </c:pt>
                <c:pt idx="113">
                  <c:v>1.0223</c:v>
                </c:pt>
                <c:pt idx="114">
                  <c:v>1.0250999999999999</c:v>
                </c:pt>
                <c:pt idx="115">
                  <c:v>1.0251999999999999</c:v>
                </c:pt>
                <c:pt idx="116">
                  <c:v>1.0241</c:v>
                </c:pt>
                <c:pt idx="117">
                  <c:v>1.0242</c:v>
                </c:pt>
                <c:pt idx="118">
                  <c:v>1.0218</c:v>
                </c:pt>
                <c:pt idx="119">
                  <c:v>1.0289999999999999</c:v>
                </c:pt>
                <c:pt idx="120">
                  <c:v>1.0383</c:v>
                </c:pt>
                <c:pt idx="121">
                  <c:v>1.0503</c:v>
                </c:pt>
                <c:pt idx="122">
                  <c:v>1.0399</c:v>
                </c:pt>
                <c:pt idx="123">
                  <c:v>1.0427999999999999</c:v>
                </c:pt>
                <c:pt idx="124">
                  <c:v>1.042</c:v>
                </c:pt>
                <c:pt idx="125">
                  <c:v>1.0294000000000001</c:v>
                </c:pt>
                <c:pt idx="126">
                  <c:v>1.0219</c:v>
                </c:pt>
                <c:pt idx="127">
                  <c:v>1.0218</c:v>
                </c:pt>
                <c:pt idx="128">
                  <c:v>1.0216000000000001</c:v>
                </c:pt>
                <c:pt idx="129">
                  <c:v>1.0188999999999999</c:v>
                </c:pt>
                <c:pt idx="130">
                  <c:v>1.0233000000000001</c:v>
                </c:pt>
                <c:pt idx="131">
                  <c:v>1.0187999999999999</c:v>
                </c:pt>
                <c:pt idx="132">
                  <c:v>1.0185999999999999</c:v>
                </c:pt>
                <c:pt idx="133">
                  <c:v>1.0142</c:v>
                </c:pt>
                <c:pt idx="134">
                  <c:v>1.0185999999999999</c:v>
                </c:pt>
                <c:pt idx="135">
                  <c:v>1.0123</c:v>
                </c:pt>
                <c:pt idx="136">
                  <c:v>1.0176000000000001</c:v>
                </c:pt>
                <c:pt idx="137">
                  <c:v>1.0175000000000001</c:v>
                </c:pt>
                <c:pt idx="138">
                  <c:v>1.018</c:v>
                </c:pt>
                <c:pt idx="139">
                  <c:v>1.0249999999999999</c:v>
                </c:pt>
                <c:pt idx="140">
                  <c:v>1.0173000000000001</c:v>
                </c:pt>
                <c:pt idx="141">
                  <c:v>1.0198</c:v>
                </c:pt>
                <c:pt idx="142">
                  <c:v>1.0174000000000001</c:v>
                </c:pt>
                <c:pt idx="143">
                  <c:v>1.0121</c:v>
                </c:pt>
                <c:pt idx="144">
                  <c:v>1.014</c:v>
                </c:pt>
                <c:pt idx="145">
                  <c:v>1.0245</c:v>
                </c:pt>
                <c:pt idx="146">
                  <c:v>1.0135000000000001</c:v>
                </c:pt>
                <c:pt idx="147">
                  <c:v>1.0206</c:v>
                </c:pt>
                <c:pt idx="148">
                  <c:v>1.0194000000000001</c:v>
                </c:pt>
                <c:pt idx="149">
                  <c:v>1.0172000000000001</c:v>
                </c:pt>
                <c:pt idx="150">
                  <c:v>1.0133000000000001</c:v>
                </c:pt>
                <c:pt idx="151">
                  <c:v>1.0097</c:v>
                </c:pt>
                <c:pt idx="152">
                  <c:v>1.0176000000000001</c:v>
                </c:pt>
                <c:pt idx="153">
                  <c:v>1.0147999999999999</c:v>
                </c:pt>
                <c:pt idx="154">
                  <c:v>1.0342</c:v>
                </c:pt>
                <c:pt idx="155">
                  <c:v>1.0682</c:v>
                </c:pt>
                <c:pt idx="156">
                  <c:v>1.0652999999999999</c:v>
                </c:pt>
                <c:pt idx="157">
                  <c:v>1.0665</c:v>
                </c:pt>
                <c:pt idx="158">
                  <c:v>1.0677000000000001</c:v>
                </c:pt>
                <c:pt idx="159">
                  <c:v>1.0656000000000001</c:v>
                </c:pt>
                <c:pt idx="160">
                  <c:v>1.0638000000000001</c:v>
                </c:pt>
                <c:pt idx="161">
                  <c:v>1.0650999999999999</c:v>
                </c:pt>
                <c:pt idx="162">
                  <c:v>1.0583</c:v>
                </c:pt>
                <c:pt idx="163">
                  <c:v>1.0645</c:v>
                </c:pt>
                <c:pt idx="164">
                  <c:v>1.0644</c:v>
                </c:pt>
                <c:pt idx="165">
                  <c:v>1.0919000000000001</c:v>
                </c:pt>
                <c:pt idx="166">
                  <c:v>1.1004</c:v>
                </c:pt>
                <c:pt idx="167">
                  <c:v>1.0813999999999999</c:v>
                </c:pt>
                <c:pt idx="168">
                  <c:v>1.0775999999999999</c:v>
                </c:pt>
                <c:pt idx="169">
                  <c:v>1.081</c:v>
                </c:pt>
                <c:pt idx="170">
                  <c:v>1.0774999999999999</c:v>
                </c:pt>
                <c:pt idx="171">
                  <c:v>1.0774999999999999</c:v>
                </c:pt>
                <c:pt idx="172">
                  <c:v>1.0769</c:v>
                </c:pt>
                <c:pt idx="173">
                  <c:v>1.0768</c:v>
                </c:pt>
                <c:pt idx="174">
                  <c:v>1.0772999999999999</c:v>
                </c:pt>
                <c:pt idx="175">
                  <c:v>1.0714999999999999</c:v>
                </c:pt>
                <c:pt idx="176">
                  <c:v>1.0720000000000001</c:v>
                </c:pt>
                <c:pt idx="177">
                  <c:v>1.07</c:v>
                </c:pt>
                <c:pt idx="178">
                  <c:v>1.0688</c:v>
                </c:pt>
                <c:pt idx="179">
                  <c:v>1.0706</c:v>
                </c:pt>
                <c:pt idx="180">
                  <c:v>1.0725</c:v>
                </c:pt>
                <c:pt idx="181">
                  <c:v>1.0720000000000001</c:v>
                </c:pt>
                <c:pt idx="182">
                  <c:v>1.0744</c:v>
                </c:pt>
                <c:pt idx="183">
                  <c:v>1.0758000000000001</c:v>
                </c:pt>
                <c:pt idx="184">
                  <c:v>1.0742</c:v>
                </c:pt>
                <c:pt idx="185">
                  <c:v>1.0746</c:v>
                </c:pt>
                <c:pt idx="186">
                  <c:v>1.0729</c:v>
                </c:pt>
                <c:pt idx="187">
                  <c:v>1.0717000000000001</c:v>
                </c:pt>
                <c:pt idx="188">
                  <c:v>1.0724</c:v>
                </c:pt>
                <c:pt idx="189">
                  <c:v>1.0696000000000001</c:v>
                </c:pt>
                <c:pt idx="190">
                  <c:v>1.0692999999999999</c:v>
                </c:pt>
                <c:pt idx="191">
                  <c:v>1.0723</c:v>
                </c:pt>
                <c:pt idx="192">
                  <c:v>1.0737000000000001</c:v>
                </c:pt>
                <c:pt idx="193">
                  <c:v>1.0748</c:v>
                </c:pt>
                <c:pt idx="194">
                  <c:v>1.0752999999999999</c:v>
                </c:pt>
                <c:pt idx="195">
                  <c:v>1.0759000000000001</c:v>
                </c:pt>
                <c:pt idx="196">
                  <c:v>1.0753999999999999</c:v>
                </c:pt>
                <c:pt idx="197">
                  <c:v>1.0738000000000001</c:v>
                </c:pt>
                <c:pt idx="198">
                  <c:v>1.0814999999999999</c:v>
                </c:pt>
                <c:pt idx="199">
                  <c:v>1.0833999999999999</c:v>
                </c:pt>
                <c:pt idx="200">
                  <c:v>1.0905</c:v>
                </c:pt>
                <c:pt idx="201">
                  <c:v>1.0911999999999999</c:v>
                </c:pt>
                <c:pt idx="202">
                  <c:v>1.0912999999999999</c:v>
                </c:pt>
                <c:pt idx="203">
                  <c:v>1.0920000000000001</c:v>
                </c:pt>
                <c:pt idx="204">
                  <c:v>1.0960000000000001</c:v>
                </c:pt>
                <c:pt idx="205">
                  <c:v>1.0960000000000001</c:v>
                </c:pt>
                <c:pt idx="206">
                  <c:v>1.0960000000000001</c:v>
                </c:pt>
                <c:pt idx="207">
                  <c:v>1.0960000000000001</c:v>
                </c:pt>
                <c:pt idx="208">
                  <c:v>1.0960000000000001</c:v>
                </c:pt>
                <c:pt idx="209">
                  <c:v>1.0959000000000001</c:v>
                </c:pt>
                <c:pt idx="210">
                  <c:v>1.0920000000000001</c:v>
                </c:pt>
                <c:pt idx="211">
                  <c:v>1.0920000000000001</c:v>
                </c:pt>
                <c:pt idx="212">
                  <c:v>1.0919000000000001</c:v>
                </c:pt>
                <c:pt idx="213">
                  <c:v>1.0927</c:v>
                </c:pt>
                <c:pt idx="214">
                  <c:v>1.0919000000000001</c:v>
                </c:pt>
                <c:pt idx="215">
                  <c:v>1.0843</c:v>
                </c:pt>
                <c:pt idx="216">
                  <c:v>1.0858000000000001</c:v>
                </c:pt>
                <c:pt idx="217">
                  <c:v>1.0863</c:v>
                </c:pt>
                <c:pt idx="218">
                  <c:v>1.0854999999999999</c:v>
                </c:pt>
                <c:pt idx="219">
                  <c:v>1.0812999999999999</c:v>
                </c:pt>
                <c:pt idx="220">
                  <c:v>1.0773999999999999</c:v>
                </c:pt>
                <c:pt idx="221">
                  <c:v>1.0772999999999999</c:v>
                </c:pt>
                <c:pt idx="222">
                  <c:v>1.0789</c:v>
                </c:pt>
                <c:pt idx="223">
                  <c:v>1.0831</c:v>
                </c:pt>
                <c:pt idx="224">
                  <c:v>1.0843</c:v>
                </c:pt>
                <c:pt idx="225">
                  <c:v>1.0874999999999999</c:v>
                </c:pt>
                <c:pt idx="226">
                  <c:v>1.091</c:v>
                </c:pt>
                <c:pt idx="227">
                  <c:v>1.0902000000000001</c:v>
                </c:pt>
                <c:pt idx="228">
                  <c:v>1.0892999999999999</c:v>
                </c:pt>
                <c:pt idx="229">
                  <c:v>1.0911</c:v>
                </c:pt>
                <c:pt idx="230">
                  <c:v>1.0908</c:v>
                </c:pt>
                <c:pt idx="231">
                  <c:v>1.0979000000000001</c:v>
                </c:pt>
                <c:pt idx="232">
                  <c:v>1.0981000000000001</c:v>
                </c:pt>
                <c:pt idx="233">
                  <c:v>1.1002000000000001</c:v>
                </c:pt>
                <c:pt idx="234">
                  <c:v>1.1036999999999999</c:v>
                </c:pt>
                <c:pt idx="235">
                  <c:v>1.1032999999999999</c:v>
                </c:pt>
                <c:pt idx="236">
                  <c:v>1.1009</c:v>
                </c:pt>
                <c:pt idx="237">
                  <c:v>1.097</c:v>
                </c:pt>
                <c:pt idx="238">
                  <c:v>1.0924</c:v>
                </c:pt>
                <c:pt idx="239">
                  <c:v>1.0924</c:v>
                </c:pt>
                <c:pt idx="240">
                  <c:v>1.0963000000000001</c:v>
                </c:pt>
                <c:pt idx="241">
                  <c:v>1.0983000000000001</c:v>
                </c:pt>
                <c:pt idx="242">
                  <c:v>1.0999000000000001</c:v>
                </c:pt>
                <c:pt idx="243">
                  <c:v>1.1021000000000001</c:v>
                </c:pt>
                <c:pt idx="244">
                  <c:v>1.0980000000000001</c:v>
                </c:pt>
                <c:pt idx="245">
                  <c:v>1.0992999999999999</c:v>
                </c:pt>
                <c:pt idx="246">
                  <c:v>1.0993999999999999</c:v>
                </c:pt>
                <c:pt idx="247">
                  <c:v>1.0994999999999999</c:v>
                </c:pt>
                <c:pt idx="248">
                  <c:v>1.1032</c:v>
                </c:pt>
                <c:pt idx="249">
                  <c:v>1.1136999999999999</c:v>
                </c:pt>
                <c:pt idx="250">
                  <c:v>1.1176999999999999</c:v>
                </c:pt>
                <c:pt idx="251">
                  <c:v>1.1088</c:v>
                </c:pt>
                <c:pt idx="252">
                  <c:v>1.1036999999999999</c:v>
                </c:pt>
                <c:pt idx="253">
                  <c:v>1.1057999999999999</c:v>
                </c:pt>
                <c:pt idx="254">
                  <c:v>1.1025</c:v>
                </c:pt>
                <c:pt idx="255">
                  <c:v>1.1092</c:v>
                </c:pt>
                <c:pt idx="256">
                  <c:v>1.1173999999999999</c:v>
                </c:pt>
                <c:pt idx="257">
                  <c:v>1.1195999999999999</c:v>
                </c:pt>
                <c:pt idx="258">
                  <c:v>1.1136999999999999</c:v>
                </c:pt>
                <c:pt idx="259">
                  <c:v>1.1136999999999999</c:v>
                </c:pt>
                <c:pt idx="260">
                  <c:v>1.1107</c:v>
                </c:pt>
                <c:pt idx="261">
                  <c:v>1.1045</c:v>
                </c:pt>
                <c:pt idx="262">
                  <c:v>1.1021000000000001</c:v>
                </c:pt>
                <c:pt idx="263">
                  <c:v>1.1045</c:v>
                </c:pt>
                <c:pt idx="264">
                  <c:v>1.1057999999999999</c:v>
                </c:pt>
                <c:pt idx="265">
                  <c:v>1.1040000000000001</c:v>
                </c:pt>
                <c:pt idx="266">
                  <c:v>1.1062000000000001</c:v>
                </c:pt>
                <c:pt idx="267">
                  <c:v>1.107</c:v>
                </c:pt>
                <c:pt idx="268">
                  <c:v>1.1019000000000001</c:v>
                </c:pt>
                <c:pt idx="269">
                  <c:v>1.1012999999999999</c:v>
                </c:pt>
                <c:pt idx="270">
                  <c:v>1.1048</c:v>
                </c:pt>
                <c:pt idx="271">
                  <c:v>1.1114999999999999</c:v>
                </c:pt>
                <c:pt idx="272">
                  <c:v>1.1114999999999999</c:v>
                </c:pt>
                <c:pt idx="273">
                  <c:v>1.1059000000000001</c:v>
                </c:pt>
                <c:pt idx="274">
                  <c:v>1.1085</c:v>
                </c:pt>
                <c:pt idx="275">
                  <c:v>1.1048</c:v>
                </c:pt>
                <c:pt idx="276">
                  <c:v>1.0972999999999999</c:v>
                </c:pt>
                <c:pt idx="277">
                  <c:v>1.0916999999999999</c:v>
                </c:pt>
                <c:pt idx="278">
                  <c:v>1.0905</c:v>
                </c:pt>
                <c:pt idx="279">
                  <c:v>1.0912999999999999</c:v>
                </c:pt>
                <c:pt idx="280">
                  <c:v>1.0921000000000001</c:v>
                </c:pt>
                <c:pt idx="281">
                  <c:v>1.0927</c:v>
                </c:pt>
                <c:pt idx="282">
                  <c:v>1.0942000000000001</c:v>
                </c:pt>
                <c:pt idx="283">
                  <c:v>1.0938000000000001</c:v>
                </c:pt>
                <c:pt idx="284">
                  <c:v>1.0892999999999999</c:v>
                </c:pt>
                <c:pt idx="285">
                  <c:v>1.0864</c:v>
                </c:pt>
                <c:pt idx="286">
                  <c:v>1.0815999999999999</c:v>
                </c:pt>
                <c:pt idx="287">
                  <c:v>1.0771999999999999</c:v>
                </c:pt>
                <c:pt idx="288">
                  <c:v>1.0766</c:v>
                </c:pt>
                <c:pt idx="289">
                  <c:v>1.0771999999999999</c:v>
                </c:pt>
                <c:pt idx="290">
                  <c:v>1.0798000000000001</c:v>
                </c:pt>
                <c:pt idx="291">
                  <c:v>1.0851999999999999</c:v>
                </c:pt>
                <c:pt idx="292">
                  <c:v>1.0899000000000001</c:v>
                </c:pt>
                <c:pt idx="293">
                  <c:v>1.0975999999999999</c:v>
                </c:pt>
                <c:pt idx="294">
                  <c:v>1.0999000000000001</c:v>
                </c:pt>
                <c:pt idx="295">
                  <c:v>1.1089</c:v>
                </c:pt>
                <c:pt idx="296">
                  <c:v>1.1091</c:v>
                </c:pt>
                <c:pt idx="297">
                  <c:v>1.1048</c:v>
                </c:pt>
                <c:pt idx="298">
                  <c:v>1.1029</c:v>
                </c:pt>
                <c:pt idx="299">
                  <c:v>1.105</c:v>
                </c:pt>
                <c:pt idx="300">
                  <c:v>1.1086</c:v>
                </c:pt>
                <c:pt idx="301">
                  <c:v>1.1095999999999999</c:v>
                </c:pt>
                <c:pt idx="302">
                  <c:v>1.1133999999999999</c:v>
                </c:pt>
                <c:pt idx="303">
                  <c:v>1.1133</c:v>
                </c:pt>
                <c:pt idx="304">
                  <c:v>1.1091</c:v>
                </c:pt>
                <c:pt idx="305">
                  <c:v>1.1108</c:v>
                </c:pt>
                <c:pt idx="306">
                  <c:v>1.1102000000000001</c:v>
                </c:pt>
                <c:pt idx="307">
                  <c:v>1.1065</c:v>
                </c:pt>
                <c:pt idx="308">
                  <c:v>1.1079000000000001</c:v>
                </c:pt>
                <c:pt idx="309">
                  <c:v>1.1087</c:v>
                </c:pt>
                <c:pt idx="310">
                  <c:v>1.1085</c:v>
                </c:pt>
                <c:pt idx="311">
                  <c:v>1.1080000000000001</c:v>
                </c:pt>
                <c:pt idx="312">
                  <c:v>1.1068</c:v>
                </c:pt>
                <c:pt idx="313">
                  <c:v>1.1062000000000001</c:v>
                </c:pt>
                <c:pt idx="314">
                  <c:v>1.1053999999999999</c:v>
                </c:pt>
                <c:pt idx="315">
                  <c:v>1.1089</c:v>
                </c:pt>
                <c:pt idx="316">
                  <c:v>1.1102000000000001</c:v>
                </c:pt>
                <c:pt idx="317">
                  <c:v>1.1097999999999999</c:v>
                </c:pt>
                <c:pt idx="318">
                  <c:v>1.1086</c:v>
                </c:pt>
                <c:pt idx="319">
                  <c:v>1.1053999999999999</c:v>
                </c:pt>
                <c:pt idx="320">
                  <c:v>1.1027</c:v>
                </c:pt>
                <c:pt idx="321">
                  <c:v>1.1026</c:v>
                </c:pt>
                <c:pt idx="322">
                  <c:v>1.1025</c:v>
                </c:pt>
                <c:pt idx="323">
                  <c:v>1.1033999999999999</c:v>
                </c:pt>
                <c:pt idx="324">
                  <c:v>1.1031</c:v>
                </c:pt>
                <c:pt idx="325">
                  <c:v>1.1079000000000001</c:v>
                </c:pt>
                <c:pt idx="326">
                  <c:v>1.1073</c:v>
                </c:pt>
                <c:pt idx="327">
                  <c:v>1.1056999999999999</c:v>
                </c:pt>
                <c:pt idx="328">
                  <c:v>1.1043000000000001</c:v>
                </c:pt>
                <c:pt idx="329">
                  <c:v>1.0958000000000001</c:v>
                </c:pt>
                <c:pt idx="330">
                  <c:v>1.0935999999999999</c:v>
                </c:pt>
                <c:pt idx="331">
                  <c:v>1.0920000000000001</c:v>
                </c:pt>
                <c:pt idx="332">
                  <c:v>1.089</c:v>
                </c:pt>
                <c:pt idx="333">
                  <c:v>1.0921000000000001</c:v>
                </c:pt>
                <c:pt idx="334">
                  <c:v>1.0913200000000001</c:v>
                </c:pt>
                <c:pt idx="335">
                  <c:v>1.0884</c:v>
                </c:pt>
                <c:pt idx="336">
                  <c:v>1.0842000000000001</c:v>
                </c:pt>
                <c:pt idx="337">
                  <c:v>1.0851999999999999</c:v>
                </c:pt>
                <c:pt idx="338">
                  <c:v>1.0878000000000001</c:v>
                </c:pt>
                <c:pt idx="339">
                  <c:v>1.0921000000000001</c:v>
                </c:pt>
                <c:pt idx="340">
                  <c:v>1.0903</c:v>
                </c:pt>
                <c:pt idx="341">
                  <c:v>1.0891</c:v>
                </c:pt>
                <c:pt idx="342">
                  <c:v>1.0931999999999999</c:v>
                </c:pt>
                <c:pt idx="343">
                  <c:v>1.0878000000000001</c:v>
                </c:pt>
                <c:pt idx="344">
                  <c:v>1.1047</c:v>
                </c:pt>
                <c:pt idx="345">
                  <c:v>1.1093</c:v>
                </c:pt>
                <c:pt idx="346">
                  <c:v>1.1174999999999999</c:v>
                </c:pt>
                <c:pt idx="347">
                  <c:v>1.1173</c:v>
                </c:pt>
                <c:pt idx="348">
                  <c:v>1.1244000000000001</c:v>
                </c:pt>
                <c:pt idx="349">
                  <c:v>1.1248</c:v>
                </c:pt>
                <c:pt idx="350">
                  <c:v>1.1181000000000001</c:v>
                </c:pt>
              </c:numCache>
            </c:numRef>
          </c:val>
          <c:smooth val="0"/>
          <c:extLst>
            <c:ext xmlns:c16="http://schemas.microsoft.com/office/drawing/2014/chart" uri="{C3380CC4-5D6E-409C-BE32-E72D297353CC}">
              <c16:uniqueId val="{00000000-BFAA-4DFC-95F0-837FC3B22B86}"/>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5000000000000007"/>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合绎塑造者</a:t>
            </a:r>
            <a:r>
              <a:rPr lang="en-US" altLang="zh-CN" sz="1600"/>
              <a:t>2</a:t>
            </a:r>
            <a:r>
              <a:rPr lang="zh-CN" altLang="en-US" sz="1600"/>
              <a:t>号</a:t>
            </a:r>
            <a:endParaRPr lang="en-US" altLang="zh-CN" sz="1600"/>
          </a:p>
        </c:rich>
      </c:tx>
      <c:overlay val="0"/>
    </c:title>
    <c:autoTitleDeleted val="0"/>
    <c:plotArea>
      <c:layout/>
      <c:lineChart>
        <c:grouping val="standard"/>
        <c:varyColors val="0"/>
        <c:ser>
          <c:idx val="0"/>
          <c:order val="0"/>
          <c:tx>
            <c:strRef>
              <c:f>塑造者2号!$B$20</c:f>
              <c:strCache>
                <c:ptCount val="1"/>
                <c:pt idx="0">
                  <c:v>累计净值</c:v>
                </c:pt>
              </c:strCache>
            </c:strRef>
          </c:tx>
          <c:marker>
            <c:symbol val="none"/>
          </c:marker>
          <c:cat>
            <c:numRef>
              <c:f>塑造者2号!$A$21:$A$274</c:f>
              <c:numCache>
                <c:formatCode>m/d/yy</c:formatCode>
                <c:ptCount val="254"/>
                <c:pt idx="0">
                  <c:v>43948</c:v>
                </c:pt>
                <c:pt idx="1">
                  <c:v>43949</c:v>
                </c:pt>
                <c:pt idx="2">
                  <c:v>43950</c:v>
                </c:pt>
                <c:pt idx="3">
                  <c:v>43951</c:v>
                </c:pt>
                <c:pt idx="4">
                  <c:v>43957</c:v>
                </c:pt>
                <c:pt idx="5">
                  <c:v>43958</c:v>
                </c:pt>
                <c:pt idx="6">
                  <c:v>43959</c:v>
                </c:pt>
                <c:pt idx="7">
                  <c:v>43962</c:v>
                </c:pt>
                <c:pt idx="8">
                  <c:v>43963</c:v>
                </c:pt>
                <c:pt idx="9">
                  <c:v>43964</c:v>
                </c:pt>
                <c:pt idx="10">
                  <c:v>43965</c:v>
                </c:pt>
                <c:pt idx="11">
                  <c:v>43966</c:v>
                </c:pt>
                <c:pt idx="12">
                  <c:v>43969</c:v>
                </c:pt>
                <c:pt idx="13">
                  <c:v>43970</c:v>
                </c:pt>
                <c:pt idx="14">
                  <c:v>43971</c:v>
                </c:pt>
                <c:pt idx="15">
                  <c:v>43972</c:v>
                </c:pt>
                <c:pt idx="16">
                  <c:v>43973</c:v>
                </c:pt>
                <c:pt idx="17">
                  <c:v>43976</c:v>
                </c:pt>
                <c:pt idx="18">
                  <c:v>43977</c:v>
                </c:pt>
                <c:pt idx="19">
                  <c:v>43978</c:v>
                </c:pt>
                <c:pt idx="20">
                  <c:v>43979</c:v>
                </c:pt>
                <c:pt idx="21">
                  <c:v>43980</c:v>
                </c:pt>
                <c:pt idx="22">
                  <c:v>43983</c:v>
                </c:pt>
                <c:pt idx="23">
                  <c:v>43984</c:v>
                </c:pt>
                <c:pt idx="24">
                  <c:v>43985</c:v>
                </c:pt>
                <c:pt idx="25">
                  <c:v>43986</c:v>
                </c:pt>
                <c:pt idx="26">
                  <c:v>43987</c:v>
                </c:pt>
                <c:pt idx="27">
                  <c:v>43990</c:v>
                </c:pt>
                <c:pt idx="28">
                  <c:v>43991</c:v>
                </c:pt>
                <c:pt idx="29">
                  <c:v>43992</c:v>
                </c:pt>
                <c:pt idx="30">
                  <c:v>43993</c:v>
                </c:pt>
                <c:pt idx="31">
                  <c:v>43994</c:v>
                </c:pt>
                <c:pt idx="32">
                  <c:v>43997</c:v>
                </c:pt>
                <c:pt idx="33">
                  <c:v>43998</c:v>
                </c:pt>
                <c:pt idx="34">
                  <c:v>43999</c:v>
                </c:pt>
                <c:pt idx="35">
                  <c:v>44000</c:v>
                </c:pt>
                <c:pt idx="36">
                  <c:v>44001</c:v>
                </c:pt>
                <c:pt idx="37">
                  <c:v>44004</c:v>
                </c:pt>
                <c:pt idx="38">
                  <c:v>44005</c:v>
                </c:pt>
                <c:pt idx="39">
                  <c:v>44006</c:v>
                </c:pt>
                <c:pt idx="40">
                  <c:v>44011</c:v>
                </c:pt>
                <c:pt idx="41">
                  <c:v>44012</c:v>
                </c:pt>
                <c:pt idx="42">
                  <c:v>44013</c:v>
                </c:pt>
                <c:pt idx="43">
                  <c:v>44014</c:v>
                </c:pt>
                <c:pt idx="44">
                  <c:v>44015</c:v>
                </c:pt>
                <c:pt idx="45">
                  <c:v>44018</c:v>
                </c:pt>
                <c:pt idx="46">
                  <c:v>44019</c:v>
                </c:pt>
                <c:pt idx="47">
                  <c:v>44020</c:v>
                </c:pt>
                <c:pt idx="48">
                  <c:v>44021</c:v>
                </c:pt>
                <c:pt idx="49">
                  <c:v>44022</c:v>
                </c:pt>
                <c:pt idx="50">
                  <c:v>44025</c:v>
                </c:pt>
                <c:pt idx="51">
                  <c:v>44026</c:v>
                </c:pt>
                <c:pt idx="52">
                  <c:v>44027</c:v>
                </c:pt>
                <c:pt idx="53">
                  <c:v>44028</c:v>
                </c:pt>
                <c:pt idx="54">
                  <c:v>44029</c:v>
                </c:pt>
                <c:pt idx="55">
                  <c:v>44032</c:v>
                </c:pt>
                <c:pt idx="56">
                  <c:v>44033</c:v>
                </c:pt>
                <c:pt idx="57">
                  <c:v>44034</c:v>
                </c:pt>
                <c:pt idx="58">
                  <c:v>44035</c:v>
                </c:pt>
                <c:pt idx="59">
                  <c:v>44036</c:v>
                </c:pt>
                <c:pt idx="60">
                  <c:v>44039</c:v>
                </c:pt>
                <c:pt idx="61">
                  <c:v>44040</c:v>
                </c:pt>
                <c:pt idx="62">
                  <c:v>44041</c:v>
                </c:pt>
                <c:pt idx="63">
                  <c:v>44042</c:v>
                </c:pt>
                <c:pt idx="64">
                  <c:v>44043</c:v>
                </c:pt>
                <c:pt idx="65">
                  <c:v>44046</c:v>
                </c:pt>
                <c:pt idx="66">
                  <c:v>44047</c:v>
                </c:pt>
                <c:pt idx="67">
                  <c:v>44048</c:v>
                </c:pt>
                <c:pt idx="68">
                  <c:v>44049</c:v>
                </c:pt>
                <c:pt idx="69">
                  <c:v>44050</c:v>
                </c:pt>
                <c:pt idx="70">
                  <c:v>44053</c:v>
                </c:pt>
                <c:pt idx="71">
                  <c:v>44054</c:v>
                </c:pt>
                <c:pt idx="72">
                  <c:v>44055</c:v>
                </c:pt>
                <c:pt idx="73">
                  <c:v>44056</c:v>
                </c:pt>
                <c:pt idx="74">
                  <c:v>44057</c:v>
                </c:pt>
                <c:pt idx="75">
                  <c:v>44060</c:v>
                </c:pt>
                <c:pt idx="76">
                  <c:v>44061</c:v>
                </c:pt>
                <c:pt idx="77">
                  <c:v>44062</c:v>
                </c:pt>
                <c:pt idx="78">
                  <c:v>44063</c:v>
                </c:pt>
                <c:pt idx="79">
                  <c:v>44064</c:v>
                </c:pt>
                <c:pt idx="80">
                  <c:v>44067</c:v>
                </c:pt>
                <c:pt idx="81">
                  <c:v>44068</c:v>
                </c:pt>
                <c:pt idx="82">
                  <c:v>44069</c:v>
                </c:pt>
                <c:pt idx="83">
                  <c:v>44070</c:v>
                </c:pt>
                <c:pt idx="84">
                  <c:v>44071</c:v>
                </c:pt>
                <c:pt idx="85">
                  <c:v>44074</c:v>
                </c:pt>
                <c:pt idx="86">
                  <c:v>44075</c:v>
                </c:pt>
                <c:pt idx="87">
                  <c:v>44076</c:v>
                </c:pt>
                <c:pt idx="88">
                  <c:v>44077</c:v>
                </c:pt>
                <c:pt idx="89">
                  <c:v>44078</c:v>
                </c:pt>
                <c:pt idx="90">
                  <c:v>44081</c:v>
                </c:pt>
                <c:pt idx="91">
                  <c:v>44082</c:v>
                </c:pt>
                <c:pt idx="92">
                  <c:v>44083</c:v>
                </c:pt>
                <c:pt idx="93">
                  <c:v>44084</c:v>
                </c:pt>
                <c:pt idx="94">
                  <c:v>44085</c:v>
                </c:pt>
                <c:pt idx="95">
                  <c:v>44088</c:v>
                </c:pt>
                <c:pt idx="96">
                  <c:v>44089</c:v>
                </c:pt>
                <c:pt idx="97">
                  <c:v>44090</c:v>
                </c:pt>
                <c:pt idx="98">
                  <c:v>44091</c:v>
                </c:pt>
                <c:pt idx="99">
                  <c:v>44092</c:v>
                </c:pt>
                <c:pt idx="100">
                  <c:v>44095</c:v>
                </c:pt>
                <c:pt idx="101">
                  <c:v>44096</c:v>
                </c:pt>
                <c:pt idx="102">
                  <c:v>44097</c:v>
                </c:pt>
                <c:pt idx="103">
                  <c:v>44098</c:v>
                </c:pt>
                <c:pt idx="104">
                  <c:v>44099</c:v>
                </c:pt>
                <c:pt idx="105">
                  <c:v>44102</c:v>
                </c:pt>
                <c:pt idx="106">
                  <c:v>44103</c:v>
                </c:pt>
                <c:pt idx="107">
                  <c:v>44104</c:v>
                </c:pt>
                <c:pt idx="108">
                  <c:v>44113</c:v>
                </c:pt>
                <c:pt idx="109">
                  <c:v>44116</c:v>
                </c:pt>
                <c:pt idx="110">
                  <c:v>44117</c:v>
                </c:pt>
                <c:pt idx="111">
                  <c:v>44118</c:v>
                </c:pt>
                <c:pt idx="112">
                  <c:v>44119</c:v>
                </c:pt>
                <c:pt idx="113">
                  <c:v>44120</c:v>
                </c:pt>
                <c:pt idx="114">
                  <c:v>44123</c:v>
                </c:pt>
                <c:pt idx="115">
                  <c:v>44124</c:v>
                </c:pt>
                <c:pt idx="116">
                  <c:v>44125</c:v>
                </c:pt>
                <c:pt idx="117">
                  <c:v>44126</c:v>
                </c:pt>
                <c:pt idx="118">
                  <c:v>44127</c:v>
                </c:pt>
                <c:pt idx="119">
                  <c:v>44130</c:v>
                </c:pt>
                <c:pt idx="120">
                  <c:v>44131</c:v>
                </c:pt>
                <c:pt idx="121">
                  <c:v>44132</c:v>
                </c:pt>
                <c:pt idx="122">
                  <c:v>44133</c:v>
                </c:pt>
                <c:pt idx="123">
                  <c:v>44134</c:v>
                </c:pt>
                <c:pt idx="124">
                  <c:v>44137</c:v>
                </c:pt>
                <c:pt idx="125">
                  <c:v>44138</c:v>
                </c:pt>
                <c:pt idx="126">
                  <c:v>44139</c:v>
                </c:pt>
                <c:pt idx="127">
                  <c:v>44140</c:v>
                </c:pt>
                <c:pt idx="128">
                  <c:v>44141</c:v>
                </c:pt>
                <c:pt idx="129">
                  <c:v>44144</c:v>
                </c:pt>
                <c:pt idx="130">
                  <c:v>44145</c:v>
                </c:pt>
                <c:pt idx="131">
                  <c:v>44146</c:v>
                </c:pt>
                <c:pt idx="132">
                  <c:v>44147</c:v>
                </c:pt>
                <c:pt idx="133">
                  <c:v>44148</c:v>
                </c:pt>
                <c:pt idx="134">
                  <c:v>44151</c:v>
                </c:pt>
                <c:pt idx="135">
                  <c:v>44152</c:v>
                </c:pt>
                <c:pt idx="136">
                  <c:v>44153</c:v>
                </c:pt>
                <c:pt idx="137">
                  <c:v>44154</c:v>
                </c:pt>
                <c:pt idx="138">
                  <c:v>44155</c:v>
                </c:pt>
                <c:pt idx="139">
                  <c:v>44158</c:v>
                </c:pt>
                <c:pt idx="140">
                  <c:v>44159</c:v>
                </c:pt>
                <c:pt idx="141">
                  <c:v>44160</c:v>
                </c:pt>
                <c:pt idx="142">
                  <c:v>44161</c:v>
                </c:pt>
                <c:pt idx="143">
                  <c:v>44162</c:v>
                </c:pt>
                <c:pt idx="144">
                  <c:v>44165</c:v>
                </c:pt>
                <c:pt idx="145">
                  <c:v>44166</c:v>
                </c:pt>
                <c:pt idx="146">
                  <c:v>44167</c:v>
                </c:pt>
                <c:pt idx="147">
                  <c:v>44168</c:v>
                </c:pt>
                <c:pt idx="148">
                  <c:v>44169</c:v>
                </c:pt>
                <c:pt idx="149">
                  <c:v>44172</c:v>
                </c:pt>
                <c:pt idx="150">
                  <c:v>44173</c:v>
                </c:pt>
                <c:pt idx="151">
                  <c:v>44174</c:v>
                </c:pt>
                <c:pt idx="152">
                  <c:v>44175</c:v>
                </c:pt>
                <c:pt idx="153">
                  <c:v>44176</c:v>
                </c:pt>
                <c:pt idx="154">
                  <c:v>44179</c:v>
                </c:pt>
                <c:pt idx="155">
                  <c:v>44180</c:v>
                </c:pt>
                <c:pt idx="156">
                  <c:v>44181</c:v>
                </c:pt>
                <c:pt idx="157">
                  <c:v>44182</c:v>
                </c:pt>
                <c:pt idx="158">
                  <c:v>44183</c:v>
                </c:pt>
                <c:pt idx="159">
                  <c:v>44186</c:v>
                </c:pt>
                <c:pt idx="160">
                  <c:v>44187</c:v>
                </c:pt>
                <c:pt idx="161">
                  <c:v>44188</c:v>
                </c:pt>
                <c:pt idx="162">
                  <c:v>44189</c:v>
                </c:pt>
                <c:pt idx="163">
                  <c:v>44190</c:v>
                </c:pt>
                <c:pt idx="164">
                  <c:v>44193</c:v>
                </c:pt>
                <c:pt idx="165">
                  <c:v>44194</c:v>
                </c:pt>
                <c:pt idx="166">
                  <c:v>44195</c:v>
                </c:pt>
                <c:pt idx="167">
                  <c:v>44196</c:v>
                </c:pt>
                <c:pt idx="168">
                  <c:v>44200</c:v>
                </c:pt>
                <c:pt idx="169">
                  <c:v>44201</c:v>
                </c:pt>
                <c:pt idx="170">
                  <c:v>44202</c:v>
                </c:pt>
                <c:pt idx="171">
                  <c:v>44203</c:v>
                </c:pt>
                <c:pt idx="172">
                  <c:v>44204</c:v>
                </c:pt>
                <c:pt idx="173">
                  <c:v>44207</c:v>
                </c:pt>
                <c:pt idx="174">
                  <c:v>44208</c:v>
                </c:pt>
                <c:pt idx="175">
                  <c:v>44209</c:v>
                </c:pt>
                <c:pt idx="176">
                  <c:v>44210</c:v>
                </c:pt>
                <c:pt idx="177">
                  <c:v>44211</c:v>
                </c:pt>
                <c:pt idx="178">
                  <c:v>44214</c:v>
                </c:pt>
                <c:pt idx="179">
                  <c:v>44215</c:v>
                </c:pt>
                <c:pt idx="180">
                  <c:v>44216</c:v>
                </c:pt>
                <c:pt idx="181">
                  <c:v>44217</c:v>
                </c:pt>
                <c:pt idx="182">
                  <c:v>44218</c:v>
                </c:pt>
                <c:pt idx="183">
                  <c:v>44221</c:v>
                </c:pt>
                <c:pt idx="184">
                  <c:v>44222</c:v>
                </c:pt>
                <c:pt idx="185">
                  <c:v>44223</c:v>
                </c:pt>
                <c:pt idx="186">
                  <c:v>44224</c:v>
                </c:pt>
                <c:pt idx="187">
                  <c:v>44225</c:v>
                </c:pt>
                <c:pt idx="188">
                  <c:v>44228</c:v>
                </c:pt>
                <c:pt idx="189">
                  <c:v>44229</c:v>
                </c:pt>
                <c:pt idx="190">
                  <c:v>44230</c:v>
                </c:pt>
                <c:pt idx="191">
                  <c:v>44231</c:v>
                </c:pt>
                <c:pt idx="192">
                  <c:v>44232</c:v>
                </c:pt>
                <c:pt idx="193">
                  <c:v>44235</c:v>
                </c:pt>
                <c:pt idx="194">
                  <c:v>44236</c:v>
                </c:pt>
                <c:pt idx="195">
                  <c:v>44237</c:v>
                </c:pt>
                <c:pt idx="196">
                  <c:v>44245</c:v>
                </c:pt>
                <c:pt idx="197">
                  <c:v>44246</c:v>
                </c:pt>
                <c:pt idx="198">
                  <c:v>44249</c:v>
                </c:pt>
                <c:pt idx="199">
                  <c:v>44250</c:v>
                </c:pt>
                <c:pt idx="200">
                  <c:v>44251</c:v>
                </c:pt>
                <c:pt idx="201">
                  <c:v>44252</c:v>
                </c:pt>
                <c:pt idx="202">
                  <c:v>44253</c:v>
                </c:pt>
                <c:pt idx="203">
                  <c:v>44256</c:v>
                </c:pt>
                <c:pt idx="204">
                  <c:v>44257</c:v>
                </c:pt>
                <c:pt idx="205">
                  <c:v>44258</c:v>
                </c:pt>
                <c:pt idx="206">
                  <c:v>44259</c:v>
                </c:pt>
                <c:pt idx="207">
                  <c:v>44260</c:v>
                </c:pt>
                <c:pt idx="208">
                  <c:v>44263</c:v>
                </c:pt>
                <c:pt idx="209">
                  <c:v>44264</c:v>
                </c:pt>
                <c:pt idx="210">
                  <c:v>44265</c:v>
                </c:pt>
                <c:pt idx="211">
                  <c:v>44266</c:v>
                </c:pt>
                <c:pt idx="212">
                  <c:v>44267</c:v>
                </c:pt>
                <c:pt idx="213">
                  <c:v>44270</c:v>
                </c:pt>
                <c:pt idx="214">
                  <c:v>44271</c:v>
                </c:pt>
                <c:pt idx="215">
                  <c:v>44272</c:v>
                </c:pt>
                <c:pt idx="216">
                  <c:v>44273</c:v>
                </c:pt>
                <c:pt idx="217">
                  <c:v>44274</c:v>
                </c:pt>
                <c:pt idx="218">
                  <c:v>44277</c:v>
                </c:pt>
                <c:pt idx="219">
                  <c:v>44278</c:v>
                </c:pt>
                <c:pt idx="220">
                  <c:v>44279</c:v>
                </c:pt>
                <c:pt idx="221">
                  <c:v>44280</c:v>
                </c:pt>
                <c:pt idx="222">
                  <c:v>44281</c:v>
                </c:pt>
                <c:pt idx="223">
                  <c:v>44284</c:v>
                </c:pt>
                <c:pt idx="224">
                  <c:v>44285</c:v>
                </c:pt>
                <c:pt idx="225">
                  <c:v>44286</c:v>
                </c:pt>
                <c:pt idx="226">
                  <c:v>44287</c:v>
                </c:pt>
                <c:pt idx="227">
                  <c:v>44288</c:v>
                </c:pt>
                <c:pt idx="228">
                  <c:v>44292</c:v>
                </c:pt>
                <c:pt idx="229">
                  <c:v>44293</c:v>
                </c:pt>
                <c:pt idx="230">
                  <c:v>44294</c:v>
                </c:pt>
                <c:pt idx="231">
                  <c:v>44295</c:v>
                </c:pt>
                <c:pt idx="232">
                  <c:v>44298</c:v>
                </c:pt>
                <c:pt idx="233">
                  <c:v>44299</c:v>
                </c:pt>
                <c:pt idx="234">
                  <c:v>44300</c:v>
                </c:pt>
                <c:pt idx="235">
                  <c:v>44301</c:v>
                </c:pt>
                <c:pt idx="236">
                  <c:v>44302</c:v>
                </c:pt>
                <c:pt idx="237">
                  <c:v>44305</c:v>
                </c:pt>
                <c:pt idx="238">
                  <c:v>44306</c:v>
                </c:pt>
                <c:pt idx="239">
                  <c:v>44307</c:v>
                </c:pt>
                <c:pt idx="240">
                  <c:v>44308</c:v>
                </c:pt>
                <c:pt idx="241">
                  <c:v>44309</c:v>
                </c:pt>
                <c:pt idx="242">
                  <c:v>44312</c:v>
                </c:pt>
                <c:pt idx="243">
                  <c:v>44313</c:v>
                </c:pt>
                <c:pt idx="244">
                  <c:v>44314</c:v>
                </c:pt>
                <c:pt idx="245">
                  <c:v>44315</c:v>
                </c:pt>
                <c:pt idx="246">
                  <c:v>44316</c:v>
                </c:pt>
                <c:pt idx="247">
                  <c:v>44322</c:v>
                </c:pt>
                <c:pt idx="248">
                  <c:v>44323</c:v>
                </c:pt>
                <c:pt idx="249">
                  <c:v>44326</c:v>
                </c:pt>
                <c:pt idx="250">
                  <c:v>44327</c:v>
                </c:pt>
                <c:pt idx="251">
                  <c:v>44328</c:v>
                </c:pt>
                <c:pt idx="252">
                  <c:v>44329</c:v>
                </c:pt>
                <c:pt idx="253">
                  <c:v>44330</c:v>
                </c:pt>
              </c:numCache>
            </c:numRef>
          </c:cat>
          <c:val>
            <c:numRef>
              <c:f>塑造者2号!$B$21:$B$274</c:f>
              <c:numCache>
                <c:formatCode>0.0000_ </c:formatCode>
                <c:ptCount val="254"/>
                <c:pt idx="0">
                  <c:v>1.2170000000000001</c:v>
                </c:pt>
                <c:pt idx="1">
                  <c:v>1.2190000000000001</c:v>
                </c:pt>
                <c:pt idx="2">
                  <c:v>1.218</c:v>
                </c:pt>
                <c:pt idx="3">
                  <c:v>1.216</c:v>
                </c:pt>
                <c:pt idx="4">
                  <c:v>1.218</c:v>
                </c:pt>
                <c:pt idx="5">
                  <c:v>1.222</c:v>
                </c:pt>
                <c:pt idx="6">
                  <c:v>1.224</c:v>
                </c:pt>
                <c:pt idx="7">
                  <c:v>1.226</c:v>
                </c:pt>
                <c:pt idx="8">
                  <c:v>1.2290000000000001</c:v>
                </c:pt>
                <c:pt idx="9">
                  <c:v>1.2290000000000001</c:v>
                </c:pt>
                <c:pt idx="10">
                  <c:v>1.2310000000000001</c:v>
                </c:pt>
                <c:pt idx="11">
                  <c:v>1.232</c:v>
                </c:pt>
                <c:pt idx="12">
                  <c:v>1.236</c:v>
                </c:pt>
                <c:pt idx="13">
                  <c:v>1.2370000000000001</c:v>
                </c:pt>
                <c:pt idx="14">
                  <c:v>1.24</c:v>
                </c:pt>
                <c:pt idx="15">
                  <c:v>1.24</c:v>
                </c:pt>
                <c:pt idx="16">
                  <c:v>1.242</c:v>
                </c:pt>
                <c:pt idx="17">
                  <c:v>1.2430000000000001</c:v>
                </c:pt>
                <c:pt idx="18">
                  <c:v>1.246</c:v>
                </c:pt>
                <c:pt idx="19">
                  <c:v>1.244</c:v>
                </c:pt>
                <c:pt idx="20">
                  <c:v>1.2450000000000001</c:v>
                </c:pt>
                <c:pt idx="21">
                  <c:v>1.246</c:v>
                </c:pt>
                <c:pt idx="22">
                  <c:v>1.252</c:v>
                </c:pt>
                <c:pt idx="23">
                  <c:v>1.256</c:v>
                </c:pt>
                <c:pt idx="24">
                  <c:v>1.2569999999999999</c:v>
                </c:pt>
                <c:pt idx="25">
                  <c:v>1.2569999999999999</c:v>
                </c:pt>
                <c:pt idx="26">
                  <c:v>1.258</c:v>
                </c:pt>
                <c:pt idx="27">
                  <c:v>1.26</c:v>
                </c:pt>
                <c:pt idx="28">
                  <c:v>1.262</c:v>
                </c:pt>
                <c:pt idx="29">
                  <c:v>1.2629999999999999</c:v>
                </c:pt>
                <c:pt idx="30">
                  <c:v>1.262</c:v>
                </c:pt>
                <c:pt idx="31">
                  <c:v>1.262</c:v>
                </c:pt>
                <c:pt idx="32">
                  <c:v>1.2649999999999999</c:v>
                </c:pt>
                <c:pt idx="33">
                  <c:v>1.2669999999999999</c:v>
                </c:pt>
                <c:pt idx="34">
                  <c:v>1.266</c:v>
                </c:pt>
                <c:pt idx="35">
                  <c:v>1.272</c:v>
                </c:pt>
                <c:pt idx="36">
                  <c:v>1.2709999999999999</c:v>
                </c:pt>
                <c:pt idx="37">
                  <c:v>1.274</c:v>
                </c:pt>
                <c:pt idx="38">
                  <c:v>1.2729999999999999</c:v>
                </c:pt>
                <c:pt idx="39">
                  <c:v>1.276</c:v>
                </c:pt>
                <c:pt idx="40">
                  <c:v>1.286</c:v>
                </c:pt>
                <c:pt idx="41">
                  <c:v>1.292</c:v>
                </c:pt>
                <c:pt idx="42">
                  <c:v>1.292</c:v>
                </c:pt>
                <c:pt idx="43">
                  <c:v>1.286</c:v>
                </c:pt>
                <c:pt idx="44">
                  <c:v>1.2869999999999999</c:v>
                </c:pt>
                <c:pt idx="45">
                  <c:v>1.28</c:v>
                </c:pt>
                <c:pt idx="46">
                  <c:v>1.3160000000000001</c:v>
                </c:pt>
                <c:pt idx="47">
                  <c:v>1.3240000000000001</c:v>
                </c:pt>
                <c:pt idx="48">
                  <c:v>1.3360000000000001</c:v>
                </c:pt>
                <c:pt idx="49">
                  <c:v>1.343</c:v>
                </c:pt>
                <c:pt idx="50">
                  <c:v>1.3540000000000001</c:v>
                </c:pt>
                <c:pt idx="51">
                  <c:v>1.3580000000000001</c:v>
                </c:pt>
                <c:pt idx="52">
                  <c:v>1.3620000000000001</c:v>
                </c:pt>
                <c:pt idx="53">
                  <c:v>1.363</c:v>
                </c:pt>
                <c:pt idx="54">
                  <c:v>1.377</c:v>
                </c:pt>
                <c:pt idx="55">
                  <c:v>1.383</c:v>
                </c:pt>
                <c:pt idx="56">
                  <c:v>1.385</c:v>
                </c:pt>
                <c:pt idx="57">
                  <c:v>1.39</c:v>
                </c:pt>
                <c:pt idx="58">
                  <c:v>1.3919999999999999</c:v>
                </c:pt>
                <c:pt idx="59">
                  <c:v>1.4019999999999999</c:v>
                </c:pt>
                <c:pt idx="60">
                  <c:v>1.4039999999999999</c:v>
                </c:pt>
                <c:pt idx="61">
                  <c:v>1.409</c:v>
                </c:pt>
                <c:pt idx="62">
                  <c:v>1.415</c:v>
                </c:pt>
                <c:pt idx="63">
                  <c:v>1.4159999999999999</c:v>
                </c:pt>
                <c:pt idx="64">
                  <c:v>1.42</c:v>
                </c:pt>
                <c:pt idx="65">
                  <c:v>1.423</c:v>
                </c:pt>
                <c:pt idx="66">
                  <c:v>1.429</c:v>
                </c:pt>
                <c:pt idx="67">
                  <c:v>1.431</c:v>
                </c:pt>
                <c:pt idx="68">
                  <c:v>1.431</c:v>
                </c:pt>
                <c:pt idx="69">
                  <c:v>1.4339999999999999</c:v>
                </c:pt>
                <c:pt idx="70">
                  <c:v>1.4390000000000001</c:v>
                </c:pt>
                <c:pt idx="71">
                  <c:v>1.4430000000000001</c:v>
                </c:pt>
                <c:pt idx="72">
                  <c:v>1.446</c:v>
                </c:pt>
                <c:pt idx="73">
                  <c:v>1.448</c:v>
                </c:pt>
                <c:pt idx="74">
                  <c:v>1.456</c:v>
                </c:pt>
                <c:pt idx="75">
                  <c:v>1.454</c:v>
                </c:pt>
                <c:pt idx="76">
                  <c:v>1.4570000000000001</c:v>
                </c:pt>
                <c:pt idx="77">
                  <c:v>1.4650000000000001</c:v>
                </c:pt>
                <c:pt idx="78">
                  <c:v>1.4650000000000001</c:v>
                </c:pt>
                <c:pt idx="79">
                  <c:v>1.4690000000000001</c:v>
                </c:pt>
                <c:pt idx="80">
                  <c:v>1.478</c:v>
                </c:pt>
                <c:pt idx="81">
                  <c:v>1.4810000000000001</c:v>
                </c:pt>
                <c:pt idx="82">
                  <c:v>1.484</c:v>
                </c:pt>
                <c:pt idx="83">
                  <c:v>1.4870000000000001</c:v>
                </c:pt>
                <c:pt idx="84">
                  <c:v>1.4930000000000001</c:v>
                </c:pt>
                <c:pt idx="85">
                  <c:v>1.4990000000000001</c:v>
                </c:pt>
                <c:pt idx="86">
                  <c:v>1.494</c:v>
                </c:pt>
                <c:pt idx="87">
                  <c:v>1.502</c:v>
                </c:pt>
                <c:pt idx="88">
                  <c:v>1.498</c:v>
                </c:pt>
                <c:pt idx="89">
                  <c:v>1.502</c:v>
                </c:pt>
                <c:pt idx="90">
                  <c:v>1.5069999999999999</c:v>
                </c:pt>
                <c:pt idx="91">
                  <c:v>1.506</c:v>
                </c:pt>
                <c:pt idx="92">
                  <c:v>1.5069999999999999</c:v>
                </c:pt>
                <c:pt idx="93">
                  <c:v>1.5129999999999999</c:v>
                </c:pt>
                <c:pt idx="94">
                  <c:v>1.5129999999999999</c:v>
                </c:pt>
                <c:pt idx="95">
                  <c:v>1.5189999999999999</c:v>
                </c:pt>
                <c:pt idx="96">
                  <c:v>1.522</c:v>
                </c:pt>
                <c:pt idx="97">
                  <c:v>1.5229999999999999</c:v>
                </c:pt>
                <c:pt idx="98">
                  <c:v>1.5289999999999999</c:v>
                </c:pt>
                <c:pt idx="99">
                  <c:v>1.5289999999999999</c:v>
                </c:pt>
                <c:pt idx="100">
                  <c:v>1.5309999999999999</c:v>
                </c:pt>
                <c:pt idx="101">
                  <c:v>1.5329999999999999</c:v>
                </c:pt>
                <c:pt idx="102">
                  <c:v>1.534</c:v>
                </c:pt>
                <c:pt idx="103">
                  <c:v>1.5369999999999999</c:v>
                </c:pt>
                <c:pt idx="104">
                  <c:v>1.5349999999999999</c:v>
                </c:pt>
                <c:pt idx="105">
                  <c:v>1.536</c:v>
                </c:pt>
                <c:pt idx="106">
                  <c:v>1.5369999999999999</c:v>
                </c:pt>
                <c:pt idx="107">
                  <c:v>1.538</c:v>
                </c:pt>
                <c:pt idx="108">
                  <c:v>1.554</c:v>
                </c:pt>
                <c:pt idx="109">
                  <c:v>1.5620000000000001</c:v>
                </c:pt>
                <c:pt idx="110">
                  <c:v>1.5649999999999999</c:v>
                </c:pt>
                <c:pt idx="111">
                  <c:v>1.5649999999999999</c:v>
                </c:pt>
                <c:pt idx="112">
                  <c:v>1.5649999999999999</c:v>
                </c:pt>
                <c:pt idx="113">
                  <c:v>1.5629999999999999</c:v>
                </c:pt>
                <c:pt idx="114">
                  <c:v>1.5580000000000001</c:v>
                </c:pt>
                <c:pt idx="115">
                  <c:v>1.5620000000000001</c:v>
                </c:pt>
                <c:pt idx="116">
                  <c:v>1.5640000000000001</c:v>
                </c:pt>
                <c:pt idx="117">
                  <c:v>1.5640000000000001</c:v>
                </c:pt>
                <c:pt idx="118">
                  <c:v>1.5640000000000001</c:v>
                </c:pt>
                <c:pt idx="119">
                  <c:v>1.5680000000000001</c:v>
                </c:pt>
                <c:pt idx="120">
                  <c:v>1.5720000000000001</c:v>
                </c:pt>
                <c:pt idx="121">
                  <c:v>1.5740000000000001</c:v>
                </c:pt>
                <c:pt idx="122">
                  <c:v>1.577</c:v>
                </c:pt>
                <c:pt idx="123">
                  <c:v>1.577</c:v>
                </c:pt>
                <c:pt idx="124">
                  <c:v>1.5740000000000001</c:v>
                </c:pt>
                <c:pt idx="125">
                  <c:v>1.577</c:v>
                </c:pt>
                <c:pt idx="126">
                  <c:v>1.5820000000000001</c:v>
                </c:pt>
                <c:pt idx="127">
                  <c:v>1.5860000000000001</c:v>
                </c:pt>
                <c:pt idx="128">
                  <c:v>1.585</c:v>
                </c:pt>
                <c:pt idx="129">
                  <c:v>1.583</c:v>
                </c:pt>
                <c:pt idx="130">
                  <c:v>1.587</c:v>
                </c:pt>
                <c:pt idx="131">
                  <c:v>1.589</c:v>
                </c:pt>
                <c:pt idx="132">
                  <c:v>1.59</c:v>
                </c:pt>
                <c:pt idx="133">
                  <c:v>1.5880000000000001</c:v>
                </c:pt>
                <c:pt idx="134">
                  <c:v>1.593</c:v>
                </c:pt>
                <c:pt idx="135">
                  <c:v>1.5940000000000001</c:v>
                </c:pt>
                <c:pt idx="136">
                  <c:v>1.591</c:v>
                </c:pt>
                <c:pt idx="137">
                  <c:v>1.59</c:v>
                </c:pt>
                <c:pt idx="138">
                  <c:v>1.5920000000000001</c:v>
                </c:pt>
                <c:pt idx="139">
                  <c:v>1.591</c:v>
                </c:pt>
                <c:pt idx="140">
                  <c:v>1.591</c:v>
                </c:pt>
                <c:pt idx="141">
                  <c:v>1.589</c:v>
                </c:pt>
                <c:pt idx="142">
                  <c:v>1.585</c:v>
                </c:pt>
                <c:pt idx="143">
                  <c:v>1.5860000000000001</c:v>
                </c:pt>
                <c:pt idx="144">
                  <c:v>1.591</c:v>
                </c:pt>
                <c:pt idx="145">
                  <c:v>1.591</c:v>
                </c:pt>
                <c:pt idx="146">
                  <c:v>1.593</c:v>
                </c:pt>
                <c:pt idx="147">
                  <c:v>1.593</c:v>
                </c:pt>
                <c:pt idx="148">
                  <c:v>1.597</c:v>
                </c:pt>
                <c:pt idx="149">
                  <c:v>1.6040000000000001</c:v>
                </c:pt>
                <c:pt idx="150">
                  <c:v>1.605</c:v>
                </c:pt>
                <c:pt idx="151">
                  <c:v>1.6080000000000001</c:v>
                </c:pt>
                <c:pt idx="152">
                  <c:v>1.605</c:v>
                </c:pt>
                <c:pt idx="153">
                  <c:v>1.601</c:v>
                </c:pt>
                <c:pt idx="154">
                  <c:v>1.605</c:v>
                </c:pt>
                <c:pt idx="155">
                  <c:v>1.605</c:v>
                </c:pt>
                <c:pt idx="156">
                  <c:v>1.6080000000000001</c:v>
                </c:pt>
                <c:pt idx="157">
                  <c:v>1.6080000000000001</c:v>
                </c:pt>
                <c:pt idx="158">
                  <c:v>1.611</c:v>
                </c:pt>
                <c:pt idx="159">
                  <c:v>1.611</c:v>
                </c:pt>
                <c:pt idx="160">
                  <c:v>1.6140000000000001</c:v>
                </c:pt>
                <c:pt idx="161">
                  <c:v>1.6120000000000001</c:v>
                </c:pt>
                <c:pt idx="162">
                  <c:v>1.6140000000000001</c:v>
                </c:pt>
                <c:pt idx="163">
                  <c:v>1.615</c:v>
                </c:pt>
                <c:pt idx="164">
                  <c:v>1.6140000000000001</c:v>
                </c:pt>
                <c:pt idx="165">
                  <c:v>1.615</c:v>
                </c:pt>
                <c:pt idx="166">
                  <c:v>1.617</c:v>
                </c:pt>
                <c:pt idx="167">
                  <c:v>1.615</c:v>
                </c:pt>
                <c:pt idx="168">
                  <c:v>1.62</c:v>
                </c:pt>
                <c:pt idx="169">
                  <c:v>1.625</c:v>
                </c:pt>
                <c:pt idx="170">
                  <c:v>1.631</c:v>
                </c:pt>
                <c:pt idx="171">
                  <c:v>1.6319999999999999</c:v>
                </c:pt>
                <c:pt idx="172">
                  <c:v>1.6259999999999999</c:v>
                </c:pt>
                <c:pt idx="173">
                  <c:v>1.637</c:v>
                </c:pt>
                <c:pt idx="174">
                  <c:v>1.6339999999999999</c:v>
                </c:pt>
                <c:pt idx="175">
                  <c:v>1.643</c:v>
                </c:pt>
                <c:pt idx="176">
                  <c:v>1.6459999999999999</c:v>
                </c:pt>
                <c:pt idx="177">
                  <c:v>1.6519999999999999</c:v>
                </c:pt>
                <c:pt idx="178">
                  <c:v>1.6579999999999999</c:v>
                </c:pt>
                <c:pt idx="179">
                  <c:v>1.6539999999999999</c:v>
                </c:pt>
                <c:pt idx="180">
                  <c:v>1.657</c:v>
                </c:pt>
                <c:pt idx="181">
                  <c:v>1.659</c:v>
                </c:pt>
                <c:pt idx="182">
                  <c:v>1.6639999999999999</c:v>
                </c:pt>
                <c:pt idx="183">
                  <c:v>1.671</c:v>
                </c:pt>
                <c:pt idx="184">
                  <c:v>1.67</c:v>
                </c:pt>
                <c:pt idx="185">
                  <c:v>1.671</c:v>
                </c:pt>
                <c:pt idx="186">
                  <c:v>1.665</c:v>
                </c:pt>
                <c:pt idx="187">
                  <c:v>1.6579999999999999</c:v>
                </c:pt>
                <c:pt idx="188">
                  <c:v>1.665</c:v>
                </c:pt>
                <c:pt idx="189">
                  <c:v>1.67</c:v>
                </c:pt>
                <c:pt idx="190">
                  <c:v>1.6759999999999999</c:v>
                </c:pt>
                <c:pt idx="191">
                  <c:v>1.675</c:v>
                </c:pt>
                <c:pt idx="192">
                  <c:v>1.681</c:v>
                </c:pt>
                <c:pt idx="193">
                  <c:v>1.679</c:v>
                </c:pt>
                <c:pt idx="194">
                  <c:v>1.6819999999999999</c:v>
                </c:pt>
                <c:pt idx="195">
                  <c:v>1.6839999999999999</c:v>
                </c:pt>
                <c:pt idx="196">
                  <c:v>1.6839999999999999</c:v>
                </c:pt>
                <c:pt idx="197">
                  <c:v>1.6950000000000001</c:v>
                </c:pt>
                <c:pt idx="198">
                  <c:v>1.6919999999999999</c:v>
                </c:pt>
                <c:pt idx="199">
                  <c:v>1.6930000000000001</c:v>
                </c:pt>
                <c:pt idx="200">
                  <c:v>1.6879999999999999</c:v>
                </c:pt>
                <c:pt idx="201">
                  <c:v>1.696</c:v>
                </c:pt>
                <c:pt idx="202">
                  <c:v>1.69</c:v>
                </c:pt>
                <c:pt idx="203">
                  <c:v>1.6950000000000001</c:v>
                </c:pt>
                <c:pt idx="204">
                  <c:v>1.696</c:v>
                </c:pt>
                <c:pt idx="205">
                  <c:v>1.7030000000000001</c:v>
                </c:pt>
                <c:pt idx="206">
                  <c:v>1.6970000000000001</c:v>
                </c:pt>
                <c:pt idx="207">
                  <c:v>1.698</c:v>
                </c:pt>
                <c:pt idx="208">
                  <c:v>1.6839999999999999</c:v>
                </c:pt>
                <c:pt idx="209">
                  <c:v>1.6919999999999999</c:v>
                </c:pt>
                <c:pt idx="210">
                  <c:v>1.6990000000000001</c:v>
                </c:pt>
                <c:pt idx="211">
                  <c:v>1.7070000000000001</c:v>
                </c:pt>
                <c:pt idx="212">
                  <c:v>1.71</c:v>
                </c:pt>
                <c:pt idx="213">
                  <c:v>1.708</c:v>
                </c:pt>
                <c:pt idx="214">
                  <c:v>1.712</c:v>
                </c:pt>
                <c:pt idx="215">
                  <c:v>1.714</c:v>
                </c:pt>
                <c:pt idx="216">
                  <c:v>1.7170000000000001</c:v>
                </c:pt>
                <c:pt idx="217">
                  <c:v>1.714</c:v>
                </c:pt>
                <c:pt idx="218">
                  <c:v>1.7170000000000001</c:v>
                </c:pt>
                <c:pt idx="219">
                  <c:v>1.718</c:v>
                </c:pt>
                <c:pt idx="220">
                  <c:v>1.716</c:v>
                </c:pt>
                <c:pt idx="221">
                  <c:v>1.718</c:v>
                </c:pt>
                <c:pt idx="222">
                  <c:v>1.724</c:v>
                </c:pt>
                <c:pt idx="223">
                  <c:v>1.724</c:v>
                </c:pt>
                <c:pt idx="224">
                  <c:v>1.726</c:v>
                </c:pt>
                <c:pt idx="225">
                  <c:v>1.7270000000000001</c:v>
                </c:pt>
                <c:pt idx="226">
                  <c:v>1.73</c:v>
                </c:pt>
                <c:pt idx="227">
                  <c:v>1.7330000000000001</c:v>
                </c:pt>
                <c:pt idx="228">
                  <c:v>1.732</c:v>
                </c:pt>
                <c:pt idx="229">
                  <c:v>1.7330000000000001</c:v>
                </c:pt>
                <c:pt idx="230">
                  <c:v>1.738</c:v>
                </c:pt>
                <c:pt idx="231">
                  <c:v>1.736</c:v>
                </c:pt>
                <c:pt idx="232">
                  <c:v>1.732</c:v>
                </c:pt>
                <c:pt idx="233">
                  <c:v>1.7330000000000001</c:v>
                </c:pt>
                <c:pt idx="234">
                  <c:v>1.7350000000000001</c:v>
                </c:pt>
                <c:pt idx="235">
                  <c:v>1.7330000000000001</c:v>
                </c:pt>
                <c:pt idx="236">
                  <c:v>1.74</c:v>
                </c:pt>
                <c:pt idx="237">
                  <c:v>1.744</c:v>
                </c:pt>
                <c:pt idx="238">
                  <c:v>1.7450000000000001</c:v>
                </c:pt>
                <c:pt idx="239">
                  <c:v>1.746</c:v>
                </c:pt>
                <c:pt idx="240">
                  <c:v>1.7470000000000001</c:v>
                </c:pt>
                <c:pt idx="241">
                  <c:v>1.75</c:v>
                </c:pt>
                <c:pt idx="242">
                  <c:v>1.7509999999999999</c:v>
                </c:pt>
                <c:pt idx="243">
                  <c:v>1.756</c:v>
                </c:pt>
                <c:pt idx="244">
                  <c:v>1.758</c:v>
                </c:pt>
                <c:pt idx="245">
                  <c:v>1.7589999999999999</c:v>
                </c:pt>
                <c:pt idx="246">
                  <c:v>1.7589999999999999</c:v>
                </c:pt>
                <c:pt idx="247">
                  <c:v>1.754</c:v>
                </c:pt>
                <c:pt idx="248">
                  <c:v>1.7490000000000001</c:v>
                </c:pt>
                <c:pt idx="249">
                  <c:v>1.7470000000000001</c:v>
                </c:pt>
                <c:pt idx="250">
                  <c:v>1.752</c:v>
                </c:pt>
                <c:pt idx="251">
                  <c:v>1.7569999999999999</c:v>
                </c:pt>
                <c:pt idx="252">
                  <c:v>1.7549999999999999</c:v>
                </c:pt>
                <c:pt idx="253">
                  <c:v>1.7609999999999999</c:v>
                </c:pt>
              </c:numCache>
            </c:numRef>
          </c:val>
          <c:smooth val="0"/>
          <c:extLst>
            <c:ext xmlns:c16="http://schemas.microsoft.com/office/drawing/2014/chart" uri="{C3380CC4-5D6E-409C-BE32-E72D297353CC}">
              <c16:uniqueId val="{00000000-2340-481E-A2CB-E96CCFBCB7FF}"/>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1.2"/>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a:t>爱凡哲八号</a:t>
            </a:r>
            <a:endParaRPr lang="en-US" altLang="zh-CN" sz="1600"/>
          </a:p>
        </c:rich>
      </c:tx>
      <c:overlay val="0"/>
    </c:title>
    <c:autoTitleDeleted val="0"/>
    <c:plotArea>
      <c:layout/>
      <c:lineChart>
        <c:grouping val="standard"/>
        <c:varyColors val="0"/>
        <c:ser>
          <c:idx val="0"/>
          <c:order val="0"/>
          <c:tx>
            <c:strRef>
              <c:f>爱凡哲八号!$B$20</c:f>
              <c:strCache>
                <c:ptCount val="1"/>
                <c:pt idx="0">
                  <c:v>累计净值</c:v>
                </c:pt>
              </c:strCache>
            </c:strRef>
          </c:tx>
          <c:marker>
            <c:symbol val="none"/>
          </c:marker>
          <c:cat>
            <c:numRef>
              <c:f>爱凡哲八号!$A$21:$A$271</c:f>
              <c:numCache>
                <c:formatCode>m/d/yy</c:formatCode>
                <c:ptCount val="251"/>
                <c:pt idx="0">
                  <c:v>43951</c:v>
                </c:pt>
                <c:pt idx="1">
                  <c:v>43957</c:v>
                </c:pt>
                <c:pt idx="2">
                  <c:v>43958</c:v>
                </c:pt>
                <c:pt idx="3">
                  <c:v>43959</c:v>
                </c:pt>
                <c:pt idx="4">
                  <c:v>43962</c:v>
                </c:pt>
                <c:pt idx="5">
                  <c:v>43963</c:v>
                </c:pt>
                <c:pt idx="6">
                  <c:v>43964</c:v>
                </c:pt>
                <c:pt idx="7">
                  <c:v>43965</c:v>
                </c:pt>
                <c:pt idx="8">
                  <c:v>43966</c:v>
                </c:pt>
                <c:pt idx="9">
                  <c:v>43969</c:v>
                </c:pt>
                <c:pt idx="10">
                  <c:v>43970</c:v>
                </c:pt>
                <c:pt idx="11">
                  <c:v>43971</c:v>
                </c:pt>
                <c:pt idx="12">
                  <c:v>43972</c:v>
                </c:pt>
                <c:pt idx="13">
                  <c:v>43973</c:v>
                </c:pt>
                <c:pt idx="14">
                  <c:v>43976</c:v>
                </c:pt>
                <c:pt idx="15">
                  <c:v>43977</c:v>
                </c:pt>
                <c:pt idx="16">
                  <c:v>43978</c:v>
                </c:pt>
                <c:pt idx="17">
                  <c:v>43979</c:v>
                </c:pt>
                <c:pt idx="18">
                  <c:v>43980</c:v>
                </c:pt>
                <c:pt idx="19">
                  <c:v>43983</c:v>
                </c:pt>
                <c:pt idx="20">
                  <c:v>43984</c:v>
                </c:pt>
                <c:pt idx="21">
                  <c:v>43985</c:v>
                </c:pt>
                <c:pt idx="22">
                  <c:v>43986</c:v>
                </c:pt>
                <c:pt idx="23">
                  <c:v>43987</c:v>
                </c:pt>
                <c:pt idx="24">
                  <c:v>43990</c:v>
                </c:pt>
                <c:pt idx="25">
                  <c:v>43991</c:v>
                </c:pt>
                <c:pt idx="26">
                  <c:v>43992</c:v>
                </c:pt>
                <c:pt idx="27">
                  <c:v>43993</c:v>
                </c:pt>
                <c:pt idx="28">
                  <c:v>43994</c:v>
                </c:pt>
                <c:pt idx="29">
                  <c:v>43997</c:v>
                </c:pt>
                <c:pt idx="30">
                  <c:v>43998</c:v>
                </c:pt>
                <c:pt idx="31">
                  <c:v>43999</c:v>
                </c:pt>
                <c:pt idx="32">
                  <c:v>44000</c:v>
                </c:pt>
                <c:pt idx="33">
                  <c:v>44001</c:v>
                </c:pt>
                <c:pt idx="34">
                  <c:v>44004</c:v>
                </c:pt>
                <c:pt idx="35">
                  <c:v>44005</c:v>
                </c:pt>
                <c:pt idx="36">
                  <c:v>44006</c:v>
                </c:pt>
                <c:pt idx="37">
                  <c:v>44011</c:v>
                </c:pt>
                <c:pt idx="38">
                  <c:v>44012</c:v>
                </c:pt>
                <c:pt idx="39">
                  <c:v>44013</c:v>
                </c:pt>
                <c:pt idx="40">
                  <c:v>44014</c:v>
                </c:pt>
                <c:pt idx="41">
                  <c:v>44015</c:v>
                </c:pt>
                <c:pt idx="42">
                  <c:v>44018</c:v>
                </c:pt>
                <c:pt idx="43">
                  <c:v>44019</c:v>
                </c:pt>
                <c:pt idx="44">
                  <c:v>44020</c:v>
                </c:pt>
                <c:pt idx="45">
                  <c:v>44021</c:v>
                </c:pt>
                <c:pt idx="46">
                  <c:v>44022</c:v>
                </c:pt>
                <c:pt idx="47">
                  <c:v>44025</c:v>
                </c:pt>
                <c:pt idx="48">
                  <c:v>44026</c:v>
                </c:pt>
                <c:pt idx="49">
                  <c:v>44027</c:v>
                </c:pt>
                <c:pt idx="50">
                  <c:v>44028</c:v>
                </c:pt>
                <c:pt idx="51">
                  <c:v>44029</c:v>
                </c:pt>
                <c:pt idx="52">
                  <c:v>44032</c:v>
                </c:pt>
                <c:pt idx="53">
                  <c:v>44033</c:v>
                </c:pt>
                <c:pt idx="54">
                  <c:v>44034</c:v>
                </c:pt>
                <c:pt idx="55">
                  <c:v>44035</c:v>
                </c:pt>
                <c:pt idx="56">
                  <c:v>44036</c:v>
                </c:pt>
                <c:pt idx="57">
                  <c:v>44039</c:v>
                </c:pt>
                <c:pt idx="58">
                  <c:v>44040</c:v>
                </c:pt>
                <c:pt idx="59">
                  <c:v>44041</c:v>
                </c:pt>
                <c:pt idx="60">
                  <c:v>44042</c:v>
                </c:pt>
                <c:pt idx="61">
                  <c:v>44043</c:v>
                </c:pt>
                <c:pt idx="62">
                  <c:v>44046</c:v>
                </c:pt>
                <c:pt idx="63">
                  <c:v>44047</c:v>
                </c:pt>
                <c:pt idx="64">
                  <c:v>44048</c:v>
                </c:pt>
                <c:pt idx="65">
                  <c:v>44049</c:v>
                </c:pt>
                <c:pt idx="66">
                  <c:v>44050</c:v>
                </c:pt>
                <c:pt idx="67">
                  <c:v>44053</c:v>
                </c:pt>
                <c:pt idx="68">
                  <c:v>44054</c:v>
                </c:pt>
                <c:pt idx="69">
                  <c:v>44055</c:v>
                </c:pt>
                <c:pt idx="70">
                  <c:v>44056</c:v>
                </c:pt>
                <c:pt idx="71">
                  <c:v>44057</c:v>
                </c:pt>
                <c:pt idx="72">
                  <c:v>44060</c:v>
                </c:pt>
                <c:pt idx="73">
                  <c:v>44061</c:v>
                </c:pt>
                <c:pt idx="74">
                  <c:v>44062</c:v>
                </c:pt>
                <c:pt idx="75">
                  <c:v>44063</c:v>
                </c:pt>
                <c:pt idx="76">
                  <c:v>44064</c:v>
                </c:pt>
                <c:pt idx="77">
                  <c:v>44067</c:v>
                </c:pt>
                <c:pt idx="78">
                  <c:v>44068</c:v>
                </c:pt>
                <c:pt idx="79">
                  <c:v>44069</c:v>
                </c:pt>
                <c:pt idx="80">
                  <c:v>44070</c:v>
                </c:pt>
                <c:pt idx="81">
                  <c:v>44071</c:v>
                </c:pt>
                <c:pt idx="82">
                  <c:v>44074</c:v>
                </c:pt>
                <c:pt idx="83">
                  <c:v>44075</c:v>
                </c:pt>
                <c:pt idx="84">
                  <c:v>44076</c:v>
                </c:pt>
                <c:pt idx="85">
                  <c:v>44077</c:v>
                </c:pt>
                <c:pt idx="86">
                  <c:v>44078</c:v>
                </c:pt>
                <c:pt idx="87">
                  <c:v>44081</c:v>
                </c:pt>
                <c:pt idx="88">
                  <c:v>44082</c:v>
                </c:pt>
                <c:pt idx="89">
                  <c:v>44083</c:v>
                </c:pt>
                <c:pt idx="90">
                  <c:v>44084</c:v>
                </c:pt>
                <c:pt idx="91">
                  <c:v>44085</c:v>
                </c:pt>
                <c:pt idx="92">
                  <c:v>44088</c:v>
                </c:pt>
                <c:pt idx="93">
                  <c:v>44089</c:v>
                </c:pt>
                <c:pt idx="94">
                  <c:v>44090</c:v>
                </c:pt>
                <c:pt idx="95">
                  <c:v>44091</c:v>
                </c:pt>
                <c:pt idx="96">
                  <c:v>44092</c:v>
                </c:pt>
                <c:pt idx="97">
                  <c:v>44095</c:v>
                </c:pt>
                <c:pt idx="98">
                  <c:v>44096</c:v>
                </c:pt>
                <c:pt idx="99">
                  <c:v>44097</c:v>
                </c:pt>
                <c:pt idx="100">
                  <c:v>44098</c:v>
                </c:pt>
                <c:pt idx="101">
                  <c:v>44099</c:v>
                </c:pt>
                <c:pt idx="102">
                  <c:v>44102</c:v>
                </c:pt>
                <c:pt idx="103">
                  <c:v>44103</c:v>
                </c:pt>
                <c:pt idx="104">
                  <c:v>44104</c:v>
                </c:pt>
                <c:pt idx="105">
                  <c:v>44113</c:v>
                </c:pt>
                <c:pt idx="106">
                  <c:v>44116</c:v>
                </c:pt>
                <c:pt idx="107">
                  <c:v>44117</c:v>
                </c:pt>
                <c:pt idx="108">
                  <c:v>44118</c:v>
                </c:pt>
                <c:pt idx="109">
                  <c:v>44119</c:v>
                </c:pt>
                <c:pt idx="110">
                  <c:v>44120</c:v>
                </c:pt>
                <c:pt idx="111">
                  <c:v>44123</c:v>
                </c:pt>
                <c:pt idx="112">
                  <c:v>44124</c:v>
                </c:pt>
                <c:pt idx="113">
                  <c:v>44125</c:v>
                </c:pt>
                <c:pt idx="114">
                  <c:v>44126</c:v>
                </c:pt>
                <c:pt idx="115">
                  <c:v>44127</c:v>
                </c:pt>
                <c:pt idx="116">
                  <c:v>44130</c:v>
                </c:pt>
                <c:pt idx="117">
                  <c:v>44131</c:v>
                </c:pt>
                <c:pt idx="118">
                  <c:v>44132</c:v>
                </c:pt>
                <c:pt idx="119">
                  <c:v>44133</c:v>
                </c:pt>
                <c:pt idx="120">
                  <c:v>44134</c:v>
                </c:pt>
                <c:pt idx="121">
                  <c:v>44137</c:v>
                </c:pt>
                <c:pt idx="122">
                  <c:v>44138</c:v>
                </c:pt>
                <c:pt idx="123">
                  <c:v>44139</c:v>
                </c:pt>
                <c:pt idx="124">
                  <c:v>44140</c:v>
                </c:pt>
                <c:pt idx="125">
                  <c:v>44141</c:v>
                </c:pt>
                <c:pt idx="126">
                  <c:v>44144</c:v>
                </c:pt>
                <c:pt idx="127">
                  <c:v>44145</c:v>
                </c:pt>
                <c:pt idx="128">
                  <c:v>44146</c:v>
                </c:pt>
                <c:pt idx="129">
                  <c:v>44147</c:v>
                </c:pt>
                <c:pt idx="130">
                  <c:v>44148</c:v>
                </c:pt>
                <c:pt idx="131">
                  <c:v>44151</c:v>
                </c:pt>
                <c:pt idx="132">
                  <c:v>44152</c:v>
                </c:pt>
                <c:pt idx="133">
                  <c:v>44153</c:v>
                </c:pt>
                <c:pt idx="134">
                  <c:v>44154</c:v>
                </c:pt>
                <c:pt idx="135">
                  <c:v>44155</c:v>
                </c:pt>
                <c:pt idx="136">
                  <c:v>44158</c:v>
                </c:pt>
                <c:pt idx="137">
                  <c:v>44159</c:v>
                </c:pt>
                <c:pt idx="138">
                  <c:v>44160</c:v>
                </c:pt>
                <c:pt idx="139">
                  <c:v>44161</c:v>
                </c:pt>
                <c:pt idx="140">
                  <c:v>44162</c:v>
                </c:pt>
                <c:pt idx="141">
                  <c:v>44165</c:v>
                </c:pt>
                <c:pt idx="142">
                  <c:v>44166</c:v>
                </c:pt>
                <c:pt idx="143">
                  <c:v>44167</c:v>
                </c:pt>
                <c:pt idx="144">
                  <c:v>44168</c:v>
                </c:pt>
                <c:pt idx="145">
                  <c:v>44169</c:v>
                </c:pt>
                <c:pt idx="146">
                  <c:v>44172</c:v>
                </c:pt>
                <c:pt idx="147">
                  <c:v>44173</c:v>
                </c:pt>
                <c:pt idx="148">
                  <c:v>44174</c:v>
                </c:pt>
                <c:pt idx="149">
                  <c:v>44175</c:v>
                </c:pt>
                <c:pt idx="150">
                  <c:v>44176</c:v>
                </c:pt>
                <c:pt idx="151">
                  <c:v>44179</c:v>
                </c:pt>
                <c:pt idx="152">
                  <c:v>44180</c:v>
                </c:pt>
                <c:pt idx="153">
                  <c:v>44181</c:v>
                </c:pt>
                <c:pt idx="154">
                  <c:v>44182</c:v>
                </c:pt>
                <c:pt idx="155">
                  <c:v>44183</c:v>
                </c:pt>
                <c:pt idx="156">
                  <c:v>44186</c:v>
                </c:pt>
                <c:pt idx="157">
                  <c:v>44187</c:v>
                </c:pt>
                <c:pt idx="158">
                  <c:v>44188</c:v>
                </c:pt>
                <c:pt idx="159">
                  <c:v>44189</c:v>
                </c:pt>
                <c:pt idx="160">
                  <c:v>44190</c:v>
                </c:pt>
                <c:pt idx="161">
                  <c:v>44193</c:v>
                </c:pt>
                <c:pt idx="162">
                  <c:v>44194</c:v>
                </c:pt>
                <c:pt idx="163">
                  <c:v>44195</c:v>
                </c:pt>
                <c:pt idx="164">
                  <c:v>44196</c:v>
                </c:pt>
                <c:pt idx="165">
                  <c:v>44200</c:v>
                </c:pt>
                <c:pt idx="166">
                  <c:v>44201</c:v>
                </c:pt>
                <c:pt idx="167">
                  <c:v>44202</c:v>
                </c:pt>
                <c:pt idx="168">
                  <c:v>44203</c:v>
                </c:pt>
                <c:pt idx="169">
                  <c:v>44204</c:v>
                </c:pt>
                <c:pt idx="170">
                  <c:v>44207</c:v>
                </c:pt>
                <c:pt idx="171">
                  <c:v>44208</c:v>
                </c:pt>
                <c:pt idx="172">
                  <c:v>44209</c:v>
                </c:pt>
                <c:pt idx="173">
                  <c:v>44210</c:v>
                </c:pt>
                <c:pt idx="174">
                  <c:v>44211</c:v>
                </c:pt>
                <c:pt idx="175">
                  <c:v>44214</c:v>
                </c:pt>
                <c:pt idx="176">
                  <c:v>44215</c:v>
                </c:pt>
                <c:pt idx="177">
                  <c:v>44216</c:v>
                </c:pt>
                <c:pt idx="178">
                  <c:v>44217</c:v>
                </c:pt>
                <c:pt idx="179">
                  <c:v>44218</c:v>
                </c:pt>
                <c:pt idx="180">
                  <c:v>44221</c:v>
                </c:pt>
                <c:pt idx="181">
                  <c:v>44222</c:v>
                </c:pt>
                <c:pt idx="182">
                  <c:v>44223</c:v>
                </c:pt>
                <c:pt idx="183">
                  <c:v>44224</c:v>
                </c:pt>
                <c:pt idx="184">
                  <c:v>44225</c:v>
                </c:pt>
                <c:pt idx="185">
                  <c:v>44228</c:v>
                </c:pt>
                <c:pt idx="186">
                  <c:v>44229</c:v>
                </c:pt>
                <c:pt idx="187">
                  <c:v>44230</c:v>
                </c:pt>
                <c:pt idx="188">
                  <c:v>44231</c:v>
                </c:pt>
                <c:pt idx="189">
                  <c:v>44232</c:v>
                </c:pt>
                <c:pt idx="190">
                  <c:v>44235</c:v>
                </c:pt>
                <c:pt idx="191">
                  <c:v>44236</c:v>
                </c:pt>
                <c:pt idx="192">
                  <c:v>44237</c:v>
                </c:pt>
                <c:pt idx="193">
                  <c:v>44245</c:v>
                </c:pt>
                <c:pt idx="194">
                  <c:v>44246</c:v>
                </c:pt>
                <c:pt idx="195">
                  <c:v>44249</c:v>
                </c:pt>
                <c:pt idx="196">
                  <c:v>44250</c:v>
                </c:pt>
                <c:pt idx="197">
                  <c:v>44251</c:v>
                </c:pt>
                <c:pt idx="198">
                  <c:v>44252</c:v>
                </c:pt>
                <c:pt idx="199">
                  <c:v>44253</c:v>
                </c:pt>
                <c:pt idx="200">
                  <c:v>44256</c:v>
                </c:pt>
                <c:pt idx="201">
                  <c:v>44257</c:v>
                </c:pt>
                <c:pt idx="202">
                  <c:v>44258</c:v>
                </c:pt>
                <c:pt idx="203">
                  <c:v>44259</c:v>
                </c:pt>
                <c:pt idx="204">
                  <c:v>44260</c:v>
                </c:pt>
                <c:pt idx="205">
                  <c:v>44263</c:v>
                </c:pt>
                <c:pt idx="206">
                  <c:v>44264</c:v>
                </c:pt>
                <c:pt idx="207">
                  <c:v>44265</c:v>
                </c:pt>
                <c:pt idx="208">
                  <c:v>44266</c:v>
                </c:pt>
                <c:pt idx="209">
                  <c:v>44267</c:v>
                </c:pt>
                <c:pt idx="210">
                  <c:v>44270</c:v>
                </c:pt>
                <c:pt idx="211">
                  <c:v>44271</c:v>
                </c:pt>
                <c:pt idx="212">
                  <c:v>44272</c:v>
                </c:pt>
                <c:pt idx="213">
                  <c:v>44273</c:v>
                </c:pt>
                <c:pt idx="214">
                  <c:v>44274</c:v>
                </c:pt>
                <c:pt idx="215">
                  <c:v>44277</c:v>
                </c:pt>
                <c:pt idx="216">
                  <c:v>44278</c:v>
                </c:pt>
                <c:pt idx="217">
                  <c:v>44279</c:v>
                </c:pt>
                <c:pt idx="218">
                  <c:v>44280</c:v>
                </c:pt>
                <c:pt idx="219">
                  <c:v>44281</c:v>
                </c:pt>
                <c:pt idx="220">
                  <c:v>44284</c:v>
                </c:pt>
                <c:pt idx="221">
                  <c:v>44285</c:v>
                </c:pt>
                <c:pt idx="222">
                  <c:v>44286</c:v>
                </c:pt>
                <c:pt idx="223">
                  <c:v>44287</c:v>
                </c:pt>
                <c:pt idx="224">
                  <c:v>44288</c:v>
                </c:pt>
                <c:pt idx="225">
                  <c:v>44292</c:v>
                </c:pt>
                <c:pt idx="226">
                  <c:v>44293</c:v>
                </c:pt>
                <c:pt idx="227">
                  <c:v>44294</c:v>
                </c:pt>
                <c:pt idx="228">
                  <c:v>44295</c:v>
                </c:pt>
                <c:pt idx="229">
                  <c:v>44298</c:v>
                </c:pt>
                <c:pt idx="230">
                  <c:v>44299</c:v>
                </c:pt>
                <c:pt idx="231">
                  <c:v>44300</c:v>
                </c:pt>
                <c:pt idx="232">
                  <c:v>44301</c:v>
                </c:pt>
                <c:pt idx="233">
                  <c:v>44302</c:v>
                </c:pt>
                <c:pt idx="234">
                  <c:v>44305</c:v>
                </c:pt>
                <c:pt idx="235">
                  <c:v>44306</c:v>
                </c:pt>
                <c:pt idx="236">
                  <c:v>44307</c:v>
                </c:pt>
                <c:pt idx="237">
                  <c:v>44308</c:v>
                </c:pt>
                <c:pt idx="238">
                  <c:v>44309</c:v>
                </c:pt>
                <c:pt idx="239">
                  <c:v>44312</c:v>
                </c:pt>
                <c:pt idx="240">
                  <c:v>44313</c:v>
                </c:pt>
                <c:pt idx="241">
                  <c:v>44314</c:v>
                </c:pt>
                <c:pt idx="242">
                  <c:v>44315</c:v>
                </c:pt>
                <c:pt idx="243">
                  <c:v>44316</c:v>
                </c:pt>
                <c:pt idx="244">
                  <c:v>44322</c:v>
                </c:pt>
                <c:pt idx="245">
                  <c:v>44323</c:v>
                </c:pt>
                <c:pt idx="246">
                  <c:v>44326</c:v>
                </c:pt>
                <c:pt idx="247">
                  <c:v>44327</c:v>
                </c:pt>
                <c:pt idx="248">
                  <c:v>44328</c:v>
                </c:pt>
                <c:pt idx="249">
                  <c:v>44329</c:v>
                </c:pt>
                <c:pt idx="250">
                  <c:v>44330</c:v>
                </c:pt>
              </c:numCache>
            </c:numRef>
          </c:cat>
          <c:val>
            <c:numRef>
              <c:f>爱凡哲八号!$B$21:$B$271</c:f>
              <c:numCache>
                <c:formatCode>0.0000_ </c:formatCode>
                <c:ptCount val="251"/>
                <c:pt idx="0">
                  <c:v>0.99990000000000001</c:v>
                </c:pt>
                <c:pt idx="1">
                  <c:v>0.99990000000000001</c:v>
                </c:pt>
                <c:pt idx="2">
                  <c:v>0.99990000000000001</c:v>
                </c:pt>
                <c:pt idx="3">
                  <c:v>1</c:v>
                </c:pt>
                <c:pt idx="4">
                  <c:v>1.0005999999999999</c:v>
                </c:pt>
                <c:pt idx="5">
                  <c:v>1.0011000000000001</c:v>
                </c:pt>
                <c:pt idx="6">
                  <c:v>1.0013000000000001</c:v>
                </c:pt>
                <c:pt idx="7">
                  <c:v>1.0018</c:v>
                </c:pt>
                <c:pt idx="8">
                  <c:v>1.0036</c:v>
                </c:pt>
                <c:pt idx="9">
                  <c:v>1.0044999999999999</c:v>
                </c:pt>
                <c:pt idx="10">
                  <c:v>1.0032000000000001</c:v>
                </c:pt>
                <c:pt idx="11">
                  <c:v>1.0049999999999999</c:v>
                </c:pt>
                <c:pt idx="12">
                  <c:v>1.0044</c:v>
                </c:pt>
                <c:pt idx="13">
                  <c:v>1.0063</c:v>
                </c:pt>
                <c:pt idx="14">
                  <c:v>1.0051000000000001</c:v>
                </c:pt>
                <c:pt idx="15">
                  <c:v>1.0065999999999999</c:v>
                </c:pt>
                <c:pt idx="16">
                  <c:v>1.0068999999999999</c:v>
                </c:pt>
                <c:pt idx="17">
                  <c:v>1.008</c:v>
                </c:pt>
                <c:pt idx="18">
                  <c:v>1.0068999999999999</c:v>
                </c:pt>
                <c:pt idx="19">
                  <c:v>1.0106999999999999</c:v>
                </c:pt>
                <c:pt idx="20">
                  <c:v>1.0082</c:v>
                </c:pt>
                <c:pt idx="21">
                  <c:v>1.0065999999999999</c:v>
                </c:pt>
                <c:pt idx="22">
                  <c:v>1.0059</c:v>
                </c:pt>
                <c:pt idx="23">
                  <c:v>1.0067999999999999</c:v>
                </c:pt>
                <c:pt idx="24">
                  <c:v>1.0084</c:v>
                </c:pt>
                <c:pt idx="25">
                  <c:v>1.0086999999999999</c:v>
                </c:pt>
                <c:pt idx="26">
                  <c:v>1.0097</c:v>
                </c:pt>
                <c:pt idx="27">
                  <c:v>1.0099</c:v>
                </c:pt>
                <c:pt idx="28">
                  <c:v>1.0082</c:v>
                </c:pt>
                <c:pt idx="29">
                  <c:v>1.0107999999999999</c:v>
                </c:pt>
                <c:pt idx="30">
                  <c:v>1.0130999999999999</c:v>
                </c:pt>
                <c:pt idx="31">
                  <c:v>1.0137</c:v>
                </c:pt>
                <c:pt idx="32">
                  <c:v>1.0136000000000001</c:v>
                </c:pt>
                <c:pt idx="33">
                  <c:v>1.0105</c:v>
                </c:pt>
                <c:pt idx="34">
                  <c:v>1.0102</c:v>
                </c:pt>
                <c:pt idx="35">
                  <c:v>1.0133000000000001</c:v>
                </c:pt>
                <c:pt idx="36">
                  <c:v>1.0158</c:v>
                </c:pt>
                <c:pt idx="37">
                  <c:v>1.0158</c:v>
                </c:pt>
                <c:pt idx="38">
                  <c:v>1.0161</c:v>
                </c:pt>
                <c:pt idx="39">
                  <c:v>1.0161</c:v>
                </c:pt>
                <c:pt idx="40">
                  <c:v>1.0147999999999999</c:v>
                </c:pt>
                <c:pt idx="41">
                  <c:v>1.0159</c:v>
                </c:pt>
                <c:pt idx="42">
                  <c:v>1.0181</c:v>
                </c:pt>
                <c:pt idx="43">
                  <c:v>1.0258</c:v>
                </c:pt>
                <c:pt idx="44">
                  <c:v>1.0293000000000001</c:v>
                </c:pt>
                <c:pt idx="45">
                  <c:v>1.0301</c:v>
                </c:pt>
                <c:pt idx="46">
                  <c:v>1.0324</c:v>
                </c:pt>
                <c:pt idx="47">
                  <c:v>1.0327</c:v>
                </c:pt>
                <c:pt idx="48">
                  <c:v>1.0363</c:v>
                </c:pt>
                <c:pt idx="49">
                  <c:v>1.0376000000000001</c:v>
                </c:pt>
                <c:pt idx="50">
                  <c:v>1.0468999999999999</c:v>
                </c:pt>
                <c:pt idx="51">
                  <c:v>1.0504</c:v>
                </c:pt>
                <c:pt idx="52">
                  <c:v>1.0515000000000001</c:v>
                </c:pt>
                <c:pt idx="53">
                  <c:v>1.054</c:v>
                </c:pt>
                <c:pt idx="54">
                  <c:v>1.0551999999999999</c:v>
                </c:pt>
                <c:pt idx="55">
                  <c:v>1.0599000000000001</c:v>
                </c:pt>
                <c:pt idx="56">
                  <c:v>1.0636000000000001</c:v>
                </c:pt>
                <c:pt idx="57">
                  <c:v>1.0642</c:v>
                </c:pt>
                <c:pt idx="58">
                  <c:v>1.0634999999999999</c:v>
                </c:pt>
                <c:pt idx="59">
                  <c:v>1.0638000000000001</c:v>
                </c:pt>
                <c:pt idx="60">
                  <c:v>1.0645</c:v>
                </c:pt>
                <c:pt idx="61">
                  <c:v>1.0680000000000001</c:v>
                </c:pt>
                <c:pt idx="62">
                  <c:v>1.0680000000000001</c:v>
                </c:pt>
                <c:pt idx="63">
                  <c:v>1.0652999999999999</c:v>
                </c:pt>
                <c:pt idx="64">
                  <c:v>1.0662</c:v>
                </c:pt>
                <c:pt idx="65">
                  <c:v>1.0671999999999999</c:v>
                </c:pt>
                <c:pt idx="66">
                  <c:v>1.0650999999999999</c:v>
                </c:pt>
                <c:pt idx="67">
                  <c:v>1.0651999999999999</c:v>
                </c:pt>
                <c:pt idx="68">
                  <c:v>1.0632999999999999</c:v>
                </c:pt>
                <c:pt idx="69">
                  <c:v>1.0686</c:v>
                </c:pt>
                <c:pt idx="70">
                  <c:v>1.0690999999999999</c:v>
                </c:pt>
                <c:pt idx="71">
                  <c:v>1.0703</c:v>
                </c:pt>
                <c:pt idx="72">
                  <c:v>1.0653999999999999</c:v>
                </c:pt>
                <c:pt idx="73">
                  <c:v>1.0598000000000001</c:v>
                </c:pt>
                <c:pt idx="74">
                  <c:v>1.0593999999999999</c:v>
                </c:pt>
                <c:pt idx="75">
                  <c:v>1.0593999999999999</c:v>
                </c:pt>
                <c:pt idx="76">
                  <c:v>1.0609</c:v>
                </c:pt>
                <c:pt idx="77">
                  <c:v>1.0622</c:v>
                </c:pt>
                <c:pt idx="78">
                  <c:v>1.0629</c:v>
                </c:pt>
                <c:pt idx="79">
                  <c:v>1.0629999999999999</c:v>
                </c:pt>
                <c:pt idx="80">
                  <c:v>1.0629999999999999</c:v>
                </c:pt>
                <c:pt idx="81">
                  <c:v>1.0638000000000001</c:v>
                </c:pt>
                <c:pt idx="82">
                  <c:v>1.0636000000000001</c:v>
                </c:pt>
                <c:pt idx="83">
                  <c:v>1.0641</c:v>
                </c:pt>
                <c:pt idx="84">
                  <c:v>1.0629</c:v>
                </c:pt>
                <c:pt idx="85">
                  <c:v>1.0658000000000001</c:v>
                </c:pt>
                <c:pt idx="86">
                  <c:v>1.0666</c:v>
                </c:pt>
                <c:pt idx="87">
                  <c:v>1.0673999999999999</c:v>
                </c:pt>
                <c:pt idx="88">
                  <c:v>1.0663</c:v>
                </c:pt>
                <c:pt idx="89">
                  <c:v>1.0699000000000001</c:v>
                </c:pt>
                <c:pt idx="90">
                  <c:v>1.0676000000000001</c:v>
                </c:pt>
                <c:pt idx="91">
                  <c:v>1.0699000000000001</c:v>
                </c:pt>
                <c:pt idx="92">
                  <c:v>1.0703</c:v>
                </c:pt>
                <c:pt idx="93">
                  <c:v>1.0696000000000001</c:v>
                </c:pt>
                <c:pt idx="94">
                  <c:v>1.069</c:v>
                </c:pt>
                <c:pt idx="95">
                  <c:v>1.0710999999999999</c:v>
                </c:pt>
                <c:pt idx="96">
                  <c:v>1.0708</c:v>
                </c:pt>
                <c:pt idx="97">
                  <c:v>1.0710999999999999</c:v>
                </c:pt>
                <c:pt idx="98">
                  <c:v>1.0720000000000001</c:v>
                </c:pt>
                <c:pt idx="99">
                  <c:v>1.0720000000000001</c:v>
                </c:pt>
                <c:pt idx="100">
                  <c:v>1.0716000000000001</c:v>
                </c:pt>
                <c:pt idx="101">
                  <c:v>1.0709</c:v>
                </c:pt>
                <c:pt idx="102">
                  <c:v>1.0713999999999999</c:v>
                </c:pt>
                <c:pt idx="103">
                  <c:v>1.0719000000000001</c:v>
                </c:pt>
                <c:pt idx="104">
                  <c:v>1.0718000000000001</c:v>
                </c:pt>
                <c:pt idx="105">
                  <c:v>1.0729</c:v>
                </c:pt>
                <c:pt idx="106">
                  <c:v>1.0738000000000001</c:v>
                </c:pt>
                <c:pt idx="107">
                  <c:v>1.075</c:v>
                </c:pt>
                <c:pt idx="108">
                  <c:v>1.075</c:v>
                </c:pt>
                <c:pt idx="109">
                  <c:v>1.0755999999999999</c:v>
                </c:pt>
                <c:pt idx="110">
                  <c:v>1.0782</c:v>
                </c:pt>
                <c:pt idx="111">
                  <c:v>1.0769</c:v>
                </c:pt>
                <c:pt idx="112">
                  <c:v>1.0762</c:v>
                </c:pt>
                <c:pt idx="113">
                  <c:v>1.077</c:v>
                </c:pt>
                <c:pt idx="114">
                  <c:v>1.0786</c:v>
                </c:pt>
                <c:pt idx="115">
                  <c:v>1.0775999999999999</c:v>
                </c:pt>
                <c:pt idx="116">
                  <c:v>1.08</c:v>
                </c:pt>
                <c:pt idx="117">
                  <c:v>1.0808</c:v>
                </c:pt>
                <c:pt idx="118">
                  <c:v>1.0817000000000001</c:v>
                </c:pt>
                <c:pt idx="119">
                  <c:v>1.0853999999999999</c:v>
                </c:pt>
                <c:pt idx="120">
                  <c:v>1.0864</c:v>
                </c:pt>
                <c:pt idx="121">
                  <c:v>1.0867</c:v>
                </c:pt>
                <c:pt idx="122">
                  <c:v>1.0888</c:v>
                </c:pt>
                <c:pt idx="123">
                  <c:v>1.0893999999999999</c:v>
                </c:pt>
                <c:pt idx="124">
                  <c:v>1.0904</c:v>
                </c:pt>
                <c:pt idx="125">
                  <c:v>1.091</c:v>
                </c:pt>
                <c:pt idx="126">
                  <c:v>1.0940000000000001</c:v>
                </c:pt>
                <c:pt idx="127">
                  <c:v>1.097</c:v>
                </c:pt>
                <c:pt idx="128">
                  <c:v>1.0980000000000001</c:v>
                </c:pt>
                <c:pt idx="129">
                  <c:v>1.0975999999999999</c:v>
                </c:pt>
                <c:pt idx="130">
                  <c:v>1.0981000000000001</c:v>
                </c:pt>
                <c:pt idx="131">
                  <c:v>1.0972</c:v>
                </c:pt>
                <c:pt idx="132">
                  <c:v>1.1032999999999999</c:v>
                </c:pt>
                <c:pt idx="133">
                  <c:v>1.1004</c:v>
                </c:pt>
                <c:pt idx="134">
                  <c:v>1.1028</c:v>
                </c:pt>
                <c:pt idx="135">
                  <c:v>1.1028</c:v>
                </c:pt>
                <c:pt idx="136">
                  <c:v>1.0993999999999999</c:v>
                </c:pt>
                <c:pt idx="137">
                  <c:v>1.1017999999999999</c:v>
                </c:pt>
                <c:pt idx="138">
                  <c:v>1.0956999999999999</c:v>
                </c:pt>
                <c:pt idx="139">
                  <c:v>1.1032</c:v>
                </c:pt>
                <c:pt idx="140">
                  <c:v>1.1032999999999999</c:v>
                </c:pt>
                <c:pt idx="141">
                  <c:v>1.1104000000000001</c:v>
                </c:pt>
                <c:pt idx="142">
                  <c:v>1.1052</c:v>
                </c:pt>
                <c:pt idx="143">
                  <c:v>1.1007</c:v>
                </c:pt>
                <c:pt idx="144">
                  <c:v>1.1023000000000001</c:v>
                </c:pt>
                <c:pt idx="145">
                  <c:v>1.099</c:v>
                </c:pt>
                <c:pt idx="146">
                  <c:v>1.0942000000000001</c:v>
                </c:pt>
                <c:pt idx="147">
                  <c:v>1.0899000000000001</c:v>
                </c:pt>
                <c:pt idx="148">
                  <c:v>1.0908</c:v>
                </c:pt>
                <c:pt idx="149">
                  <c:v>1.0943000000000001</c:v>
                </c:pt>
                <c:pt idx="150">
                  <c:v>1.105</c:v>
                </c:pt>
                <c:pt idx="151">
                  <c:v>1.1015999999999999</c:v>
                </c:pt>
                <c:pt idx="152">
                  <c:v>1.1046</c:v>
                </c:pt>
                <c:pt idx="153">
                  <c:v>1.1077999999999999</c:v>
                </c:pt>
                <c:pt idx="154">
                  <c:v>1.1096999999999999</c:v>
                </c:pt>
                <c:pt idx="155">
                  <c:v>1.1117999999999999</c:v>
                </c:pt>
                <c:pt idx="156">
                  <c:v>1.1189</c:v>
                </c:pt>
                <c:pt idx="157">
                  <c:v>1.1243000000000001</c:v>
                </c:pt>
                <c:pt idx="158">
                  <c:v>1.1315</c:v>
                </c:pt>
                <c:pt idx="159">
                  <c:v>1.1308</c:v>
                </c:pt>
                <c:pt idx="160">
                  <c:v>1.1291</c:v>
                </c:pt>
                <c:pt idx="161">
                  <c:v>1.1304000000000001</c:v>
                </c:pt>
                <c:pt idx="162">
                  <c:v>1.1302000000000001</c:v>
                </c:pt>
                <c:pt idx="163">
                  <c:v>1.1317999999999999</c:v>
                </c:pt>
                <c:pt idx="164">
                  <c:v>1.1341000000000001</c:v>
                </c:pt>
                <c:pt idx="165">
                  <c:v>1.1318999999999999</c:v>
                </c:pt>
                <c:pt idx="166">
                  <c:v>1.1321000000000001</c:v>
                </c:pt>
                <c:pt idx="167">
                  <c:v>1.1344000000000001</c:v>
                </c:pt>
                <c:pt idx="168">
                  <c:v>1.1351</c:v>
                </c:pt>
                <c:pt idx="169">
                  <c:v>1.1279999999999999</c:v>
                </c:pt>
                <c:pt idx="170">
                  <c:v>1.1374</c:v>
                </c:pt>
                <c:pt idx="171">
                  <c:v>1.1419999999999999</c:v>
                </c:pt>
                <c:pt idx="172">
                  <c:v>1.137</c:v>
                </c:pt>
                <c:pt idx="173">
                  <c:v>1.1437999999999999</c:v>
                </c:pt>
                <c:pt idx="174">
                  <c:v>1.1493</c:v>
                </c:pt>
                <c:pt idx="175">
                  <c:v>1.1480999999999999</c:v>
                </c:pt>
                <c:pt idx="176">
                  <c:v>1.1456</c:v>
                </c:pt>
                <c:pt idx="177">
                  <c:v>1.1464000000000001</c:v>
                </c:pt>
                <c:pt idx="178">
                  <c:v>1.1484000000000001</c:v>
                </c:pt>
                <c:pt idx="179">
                  <c:v>1.1471</c:v>
                </c:pt>
                <c:pt idx="180">
                  <c:v>1.1569</c:v>
                </c:pt>
                <c:pt idx="181">
                  <c:v>1.1577</c:v>
                </c:pt>
                <c:pt idx="182">
                  <c:v>1.1586000000000001</c:v>
                </c:pt>
                <c:pt idx="183">
                  <c:v>1.1581999999999999</c:v>
                </c:pt>
                <c:pt idx="184">
                  <c:v>1.1597</c:v>
                </c:pt>
                <c:pt idx="185">
                  <c:v>1.1597</c:v>
                </c:pt>
                <c:pt idx="186">
                  <c:v>1.1597</c:v>
                </c:pt>
                <c:pt idx="187">
                  <c:v>1.1596</c:v>
                </c:pt>
                <c:pt idx="188">
                  <c:v>1.1595</c:v>
                </c:pt>
                <c:pt idx="189">
                  <c:v>1.1592</c:v>
                </c:pt>
                <c:pt idx="190">
                  <c:v>1.1588000000000001</c:v>
                </c:pt>
                <c:pt idx="191">
                  <c:v>1.1588000000000001</c:v>
                </c:pt>
                <c:pt idx="192">
                  <c:v>1.1587000000000001</c:v>
                </c:pt>
                <c:pt idx="193">
                  <c:v>1.1588000000000001</c:v>
                </c:pt>
                <c:pt idx="194">
                  <c:v>1.1597999999999999</c:v>
                </c:pt>
                <c:pt idx="195">
                  <c:v>1.1596</c:v>
                </c:pt>
                <c:pt idx="196">
                  <c:v>1.1651</c:v>
                </c:pt>
                <c:pt idx="197">
                  <c:v>1.1672</c:v>
                </c:pt>
                <c:pt idx="198">
                  <c:v>1.167</c:v>
                </c:pt>
                <c:pt idx="199">
                  <c:v>1.1716</c:v>
                </c:pt>
                <c:pt idx="200">
                  <c:v>1.1756</c:v>
                </c:pt>
                <c:pt idx="201">
                  <c:v>1.1737</c:v>
                </c:pt>
                <c:pt idx="202">
                  <c:v>1.1714</c:v>
                </c:pt>
                <c:pt idx="203">
                  <c:v>1.1718</c:v>
                </c:pt>
                <c:pt idx="204">
                  <c:v>1.1727000000000001</c:v>
                </c:pt>
                <c:pt idx="205">
                  <c:v>1.1751</c:v>
                </c:pt>
                <c:pt idx="206">
                  <c:v>1.177</c:v>
                </c:pt>
                <c:pt idx="207">
                  <c:v>1.1785000000000001</c:v>
                </c:pt>
                <c:pt idx="208">
                  <c:v>1.1773</c:v>
                </c:pt>
                <c:pt idx="209">
                  <c:v>1.1778</c:v>
                </c:pt>
                <c:pt idx="210">
                  <c:v>1.1818</c:v>
                </c:pt>
                <c:pt idx="211">
                  <c:v>1.1823999999999999</c:v>
                </c:pt>
                <c:pt idx="212">
                  <c:v>1.1837</c:v>
                </c:pt>
                <c:pt idx="213">
                  <c:v>1.1831</c:v>
                </c:pt>
                <c:pt idx="214">
                  <c:v>1.1851</c:v>
                </c:pt>
                <c:pt idx="215">
                  <c:v>1.1843999999999999</c:v>
                </c:pt>
                <c:pt idx="216">
                  <c:v>1.1839</c:v>
                </c:pt>
                <c:pt idx="217">
                  <c:v>1.1832</c:v>
                </c:pt>
                <c:pt idx="218">
                  <c:v>1.1875</c:v>
                </c:pt>
                <c:pt idx="219">
                  <c:v>1.19</c:v>
                </c:pt>
                <c:pt idx="220">
                  <c:v>1.1940999999999999</c:v>
                </c:pt>
                <c:pt idx="221">
                  <c:v>1.1952</c:v>
                </c:pt>
                <c:pt idx="222">
                  <c:v>1.1939</c:v>
                </c:pt>
                <c:pt idx="223">
                  <c:v>1.1953</c:v>
                </c:pt>
                <c:pt idx="224">
                  <c:v>1.1979</c:v>
                </c:pt>
                <c:pt idx="225">
                  <c:v>1.1987000000000001</c:v>
                </c:pt>
                <c:pt idx="226">
                  <c:v>1.1964999999999999</c:v>
                </c:pt>
                <c:pt idx="227">
                  <c:v>1.1990000000000001</c:v>
                </c:pt>
                <c:pt idx="228">
                  <c:v>1.1992</c:v>
                </c:pt>
                <c:pt idx="229">
                  <c:v>1.1983999999999999</c:v>
                </c:pt>
                <c:pt idx="230">
                  <c:v>1.1981999999999999</c:v>
                </c:pt>
                <c:pt idx="231">
                  <c:v>1.1939</c:v>
                </c:pt>
                <c:pt idx="232">
                  <c:v>1.2019</c:v>
                </c:pt>
                <c:pt idx="233">
                  <c:v>1.2048000000000001</c:v>
                </c:pt>
                <c:pt idx="234">
                  <c:v>1.2059</c:v>
                </c:pt>
                <c:pt idx="235">
                  <c:v>1.206</c:v>
                </c:pt>
                <c:pt idx="236">
                  <c:v>1.2054</c:v>
                </c:pt>
                <c:pt idx="237">
                  <c:v>1.2047000000000001</c:v>
                </c:pt>
                <c:pt idx="238">
                  <c:v>1.2056</c:v>
                </c:pt>
                <c:pt idx="239">
                  <c:v>1.2084999999999999</c:v>
                </c:pt>
                <c:pt idx="240">
                  <c:v>1.2076</c:v>
                </c:pt>
                <c:pt idx="241">
                  <c:v>1.2083999999999999</c:v>
                </c:pt>
                <c:pt idx="242">
                  <c:v>1.2085999999999999</c:v>
                </c:pt>
                <c:pt idx="243">
                  <c:v>1.206</c:v>
                </c:pt>
                <c:pt idx="244">
                  <c:v>1.2063999999999999</c:v>
                </c:pt>
                <c:pt idx="245">
                  <c:v>1.2074</c:v>
                </c:pt>
                <c:pt idx="246">
                  <c:v>1.2081</c:v>
                </c:pt>
                <c:pt idx="247">
                  <c:v>1.2093</c:v>
                </c:pt>
                <c:pt idx="248">
                  <c:v>1.2109000000000001</c:v>
                </c:pt>
                <c:pt idx="249">
                  <c:v>1.2129000000000001</c:v>
                </c:pt>
                <c:pt idx="250">
                  <c:v>1.2143999999999999</c:v>
                </c:pt>
              </c:numCache>
            </c:numRef>
          </c:val>
          <c:smooth val="0"/>
          <c:extLst>
            <c:ext xmlns:c16="http://schemas.microsoft.com/office/drawing/2014/chart" uri="{C3380CC4-5D6E-409C-BE32-E72D297353CC}">
              <c16:uniqueId val="{00000000-4371-470B-ACF2-813EB56F009C}"/>
            </c:ext>
          </c:extLst>
        </c:ser>
        <c:dLbls>
          <c:showLegendKey val="0"/>
          <c:showVal val="0"/>
          <c:showCatName val="0"/>
          <c:showSerName val="0"/>
          <c:showPercent val="0"/>
          <c:showBubbleSize val="0"/>
        </c:dLbls>
        <c:smooth val="0"/>
        <c:axId val="545099824"/>
        <c:axId val="545100384"/>
      </c:lineChart>
      <c:catAx>
        <c:axId val="545099824"/>
        <c:scaling>
          <c:orientation val="minMax"/>
        </c:scaling>
        <c:delete val="0"/>
        <c:axPos val="b"/>
        <c:numFmt formatCode="m/d/yy" sourceLinked="1"/>
        <c:majorTickMark val="none"/>
        <c:minorTickMark val="none"/>
        <c:tickLblPos val="nextTo"/>
        <c:crossAx val="545100384"/>
        <c:crosses val="autoZero"/>
        <c:auto val="0"/>
        <c:lblAlgn val="ctr"/>
        <c:lblOffset val="100"/>
        <c:noMultiLvlLbl val="1"/>
      </c:catAx>
      <c:valAx>
        <c:axId val="545100384"/>
        <c:scaling>
          <c:orientation val="minMax"/>
          <c:min val="0.995"/>
        </c:scaling>
        <c:delete val="0"/>
        <c:axPos val="l"/>
        <c:majorGridlines/>
        <c:numFmt formatCode="0.0000_ " sourceLinked="1"/>
        <c:majorTickMark val="none"/>
        <c:minorTickMark val="none"/>
        <c:tickLblPos val="nextTo"/>
        <c:spPr>
          <a:ln w="9525">
            <a:noFill/>
          </a:ln>
        </c:spPr>
        <c:crossAx val="545099824"/>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爱凡哲九号</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爱凡哲九号!$B$20</c:f>
              <c:strCache>
                <c:ptCount val="1"/>
                <c:pt idx="0">
                  <c:v>累计净值</c:v>
                </c:pt>
              </c:strCache>
            </c:strRef>
          </c:tx>
          <c:spPr>
            <a:ln w="28575" cap="rnd">
              <a:solidFill>
                <a:schemeClr val="accent1"/>
              </a:solidFill>
              <a:round/>
            </a:ln>
            <a:effectLst/>
          </c:spPr>
          <c:marker>
            <c:symbol val="none"/>
          </c:marker>
          <c:cat>
            <c:numRef>
              <c:f>爱凡哲九号!$A$21:$A$391</c:f>
              <c:numCache>
                <c:formatCode>m/d/yy</c:formatCode>
                <c:ptCount val="371"/>
                <c:pt idx="0">
                  <c:v>43774</c:v>
                </c:pt>
                <c:pt idx="1">
                  <c:v>43775</c:v>
                </c:pt>
                <c:pt idx="2">
                  <c:v>43776</c:v>
                </c:pt>
                <c:pt idx="3">
                  <c:v>43777</c:v>
                </c:pt>
                <c:pt idx="4">
                  <c:v>43780</c:v>
                </c:pt>
                <c:pt idx="5">
                  <c:v>43781</c:v>
                </c:pt>
                <c:pt idx="6">
                  <c:v>43782</c:v>
                </c:pt>
                <c:pt idx="7">
                  <c:v>43783</c:v>
                </c:pt>
                <c:pt idx="8">
                  <c:v>43784</c:v>
                </c:pt>
                <c:pt idx="9">
                  <c:v>43787</c:v>
                </c:pt>
                <c:pt idx="10">
                  <c:v>43788</c:v>
                </c:pt>
                <c:pt idx="11">
                  <c:v>43789</c:v>
                </c:pt>
                <c:pt idx="12">
                  <c:v>43790</c:v>
                </c:pt>
                <c:pt idx="13">
                  <c:v>43791</c:v>
                </c:pt>
                <c:pt idx="14">
                  <c:v>43794</c:v>
                </c:pt>
                <c:pt idx="15">
                  <c:v>43795</c:v>
                </c:pt>
                <c:pt idx="16">
                  <c:v>43796</c:v>
                </c:pt>
                <c:pt idx="17">
                  <c:v>43797</c:v>
                </c:pt>
                <c:pt idx="18">
                  <c:v>43798</c:v>
                </c:pt>
                <c:pt idx="19">
                  <c:v>43801</c:v>
                </c:pt>
                <c:pt idx="20">
                  <c:v>43802</c:v>
                </c:pt>
                <c:pt idx="21">
                  <c:v>43803</c:v>
                </c:pt>
                <c:pt idx="22">
                  <c:v>43804</c:v>
                </c:pt>
                <c:pt idx="23">
                  <c:v>43805</c:v>
                </c:pt>
                <c:pt idx="24">
                  <c:v>43808</c:v>
                </c:pt>
                <c:pt idx="25">
                  <c:v>43809</c:v>
                </c:pt>
                <c:pt idx="26">
                  <c:v>43810</c:v>
                </c:pt>
                <c:pt idx="27">
                  <c:v>43811</c:v>
                </c:pt>
                <c:pt idx="28">
                  <c:v>43812</c:v>
                </c:pt>
                <c:pt idx="29">
                  <c:v>43815</c:v>
                </c:pt>
                <c:pt idx="30">
                  <c:v>43816</c:v>
                </c:pt>
                <c:pt idx="31">
                  <c:v>43817</c:v>
                </c:pt>
                <c:pt idx="32">
                  <c:v>43818</c:v>
                </c:pt>
                <c:pt idx="33">
                  <c:v>43819</c:v>
                </c:pt>
                <c:pt idx="34">
                  <c:v>43822</c:v>
                </c:pt>
                <c:pt idx="35">
                  <c:v>43823</c:v>
                </c:pt>
                <c:pt idx="36">
                  <c:v>43824</c:v>
                </c:pt>
                <c:pt idx="37">
                  <c:v>43825</c:v>
                </c:pt>
                <c:pt idx="38">
                  <c:v>43826</c:v>
                </c:pt>
                <c:pt idx="39">
                  <c:v>43829</c:v>
                </c:pt>
                <c:pt idx="40">
                  <c:v>43830</c:v>
                </c:pt>
                <c:pt idx="41">
                  <c:v>43832</c:v>
                </c:pt>
                <c:pt idx="42">
                  <c:v>43833</c:v>
                </c:pt>
                <c:pt idx="43">
                  <c:v>43836</c:v>
                </c:pt>
                <c:pt idx="44">
                  <c:v>43837</c:v>
                </c:pt>
                <c:pt idx="45">
                  <c:v>43838</c:v>
                </c:pt>
                <c:pt idx="46">
                  <c:v>43839</c:v>
                </c:pt>
                <c:pt idx="47">
                  <c:v>43840</c:v>
                </c:pt>
                <c:pt idx="48">
                  <c:v>43843</c:v>
                </c:pt>
                <c:pt idx="49">
                  <c:v>43844</c:v>
                </c:pt>
                <c:pt idx="50">
                  <c:v>43845</c:v>
                </c:pt>
                <c:pt idx="51">
                  <c:v>43846</c:v>
                </c:pt>
                <c:pt idx="52">
                  <c:v>43847</c:v>
                </c:pt>
                <c:pt idx="53">
                  <c:v>43850</c:v>
                </c:pt>
                <c:pt idx="54">
                  <c:v>43851</c:v>
                </c:pt>
                <c:pt idx="55">
                  <c:v>43852</c:v>
                </c:pt>
                <c:pt idx="56">
                  <c:v>43853</c:v>
                </c:pt>
                <c:pt idx="57">
                  <c:v>43864</c:v>
                </c:pt>
                <c:pt idx="58">
                  <c:v>43865</c:v>
                </c:pt>
                <c:pt idx="59">
                  <c:v>43866</c:v>
                </c:pt>
                <c:pt idx="60">
                  <c:v>43867</c:v>
                </c:pt>
                <c:pt idx="61">
                  <c:v>43868</c:v>
                </c:pt>
                <c:pt idx="62">
                  <c:v>43871</c:v>
                </c:pt>
                <c:pt idx="63">
                  <c:v>43872</c:v>
                </c:pt>
                <c:pt idx="64">
                  <c:v>43873</c:v>
                </c:pt>
                <c:pt idx="65">
                  <c:v>43874</c:v>
                </c:pt>
                <c:pt idx="66">
                  <c:v>43875</c:v>
                </c:pt>
                <c:pt idx="67">
                  <c:v>43878</c:v>
                </c:pt>
                <c:pt idx="68">
                  <c:v>43879</c:v>
                </c:pt>
                <c:pt idx="69">
                  <c:v>43880</c:v>
                </c:pt>
                <c:pt idx="70">
                  <c:v>43881</c:v>
                </c:pt>
                <c:pt idx="71">
                  <c:v>43882</c:v>
                </c:pt>
                <c:pt idx="72">
                  <c:v>43885</c:v>
                </c:pt>
                <c:pt idx="73">
                  <c:v>43886</c:v>
                </c:pt>
                <c:pt idx="74">
                  <c:v>43887</c:v>
                </c:pt>
                <c:pt idx="75">
                  <c:v>43888</c:v>
                </c:pt>
                <c:pt idx="76">
                  <c:v>43889</c:v>
                </c:pt>
                <c:pt idx="77">
                  <c:v>43892</c:v>
                </c:pt>
                <c:pt idx="78">
                  <c:v>43893</c:v>
                </c:pt>
                <c:pt idx="79">
                  <c:v>43894</c:v>
                </c:pt>
                <c:pt idx="80">
                  <c:v>43895</c:v>
                </c:pt>
                <c:pt idx="81">
                  <c:v>43896</c:v>
                </c:pt>
                <c:pt idx="82">
                  <c:v>43899</c:v>
                </c:pt>
                <c:pt idx="83">
                  <c:v>43900</c:v>
                </c:pt>
                <c:pt idx="84">
                  <c:v>43901</c:v>
                </c:pt>
                <c:pt idx="85">
                  <c:v>43902</c:v>
                </c:pt>
                <c:pt idx="86">
                  <c:v>43903</c:v>
                </c:pt>
                <c:pt idx="87">
                  <c:v>43906</c:v>
                </c:pt>
                <c:pt idx="88">
                  <c:v>43907</c:v>
                </c:pt>
                <c:pt idx="89">
                  <c:v>43908</c:v>
                </c:pt>
                <c:pt idx="90">
                  <c:v>43909</c:v>
                </c:pt>
                <c:pt idx="91">
                  <c:v>43910</c:v>
                </c:pt>
                <c:pt idx="92">
                  <c:v>43913</c:v>
                </c:pt>
                <c:pt idx="93">
                  <c:v>43914</c:v>
                </c:pt>
                <c:pt idx="94">
                  <c:v>43915</c:v>
                </c:pt>
                <c:pt idx="95">
                  <c:v>43916</c:v>
                </c:pt>
                <c:pt idx="96">
                  <c:v>43917</c:v>
                </c:pt>
                <c:pt idx="97">
                  <c:v>43920</c:v>
                </c:pt>
                <c:pt idx="98">
                  <c:v>43921</c:v>
                </c:pt>
                <c:pt idx="99">
                  <c:v>43922</c:v>
                </c:pt>
                <c:pt idx="100">
                  <c:v>43923</c:v>
                </c:pt>
                <c:pt idx="101">
                  <c:v>43924</c:v>
                </c:pt>
                <c:pt idx="102">
                  <c:v>43928</c:v>
                </c:pt>
                <c:pt idx="103">
                  <c:v>43929</c:v>
                </c:pt>
                <c:pt idx="104">
                  <c:v>43930</c:v>
                </c:pt>
                <c:pt idx="105">
                  <c:v>43931</c:v>
                </c:pt>
                <c:pt idx="106">
                  <c:v>43934</c:v>
                </c:pt>
                <c:pt idx="107">
                  <c:v>43935</c:v>
                </c:pt>
                <c:pt idx="108">
                  <c:v>43936</c:v>
                </c:pt>
                <c:pt idx="109">
                  <c:v>43937</c:v>
                </c:pt>
                <c:pt idx="110">
                  <c:v>43938</c:v>
                </c:pt>
                <c:pt idx="111">
                  <c:v>43941</c:v>
                </c:pt>
                <c:pt idx="112">
                  <c:v>43942</c:v>
                </c:pt>
                <c:pt idx="113">
                  <c:v>43943</c:v>
                </c:pt>
                <c:pt idx="114">
                  <c:v>43944</c:v>
                </c:pt>
                <c:pt idx="115">
                  <c:v>43945</c:v>
                </c:pt>
                <c:pt idx="116">
                  <c:v>43948</c:v>
                </c:pt>
                <c:pt idx="117">
                  <c:v>43949</c:v>
                </c:pt>
                <c:pt idx="118">
                  <c:v>43950</c:v>
                </c:pt>
                <c:pt idx="119">
                  <c:v>43951</c:v>
                </c:pt>
                <c:pt idx="120">
                  <c:v>43957</c:v>
                </c:pt>
                <c:pt idx="121">
                  <c:v>43958</c:v>
                </c:pt>
                <c:pt idx="122">
                  <c:v>43959</c:v>
                </c:pt>
                <c:pt idx="123">
                  <c:v>43962</c:v>
                </c:pt>
                <c:pt idx="124">
                  <c:v>43963</c:v>
                </c:pt>
                <c:pt idx="125">
                  <c:v>43964</c:v>
                </c:pt>
                <c:pt idx="126">
                  <c:v>43965</c:v>
                </c:pt>
                <c:pt idx="127">
                  <c:v>43966</c:v>
                </c:pt>
                <c:pt idx="128">
                  <c:v>43969</c:v>
                </c:pt>
                <c:pt idx="129">
                  <c:v>43970</c:v>
                </c:pt>
                <c:pt idx="130">
                  <c:v>43971</c:v>
                </c:pt>
                <c:pt idx="131">
                  <c:v>43972</c:v>
                </c:pt>
                <c:pt idx="132">
                  <c:v>43973</c:v>
                </c:pt>
                <c:pt idx="133">
                  <c:v>43976</c:v>
                </c:pt>
                <c:pt idx="134">
                  <c:v>43977</c:v>
                </c:pt>
                <c:pt idx="135">
                  <c:v>43978</c:v>
                </c:pt>
                <c:pt idx="136">
                  <c:v>43979</c:v>
                </c:pt>
                <c:pt idx="137">
                  <c:v>43980</c:v>
                </c:pt>
                <c:pt idx="138">
                  <c:v>43983</c:v>
                </c:pt>
                <c:pt idx="139">
                  <c:v>43984</c:v>
                </c:pt>
                <c:pt idx="140">
                  <c:v>43985</c:v>
                </c:pt>
                <c:pt idx="141">
                  <c:v>43986</c:v>
                </c:pt>
                <c:pt idx="142">
                  <c:v>43987</c:v>
                </c:pt>
                <c:pt idx="143">
                  <c:v>43990</c:v>
                </c:pt>
                <c:pt idx="144">
                  <c:v>43991</c:v>
                </c:pt>
                <c:pt idx="145">
                  <c:v>43992</c:v>
                </c:pt>
                <c:pt idx="146">
                  <c:v>43993</c:v>
                </c:pt>
                <c:pt idx="147">
                  <c:v>43994</c:v>
                </c:pt>
                <c:pt idx="148">
                  <c:v>43997</c:v>
                </c:pt>
                <c:pt idx="149">
                  <c:v>43998</c:v>
                </c:pt>
                <c:pt idx="150">
                  <c:v>43999</c:v>
                </c:pt>
                <c:pt idx="151">
                  <c:v>44000</c:v>
                </c:pt>
                <c:pt idx="152">
                  <c:v>44001</c:v>
                </c:pt>
                <c:pt idx="153">
                  <c:v>44004</c:v>
                </c:pt>
                <c:pt idx="154">
                  <c:v>44005</c:v>
                </c:pt>
                <c:pt idx="155">
                  <c:v>44006</c:v>
                </c:pt>
                <c:pt idx="156">
                  <c:v>44011</c:v>
                </c:pt>
                <c:pt idx="157">
                  <c:v>44012</c:v>
                </c:pt>
                <c:pt idx="158">
                  <c:v>44013</c:v>
                </c:pt>
                <c:pt idx="159">
                  <c:v>44014</c:v>
                </c:pt>
                <c:pt idx="160">
                  <c:v>44015</c:v>
                </c:pt>
                <c:pt idx="161">
                  <c:v>44018</c:v>
                </c:pt>
                <c:pt idx="162">
                  <c:v>44019</c:v>
                </c:pt>
                <c:pt idx="163">
                  <c:v>44020</c:v>
                </c:pt>
                <c:pt idx="164">
                  <c:v>44021</c:v>
                </c:pt>
                <c:pt idx="165">
                  <c:v>44022</c:v>
                </c:pt>
                <c:pt idx="166">
                  <c:v>44025</c:v>
                </c:pt>
                <c:pt idx="167">
                  <c:v>44026</c:v>
                </c:pt>
                <c:pt idx="168">
                  <c:v>44027</c:v>
                </c:pt>
                <c:pt idx="169">
                  <c:v>44028</c:v>
                </c:pt>
                <c:pt idx="170">
                  <c:v>44029</c:v>
                </c:pt>
                <c:pt idx="171">
                  <c:v>44032</c:v>
                </c:pt>
                <c:pt idx="172">
                  <c:v>44033</c:v>
                </c:pt>
                <c:pt idx="173">
                  <c:v>44034</c:v>
                </c:pt>
                <c:pt idx="174">
                  <c:v>44035</c:v>
                </c:pt>
                <c:pt idx="175">
                  <c:v>44036</c:v>
                </c:pt>
                <c:pt idx="176">
                  <c:v>44039</c:v>
                </c:pt>
                <c:pt idx="177">
                  <c:v>44040</c:v>
                </c:pt>
                <c:pt idx="178">
                  <c:v>44041</c:v>
                </c:pt>
                <c:pt idx="179">
                  <c:v>44042</c:v>
                </c:pt>
                <c:pt idx="180">
                  <c:v>44043</c:v>
                </c:pt>
                <c:pt idx="181">
                  <c:v>44046</c:v>
                </c:pt>
                <c:pt idx="182">
                  <c:v>44047</c:v>
                </c:pt>
                <c:pt idx="183">
                  <c:v>44048</c:v>
                </c:pt>
                <c:pt idx="184">
                  <c:v>44049</c:v>
                </c:pt>
                <c:pt idx="185">
                  <c:v>44050</c:v>
                </c:pt>
                <c:pt idx="186">
                  <c:v>44053</c:v>
                </c:pt>
                <c:pt idx="187">
                  <c:v>44054</c:v>
                </c:pt>
                <c:pt idx="188">
                  <c:v>44055</c:v>
                </c:pt>
                <c:pt idx="189">
                  <c:v>44056</c:v>
                </c:pt>
                <c:pt idx="190">
                  <c:v>44057</c:v>
                </c:pt>
                <c:pt idx="191">
                  <c:v>44060</c:v>
                </c:pt>
                <c:pt idx="192">
                  <c:v>44061</c:v>
                </c:pt>
                <c:pt idx="193">
                  <c:v>44062</c:v>
                </c:pt>
                <c:pt idx="194">
                  <c:v>44063</c:v>
                </c:pt>
                <c:pt idx="195">
                  <c:v>44064</c:v>
                </c:pt>
                <c:pt idx="196">
                  <c:v>44067</c:v>
                </c:pt>
                <c:pt idx="197">
                  <c:v>44068</c:v>
                </c:pt>
                <c:pt idx="198">
                  <c:v>44069</c:v>
                </c:pt>
                <c:pt idx="199">
                  <c:v>44070</c:v>
                </c:pt>
                <c:pt idx="200">
                  <c:v>44071</c:v>
                </c:pt>
                <c:pt idx="201">
                  <c:v>44074</c:v>
                </c:pt>
                <c:pt idx="202">
                  <c:v>44075</c:v>
                </c:pt>
                <c:pt idx="203">
                  <c:v>44076</c:v>
                </c:pt>
                <c:pt idx="204">
                  <c:v>44077</c:v>
                </c:pt>
                <c:pt idx="205">
                  <c:v>44078</c:v>
                </c:pt>
                <c:pt idx="206">
                  <c:v>44081</c:v>
                </c:pt>
                <c:pt idx="207">
                  <c:v>44082</c:v>
                </c:pt>
                <c:pt idx="208">
                  <c:v>44083</c:v>
                </c:pt>
                <c:pt idx="209">
                  <c:v>44084</c:v>
                </c:pt>
                <c:pt idx="210">
                  <c:v>44085</c:v>
                </c:pt>
                <c:pt idx="211">
                  <c:v>44088</c:v>
                </c:pt>
                <c:pt idx="212">
                  <c:v>44089</c:v>
                </c:pt>
                <c:pt idx="213">
                  <c:v>44090</c:v>
                </c:pt>
                <c:pt idx="214">
                  <c:v>44091</c:v>
                </c:pt>
                <c:pt idx="215">
                  <c:v>44092</c:v>
                </c:pt>
                <c:pt idx="216">
                  <c:v>44095</c:v>
                </c:pt>
                <c:pt idx="217">
                  <c:v>44096</c:v>
                </c:pt>
                <c:pt idx="218">
                  <c:v>44097</c:v>
                </c:pt>
                <c:pt idx="219">
                  <c:v>44098</c:v>
                </c:pt>
                <c:pt idx="220">
                  <c:v>44099</c:v>
                </c:pt>
                <c:pt idx="221">
                  <c:v>44102</c:v>
                </c:pt>
                <c:pt idx="222">
                  <c:v>44103</c:v>
                </c:pt>
                <c:pt idx="223">
                  <c:v>44104</c:v>
                </c:pt>
                <c:pt idx="224">
                  <c:v>44113</c:v>
                </c:pt>
                <c:pt idx="225">
                  <c:v>44116</c:v>
                </c:pt>
                <c:pt idx="226">
                  <c:v>44117</c:v>
                </c:pt>
                <c:pt idx="227">
                  <c:v>44118</c:v>
                </c:pt>
                <c:pt idx="228">
                  <c:v>44119</c:v>
                </c:pt>
                <c:pt idx="229">
                  <c:v>44120</c:v>
                </c:pt>
                <c:pt idx="230">
                  <c:v>44123</c:v>
                </c:pt>
                <c:pt idx="231">
                  <c:v>44124</c:v>
                </c:pt>
                <c:pt idx="232">
                  <c:v>44125</c:v>
                </c:pt>
                <c:pt idx="233">
                  <c:v>44126</c:v>
                </c:pt>
                <c:pt idx="234">
                  <c:v>44127</c:v>
                </c:pt>
                <c:pt idx="235">
                  <c:v>44130</c:v>
                </c:pt>
                <c:pt idx="236">
                  <c:v>44131</c:v>
                </c:pt>
                <c:pt idx="237">
                  <c:v>44132</c:v>
                </c:pt>
                <c:pt idx="238">
                  <c:v>44133</c:v>
                </c:pt>
                <c:pt idx="239">
                  <c:v>44134</c:v>
                </c:pt>
                <c:pt idx="240">
                  <c:v>44137</c:v>
                </c:pt>
                <c:pt idx="241">
                  <c:v>44138</c:v>
                </c:pt>
                <c:pt idx="242">
                  <c:v>44139</c:v>
                </c:pt>
                <c:pt idx="243">
                  <c:v>44140</c:v>
                </c:pt>
                <c:pt idx="244">
                  <c:v>44141</c:v>
                </c:pt>
                <c:pt idx="245">
                  <c:v>44144</c:v>
                </c:pt>
                <c:pt idx="246">
                  <c:v>44145</c:v>
                </c:pt>
                <c:pt idx="247">
                  <c:v>44146</c:v>
                </c:pt>
                <c:pt idx="248">
                  <c:v>44147</c:v>
                </c:pt>
                <c:pt idx="249">
                  <c:v>44148</c:v>
                </c:pt>
                <c:pt idx="250">
                  <c:v>44151</c:v>
                </c:pt>
                <c:pt idx="251">
                  <c:v>44152</c:v>
                </c:pt>
                <c:pt idx="252">
                  <c:v>44153</c:v>
                </c:pt>
                <c:pt idx="253">
                  <c:v>44154</c:v>
                </c:pt>
                <c:pt idx="254">
                  <c:v>44155</c:v>
                </c:pt>
                <c:pt idx="255">
                  <c:v>44158</c:v>
                </c:pt>
                <c:pt idx="256">
                  <c:v>44159</c:v>
                </c:pt>
                <c:pt idx="257">
                  <c:v>44160</c:v>
                </c:pt>
                <c:pt idx="258">
                  <c:v>44161</c:v>
                </c:pt>
                <c:pt idx="259">
                  <c:v>44162</c:v>
                </c:pt>
                <c:pt idx="260">
                  <c:v>44165</c:v>
                </c:pt>
                <c:pt idx="261">
                  <c:v>44166</c:v>
                </c:pt>
                <c:pt idx="262">
                  <c:v>44167</c:v>
                </c:pt>
                <c:pt idx="263">
                  <c:v>44168</c:v>
                </c:pt>
                <c:pt idx="264">
                  <c:v>44169</c:v>
                </c:pt>
                <c:pt idx="265">
                  <c:v>44172</c:v>
                </c:pt>
                <c:pt idx="266">
                  <c:v>44173</c:v>
                </c:pt>
                <c:pt idx="267">
                  <c:v>44174</c:v>
                </c:pt>
                <c:pt idx="268">
                  <c:v>44175</c:v>
                </c:pt>
                <c:pt idx="269">
                  <c:v>44176</c:v>
                </c:pt>
                <c:pt idx="270">
                  <c:v>44179</c:v>
                </c:pt>
                <c:pt idx="271">
                  <c:v>44180</c:v>
                </c:pt>
                <c:pt idx="272">
                  <c:v>44181</c:v>
                </c:pt>
                <c:pt idx="273">
                  <c:v>44182</c:v>
                </c:pt>
                <c:pt idx="274">
                  <c:v>44183</c:v>
                </c:pt>
                <c:pt idx="275">
                  <c:v>44186</c:v>
                </c:pt>
                <c:pt idx="276">
                  <c:v>44187</c:v>
                </c:pt>
                <c:pt idx="277">
                  <c:v>44188</c:v>
                </c:pt>
                <c:pt idx="278">
                  <c:v>44189</c:v>
                </c:pt>
                <c:pt idx="279">
                  <c:v>44190</c:v>
                </c:pt>
                <c:pt idx="280">
                  <c:v>44193</c:v>
                </c:pt>
                <c:pt idx="281">
                  <c:v>44194</c:v>
                </c:pt>
                <c:pt idx="282">
                  <c:v>44195</c:v>
                </c:pt>
                <c:pt idx="283">
                  <c:v>44196</c:v>
                </c:pt>
                <c:pt idx="284">
                  <c:v>44200</c:v>
                </c:pt>
                <c:pt idx="285">
                  <c:v>44201</c:v>
                </c:pt>
                <c:pt idx="286">
                  <c:v>44202</c:v>
                </c:pt>
                <c:pt idx="287">
                  <c:v>44203</c:v>
                </c:pt>
                <c:pt idx="288">
                  <c:v>44204</c:v>
                </c:pt>
                <c:pt idx="289">
                  <c:v>44207</c:v>
                </c:pt>
                <c:pt idx="290">
                  <c:v>44208</c:v>
                </c:pt>
                <c:pt idx="291">
                  <c:v>44209</c:v>
                </c:pt>
                <c:pt idx="292">
                  <c:v>44210</c:v>
                </c:pt>
                <c:pt idx="293">
                  <c:v>44211</c:v>
                </c:pt>
                <c:pt idx="294">
                  <c:v>44214</c:v>
                </c:pt>
                <c:pt idx="295">
                  <c:v>44215</c:v>
                </c:pt>
                <c:pt idx="296">
                  <c:v>44216</c:v>
                </c:pt>
                <c:pt idx="297">
                  <c:v>44217</c:v>
                </c:pt>
                <c:pt idx="298">
                  <c:v>44218</c:v>
                </c:pt>
                <c:pt idx="299">
                  <c:v>44221</c:v>
                </c:pt>
                <c:pt idx="300">
                  <c:v>44222</c:v>
                </c:pt>
                <c:pt idx="301">
                  <c:v>44223</c:v>
                </c:pt>
                <c:pt idx="302">
                  <c:v>44224</c:v>
                </c:pt>
                <c:pt idx="303">
                  <c:v>44225</c:v>
                </c:pt>
                <c:pt idx="304">
                  <c:v>44228</c:v>
                </c:pt>
                <c:pt idx="305">
                  <c:v>44229</c:v>
                </c:pt>
                <c:pt idx="306">
                  <c:v>44230</c:v>
                </c:pt>
                <c:pt idx="307">
                  <c:v>44231</c:v>
                </c:pt>
                <c:pt idx="308">
                  <c:v>44232</c:v>
                </c:pt>
                <c:pt idx="309">
                  <c:v>44235</c:v>
                </c:pt>
                <c:pt idx="310">
                  <c:v>44236</c:v>
                </c:pt>
                <c:pt idx="311">
                  <c:v>44237</c:v>
                </c:pt>
                <c:pt idx="312">
                  <c:v>44245</c:v>
                </c:pt>
                <c:pt idx="313">
                  <c:v>44246</c:v>
                </c:pt>
                <c:pt idx="314">
                  <c:v>44249</c:v>
                </c:pt>
                <c:pt idx="315">
                  <c:v>44250</c:v>
                </c:pt>
                <c:pt idx="316">
                  <c:v>44251</c:v>
                </c:pt>
                <c:pt idx="317">
                  <c:v>44252</c:v>
                </c:pt>
                <c:pt idx="318">
                  <c:v>44253</c:v>
                </c:pt>
                <c:pt idx="319">
                  <c:v>44256</c:v>
                </c:pt>
                <c:pt idx="320">
                  <c:v>44257</c:v>
                </c:pt>
                <c:pt idx="321">
                  <c:v>44258</c:v>
                </c:pt>
                <c:pt idx="322">
                  <c:v>44259</c:v>
                </c:pt>
                <c:pt idx="323">
                  <c:v>44260</c:v>
                </c:pt>
                <c:pt idx="324">
                  <c:v>44263</c:v>
                </c:pt>
                <c:pt idx="325">
                  <c:v>44264</c:v>
                </c:pt>
                <c:pt idx="326">
                  <c:v>44265</c:v>
                </c:pt>
                <c:pt idx="327">
                  <c:v>44266</c:v>
                </c:pt>
                <c:pt idx="328">
                  <c:v>44267</c:v>
                </c:pt>
                <c:pt idx="329">
                  <c:v>44270</c:v>
                </c:pt>
                <c:pt idx="330">
                  <c:v>44271</c:v>
                </c:pt>
                <c:pt idx="331">
                  <c:v>44272</c:v>
                </c:pt>
                <c:pt idx="332">
                  <c:v>44273</c:v>
                </c:pt>
                <c:pt idx="333">
                  <c:v>44274</c:v>
                </c:pt>
                <c:pt idx="334">
                  <c:v>44277</c:v>
                </c:pt>
                <c:pt idx="335">
                  <c:v>44278</c:v>
                </c:pt>
                <c:pt idx="336">
                  <c:v>44279</c:v>
                </c:pt>
                <c:pt idx="337">
                  <c:v>44280</c:v>
                </c:pt>
                <c:pt idx="338">
                  <c:v>44281</c:v>
                </c:pt>
                <c:pt idx="339">
                  <c:v>44284</c:v>
                </c:pt>
                <c:pt idx="340">
                  <c:v>44285</c:v>
                </c:pt>
                <c:pt idx="341">
                  <c:v>44286</c:v>
                </c:pt>
                <c:pt idx="342">
                  <c:v>44287</c:v>
                </c:pt>
                <c:pt idx="343">
                  <c:v>44288</c:v>
                </c:pt>
                <c:pt idx="344">
                  <c:v>44292</c:v>
                </c:pt>
                <c:pt idx="345">
                  <c:v>44293</c:v>
                </c:pt>
                <c:pt idx="346">
                  <c:v>44294</c:v>
                </c:pt>
                <c:pt idx="347">
                  <c:v>44295</c:v>
                </c:pt>
                <c:pt idx="348">
                  <c:v>44298</c:v>
                </c:pt>
                <c:pt idx="349">
                  <c:v>44299</c:v>
                </c:pt>
                <c:pt idx="350">
                  <c:v>44300</c:v>
                </c:pt>
                <c:pt idx="351">
                  <c:v>44301</c:v>
                </c:pt>
                <c:pt idx="352">
                  <c:v>44302</c:v>
                </c:pt>
                <c:pt idx="353">
                  <c:v>44305</c:v>
                </c:pt>
                <c:pt idx="354">
                  <c:v>44306</c:v>
                </c:pt>
                <c:pt idx="355">
                  <c:v>44307</c:v>
                </c:pt>
                <c:pt idx="356">
                  <c:v>44308</c:v>
                </c:pt>
                <c:pt idx="357">
                  <c:v>44309</c:v>
                </c:pt>
                <c:pt idx="358">
                  <c:v>44312</c:v>
                </c:pt>
                <c:pt idx="359">
                  <c:v>44313</c:v>
                </c:pt>
                <c:pt idx="360">
                  <c:v>44314</c:v>
                </c:pt>
                <c:pt idx="361">
                  <c:v>44315</c:v>
                </c:pt>
                <c:pt idx="362">
                  <c:v>44316</c:v>
                </c:pt>
                <c:pt idx="363">
                  <c:v>44322</c:v>
                </c:pt>
                <c:pt idx="364">
                  <c:v>44323</c:v>
                </c:pt>
                <c:pt idx="365">
                  <c:v>44326</c:v>
                </c:pt>
                <c:pt idx="366">
                  <c:v>44327</c:v>
                </c:pt>
                <c:pt idx="367">
                  <c:v>44328</c:v>
                </c:pt>
                <c:pt idx="368">
                  <c:v>44329</c:v>
                </c:pt>
                <c:pt idx="369">
                  <c:v>44330</c:v>
                </c:pt>
                <c:pt idx="370">
                  <c:v>44333</c:v>
                </c:pt>
              </c:numCache>
            </c:numRef>
          </c:cat>
          <c:val>
            <c:numRef>
              <c:f>爱凡哲九号!$B$21:$B$391</c:f>
              <c:numCache>
                <c:formatCode>0.0000_ </c:formatCode>
                <c:ptCount val="371"/>
                <c:pt idx="0">
                  <c:v>1.0049999999999999</c:v>
                </c:pt>
                <c:pt idx="1">
                  <c:v>1.0009999999999999</c:v>
                </c:pt>
                <c:pt idx="2">
                  <c:v>1</c:v>
                </c:pt>
                <c:pt idx="3">
                  <c:v>1</c:v>
                </c:pt>
                <c:pt idx="4">
                  <c:v>0.997</c:v>
                </c:pt>
                <c:pt idx="5">
                  <c:v>0.995</c:v>
                </c:pt>
                <c:pt idx="6">
                  <c:v>1.004</c:v>
                </c:pt>
                <c:pt idx="7">
                  <c:v>1.0029999999999999</c:v>
                </c:pt>
                <c:pt idx="8">
                  <c:v>1.0049999999999999</c:v>
                </c:pt>
                <c:pt idx="9">
                  <c:v>1.006</c:v>
                </c:pt>
                <c:pt idx="10">
                  <c:v>1.0069999999999999</c:v>
                </c:pt>
                <c:pt idx="11">
                  <c:v>1.008</c:v>
                </c:pt>
                <c:pt idx="12">
                  <c:v>1.008</c:v>
                </c:pt>
                <c:pt idx="13">
                  <c:v>1.0089999999999999</c:v>
                </c:pt>
                <c:pt idx="14">
                  <c:v>1.0109999999999999</c:v>
                </c:pt>
                <c:pt idx="15">
                  <c:v>1.01</c:v>
                </c:pt>
                <c:pt idx="16">
                  <c:v>1.01</c:v>
                </c:pt>
                <c:pt idx="17">
                  <c:v>1.0109999999999999</c:v>
                </c:pt>
                <c:pt idx="18">
                  <c:v>1.012</c:v>
                </c:pt>
                <c:pt idx="19">
                  <c:v>1.012</c:v>
                </c:pt>
                <c:pt idx="20">
                  <c:v>1.0109999999999999</c:v>
                </c:pt>
                <c:pt idx="21">
                  <c:v>1.01</c:v>
                </c:pt>
                <c:pt idx="22">
                  <c:v>1.0069999999999999</c:v>
                </c:pt>
                <c:pt idx="23">
                  <c:v>1.008</c:v>
                </c:pt>
                <c:pt idx="24">
                  <c:v>1.006</c:v>
                </c:pt>
                <c:pt idx="25">
                  <c:v>1.0049999999999999</c:v>
                </c:pt>
                <c:pt idx="26">
                  <c:v>1.0069999999999999</c:v>
                </c:pt>
                <c:pt idx="27">
                  <c:v>1.0089999999999999</c:v>
                </c:pt>
                <c:pt idx="28">
                  <c:v>1.012</c:v>
                </c:pt>
                <c:pt idx="29">
                  <c:v>1.0129999999999999</c:v>
                </c:pt>
                <c:pt idx="30">
                  <c:v>1.01</c:v>
                </c:pt>
                <c:pt idx="31">
                  <c:v>1.0109999999999999</c:v>
                </c:pt>
                <c:pt idx="32">
                  <c:v>1.01</c:v>
                </c:pt>
                <c:pt idx="33">
                  <c:v>1.0109999999999999</c:v>
                </c:pt>
                <c:pt idx="34">
                  <c:v>1.012</c:v>
                </c:pt>
                <c:pt idx="35">
                  <c:v>1.014</c:v>
                </c:pt>
                <c:pt idx="36">
                  <c:v>1.014</c:v>
                </c:pt>
                <c:pt idx="37">
                  <c:v>1.0149999999999999</c:v>
                </c:pt>
                <c:pt idx="38">
                  <c:v>1.014</c:v>
                </c:pt>
                <c:pt idx="39">
                  <c:v>1.0109999999999999</c:v>
                </c:pt>
                <c:pt idx="40">
                  <c:v>1.0109999999999999</c:v>
                </c:pt>
                <c:pt idx="41">
                  <c:v>1.0109999999999999</c:v>
                </c:pt>
                <c:pt idx="42">
                  <c:v>1.012</c:v>
                </c:pt>
                <c:pt idx="43">
                  <c:v>1.0129999999999999</c:v>
                </c:pt>
                <c:pt idx="44">
                  <c:v>1.0129999999999999</c:v>
                </c:pt>
                <c:pt idx="45">
                  <c:v>1.0149999999999999</c:v>
                </c:pt>
                <c:pt idx="46">
                  <c:v>1.012</c:v>
                </c:pt>
                <c:pt idx="47">
                  <c:v>1.0129999999999999</c:v>
                </c:pt>
                <c:pt idx="48">
                  <c:v>1.0149999999999999</c:v>
                </c:pt>
                <c:pt idx="49">
                  <c:v>1.0149999999999999</c:v>
                </c:pt>
                <c:pt idx="50">
                  <c:v>1.016</c:v>
                </c:pt>
                <c:pt idx="51">
                  <c:v>1.018</c:v>
                </c:pt>
                <c:pt idx="52">
                  <c:v>1.0169999999999999</c:v>
                </c:pt>
                <c:pt idx="53">
                  <c:v>1.0189999999999999</c:v>
                </c:pt>
                <c:pt idx="54">
                  <c:v>1.0189999999999999</c:v>
                </c:pt>
                <c:pt idx="55">
                  <c:v>1.02</c:v>
                </c:pt>
                <c:pt idx="56">
                  <c:v>1.022</c:v>
                </c:pt>
                <c:pt idx="57">
                  <c:v>1.022</c:v>
                </c:pt>
                <c:pt idx="58">
                  <c:v>1.022</c:v>
                </c:pt>
                <c:pt idx="59">
                  <c:v>1.022</c:v>
                </c:pt>
                <c:pt idx="60">
                  <c:v>1.0229999999999999</c:v>
                </c:pt>
                <c:pt idx="61">
                  <c:v>1.022</c:v>
                </c:pt>
                <c:pt idx="62">
                  <c:v>1.0209999999999999</c:v>
                </c:pt>
                <c:pt idx="63">
                  <c:v>1.024</c:v>
                </c:pt>
                <c:pt idx="64">
                  <c:v>1.026</c:v>
                </c:pt>
                <c:pt idx="65">
                  <c:v>1.0249999999999999</c:v>
                </c:pt>
                <c:pt idx="66">
                  <c:v>1.022</c:v>
                </c:pt>
                <c:pt idx="67">
                  <c:v>1.0209999999999999</c:v>
                </c:pt>
                <c:pt idx="68">
                  <c:v>1.0209999999999999</c:v>
                </c:pt>
                <c:pt idx="69">
                  <c:v>1.024</c:v>
                </c:pt>
                <c:pt idx="70">
                  <c:v>1.0249999999999999</c:v>
                </c:pt>
                <c:pt idx="71">
                  <c:v>1.028</c:v>
                </c:pt>
                <c:pt idx="72">
                  <c:v>1.0269999999999999</c:v>
                </c:pt>
                <c:pt idx="73">
                  <c:v>1.028</c:v>
                </c:pt>
                <c:pt idx="74">
                  <c:v>1.03</c:v>
                </c:pt>
                <c:pt idx="75">
                  <c:v>1.028</c:v>
                </c:pt>
                <c:pt idx="76">
                  <c:v>1.026</c:v>
                </c:pt>
                <c:pt idx="77">
                  <c:v>1.0269999999999999</c:v>
                </c:pt>
                <c:pt idx="78">
                  <c:v>1.026</c:v>
                </c:pt>
                <c:pt idx="79">
                  <c:v>1.0269999999999999</c:v>
                </c:pt>
                <c:pt idx="80">
                  <c:v>1.03</c:v>
                </c:pt>
                <c:pt idx="81">
                  <c:v>1.0309999999999999</c:v>
                </c:pt>
                <c:pt idx="82">
                  <c:v>1.0309999999999999</c:v>
                </c:pt>
                <c:pt idx="83">
                  <c:v>1.034</c:v>
                </c:pt>
                <c:pt idx="84">
                  <c:v>1.036</c:v>
                </c:pt>
                <c:pt idx="85">
                  <c:v>1.036</c:v>
                </c:pt>
                <c:pt idx="86">
                  <c:v>1.0369999999999999</c:v>
                </c:pt>
                <c:pt idx="87">
                  <c:v>1.04</c:v>
                </c:pt>
                <c:pt idx="88">
                  <c:v>1.0409999999999999</c:v>
                </c:pt>
                <c:pt idx="89">
                  <c:v>1.0429999999999999</c:v>
                </c:pt>
                <c:pt idx="90">
                  <c:v>1.0449999999999999</c:v>
                </c:pt>
                <c:pt idx="91">
                  <c:v>1.0449999999999999</c:v>
                </c:pt>
                <c:pt idx="92">
                  <c:v>1.0449999999999999</c:v>
                </c:pt>
                <c:pt idx="93">
                  <c:v>1.0449999999999999</c:v>
                </c:pt>
                <c:pt idx="94">
                  <c:v>1.046</c:v>
                </c:pt>
                <c:pt idx="95">
                  <c:v>1.046</c:v>
                </c:pt>
                <c:pt idx="96">
                  <c:v>1.046</c:v>
                </c:pt>
                <c:pt idx="97">
                  <c:v>1.046</c:v>
                </c:pt>
                <c:pt idx="98">
                  <c:v>1.046</c:v>
                </c:pt>
                <c:pt idx="99">
                  <c:v>1.046</c:v>
                </c:pt>
                <c:pt idx="100">
                  <c:v>1.048</c:v>
                </c:pt>
                <c:pt idx="101">
                  <c:v>1.048</c:v>
                </c:pt>
                <c:pt idx="102">
                  <c:v>1.05</c:v>
                </c:pt>
                <c:pt idx="103">
                  <c:v>1.0509999999999999</c:v>
                </c:pt>
                <c:pt idx="104">
                  <c:v>1.0509999999999999</c:v>
                </c:pt>
                <c:pt idx="105">
                  <c:v>1.052</c:v>
                </c:pt>
                <c:pt idx="106">
                  <c:v>1.052</c:v>
                </c:pt>
                <c:pt idx="107">
                  <c:v>1.056</c:v>
                </c:pt>
                <c:pt idx="108">
                  <c:v>1.0580000000000001</c:v>
                </c:pt>
                <c:pt idx="109">
                  <c:v>1.0589999999999999</c:v>
                </c:pt>
                <c:pt idx="110">
                  <c:v>1.0580000000000001</c:v>
                </c:pt>
                <c:pt idx="111">
                  <c:v>1.0580000000000001</c:v>
                </c:pt>
                <c:pt idx="112">
                  <c:v>1.06</c:v>
                </c:pt>
                <c:pt idx="113">
                  <c:v>1.0580000000000001</c:v>
                </c:pt>
                <c:pt idx="114">
                  <c:v>1.0580000000000001</c:v>
                </c:pt>
                <c:pt idx="115">
                  <c:v>1.06</c:v>
                </c:pt>
                <c:pt idx="116">
                  <c:v>1.06</c:v>
                </c:pt>
                <c:pt idx="117">
                  <c:v>1.0609999999999999</c:v>
                </c:pt>
                <c:pt idx="118">
                  <c:v>1.06</c:v>
                </c:pt>
                <c:pt idx="119">
                  <c:v>1.0569999999999999</c:v>
                </c:pt>
                <c:pt idx="120">
                  <c:v>1.0580000000000001</c:v>
                </c:pt>
                <c:pt idx="121">
                  <c:v>1.0589999999999999</c:v>
                </c:pt>
                <c:pt idx="122">
                  <c:v>1.06</c:v>
                </c:pt>
                <c:pt idx="123">
                  <c:v>1.06</c:v>
                </c:pt>
                <c:pt idx="124">
                  <c:v>1.0620000000000001</c:v>
                </c:pt>
                <c:pt idx="125">
                  <c:v>1.0629999999999999</c:v>
                </c:pt>
                <c:pt idx="126">
                  <c:v>1.0620000000000001</c:v>
                </c:pt>
                <c:pt idx="127">
                  <c:v>1.0620000000000001</c:v>
                </c:pt>
                <c:pt idx="128">
                  <c:v>1.0629999999999999</c:v>
                </c:pt>
                <c:pt idx="129">
                  <c:v>1.0660000000000001</c:v>
                </c:pt>
                <c:pt idx="130">
                  <c:v>1.0669999999999999</c:v>
                </c:pt>
                <c:pt idx="131">
                  <c:v>1.0660000000000001</c:v>
                </c:pt>
                <c:pt idx="132">
                  <c:v>1.0620000000000001</c:v>
                </c:pt>
                <c:pt idx="133">
                  <c:v>1.0680000000000001</c:v>
                </c:pt>
                <c:pt idx="134">
                  <c:v>1.069</c:v>
                </c:pt>
                <c:pt idx="135">
                  <c:v>1.069</c:v>
                </c:pt>
                <c:pt idx="136">
                  <c:v>1.07</c:v>
                </c:pt>
                <c:pt idx="137">
                  <c:v>1.071</c:v>
                </c:pt>
                <c:pt idx="138">
                  <c:v>1.075</c:v>
                </c:pt>
                <c:pt idx="139">
                  <c:v>1.071</c:v>
                </c:pt>
                <c:pt idx="140">
                  <c:v>1.071</c:v>
                </c:pt>
                <c:pt idx="141">
                  <c:v>1.07</c:v>
                </c:pt>
                <c:pt idx="142">
                  <c:v>1.07</c:v>
                </c:pt>
                <c:pt idx="143">
                  <c:v>1.07</c:v>
                </c:pt>
                <c:pt idx="144">
                  <c:v>1.073</c:v>
                </c:pt>
                <c:pt idx="145">
                  <c:v>1.071</c:v>
                </c:pt>
                <c:pt idx="146">
                  <c:v>1.0720000000000001</c:v>
                </c:pt>
                <c:pt idx="147">
                  <c:v>1.07</c:v>
                </c:pt>
                <c:pt idx="148">
                  <c:v>1.0720000000000001</c:v>
                </c:pt>
                <c:pt idx="149">
                  <c:v>1.077</c:v>
                </c:pt>
                <c:pt idx="150">
                  <c:v>1.0760000000000001</c:v>
                </c:pt>
                <c:pt idx="151">
                  <c:v>1.075</c:v>
                </c:pt>
                <c:pt idx="152">
                  <c:v>1.069</c:v>
                </c:pt>
                <c:pt idx="153">
                  <c:v>1.071</c:v>
                </c:pt>
                <c:pt idx="154">
                  <c:v>1.0720000000000001</c:v>
                </c:pt>
                <c:pt idx="155">
                  <c:v>1.073</c:v>
                </c:pt>
                <c:pt idx="156">
                  <c:v>1.0720000000000001</c:v>
                </c:pt>
                <c:pt idx="157">
                  <c:v>1.0720000000000001</c:v>
                </c:pt>
                <c:pt idx="158">
                  <c:v>1.0720000000000001</c:v>
                </c:pt>
                <c:pt idx="159">
                  <c:v>1.071</c:v>
                </c:pt>
                <c:pt idx="160">
                  <c:v>1.071</c:v>
                </c:pt>
                <c:pt idx="161">
                  <c:v>1.075</c:v>
                </c:pt>
                <c:pt idx="162">
                  <c:v>1.08</c:v>
                </c:pt>
                <c:pt idx="163">
                  <c:v>1.081</c:v>
                </c:pt>
                <c:pt idx="164">
                  <c:v>1.0820000000000001</c:v>
                </c:pt>
                <c:pt idx="165">
                  <c:v>1.085</c:v>
                </c:pt>
                <c:pt idx="166">
                  <c:v>1.087</c:v>
                </c:pt>
                <c:pt idx="167">
                  <c:v>1.089</c:v>
                </c:pt>
                <c:pt idx="168">
                  <c:v>1.0880000000000001</c:v>
                </c:pt>
                <c:pt idx="169">
                  <c:v>1.097</c:v>
                </c:pt>
                <c:pt idx="170">
                  <c:v>1.099</c:v>
                </c:pt>
                <c:pt idx="171">
                  <c:v>1.099</c:v>
                </c:pt>
                <c:pt idx="172">
                  <c:v>1.1000000000000001</c:v>
                </c:pt>
                <c:pt idx="173">
                  <c:v>1.1020000000000001</c:v>
                </c:pt>
                <c:pt idx="174">
                  <c:v>1.1020000000000001</c:v>
                </c:pt>
                <c:pt idx="175">
                  <c:v>1.103</c:v>
                </c:pt>
                <c:pt idx="176">
                  <c:v>1.1060000000000001</c:v>
                </c:pt>
                <c:pt idx="177">
                  <c:v>1.105</c:v>
                </c:pt>
                <c:pt idx="178">
                  <c:v>1.105</c:v>
                </c:pt>
                <c:pt idx="179">
                  <c:v>1.1060000000000001</c:v>
                </c:pt>
                <c:pt idx="180">
                  <c:v>1.1080000000000001</c:v>
                </c:pt>
                <c:pt idx="181">
                  <c:v>1.109</c:v>
                </c:pt>
                <c:pt idx="182">
                  <c:v>1.1060000000000001</c:v>
                </c:pt>
                <c:pt idx="183">
                  <c:v>1.1080000000000001</c:v>
                </c:pt>
                <c:pt idx="184">
                  <c:v>1.109</c:v>
                </c:pt>
                <c:pt idx="185">
                  <c:v>1.1080000000000001</c:v>
                </c:pt>
                <c:pt idx="186">
                  <c:v>1.1080000000000001</c:v>
                </c:pt>
                <c:pt idx="187">
                  <c:v>1.105</c:v>
                </c:pt>
                <c:pt idx="188">
                  <c:v>1.119</c:v>
                </c:pt>
                <c:pt idx="189">
                  <c:v>1.117</c:v>
                </c:pt>
                <c:pt idx="190">
                  <c:v>1.117</c:v>
                </c:pt>
                <c:pt idx="191">
                  <c:v>1.107</c:v>
                </c:pt>
                <c:pt idx="192">
                  <c:v>1.101</c:v>
                </c:pt>
                <c:pt idx="193">
                  <c:v>1.101</c:v>
                </c:pt>
                <c:pt idx="194">
                  <c:v>1.101</c:v>
                </c:pt>
                <c:pt idx="195">
                  <c:v>1.1020000000000001</c:v>
                </c:pt>
                <c:pt idx="196">
                  <c:v>1.105</c:v>
                </c:pt>
                <c:pt idx="197">
                  <c:v>1.1060000000000001</c:v>
                </c:pt>
                <c:pt idx="198">
                  <c:v>1.1040000000000001</c:v>
                </c:pt>
                <c:pt idx="199">
                  <c:v>1.105</c:v>
                </c:pt>
                <c:pt idx="200">
                  <c:v>1.1060000000000001</c:v>
                </c:pt>
                <c:pt idx="201">
                  <c:v>1.1060000000000001</c:v>
                </c:pt>
                <c:pt idx="202">
                  <c:v>1.1060000000000001</c:v>
                </c:pt>
                <c:pt idx="203">
                  <c:v>1.105</c:v>
                </c:pt>
                <c:pt idx="204">
                  <c:v>1.107</c:v>
                </c:pt>
                <c:pt idx="205">
                  <c:v>1.1080000000000001</c:v>
                </c:pt>
                <c:pt idx="206">
                  <c:v>1.1100000000000001</c:v>
                </c:pt>
                <c:pt idx="207">
                  <c:v>1.109</c:v>
                </c:pt>
                <c:pt idx="208">
                  <c:v>1.111</c:v>
                </c:pt>
                <c:pt idx="209">
                  <c:v>1.1100000000000001</c:v>
                </c:pt>
                <c:pt idx="210">
                  <c:v>1.113</c:v>
                </c:pt>
                <c:pt idx="211">
                  <c:v>1.1120000000000001</c:v>
                </c:pt>
                <c:pt idx="212">
                  <c:v>1.113</c:v>
                </c:pt>
                <c:pt idx="213">
                  <c:v>1.1140000000000001</c:v>
                </c:pt>
                <c:pt idx="214">
                  <c:v>1.115</c:v>
                </c:pt>
                <c:pt idx="215">
                  <c:v>1.113</c:v>
                </c:pt>
                <c:pt idx="216">
                  <c:v>1.1140000000000001</c:v>
                </c:pt>
                <c:pt idx="217">
                  <c:v>1.1140000000000001</c:v>
                </c:pt>
                <c:pt idx="218">
                  <c:v>1.113</c:v>
                </c:pt>
                <c:pt idx="219">
                  <c:v>1.113</c:v>
                </c:pt>
                <c:pt idx="220">
                  <c:v>1.113</c:v>
                </c:pt>
                <c:pt idx="221">
                  <c:v>1.1120000000000001</c:v>
                </c:pt>
                <c:pt idx="222">
                  <c:v>1.113</c:v>
                </c:pt>
                <c:pt idx="223">
                  <c:v>1.1120000000000001</c:v>
                </c:pt>
                <c:pt idx="224">
                  <c:v>1.113</c:v>
                </c:pt>
                <c:pt idx="225">
                  <c:v>1.115</c:v>
                </c:pt>
                <c:pt idx="226">
                  <c:v>1.115</c:v>
                </c:pt>
                <c:pt idx="227">
                  <c:v>1.1140000000000001</c:v>
                </c:pt>
                <c:pt idx="228">
                  <c:v>1.115</c:v>
                </c:pt>
                <c:pt idx="229">
                  <c:v>1.117</c:v>
                </c:pt>
                <c:pt idx="230">
                  <c:v>1.115</c:v>
                </c:pt>
                <c:pt idx="231">
                  <c:v>1.1160000000000001</c:v>
                </c:pt>
                <c:pt idx="232">
                  <c:v>1.115</c:v>
                </c:pt>
                <c:pt idx="233">
                  <c:v>1.117</c:v>
                </c:pt>
                <c:pt idx="234">
                  <c:v>1.117</c:v>
                </c:pt>
                <c:pt idx="235">
                  <c:v>1.1160000000000001</c:v>
                </c:pt>
                <c:pt idx="236">
                  <c:v>1.117</c:v>
                </c:pt>
                <c:pt idx="237">
                  <c:v>1.1160000000000001</c:v>
                </c:pt>
                <c:pt idx="238">
                  <c:v>1.1180000000000001</c:v>
                </c:pt>
                <c:pt idx="239">
                  <c:v>1.1180000000000001</c:v>
                </c:pt>
                <c:pt idx="240">
                  <c:v>1.1180000000000001</c:v>
                </c:pt>
                <c:pt idx="241">
                  <c:v>1.1200000000000001</c:v>
                </c:pt>
                <c:pt idx="242">
                  <c:v>1.119</c:v>
                </c:pt>
                <c:pt idx="243">
                  <c:v>1.121</c:v>
                </c:pt>
                <c:pt idx="244">
                  <c:v>1.121</c:v>
                </c:pt>
                <c:pt idx="245">
                  <c:v>1.1220000000000001</c:v>
                </c:pt>
                <c:pt idx="246">
                  <c:v>1.127</c:v>
                </c:pt>
                <c:pt idx="247">
                  <c:v>1.127</c:v>
                </c:pt>
                <c:pt idx="248">
                  <c:v>1.1279999999999999</c:v>
                </c:pt>
                <c:pt idx="249">
                  <c:v>1.129</c:v>
                </c:pt>
                <c:pt idx="250">
                  <c:v>1.1299999999999999</c:v>
                </c:pt>
                <c:pt idx="251">
                  <c:v>1.131</c:v>
                </c:pt>
                <c:pt idx="252">
                  <c:v>1.1339999999999999</c:v>
                </c:pt>
                <c:pt idx="253">
                  <c:v>1.1339999999999999</c:v>
                </c:pt>
                <c:pt idx="254">
                  <c:v>1.1339999999999999</c:v>
                </c:pt>
                <c:pt idx="255">
                  <c:v>1.1319999999999999</c:v>
                </c:pt>
                <c:pt idx="256">
                  <c:v>1.133</c:v>
                </c:pt>
                <c:pt idx="257">
                  <c:v>1.1279999999999999</c:v>
                </c:pt>
                <c:pt idx="258">
                  <c:v>1.1339999999999999</c:v>
                </c:pt>
                <c:pt idx="259">
                  <c:v>1.135</c:v>
                </c:pt>
                <c:pt idx="260">
                  <c:v>1.141</c:v>
                </c:pt>
                <c:pt idx="261">
                  <c:v>1.1419999999999999</c:v>
                </c:pt>
                <c:pt idx="262">
                  <c:v>1.1399999999999999</c:v>
                </c:pt>
                <c:pt idx="263">
                  <c:v>1.139</c:v>
                </c:pt>
                <c:pt idx="264">
                  <c:v>1.141</c:v>
                </c:pt>
                <c:pt idx="265">
                  <c:v>1.141</c:v>
                </c:pt>
                <c:pt idx="266">
                  <c:v>1.1419999999999999</c:v>
                </c:pt>
                <c:pt idx="267">
                  <c:v>1.145</c:v>
                </c:pt>
                <c:pt idx="268">
                  <c:v>1.1459999999999999</c:v>
                </c:pt>
                <c:pt idx="269">
                  <c:v>1.1519999999999999</c:v>
                </c:pt>
                <c:pt idx="270">
                  <c:v>1.149</c:v>
                </c:pt>
                <c:pt idx="271">
                  <c:v>1.1539999999999999</c:v>
                </c:pt>
                <c:pt idx="272">
                  <c:v>1.1559999999999999</c:v>
                </c:pt>
                <c:pt idx="273">
                  <c:v>1.153</c:v>
                </c:pt>
                <c:pt idx="274">
                  <c:v>1.155</c:v>
                </c:pt>
                <c:pt idx="275">
                  <c:v>1.1579999999999999</c:v>
                </c:pt>
                <c:pt idx="276">
                  <c:v>1.165</c:v>
                </c:pt>
                <c:pt idx="277">
                  <c:v>1.163</c:v>
                </c:pt>
                <c:pt idx="278">
                  <c:v>1.1639999999999999</c:v>
                </c:pt>
                <c:pt idx="279">
                  <c:v>1.163</c:v>
                </c:pt>
                <c:pt idx="280">
                  <c:v>1.1639999999999999</c:v>
                </c:pt>
                <c:pt idx="281">
                  <c:v>1.163</c:v>
                </c:pt>
                <c:pt idx="282">
                  <c:v>1.1639999999999999</c:v>
                </c:pt>
                <c:pt idx="283">
                  <c:v>1.165</c:v>
                </c:pt>
                <c:pt idx="284">
                  <c:v>1.165</c:v>
                </c:pt>
                <c:pt idx="285">
                  <c:v>1.1619999999999999</c:v>
                </c:pt>
                <c:pt idx="286">
                  <c:v>1.1619999999999999</c:v>
                </c:pt>
                <c:pt idx="287">
                  <c:v>1.1639999999999999</c:v>
                </c:pt>
                <c:pt idx="288">
                  <c:v>1.1619999999999999</c:v>
                </c:pt>
                <c:pt idx="289">
                  <c:v>1.167</c:v>
                </c:pt>
                <c:pt idx="290">
                  <c:v>1.1679999999999999</c:v>
                </c:pt>
                <c:pt idx="291">
                  <c:v>1.1639999999999999</c:v>
                </c:pt>
                <c:pt idx="292">
                  <c:v>1.167</c:v>
                </c:pt>
                <c:pt idx="293">
                  <c:v>1.175</c:v>
                </c:pt>
                <c:pt idx="294">
                  <c:v>1.173</c:v>
                </c:pt>
                <c:pt idx="295">
                  <c:v>1.173</c:v>
                </c:pt>
                <c:pt idx="296">
                  <c:v>1.1759999999999999</c:v>
                </c:pt>
                <c:pt idx="297">
                  <c:v>1.177</c:v>
                </c:pt>
                <c:pt idx="298">
                  <c:v>1.177</c:v>
                </c:pt>
                <c:pt idx="299">
                  <c:v>1.179</c:v>
                </c:pt>
                <c:pt idx="300">
                  <c:v>1.1779999999999999</c:v>
                </c:pt>
                <c:pt idx="301">
                  <c:v>1.181</c:v>
                </c:pt>
                <c:pt idx="302">
                  <c:v>1.181</c:v>
                </c:pt>
                <c:pt idx="303">
                  <c:v>1.1830000000000001</c:v>
                </c:pt>
                <c:pt idx="304">
                  <c:v>1.1819999999999999</c:v>
                </c:pt>
                <c:pt idx="305">
                  <c:v>1.1830000000000001</c:v>
                </c:pt>
                <c:pt idx="306">
                  <c:v>1.1839999999999999</c:v>
                </c:pt>
                <c:pt idx="307">
                  <c:v>1.1830000000000001</c:v>
                </c:pt>
                <c:pt idx="308">
                  <c:v>1.1830000000000001</c:v>
                </c:pt>
                <c:pt idx="309">
                  <c:v>1.1819999999999999</c:v>
                </c:pt>
                <c:pt idx="310">
                  <c:v>1.1819999999999999</c:v>
                </c:pt>
                <c:pt idx="311">
                  <c:v>1.181</c:v>
                </c:pt>
                <c:pt idx="312">
                  <c:v>1.1819999999999999</c:v>
                </c:pt>
                <c:pt idx="313">
                  <c:v>1.1819999999999999</c:v>
                </c:pt>
                <c:pt idx="314">
                  <c:v>1.1839999999999999</c:v>
                </c:pt>
                <c:pt idx="315">
                  <c:v>1.1830000000000001</c:v>
                </c:pt>
                <c:pt idx="316">
                  <c:v>1.1830000000000001</c:v>
                </c:pt>
                <c:pt idx="317">
                  <c:v>1.1850000000000001</c:v>
                </c:pt>
                <c:pt idx="318">
                  <c:v>1.1830000000000001</c:v>
                </c:pt>
                <c:pt idx="319">
                  <c:v>1.1879999999999999</c:v>
                </c:pt>
                <c:pt idx="320">
                  <c:v>1.1859999999999999</c:v>
                </c:pt>
                <c:pt idx="321">
                  <c:v>1.1850000000000001</c:v>
                </c:pt>
                <c:pt idx="322">
                  <c:v>1.1870000000000001</c:v>
                </c:pt>
                <c:pt idx="323">
                  <c:v>1.1850000000000001</c:v>
                </c:pt>
                <c:pt idx="324">
                  <c:v>1.1859999999999999</c:v>
                </c:pt>
                <c:pt idx="325">
                  <c:v>1.1890000000000001</c:v>
                </c:pt>
                <c:pt idx="326">
                  <c:v>1.19</c:v>
                </c:pt>
                <c:pt idx="327">
                  <c:v>1.1879999999999999</c:v>
                </c:pt>
                <c:pt idx="328">
                  <c:v>1.1910000000000001</c:v>
                </c:pt>
                <c:pt idx="329">
                  <c:v>1.194</c:v>
                </c:pt>
                <c:pt idx="330">
                  <c:v>1.1919999999999999</c:v>
                </c:pt>
                <c:pt idx="331">
                  <c:v>1.1919999999999999</c:v>
                </c:pt>
                <c:pt idx="332">
                  <c:v>1.1930000000000001</c:v>
                </c:pt>
                <c:pt idx="333">
                  <c:v>1.196</c:v>
                </c:pt>
                <c:pt idx="334">
                  <c:v>1.1950000000000001</c:v>
                </c:pt>
                <c:pt idx="335">
                  <c:v>1.196</c:v>
                </c:pt>
                <c:pt idx="336">
                  <c:v>1.1950000000000001</c:v>
                </c:pt>
                <c:pt idx="337">
                  <c:v>1.1970000000000001</c:v>
                </c:pt>
                <c:pt idx="338">
                  <c:v>1.198</c:v>
                </c:pt>
                <c:pt idx="339">
                  <c:v>1.2</c:v>
                </c:pt>
                <c:pt idx="340">
                  <c:v>1.204</c:v>
                </c:pt>
                <c:pt idx="341">
                  <c:v>1.202</c:v>
                </c:pt>
                <c:pt idx="342">
                  <c:v>1.2070000000000001</c:v>
                </c:pt>
                <c:pt idx="343">
                  <c:v>1.208</c:v>
                </c:pt>
                <c:pt idx="344">
                  <c:v>1.2090000000000001</c:v>
                </c:pt>
                <c:pt idx="345">
                  <c:v>1.208</c:v>
                </c:pt>
                <c:pt idx="346">
                  <c:v>1.208</c:v>
                </c:pt>
                <c:pt idx="347">
                  <c:v>1.208</c:v>
                </c:pt>
                <c:pt idx="348">
                  <c:v>1.2070000000000001</c:v>
                </c:pt>
                <c:pt idx="349">
                  <c:v>1.2070000000000001</c:v>
                </c:pt>
                <c:pt idx="350">
                  <c:v>1.208</c:v>
                </c:pt>
                <c:pt idx="351">
                  <c:v>1.21</c:v>
                </c:pt>
                <c:pt idx="352">
                  <c:v>1.21</c:v>
                </c:pt>
                <c:pt idx="353">
                  <c:v>1.2150000000000001</c:v>
                </c:pt>
                <c:pt idx="354">
                  <c:v>1.214</c:v>
                </c:pt>
                <c:pt idx="355">
                  <c:v>1.2130000000000001</c:v>
                </c:pt>
                <c:pt idx="356">
                  <c:v>1.214</c:v>
                </c:pt>
                <c:pt idx="357">
                  <c:v>1.214</c:v>
                </c:pt>
                <c:pt idx="358">
                  <c:v>1.216</c:v>
                </c:pt>
                <c:pt idx="359">
                  <c:v>1.214</c:v>
                </c:pt>
                <c:pt idx="360">
                  <c:v>1.214</c:v>
                </c:pt>
                <c:pt idx="361">
                  <c:v>1.214</c:v>
                </c:pt>
                <c:pt idx="362">
                  <c:v>1.2110000000000001</c:v>
                </c:pt>
                <c:pt idx="363">
                  <c:v>1.2110000000000001</c:v>
                </c:pt>
                <c:pt idx="364">
                  <c:v>1.2110000000000001</c:v>
                </c:pt>
                <c:pt idx="365">
                  <c:v>1.212</c:v>
                </c:pt>
                <c:pt idx="366">
                  <c:v>1.2130000000000001</c:v>
                </c:pt>
                <c:pt idx="367">
                  <c:v>1.2130000000000001</c:v>
                </c:pt>
                <c:pt idx="368">
                  <c:v>1.2130000000000001</c:v>
                </c:pt>
                <c:pt idx="369">
                  <c:v>1.2150000000000001</c:v>
                </c:pt>
                <c:pt idx="370">
                  <c:v>1.2150000000000001</c:v>
                </c:pt>
              </c:numCache>
            </c:numRef>
          </c:val>
          <c:smooth val="0"/>
          <c:extLst>
            <c:ext xmlns:c16="http://schemas.microsoft.com/office/drawing/2014/chart" uri="{C3380CC4-5D6E-409C-BE32-E72D297353CC}">
              <c16:uniqueId val="{00000000-09D1-45F8-9E70-F01C0C7F6335}"/>
            </c:ext>
          </c:extLst>
        </c:ser>
        <c:dLbls>
          <c:showLegendKey val="0"/>
          <c:showVal val="0"/>
          <c:showCatName val="0"/>
          <c:showSerName val="0"/>
          <c:showPercent val="0"/>
          <c:showBubbleSize val="0"/>
        </c:dLbls>
        <c:smooth val="0"/>
        <c:axId val="-490971088"/>
        <c:axId val="-490970544"/>
      </c:lineChart>
      <c:catAx>
        <c:axId val="-4909710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0970544"/>
        <c:crosses val="autoZero"/>
        <c:auto val="0"/>
        <c:lblAlgn val="ctr"/>
        <c:lblOffset val="100"/>
        <c:noMultiLvlLbl val="1"/>
      </c:catAx>
      <c:valAx>
        <c:axId val="-490970544"/>
        <c:scaling>
          <c:orientation val="minMax"/>
          <c:min val="0.99"/>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097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4" l="0.70000000000000062" r="0.70000000000000062" t="0.75000000000000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542924</xdr:colOff>
      <xdr:row>1</xdr:row>
      <xdr:rowOff>161924</xdr:rowOff>
    </xdr:from>
    <xdr:to>
      <xdr:col>15</xdr:col>
      <xdr:colOff>457199</xdr:colOff>
      <xdr:row>18</xdr:row>
      <xdr:rowOff>133349</xdr:rowOff>
    </xdr:to>
    <xdr:graphicFrame macro="">
      <xdr:nvGraphicFramePr>
        <xdr:cNvPr id="2" name="图表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276225</xdr:colOff>
      <xdr:row>2</xdr:row>
      <xdr:rowOff>85725</xdr:rowOff>
    </xdr:from>
    <xdr:to>
      <xdr:col>24</xdr:col>
      <xdr:colOff>133350</xdr:colOff>
      <xdr:row>19</xdr:row>
      <xdr:rowOff>66675</xdr:rowOff>
    </xdr:to>
    <xdr:graphicFrame macro="">
      <xdr:nvGraphicFramePr>
        <xdr:cNvPr id="3" name="图表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287</xdr:row>
      <xdr:rowOff>28575</xdr:rowOff>
    </xdr:from>
    <xdr:to>
      <xdr:col>16</xdr:col>
      <xdr:colOff>571500</xdr:colOff>
      <xdr:row>305</xdr:row>
      <xdr:rowOff>38100</xdr:rowOff>
    </xdr:to>
    <xdr:graphicFrame macro="">
      <xdr:nvGraphicFramePr>
        <xdr:cNvPr id="4" name="图表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600074</xdr:colOff>
      <xdr:row>1</xdr:row>
      <xdr:rowOff>190499</xdr:rowOff>
    </xdr:from>
    <xdr:to>
      <xdr:col>15</xdr:col>
      <xdr:colOff>276225</xdr:colOff>
      <xdr:row>18</xdr:row>
      <xdr:rowOff>104774</xdr:rowOff>
    </xdr:to>
    <xdr:graphicFrame macro="">
      <xdr:nvGraphicFramePr>
        <xdr:cNvPr id="2" name="图表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638174</xdr:colOff>
      <xdr:row>2</xdr:row>
      <xdr:rowOff>38099</xdr:rowOff>
    </xdr:from>
    <xdr:to>
      <xdr:col>17</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638174</xdr:colOff>
      <xdr:row>2</xdr:row>
      <xdr:rowOff>38099</xdr:rowOff>
    </xdr:from>
    <xdr:to>
      <xdr:col>17</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47625</xdr:rowOff>
    </xdr:from>
    <xdr:to>
      <xdr:col>14</xdr:col>
      <xdr:colOff>184785</xdr:colOff>
      <xdr:row>16</xdr:row>
      <xdr:rowOff>104775</xdr:rowOff>
    </xdr:to>
    <xdr:graphicFrame macro="">
      <xdr:nvGraphicFramePr>
        <xdr:cNvPr id="2" name="图表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123825</xdr:colOff>
      <xdr:row>18</xdr:row>
      <xdr:rowOff>142874</xdr:rowOff>
    </xdr:to>
    <xdr:graphicFrame macro="">
      <xdr:nvGraphicFramePr>
        <xdr:cNvPr id="2" name="图表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495299</xdr:colOff>
      <xdr:row>8</xdr:row>
      <xdr:rowOff>38099</xdr:rowOff>
    </xdr:from>
    <xdr:to>
      <xdr:col>16</xdr:col>
      <xdr:colOff>542924</xdr:colOff>
      <xdr:row>24</xdr:row>
      <xdr:rowOff>47624</xdr:rowOff>
    </xdr:to>
    <xdr:graphicFrame macro="">
      <xdr:nvGraphicFramePr>
        <xdr:cNvPr id="3" name="图表 2">
          <a:extLst>
            <a:ext uri="{FF2B5EF4-FFF2-40B4-BE49-F238E27FC236}">
              <a16:creationId xmlns:a16="http://schemas.microsoft.com/office/drawing/2014/main" id="{00000000-0008-0000-1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266699</xdr:colOff>
      <xdr:row>3</xdr:row>
      <xdr:rowOff>57149</xdr:rowOff>
    </xdr:from>
    <xdr:to>
      <xdr:col>16</xdr:col>
      <xdr:colOff>571500</xdr:colOff>
      <xdr:row>19</xdr:row>
      <xdr:rowOff>161924</xdr:rowOff>
    </xdr:to>
    <xdr:graphicFrame macro="">
      <xdr:nvGraphicFramePr>
        <xdr:cNvPr id="2" name="图表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276224</xdr:colOff>
      <xdr:row>36</xdr:row>
      <xdr:rowOff>9524</xdr:rowOff>
    </xdr:from>
    <xdr:to>
      <xdr:col>16</xdr:col>
      <xdr:colOff>323849</xdr:colOff>
      <xdr:row>53</xdr:row>
      <xdr:rowOff>47624</xdr:rowOff>
    </xdr:to>
    <xdr:graphicFrame macro="">
      <xdr:nvGraphicFramePr>
        <xdr:cNvPr id="2" name="图表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495299</xdr:colOff>
      <xdr:row>8</xdr:row>
      <xdr:rowOff>38099</xdr:rowOff>
    </xdr:from>
    <xdr:to>
      <xdr:col>16</xdr:col>
      <xdr:colOff>542924</xdr:colOff>
      <xdr:row>24</xdr:row>
      <xdr:rowOff>0</xdr:rowOff>
    </xdr:to>
    <xdr:graphicFrame macro="">
      <xdr:nvGraphicFramePr>
        <xdr:cNvPr id="2" name="图表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8</xdr:col>
      <xdr:colOff>495299</xdr:colOff>
      <xdr:row>8</xdr:row>
      <xdr:rowOff>38099</xdr:rowOff>
    </xdr:from>
    <xdr:to>
      <xdr:col>16</xdr:col>
      <xdr:colOff>542924</xdr:colOff>
      <xdr:row>24</xdr:row>
      <xdr:rowOff>0</xdr:rowOff>
    </xdr:to>
    <xdr:graphicFrame macro="">
      <xdr:nvGraphicFramePr>
        <xdr:cNvPr id="2" name="图表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495299</xdr:colOff>
      <xdr:row>8</xdr:row>
      <xdr:rowOff>38099</xdr:rowOff>
    </xdr:from>
    <xdr:to>
      <xdr:col>16</xdr:col>
      <xdr:colOff>542924</xdr:colOff>
      <xdr:row>24</xdr:row>
      <xdr:rowOff>0</xdr:rowOff>
    </xdr:to>
    <xdr:graphicFrame macro="">
      <xdr:nvGraphicFramePr>
        <xdr:cNvPr id="2" name="图表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8</xdr:col>
      <xdr:colOff>495299</xdr:colOff>
      <xdr:row>8</xdr:row>
      <xdr:rowOff>38099</xdr:rowOff>
    </xdr:from>
    <xdr:to>
      <xdr:col>16</xdr:col>
      <xdr:colOff>542924</xdr:colOff>
      <xdr:row>24</xdr:row>
      <xdr:rowOff>0</xdr:rowOff>
    </xdr:to>
    <xdr:graphicFrame macro="">
      <xdr:nvGraphicFramePr>
        <xdr:cNvPr id="2" name="图表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600074</xdr:colOff>
      <xdr:row>2</xdr:row>
      <xdr:rowOff>0</xdr:rowOff>
    </xdr:from>
    <xdr:to>
      <xdr:col>17</xdr:col>
      <xdr:colOff>133350</xdr:colOff>
      <xdr:row>19</xdr:row>
      <xdr:rowOff>66675</xdr:rowOff>
    </xdr:to>
    <xdr:graphicFrame macro="">
      <xdr:nvGraphicFramePr>
        <xdr:cNvPr id="2" name="图表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9</xdr:col>
      <xdr:colOff>895350</xdr:colOff>
      <xdr:row>2</xdr:row>
      <xdr:rowOff>85724</xdr:rowOff>
    </xdr:from>
    <xdr:to>
      <xdr:col>17</xdr:col>
      <xdr:colOff>571500</xdr:colOff>
      <xdr:row>20</xdr:row>
      <xdr:rowOff>142874</xdr:rowOff>
    </xdr:to>
    <xdr:graphicFrame macro="">
      <xdr:nvGraphicFramePr>
        <xdr:cNvPr id="2" name="图表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571500</xdr:colOff>
      <xdr:row>0</xdr:row>
      <xdr:rowOff>161925</xdr:rowOff>
    </xdr:from>
    <xdr:to>
      <xdr:col>11</xdr:col>
      <xdr:colOff>247650</xdr:colOff>
      <xdr:row>18</xdr:row>
      <xdr:rowOff>9524</xdr:rowOff>
    </xdr:to>
    <xdr:graphicFrame macro="">
      <xdr:nvGraphicFramePr>
        <xdr:cNvPr id="2" name="图表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409575</xdr:colOff>
      <xdr:row>18</xdr:row>
      <xdr:rowOff>142875</xdr:rowOff>
    </xdr:to>
    <xdr:graphicFrame macro="">
      <xdr:nvGraphicFramePr>
        <xdr:cNvPr id="2" name="图表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8</xdr:col>
      <xdr:colOff>600074</xdr:colOff>
      <xdr:row>1</xdr:row>
      <xdr:rowOff>190499</xdr:rowOff>
    </xdr:from>
    <xdr:to>
      <xdr:col>15</xdr:col>
      <xdr:colOff>514350</xdr:colOff>
      <xdr:row>17</xdr:row>
      <xdr:rowOff>133349</xdr:rowOff>
    </xdr:to>
    <xdr:graphicFrame macro="">
      <xdr:nvGraphicFramePr>
        <xdr:cNvPr id="2" name="图表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7</xdr:col>
      <xdr:colOff>600074</xdr:colOff>
      <xdr:row>2</xdr:row>
      <xdr:rowOff>0</xdr:rowOff>
    </xdr:from>
    <xdr:to>
      <xdr:col>14</xdr:col>
      <xdr:colOff>514349</xdr:colOff>
      <xdr:row>17</xdr:row>
      <xdr:rowOff>66675</xdr:rowOff>
    </xdr:to>
    <xdr:graphicFrame macro="">
      <xdr:nvGraphicFramePr>
        <xdr:cNvPr id="2" name="图表 1">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8</xdr:col>
      <xdr:colOff>600074</xdr:colOff>
      <xdr:row>2</xdr:row>
      <xdr:rowOff>0</xdr:rowOff>
    </xdr:from>
    <xdr:to>
      <xdr:col>17</xdr:col>
      <xdr:colOff>133350</xdr:colOff>
      <xdr:row>19</xdr:row>
      <xdr:rowOff>66675</xdr:rowOff>
    </xdr:to>
    <xdr:graphicFrame macro="">
      <xdr:nvGraphicFramePr>
        <xdr:cNvPr id="2" name="图表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161925</xdr:rowOff>
    </xdr:from>
    <xdr:to>
      <xdr:col>14</xdr:col>
      <xdr:colOff>304799</xdr:colOff>
      <xdr:row>18</xdr:row>
      <xdr:rowOff>66675</xdr:rowOff>
    </xdr:to>
    <xdr:graphicFrame macro="">
      <xdr:nvGraphicFramePr>
        <xdr:cNvPr id="2" name="图表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638174</xdr:colOff>
      <xdr:row>2</xdr:row>
      <xdr:rowOff>38099</xdr:rowOff>
    </xdr:from>
    <xdr:to>
      <xdr:col>16</xdr:col>
      <xdr:colOff>28575</xdr:colOff>
      <xdr:row>18</xdr:row>
      <xdr:rowOff>142874</xdr:rowOff>
    </xdr:to>
    <xdr:graphicFrame macro="">
      <xdr:nvGraphicFramePr>
        <xdr:cNvPr id="2" name="图表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600074</xdr:colOff>
      <xdr:row>2</xdr:row>
      <xdr:rowOff>0</xdr:rowOff>
    </xdr:from>
    <xdr:to>
      <xdr:col>15</xdr:col>
      <xdr:colOff>514349</xdr:colOff>
      <xdr:row>17</xdr:row>
      <xdr:rowOff>66675</xdr:rowOff>
    </xdr:to>
    <xdr:graphicFrame macro="">
      <xdr:nvGraphicFramePr>
        <xdr:cNvPr id="2" name="图表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km/g/&#21326;&#38395;&#26399;&#36135;&#36164;&#31649;&#37096;/FOF&#25237;&#21518;&#31649;&#29702;/&#21326;&#20113;&#29822;&#23578;&#20108;&#21495;/&#29822;&#23578;&#20108;&#21495;&#20928;&#20540;&#36319;&#363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wqh/Desktop/&#22269;&#32593;&#33521;&#22823;&#21512;&#20316;/&#20135;&#21697;&#25237;&#36164;&#21644;&#20928;&#20540;&#36319;&#36394;/&#33521;&#22823;&#38271;&#19977;&#35282;&#30899;&#19968;&#21495;3&#26399;FOF&#20928;&#20540;&#36319;&#3639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母基金基本情况汇总"/>
      <sheetName val="2FOF净值画线"/>
      <sheetName val="3风险收益指标"/>
      <sheetName val="4资产配置"/>
      <sheetName val="瑾尚二号净值"/>
      <sheetName val="周更新-瑾尚二号"/>
    </sheetNames>
    <sheetDataSet>
      <sheetData sheetId="0"/>
      <sheetData sheetId="1"/>
      <sheetData sheetId="2"/>
      <sheetData sheetId="3"/>
      <sheetData sheetId="4">
        <row r="1">
          <cell r="A1" t="str">
            <v>日期</v>
          </cell>
          <cell r="B1" t="str">
            <v>瑾尚二号</v>
          </cell>
        </row>
        <row r="2">
          <cell r="A2">
            <v>44060</v>
          </cell>
          <cell r="B2">
            <v>1</v>
          </cell>
        </row>
        <row r="3">
          <cell r="A3">
            <v>44061</v>
          </cell>
          <cell r="B3">
            <v>0.99990000000000001</v>
          </cell>
        </row>
        <row r="4">
          <cell r="A4">
            <v>44062</v>
          </cell>
          <cell r="B4">
            <v>0.99990000000000001</v>
          </cell>
        </row>
        <row r="5">
          <cell r="A5">
            <v>44063</v>
          </cell>
          <cell r="B5">
            <v>0.99980000000000002</v>
          </cell>
        </row>
        <row r="6">
          <cell r="A6">
            <v>44064</v>
          </cell>
          <cell r="B6">
            <v>0.99939999999999996</v>
          </cell>
        </row>
        <row r="7">
          <cell r="A7">
            <v>44067</v>
          </cell>
          <cell r="B7">
            <v>1.0018</v>
          </cell>
        </row>
        <row r="8">
          <cell r="A8">
            <v>44068</v>
          </cell>
          <cell r="B8">
            <v>1.0048999999999999</v>
          </cell>
        </row>
        <row r="9">
          <cell r="A9">
            <v>44069</v>
          </cell>
          <cell r="B9">
            <v>0.99950000000000006</v>
          </cell>
        </row>
        <row r="10">
          <cell r="A10">
            <v>44070</v>
          </cell>
          <cell r="B10">
            <v>1.0055000000000001</v>
          </cell>
        </row>
        <row r="11">
          <cell r="A11">
            <v>44071</v>
          </cell>
          <cell r="B11">
            <v>1.0128999999999999</v>
          </cell>
        </row>
        <row r="12">
          <cell r="A12">
            <v>44074</v>
          </cell>
          <cell r="B12">
            <v>1.0122</v>
          </cell>
        </row>
        <row r="13">
          <cell r="A13">
            <v>44075</v>
          </cell>
          <cell r="B13">
            <v>1.0154000000000001</v>
          </cell>
        </row>
        <row r="14">
          <cell r="A14">
            <v>44076</v>
          </cell>
          <cell r="B14">
            <v>1.0155000000000001</v>
          </cell>
        </row>
        <row r="15">
          <cell r="A15">
            <v>44077</v>
          </cell>
          <cell r="B15">
            <v>1.0148999999999999</v>
          </cell>
        </row>
        <row r="16">
          <cell r="A16">
            <v>44078</v>
          </cell>
          <cell r="B16">
            <v>1.0143</v>
          </cell>
        </row>
        <row r="17">
          <cell r="A17">
            <v>44081</v>
          </cell>
          <cell r="B17">
            <v>1.0031000000000001</v>
          </cell>
        </row>
        <row r="18">
          <cell r="A18">
            <v>44082</v>
          </cell>
          <cell r="B18">
            <v>1.0124</v>
          </cell>
        </row>
        <row r="19">
          <cell r="A19">
            <v>44083</v>
          </cell>
          <cell r="B19">
            <v>0.99319999999999997</v>
          </cell>
        </row>
        <row r="20">
          <cell r="A20">
            <v>44084</v>
          </cell>
          <cell r="B20">
            <v>1.0004999999999999</v>
          </cell>
        </row>
        <row r="21">
          <cell r="A21">
            <v>44085</v>
          </cell>
          <cell r="B21">
            <v>1.0139</v>
          </cell>
        </row>
        <row r="22">
          <cell r="A22">
            <v>44088</v>
          </cell>
          <cell r="B22">
            <v>1.0289999999999999</v>
          </cell>
        </row>
        <row r="23">
          <cell r="A23">
            <v>44089</v>
          </cell>
          <cell r="B23">
            <v>1.0367999999999999</v>
          </cell>
        </row>
        <row r="24">
          <cell r="A24">
            <v>44090</v>
          </cell>
          <cell r="B24">
            <v>1.0358000000000001</v>
          </cell>
        </row>
        <row r="25">
          <cell r="A25">
            <v>44091</v>
          </cell>
          <cell r="B25">
            <v>1.0326</v>
          </cell>
        </row>
        <row r="26">
          <cell r="A26">
            <v>44092</v>
          </cell>
          <cell r="B26">
            <v>1.0485</v>
          </cell>
        </row>
        <row r="27">
          <cell r="A27">
            <v>44095</v>
          </cell>
          <cell r="B27">
            <v>1.0458000000000001</v>
          </cell>
        </row>
        <row r="28">
          <cell r="A28">
            <v>44096</v>
          </cell>
          <cell r="B28">
            <v>1.0363</v>
          </cell>
        </row>
        <row r="29">
          <cell r="A29">
            <v>44097</v>
          </cell>
          <cell r="B29">
            <v>1.0428999999999999</v>
          </cell>
        </row>
        <row r="30">
          <cell r="A30">
            <v>44098</v>
          </cell>
          <cell r="B30">
            <v>1.0246999999999999</v>
          </cell>
        </row>
        <row r="31">
          <cell r="A31">
            <v>44099</v>
          </cell>
          <cell r="B31">
            <v>1.0277000000000001</v>
          </cell>
        </row>
        <row r="32">
          <cell r="A32">
            <v>44102</v>
          </cell>
          <cell r="B32">
            <v>1.0294000000000001</v>
          </cell>
        </row>
        <row r="33">
          <cell r="A33">
            <v>44103</v>
          </cell>
          <cell r="B33">
            <v>1.0298</v>
          </cell>
        </row>
        <row r="34">
          <cell r="A34">
            <v>44104</v>
          </cell>
          <cell r="B34">
            <v>1.0241</v>
          </cell>
        </row>
        <row r="35">
          <cell r="A35">
            <v>44113</v>
          </cell>
          <cell r="B35">
            <v>1.0687</v>
          </cell>
        </row>
        <row r="36">
          <cell r="A36">
            <v>44116</v>
          </cell>
          <cell r="B36">
            <v>1.0805</v>
          </cell>
        </row>
        <row r="37">
          <cell r="A37">
            <v>44117</v>
          </cell>
          <cell r="B37">
            <v>1.0842000000000001</v>
          </cell>
        </row>
        <row r="38">
          <cell r="A38">
            <v>44118</v>
          </cell>
          <cell r="B38">
            <v>1.0848</v>
          </cell>
        </row>
        <row r="39">
          <cell r="A39">
            <v>44119</v>
          </cell>
          <cell r="B39">
            <v>1.0851999999999999</v>
          </cell>
        </row>
        <row r="40">
          <cell r="A40">
            <v>44120</v>
          </cell>
          <cell r="B40">
            <v>1.0867</v>
          </cell>
        </row>
        <row r="41">
          <cell r="A41">
            <v>44123</v>
          </cell>
          <cell r="B41">
            <v>1.0925</v>
          </cell>
        </row>
        <row r="42">
          <cell r="A42">
            <v>44124</v>
          </cell>
          <cell r="B42">
            <v>1.0952999999999999</v>
          </cell>
        </row>
        <row r="43">
          <cell r="A43">
            <v>44125</v>
          </cell>
          <cell r="B43">
            <v>1.0945</v>
          </cell>
        </row>
        <row r="44">
          <cell r="A44">
            <v>44126</v>
          </cell>
          <cell r="B44">
            <v>1.0924</v>
          </cell>
        </row>
        <row r="45">
          <cell r="A45">
            <v>44127</v>
          </cell>
          <cell r="B45">
            <v>1.0899000000000001</v>
          </cell>
        </row>
        <row r="46">
          <cell r="A46">
            <v>44130</v>
          </cell>
          <cell r="B46">
            <v>1.0872999999999999</v>
          </cell>
        </row>
        <row r="47">
          <cell r="A47">
            <v>44131</v>
          </cell>
          <cell r="B47">
            <v>1.0891</v>
          </cell>
        </row>
        <row r="48">
          <cell r="A48">
            <v>44132</v>
          </cell>
          <cell r="B48">
            <v>1.0968</v>
          </cell>
        </row>
        <row r="49">
          <cell r="A49">
            <v>44133</v>
          </cell>
          <cell r="B49">
            <v>1.1032</v>
          </cell>
        </row>
        <row r="50">
          <cell r="A50">
            <v>44134</v>
          </cell>
          <cell r="B50">
            <v>1.0911</v>
          </cell>
        </row>
        <row r="51">
          <cell r="A51">
            <v>44137</v>
          </cell>
          <cell r="B51">
            <v>1.0965</v>
          </cell>
        </row>
        <row r="52">
          <cell r="A52">
            <v>44138</v>
          </cell>
          <cell r="B52">
            <v>1.1032999999999999</v>
          </cell>
        </row>
        <row r="53">
          <cell r="A53">
            <v>44139</v>
          </cell>
          <cell r="B53">
            <v>1.1109</v>
          </cell>
        </row>
        <row r="54">
          <cell r="A54">
            <v>44140</v>
          </cell>
          <cell r="B54">
            <v>1.1166</v>
          </cell>
        </row>
        <row r="55">
          <cell r="A55">
            <v>44141</v>
          </cell>
          <cell r="B55">
            <v>1.1188</v>
          </cell>
        </row>
        <row r="56">
          <cell r="A56">
            <v>44144</v>
          </cell>
          <cell r="B56">
            <v>1.1198999999999999</v>
          </cell>
        </row>
        <row r="57">
          <cell r="A57">
            <v>44145</v>
          </cell>
          <cell r="B57">
            <v>1.1204000000000001</v>
          </cell>
        </row>
        <row r="58">
          <cell r="A58">
            <v>44146</v>
          </cell>
          <cell r="B58">
            <v>1.1208</v>
          </cell>
        </row>
        <row r="59">
          <cell r="A59">
            <v>44147</v>
          </cell>
          <cell r="B59">
            <v>1.1228</v>
          </cell>
        </row>
        <row r="60">
          <cell r="A60">
            <v>44148</v>
          </cell>
          <cell r="B60">
            <v>1.1214999999999999</v>
          </cell>
        </row>
        <row r="61">
          <cell r="A61">
            <v>44151</v>
          </cell>
          <cell r="B61">
            <v>1.1287</v>
          </cell>
        </row>
        <row r="62">
          <cell r="A62">
            <v>44152</v>
          </cell>
          <cell r="B62">
            <v>1.1309</v>
          </cell>
        </row>
        <row r="63">
          <cell r="A63">
            <v>44153</v>
          </cell>
          <cell r="B63">
            <v>1.1303000000000001</v>
          </cell>
        </row>
        <row r="64">
          <cell r="A64">
            <v>44154</v>
          </cell>
          <cell r="B64">
            <v>1.1338999999999999</v>
          </cell>
        </row>
        <row r="65">
          <cell r="A65">
            <v>44155</v>
          </cell>
          <cell r="B65">
            <v>1.137</v>
          </cell>
        </row>
        <row r="66">
          <cell r="A66">
            <v>44158</v>
          </cell>
          <cell r="B66">
            <v>1.1417999999999999</v>
          </cell>
        </row>
        <row r="67">
          <cell r="A67">
            <v>44159</v>
          </cell>
          <cell r="B67">
            <v>1.1424000000000001</v>
          </cell>
        </row>
        <row r="68">
          <cell r="A68">
            <v>44160</v>
          </cell>
          <cell r="B68">
            <v>1.1403000000000001</v>
          </cell>
        </row>
        <row r="69">
          <cell r="A69">
            <v>44161</v>
          </cell>
          <cell r="B69">
            <v>1.1442000000000001</v>
          </cell>
        </row>
        <row r="70">
          <cell r="A70">
            <v>44162</v>
          </cell>
          <cell r="B70">
            <v>1.1494</v>
          </cell>
        </row>
        <row r="71">
          <cell r="A71">
            <v>44165</v>
          </cell>
          <cell r="B71">
            <v>1.1494</v>
          </cell>
        </row>
        <row r="72">
          <cell r="A72">
            <v>44166</v>
          </cell>
          <cell r="B72">
            <v>1.1497999999999999</v>
          </cell>
        </row>
        <row r="73">
          <cell r="A73">
            <v>44167</v>
          </cell>
          <cell r="B73">
            <v>1.1497999999999999</v>
          </cell>
        </row>
        <row r="74">
          <cell r="A74">
            <v>44168</v>
          </cell>
          <cell r="B74">
            <v>1.1512</v>
          </cell>
        </row>
        <row r="75">
          <cell r="A75">
            <v>44169</v>
          </cell>
          <cell r="B75">
            <v>1.1557999999999999</v>
          </cell>
        </row>
        <row r="76">
          <cell r="A76">
            <v>44172</v>
          </cell>
          <cell r="B76">
            <v>1.1580999999999999</v>
          </cell>
        </row>
        <row r="77">
          <cell r="A77">
            <v>44173</v>
          </cell>
          <cell r="B77">
            <v>1.1614</v>
          </cell>
        </row>
        <row r="78">
          <cell r="A78">
            <v>44174</v>
          </cell>
          <cell r="B78">
            <v>1.1575</v>
          </cell>
        </row>
        <row r="79">
          <cell r="A79">
            <v>44175</v>
          </cell>
          <cell r="B79">
            <v>1.159</v>
          </cell>
        </row>
        <row r="80">
          <cell r="A80">
            <v>44176</v>
          </cell>
          <cell r="B80">
            <v>1.1448</v>
          </cell>
        </row>
        <row r="81">
          <cell r="A81">
            <v>44179</v>
          </cell>
          <cell r="B81">
            <v>1.1568000000000001</v>
          </cell>
        </row>
        <row r="82">
          <cell r="A82">
            <v>44180</v>
          </cell>
          <cell r="B82">
            <v>1.159</v>
          </cell>
        </row>
        <row r="83">
          <cell r="A83">
            <v>44181</v>
          </cell>
          <cell r="B83">
            <v>1.1595</v>
          </cell>
        </row>
        <row r="84">
          <cell r="A84">
            <v>44182</v>
          </cell>
          <cell r="B84">
            <v>1.1659999999999999</v>
          </cell>
        </row>
        <row r="85">
          <cell r="A85">
            <v>44183</v>
          </cell>
          <cell r="B85">
            <v>1.167</v>
          </cell>
        </row>
        <row r="86">
          <cell r="A86">
            <v>44186</v>
          </cell>
          <cell r="B86">
            <v>1.1697</v>
          </cell>
        </row>
        <row r="87">
          <cell r="A87">
            <v>44187</v>
          </cell>
          <cell r="B87">
            <v>1.1635</v>
          </cell>
        </row>
        <row r="88">
          <cell r="A88">
            <v>44188</v>
          </cell>
          <cell r="B88">
            <v>1.1673</v>
          </cell>
        </row>
        <row r="89">
          <cell r="A89">
            <v>44189</v>
          </cell>
          <cell r="B89">
            <v>1.169</v>
          </cell>
        </row>
        <row r="90">
          <cell r="A90">
            <v>44190</v>
          </cell>
          <cell r="B90">
            <v>1.1731</v>
          </cell>
        </row>
        <row r="91">
          <cell r="A91">
            <v>44193</v>
          </cell>
          <cell r="B91">
            <v>1.1755</v>
          </cell>
        </row>
        <row r="92">
          <cell r="A92">
            <v>44194</v>
          </cell>
          <cell r="B92">
            <v>1.1736</v>
          </cell>
        </row>
        <row r="93">
          <cell r="A93">
            <v>44195</v>
          </cell>
          <cell r="B93">
            <v>1.1763999999999999</v>
          </cell>
        </row>
        <row r="94">
          <cell r="A94">
            <v>44196</v>
          </cell>
          <cell r="B94">
            <v>1.1778999999999999</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母基金基本情况汇总"/>
      <sheetName val="2FOF净值画线"/>
      <sheetName val="3风险收益指标"/>
      <sheetName val="4资产配置"/>
      <sheetName val="碳一号3期净值"/>
      <sheetName val="子基金申购以来涨跌幅"/>
      <sheetName val="周更新-碳一号3期"/>
      <sheetName val="周更新-中证500指数"/>
      <sheetName val="申购赎回列表"/>
      <sheetName val="爱凡哲六号"/>
      <sheetName val="垒盈二号"/>
      <sheetName val="华钧元鼎1期"/>
      <sheetName val="爱凡哲八号"/>
      <sheetName val="琅玡三号"/>
      <sheetName val="淘利慧眼组合1号"/>
      <sheetName val="麦迪生利悦动1号"/>
      <sheetName val="麦迪生利悦动2号 "/>
      <sheetName val="合绎塑造者三号"/>
      <sheetName val="集微投资2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表2_3671626293034" displayName="表2_3671626293034" ref="A20:G439" totalsRowShown="0" headerRowDxfId="365">
  <autoFilter ref="A20:G439" xr:uid="{00000000-0009-0000-0100-000003000000}"/>
  <tableColumns count="7">
    <tableColumn id="1" xr3:uid="{00000000-0010-0000-0000-000001000000}" name="日期" dataDxfId="364"/>
    <tableColumn id="2" xr3:uid="{00000000-0010-0000-0000-000002000000}" name="累计净值" dataDxfId="363"/>
    <tableColumn id="3" xr3:uid="{00000000-0010-0000-0000-000003000000}" name="每日盈亏" dataDxfId="362">
      <calculatedColumnFormula>IFERROR(B21-B20,0)</calculatedColumnFormula>
    </tableColumn>
    <tableColumn id="4" xr3:uid="{00000000-0010-0000-0000-000004000000}" name="下跌幅度" dataDxfId="361">
      <calculatedColumnFormula>IF(C21&lt;0,C21,"/")</calculatedColumnFormula>
    </tableColumn>
    <tableColumn id="5" xr3:uid="{00000000-0010-0000-0000-000005000000}" name="最大回撤" dataDxfId="360">
      <calculatedColumnFormula>IF(表2_3671626293034[[#This Row],[累计净值]]/MAX(INDIRECT("B21:B" &amp; ROW()))-1&lt;E20,表2_3671626293034[[#This Row],[累计净值]]/MAX(INDIRECT("B21:B" &amp; ROW()))-1,E20)</calculatedColumnFormula>
    </tableColumn>
    <tableColumn id="6" xr3:uid="{00000000-0010-0000-0000-000006000000}" name="单位净值" dataDxfId="359" dataCellStyle="常规 2">
      <calculatedColumnFormula>表2_3671626293034[[#This Row],[累计净值]]</calculatedColumnFormula>
    </tableColumn>
    <tableColumn id="7" xr3:uid="{00000000-0010-0000-0000-000007000000}" name="持有涨跌幅" dataDxfId="358" dataCellStyle="常规 2"/>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表2_36716262930389121314" displayName="表2_36716262930389121314" ref="A20:H340" totalsRowShown="0" headerRowDxfId="292">
  <autoFilter ref="A20:H340" xr:uid="{00000000-0009-0000-0100-00000D000000}"/>
  <tableColumns count="8">
    <tableColumn id="1" xr3:uid="{00000000-0010-0000-0900-000001000000}" name="日期" dataDxfId="291"/>
    <tableColumn id="2" xr3:uid="{00000000-0010-0000-0900-000002000000}" name="累计净值" dataDxfId="290"/>
    <tableColumn id="3" xr3:uid="{00000000-0010-0000-0900-000003000000}" name="每日盈亏" dataDxfId="289">
      <calculatedColumnFormula>IFERROR(B21-B20,0)</calculatedColumnFormula>
    </tableColumn>
    <tableColumn id="4" xr3:uid="{00000000-0010-0000-0900-000004000000}" name="下跌幅度" dataDxfId="288">
      <calculatedColumnFormula>IF(C21&lt;0,C21,"/")</calculatedColumnFormula>
    </tableColumn>
    <tableColumn id="5" xr3:uid="{00000000-0010-0000-0900-000005000000}" name="最大回撤" dataDxfId="287">
      <calculatedColumnFormula>IF(表2_36716262930389121314[[#This Row],[累计净值]]/MAX(INDIRECT("B21:B" &amp; ROW()))-1&lt;E20,表2_36716262930389121314[[#This Row],[累计净值]]/MAX(INDIRECT("B21:B" &amp; ROW()))-1,E20)</calculatedColumnFormula>
    </tableColumn>
    <tableColumn id="6" xr3:uid="{00000000-0010-0000-0900-000006000000}" name="单位净值" dataDxfId="286" dataCellStyle="常规 2">
      <calculatedColumnFormula>表2_36716262930389121314[[#This Row],[累计净值]]</calculatedColumnFormula>
    </tableColumn>
    <tableColumn id="7" xr3:uid="{00000000-0010-0000-0900-000007000000}" name="持有涨跌幅" dataDxfId="285" dataCellStyle="常规 2"/>
    <tableColumn id="8" xr3:uid="{00000000-0010-0000-0900-000008000000}" name="持有涨跌幅2" dataCellStyle="常规 2"/>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表2_367162629303891213141523" displayName="表2_367162629303891213141523" ref="A20:G224" totalsRowShown="0" headerRowDxfId="284">
  <autoFilter ref="A20:G224" xr:uid="{00000000-0009-0000-0100-000016000000}"/>
  <tableColumns count="7">
    <tableColumn id="1" xr3:uid="{00000000-0010-0000-0A00-000001000000}" name="日期" dataDxfId="283"/>
    <tableColumn id="2" xr3:uid="{00000000-0010-0000-0A00-000002000000}" name="累计净值" dataDxfId="282"/>
    <tableColumn id="3" xr3:uid="{00000000-0010-0000-0A00-000003000000}" name="每日盈亏" dataDxfId="281">
      <calculatedColumnFormula>IFERROR(B21-B20,0)</calculatedColumnFormula>
    </tableColumn>
    <tableColumn id="4" xr3:uid="{00000000-0010-0000-0A00-000004000000}" name="下跌幅度" dataDxfId="280">
      <calculatedColumnFormula>IF(C21&lt;0,C21,"/")</calculatedColumnFormula>
    </tableColumn>
    <tableColumn id="5" xr3:uid="{00000000-0010-0000-0A00-000005000000}" name="最大回撤" dataDxfId="279">
      <calculatedColumnFormula>IF(表2_367162629303891213141523[[#This Row],[累计净值]]/MAX(INDIRECT("B21:B" &amp; ROW()))-1&lt;E20,表2_367162629303891213141523[[#This Row],[累计净值]]/MAX(INDIRECT("B21:B" &amp; ROW()))-1,E20)</calculatedColumnFormula>
    </tableColumn>
    <tableColumn id="6" xr3:uid="{00000000-0010-0000-0A00-000006000000}" name="单位净值" dataDxfId="278" dataCellStyle="常规 2">
      <calculatedColumnFormula>表2_367162629303891213141523[[#This Row],[累计净值]]</calculatedColumnFormula>
    </tableColumn>
    <tableColumn id="7" xr3:uid="{00000000-0010-0000-0A00-000007000000}" name="持有涨跌幅" dataDxfId="277" dataCellStyle="常规 2"/>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B000000}" name="表2_36716262930389121314152324" displayName="表2_36716262930389121314152324" ref="A20:H224" totalsRowShown="0" headerRowDxfId="276">
  <autoFilter ref="A20:H224" xr:uid="{00000000-0009-0000-0100-000017000000}"/>
  <tableColumns count="8">
    <tableColumn id="1" xr3:uid="{00000000-0010-0000-0B00-000001000000}" name="日期" dataDxfId="275"/>
    <tableColumn id="2" xr3:uid="{00000000-0010-0000-0B00-000002000000}" name="累计净值" dataDxfId="274"/>
    <tableColumn id="8" xr3:uid="{E94D24D4-8A70-8343-9B13-F2731CA811C6}" name="列1" dataDxfId="273" dataCellStyle="常规 2"/>
    <tableColumn id="3" xr3:uid="{00000000-0010-0000-0B00-000003000000}" name="每日盈亏" dataDxfId="272">
      <calculatedColumnFormula>IFERROR(B21-B20,0)</calculatedColumnFormula>
    </tableColumn>
    <tableColumn id="4" xr3:uid="{00000000-0010-0000-0B00-000004000000}" name="下跌幅度" dataDxfId="271">
      <calculatedColumnFormula>IF(D21&lt;0,D21,"/")</calculatedColumnFormula>
    </tableColumn>
    <tableColumn id="5" xr3:uid="{00000000-0010-0000-0B00-000005000000}" name="最大回撤" dataDxfId="270">
      <calculatedColumnFormula>IF(表2_36716262930389121314152324[[#This Row],[累计净值]]/MAX(INDIRECT("B21:B" &amp; ROW()))-1&lt;F20,表2_36716262930389121314152324[[#This Row],[累计净值]]/MAX(INDIRECT("B21:B" &amp; ROW()))-1,F20)</calculatedColumnFormula>
    </tableColumn>
    <tableColumn id="6" xr3:uid="{00000000-0010-0000-0B00-000006000000}" name="单位净值" dataDxfId="269" dataCellStyle="常规 2">
      <calculatedColumnFormula>表2_36716262930389121314152324[[#This Row],[累计净值]]</calculatedColumnFormula>
    </tableColumn>
    <tableColumn id="7" xr3:uid="{00000000-0010-0000-0B00-000007000000}" name="持有涨跌幅" dataDxfId="268" dataCellStyle="常规 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C000000}" name="表2_3671626293038912131415232425" displayName="表2_3671626293038912131415232425" ref="A20:H221" totalsRowShown="0" headerRowDxfId="267">
  <autoFilter ref="A20:H221" xr:uid="{00000000-0009-0000-0100-000018000000}"/>
  <tableColumns count="8">
    <tableColumn id="1" xr3:uid="{00000000-0010-0000-0C00-000001000000}" name="日期" dataDxfId="266"/>
    <tableColumn id="2" xr3:uid="{00000000-0010-0000-0C00-000002000000}" name="累计净值" dataDxfId="265"/>
    <tableColumn id="8" xr3:uid="{4B23180B-3FF1-6347-8578-DC092A168B99}" name="列1" dataDxfId="0" dataCellStyle="常规 2"/>
    <tableColumn id="3" xr3:uid="{00000000-0010-0000-0C00-000003000000}" name="每日盈亏" dataDxfId="264">
      <calculatedColumnFormula>IFERROR(B21-B20,0)</calculatedColumnFormula>
    </tableColumn>
    <tableColumn id="4" xr3:uid="{00000000-0010-0000-0C00-000004000000}" name="下跌幅度" dataDxfId="263">
      <calculatedColumnFormula>IF(D21&lt;0,D21,"/")</calculatedColumnFormula>
    </tableColumn>
    <tableColumn id="5" xr3:uid="{00000000-0010-0000-0C00-000005000000}" name="最大回撤" dataDxfId="262">
      <calculatedColumnFormula>IF(表2_3671626293038912131415232425[[#This Row],[累计净值]]/MAX(INDIRECT("B21:B" &amp; ROW()))-1&lt;F20,表2_3671626293038912131415232425[[#This Row],[累计净值]]/MAX(INDIRECT("B21:B" &amp; ROW()))-1,F20)</calculatedColumnFormula>
    </tableColumn>
    <tableColumn id="6" xr3:uid="{00000000-0010-0000-0C00-000006000000}" name="单位净值" dataDxfId="261" dataCellStyle="常规 2">
      <calculatedColumnFormula>表2_3671626293038912131415232425[[#This Row],[累计净值]]-0.21</calculatedColumnFormula>
    </tableColumn>
    <tableColumn id="7" xr3:uid="{00000000-0010-0000-0C00-000007000000}" name="持有涨跌幅" dataDxfId="260" dataCellStyle="常规 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D000000}" name="表2_367162629303891213141523242526" displayName="表2_367162629303891213141523242526" ref="A20:H220" totalsRowShown="0" headerRowDxfId="259">
  <autoFilter ref="A20:H220" xr:uid="{00000000-0009-0000-0100-000019000000}"/>
  <tableColumns count="8">
    <tableColumn id="1" xr3:uid="{00000000-0010-0000-0D00-000001000000}" name="日期" dataDxfId="258"/>
    <tableColumn id="2" xr3:uid="{00000000-0010-0000-0D00-000002000000}" name="累计净值" dataDxfId="257"/>
    <tableColumn id="8" xr3:uid="{825A49C0-4BE0-EA4C-A092-2DD7D4B12A69}" name="列1" dataDxfId="256" dataCellStyle="常规 2"/>
    <tableColumn id="3" xr3:uid="{00000000-0010-0000-0D00-000003000000}" name="每日盈亏" dataDxfId="255">
      <calculatedColumnFormula>IFERROR(B21-B20,0)</calculatedColumnFormula>
    </tableColumn>
    <tableColumn id="4" xr3:uid="{00000000-0010-0000-0D00-000004000000}" name="下跌幅度" dataDxfId="254">
      <calculatedColumnFormula>IF(D21&lt;0,D21,"/")</calculatedColumnFormula>
    </tableColumn>
    <tableColumn id="5" xr3:uid="{00000000-0010-0000-0D00-000005000000}" name="最大回撤" dataDxfId="253">
      <calculatedColumnFormula>IF(表2_367162629303891213141523242526[[#This Row],[累计净值]]/MAX(INDIRECT("B21:B" &amp; ROW()))-1&lt;F20,表2_367162629303891213141523242526[[#This Row],[累计净值]]/MAX(INDIRECT("B21:B" &amp; ROW()))-1,F20)</calculatedColumnFormula>
    </tableColumn>
    <tableColumn id="6" xr3:uid="{00000000-0010-0000-0D00-000006000000}" name="单位净值" dataDxfId="252" dataCellStyle="常规 2">
      <calculatedColumnFormula>表2_367162629303891213141523242526[[#This Row],[累计净值]]</calculatedColumnFormula>
    </tableColumn>
    <tableColumn id="7" xr3:uid="{00000000-0010-0000-0D00-000007000000}" name="持有涨跌幅" dataDxfId="251" dataCellStyle="常规 2"/>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E000000}" name="表2_367162629303891213141523242526272829" displayName="表2_367162629303891213141523242526272829" ref="A20:H190" totalsRowShown="0" headerRowDxfId="250">
  <autoFilter ref="A20:H190" xr:uid="{00000000-0009-0000-0100-00001C000000}"/>
  <tableColumns count="8">
    <tableColumn id="1" xr3:uid="{00000000-0010-0000-0E00-000001000000}" name="日期" dataDxfId="249"/>
    <tableColumn id="2" xr3:uid="{00000000-0010-0000-0E00-000002000000}" name="累计净值" dataDxfId="248"/>
    <tableColumn id="8" xr3:uid="{EF35C54C-45EC-6B48-B7B1-8940034408D7}" name="列1" dataDxfId="247" dataCellStyle="常规 2"/>
    <tableColumn id="3" xr3:uid="{00000000-0010-0000-0E00-000003000000}" name="每日盈亏" dataDxfId="246">
      <calculatedColumnFormula>IFERROR(B21-B20,0)</calculatedColumnFormula>
    </tableColumn>
    <tableColumn id="4" xr3:uid="{00000000-0010-0000-0E00-000004000000}" name="下跌幅度" dataDxfId="245">
      <calculatedColumnFormula>IF(D21&lt;0,D21,"/")</calculatedColumnFormula>
    </tableColumn>
    <tableColumn id="5" xr3:uid="{00000000-0010-0000-0E00-000005000000}" name="最大回撤" dataDxfId="244">
      <calculatedColumnFormula>IF(表2_367162629303891213141523242526272829[[#This Row],[累计净值]]/MAX(INDIRECT("B21:B" &amp; ROW()))-1&lt;F20,表2_367162629303891213141523242526272829[[#This Row],[累计净值]]/MAX(INDIRECT("B21:B" &amp; ROW()))-1,F20)</calculatedColumnFormula>
    </tableColumn>
    <tableColumn id="6" xr3:uid="{00000000-0010-0000-0E00-000006000000}" name="单位净值" dataDxfId="243" dataCellStyle="常规 2">
      <calculatedColumnFormula>表2_367162629303891213141523242526272829[[#This Row],[累计净值]]</calculatedColumnFormula>
    </tableColumn>
    <tableColumn id="7" xr3:uid="{00000000-0010-0000-0E00-000007000000}" name="持有涨跌幅" dataDxfId="242" dataCellStyle="常规 2"/>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F000000}" name="表2_3671626293038912131415232425262728313236" displayName="表2_3671626293038912131415232425262728313236" ref="A20:H125" totalsRowShown="0" headerRowDxfId="241">
  <autoFilter ref="A20:H125" xr:uid="{00000000-0009-0000-0100-000023000000}"/>
  <tableColumns count="8">
    <tableColumn id="1" xr3:uid="{00000000-0010-0000-0F00-000001000000}" name="日期" dataDxfId="240"/>
    <tableColumn id="2" xr3:uid="{00000000-0010-0000-0F00-000002000000}" name="累计净值" dataDxfId="239"/>
    <tableColumn id="8" xr3:uid="{6EFEFF65-D616-9949-B9DA-4F569C91F9F2}" name="列1" dataDxfId="238" dataCellStyle="常规 2"/>
    <tableColumn id="3" xr3:uid="{00000000-0010-0000-0F00-000003000000}" name="每日盈亏" dataDxfId="237">
      <calculatedColumnFormula>IFERROR(#REF!-B20,0)</calculatedColumnFormula>
    </tableColumn>
    <tableColumn id="4" xr3:uid="{00000000-0010-0000-0F00-000004000000}" name="下跌幅度" dataDxfId="236">
      <calculatedColumnFormula>IF(D21&lt;0,D21,"/")</calculatedColumnFormula>
    </tableColumn>
    <tableColumn id="5" xr3:uid="{00000000-0010-0000-0F00-000005000000}" name="最大回撤" dataDxfId="235">
      <calculatedColumnFormula>IF(表2_3671626293038912131415232425262728313236[[#This Row],[累计净值]]/MAX(INDIRECT("B21:B" &amp; ROW()))-1&lt;F20,表2_3671626293038912131415232425262728313236[[#This Row],[累计净值]]/MAX(INDIRECT("B21:B" &amp; ROW()))-1,F20)</calculatedColumnFormula>
    </tableColumn>
    <tableColumn id="6" xr3:uid="{00000000-0010-0000-0F00-000006000000}" name="单位净值" dataDxfId="234" dataCellStyle="常规 2">
      <calculatedColumnFormula>表2_3671626293038912131415232425262728313236[[#This Row],[累计净值]]</calculatedColumnFormula>
    </tableColumn>
    <tableColumn id="7" xr3:uid="{00000000-0010-0000-0F00-000007000000}" name="持有涨跌幅" dataDxfId="233" dataCellStyle="常规 2"/>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0000000}" name="表2_367162629303891213141523242526272831323637" displayName="表2_367162629303891213141523242526272831323637" ref="A20:H126" totalsRowShown="0" headerRowDxfId="232">
  <autoFilter ref="A20:H126" xr:uid="{00000000-0009-0000-0100-000024000000}"/>
  <tableColumns count="8">
    <tableColumn id="1" xr3:uid="{00000000-0010-0000-1000-000001000000}" name="日期" dataDxfId="231"/>
    <tableColumn id="2" xr3:uid="{00000000-0010-0000-1000-000002000000}" name="累计净值" dataDxfId="230"/>
    <tableColumn id="8" xr3:uid="{9B4E8C66-7EBC-7B46-8431-6172B5A0E165}" name="列1" dataDxfId="229" dataCellStyle="常规 2"/>
    <tableColumn id="3" xr3:uid="{00000000-0010-0000-1000-000003000000}" name="每日盈亏" dataDxfId="228">
      <calculatedColumnFormula>IFERROR(B21-B20,0)</calculatedColumnFormula>
    </tableColumn>
    <tableColumn id="4" xr3:uid="{00000000-0010-0000-1000-000004000000}" name="下跌幅度" dataDxfId="227">
      <calculatedColumnFormula>IF(D21&lt;0,D21,"/")</calculatedColumnFormula>
    </tableColumn>
    <tableColumn id="5" xr3:uid="{00000000-0010-0000-1000-000005000000}" name="最大回撤" dataDxfId="226">
      <calculatedColumnFormula>IF(表2_367162629303891213141523242526272831323637[[#This Row],[累计净值]]/MAX(INDIRECT("B21:B" &amp; ROW()))-1&lt;F20,表2_367162629303891213141523242526272831323637[[#This Row],[累计净值]]/MAX(INDIRECT("B21:B" &amp; ROW()))-1,F20)</calculatedColumnFormula>
    </tableColumn>
    <tableColumn id="6" xr3:uid="{00000000-0010-0000-1000-000006000000}" name="单位净值" dataDxfId="225" dataCellStyle="常规 2">
      <calculatedColumnFormula>表2_367162629303891213141523242526272831323637[[#This Row],[累计净值]]</calculatedColumnFormula>
    </tableColumn>
    <tableColumn id="7" xr3:uid="{00000000-0010-0000-1000-000007000000}" name="持有涨跌幅" dataDxfId="224" dataCellStyle="常规 2"/>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表2_36716262930389121314152324252627" displayName="表2_36716262930389121314152324252627" ref="A20:G207" totalsRowShown="0" headerRowDxfId="223">
  <autoFilter ref="A20:G207" xr:uid="{00000000-0009-0000-0100-00001A000000}"/>
  <tableColumns count="7">
    <tableColumn id="1" xr3:uid="{00000000-0010-0000-1100-000001000000}" name="日期" dataDxfId="222"/>
    <tableColumn id="2" xr3:uid="{00000000-0010-0000-1100-000002000000}" name="累计净值" dataDxfId="221"/>
    <tableColumn id="3" xr3:uid="{00000000-0010-0000-1100-000003000000}" name="每日盈亏" dataDxfId="220">
      <calculatedColumnFormula>IFERROR(B21-B20,0)</calculatedColumnFormula>
    </tableColumn>
    <tableColumn id="4" xr3:uid="{00000000-0010-0000-1100-000004000000}" name="下跌幅度" dataDxfId="219">
      <calculatedColumnFormula>IF(C21&lt;0,C21,"/")</calculatedColumnFormula>
    </tableColumn>
    <tableColumn id="5" xr3:uid="{00000000-0010-0000-1100-000005000000}" name="最大回撤" dataDxfId="218">
      <calculatedColumnFormula>IF(表2_36716262930389121314152324252627[[#This Row],[累计净值]]/MAX(INDIRECT("B21:B" &amp; ROW()))-1&lt;E20,表2_36716262930389121314152324252627[[#This Row],[累计净值]]/MAX(INDIRECT("B21:B" &amp; ROW()))-1,E20)</calculatedColumnFormula>
    </tableColumn>
    <tableColumn id="6" xr3:uid="{00000000-0010-0000-1100-000006000000}" name="单位净值" dataDxfId="217" dataCellStyle="常规 2">
      <calculatedColumnFormula>表2_36716262930389121314152324252627[[#This Row],[累计净值]]</calculatedColumnFormula>
    </tableColumn>
    <tableColumn id="7" xr3:uid="{00000000-0010-0000-1100-000007000000}" name="持有涨跌幅" dataDxfId="216" dataCellStyle="常规 2"/>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2000000}" name="表2_36716262930389121314152324252627282930" displayName="表2_36716262930389121314152324252627282930" ref="A20:G189" totalsRowShown="0" headerRowDxfId="215">
  <autoFilter ref="A20:G189" xr:uid="{00000000-0009-0000-0100-00001D000000}"/>
  <tableColumns count="7">
    <tableColumn id="1" xr3:uid="{00000000-0010-0000-1200-000001000000}" name="日期" dataDxfId="214"/>
    <tableColumn id="2" xr3:uid="{00000000-0010-0000-1200-000002000000}" name="累计净值" dataDxfId="213"/>
    <tableColumn id="3" xr3:uid="{00000000-0010-0000-1200-000003000000}" name="每日盈亏" dataDxfId="212">
      <calculatedColumnFormula>IFERROR(B21-B20,0)</calculatedColumnFormula>
    </tableColumn>
    <tableColumn id="4" xr3:uid="{00000000-0010-0000-1200-000004000000}" name="下跌幅度" dataDxfId="211">
      <calculatedColumnFormula>IF(C21&lt;0,C21,"/")</calculatedColumnFormula>
    </tableColumn>
    <tableColumn id="5" xr3:uid="{00000000-0010-0000-1200-000005000000}" name="最大回撤" dataDxfId="210">
      <calculatedColumnFormula>IF(表2_36716262930389121314152324252627282930[[#This Row],[累计净值]]/MAX(INDIRECT("B21:B" &amp; ROW()))-1&lt;E20,表2_36716262930389121314152324252627282930[[#This Row],[累计净值]]/MAX(INDIRECT("B21:B" &amp; ROW()))-1,E20)</calculatedColumnFormula>
    </tableColumn>
    <tableColumn id="6" xr3:uid="{00000000-0010-0000-1200-000006000000}" name="单位净值" dataDxfId="209" dataCellStyle="常规 2">
      <calculatedColumnFormula>表2_36716262930389121314152324252627282930[[#This Row],[累计净值]]</calculatedColumnFormula>
    </tableColumn>
    <tableColumn id="7" xr3:uid="{00000000-0010-0000-1200-000007000000}" name="持有涨跌幅" dataDxfId="208" dataCellStyle="常规 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表2_3671626293034567" displayName="表2_3671626293034567" ref="A20:G436" totalsRowShown="0" headerRowDxfId="357">
  <autoFilter ref="A20:G436" xr:uid="{00000000-0009-0000-0100-000006000000}"/>
  <tableColumns count="7">
    <tableColumn id="1" xr3:uid="{00000000-0010-0000-0100-000001000000}" name="日期" dataDxfId="356"/>
    <tableColumn id="2" xr3:uid="{00000000-0010-0000-0100-000002000000}" name="累计净值" dataDxfId="355"/>
    <tableColumn id="3" xr3:uid="{00000000-0010-0000-0100-000003000000}" name="每日盈亏" dataDxfId="354">
      <calculatedColumnFormula>IFERROR(B21-B20,0)</calculatedColumnFormula>
    </tableColumn>
    <tableColumn id="4" xr3:uid="{00000000-0010-0000-0100-000004000000}" name="下跌幅度" dataDxfId="353">
      <calculatedColumnFormula>IF(C21&lt;0,C21,"/")</calculatedColumnFormula>
    </tableColumn>
    <tableColumn id="5" xr3:uid="{00000000-0010-0000-0100-000005000000}" name="最大回撤" dataDxfId="352">
      <calculatedColumnFormula>IF(表2_3671626293034567[[#This Row],[累计净值]]/MAX(INDIRECT("B21:B" &amp; ROW()))-1&lt;E20,表2_3671626293034567[[#This Row],[累计净值]]/MAX(INDIRECT("B21:B" &amp; ROW()))-1,E20)</calculatedColumnFormula>
    </tableColumn>
    <tableColumn id="6" xr3:uid="{00000000-0010-0000-0100-000006000000}" name="单位净值" dataDxfId="351" dataCellStyle="常规 2">
      <calculatedColumnFormula>表2_3671626293034567[[#This Row],[累计净值]]</calculatedColumnFormula>
    </tableColumn>
    <tableColumn id="7" xr3:uid="{00000000-0010-0000-0100-000007000000}" name="持有涨跌幅" dataDxfId="350" dataCellStyle="常规 2"/>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3000000}" name="表2_36716262930389121314152324252627283132" displayName="表2_36716262930389121314152324252627283132" ref="A20:G140" totalsRowShown="0" headerRowDxfId="207">
  <autoFilter ref="A20:G140" xr:uid="{00000000-0009-0000-0100-00001F000000}"/>
  <tableColumns count="7">
    <tableColumn id="1" xr3:uid="{00000000-0010-0000-1300-000001000000}" name="日期" dataDxfId="206"/>
    <tableColumn id="2" xr3:uid="{00000000-0010-0000-1300-000002000000}" name="累计净值" dataDxfId="205"/>
    <tableColumn id="3" xr3:uid="{00000000-0010-0000-1300-000003000000}" name="每日盈亏" dataDxfId="204">
      <calculatedColumnFormula>IFERROR(B21-B20,0)</calculatedColumnFormula>
    </tableColumn>
    <tableColumn id="4" xr3:uid="{00000000-0010-0000-1300-000004000000}" name="下跌幅度" dataDxfId="203">
      <calculatedColumnFormula>IF(C21&lt;0,C21,"/")</calculatedColumnFormula>
    </tableColumn>
    <tableColumn id="5" xr3:uid="{00000000-0010-0000-1300-000005000000}" name="最大回撤" dataDxfId="202">
      <calculatedColumnFormula>IF(表2_36716262930389121314152324252627283132[[#This Row],[累计净值]]/MAX(INDIRECT("B21:B" &amp; ROW()))-1&lt;E20,表2_36716262930389121314152324252627283132[[#This Row],[累计净值]]/MAX(INDIRECT("B21:B" &amp; ROW()))-1,E20)</calculatedColumnFormula>
    </tableColumn>
    <tableColumn id="6" xr3:uid="{00000000-0010-0000-1300-000006000000}" name="单位净值" dataDxfId="201" dataCellStyle="常规 2">
      <calculatedColumnFormula>表2_36716262930389121314152324252627283132[[#This Row],[累计净值]]</calculatedColumnFormula>
    </tableColumn>
    <tableColumn id="7" xr3:uid="{00000000-0010-0000-1300-000007000000}" name="持有涨跌幅" dataDxfId="200" dataCellStyle="常规 2"/>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4000000}" name="表2_367162629303891213141523242526272835" displayName="表2_367162629303891213141523242526272835" ref="A20:G200" totalsRowShown="0" headerRowDxfId="199">
  <autoFilter ref="A20:G200" xr:uid="{00000000-0009-0000-0100-000022000000}"/>
  <tableColumns count="7">
    <tableColumn id="1" xr3:uid="{00000000-0010-0000-1400-000001000000}" name="日期" dataDxfId="198"/>
    <tableColumn id="2" xr3:uid="{00000000-0010-0000-1400-000002000000}" name="累计净值" dataDxfId="197"/>
    <tableColumn id="3" xr3:uid="{00000000-0010-0000-1400-000003000000}" name="每日盈亏" dataDxfId="196">
      <calculatedColumnFormula>IFERROR(B21-B20,0)</calculatedColumnFormula>
    </tableColumn>
    <tableColumn id="4" xr3:uid="{00000000-0010-0000-1400-000004000000}" name="下跌幅度" dataDxfId="195">
      <calculatedColumnFormula>IF(C21&lt;0,C21,"/")</calculatedColumnFormula>
    </tableColumn>
    <tableColumn id="5" xr3:uid="{00000000-0010-0000-1400-000005000000}" name="最大回撤" dataDxfId="194">
      <calculatedColumnFormula>IF(表2_367162629303891213141523242526272835[[#This Row],[累计净值]]/MAX(INDIRECT("B21:B" &amp; ROW()))-1&lt;E20,表2_367162629303891213141523242526272835[[#This Row],[累计净值]]/MAX(INDIRECT("B21:B" &amp; ROW()))-1,E20)</calculatedColumnFormula>
    </tableColumn>
    <tableColumn id="6" xr3:uid="{00000000-0010-0000-1400-000006000000}" name="单位净值" dataDxfId="193" dataCellStyle="常规 2">
      <calculatedColumnFormula>表2_367162629303891213141523242526272835[[#This Row],[累计净值]]</calculatedColumnFormula>
    </tableColumn>
    <tableColumn id="7" xr3:uid="{00000000-0010-0000-1400-000007000000}" name="持有涨跌幅" dataDxfId="192" dataCellStyle="常规 2"/>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表2_367162629303891213141523242526272831" displayName="表2_367162629303891213141523242526272831" ref="A20:G140" totalsRowShown="0" headerRowDxfId="191">
  <autoFilter ref="A20:G140" xr:uid="{00000000-0009-0000-0100-00001E000000}"/>
  <tableColumns count="7">
    <tableColumn id="1" xr3:uid="{00000000-0010-0000-1500-000001000000}" name="日期" dataDxfId="190"/>
    <tableColumn id="2" xr3:uid="{00000000-0010-0000-1500-000002000000}" name="累计净值" dataDxfId="189"/>
    <tableColumn id="3" xr3:uid="{00000000-0010-0000-1500-000003000000}" name="每日盈亏" dataDxfId="188">
      <calculatedColumnFormula>IFERROR(B21-B20,0)</calculatedColumnFormula>
    </tableColumn>
    <tableColumn id="4" xr3:uid="{00000000-0010-0000-1500-000004000000}" name="下跌幅度" dataDxfId="187">
      <calculatedColumnFormula>IF(C21&lt;0,C21,"/")</calculatedColumnFormula>
    </tableColumn>
    <tableColumn id="5" xr3:uid="{00000000-0010-0000-1500-000005000000}" name="最大回撤" dataDxfId="186">
      <calculatedColumnFormula>IF(表2_367162629303891213141523242526272831[[#This Row],[累计净值]]/MAX(INDIRECT("B21:B" &amp; ROW()))-1&lt;E20,表2_367162629303891213141523242526272831[[#This Row],[累计净值]]/MAX(INDIRECT("B21:B" &amp; ROW()))-1,E20)</calculatedColumnFormula>
    </tableColumn>
    <tableColumn id="6" xr3:uid="{00000000-0010-0000-1500-000006000000}" name="单位净值" dataDxfId="185" dataCellStyle="常规 2">
      <calculatedColumnFormula>表2_367162629303891213141523242526272831[[#This Row],[累计净值]]-0.0738</calculatedColumnFormula>
    </tableColumn>
    <tableColumn id="7" xr3:uid="{00000000-0010-0000-1500-000007000000}" name="持有涨跌幅" dataDxfId="184" dataCellStyle="常规 2"/>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6000000}" name="表2_367162629303891213141523242526272838" displayName="表2_367162629303891213141523242526272838" ref="A20:G81" totalsRowShown="0" headerRowDxfId="183">
  <autoFilter ref="A20:G81" xr:uid="{00000000-0009-0000-0100-000025000000}"/>
  <tableColumns count="7">
    <tableColumn id="1" xr3:uid="{00000000-0010-0000-1600-000001000000}" name="日期" dataDxfId="182"/>
    <tableColumn id="2" xr3:uid="{00000000-0010-0000-1600-000002000000}" name="累计净值" dataDxfId="181"/>
    <tableColumn id="3" xr3:uid="{00000000-0010-0000-1600-000003000000}" name="每日盈亏" dataDxfId="180">
      <calculatedColumnFormula>IFERROR(B21-B20,0)</calculatedColumnFormula>
    </tableColumn>
    <tableColumn id="4" xr3:uid="{00000000-0010-0000-1600-000004000000}" name="下跌幅度" dataDxfId="179">
      <calculatedColumnFormula>IF(C21&lt;0,C21,"/")</calculatedColumnFormula>
    </tableColumn>
    <tableColumn id="5" xr3:uid="{00000000-0010-0000-1600-000005000000}" name="最大回撤" dataDxfId="178">
      <calculatedColumnFormula>IF(表2_367162629303891213141523242526272835[[#This Row],[累计净值]]/MAX(INDIRECT("B21:B" &amp; ROW()))-1&lt;E20,表2_367162629303891213141523242526272835[[#This Row],[累计净值]]/MAX(INDIRECT("B21:B" &amp; ROW()))-1,E20)</calculatedColumnFormula>
    </tableColumn>
    <tableColumn id="6" xr3:uid="{00000000-0010-0000-1600-000006000000}" name="单位净值" dataDxfId="177" dataCellStyle="常规 2">
      <calculatedColumnFormula>表2_367162629303891213141523242526272838[[#This Row],[累计净值]]</calculatedColumnFormula>
    </tableColumn>
    <tableColumn id="7" xr3:uid="{00000000-0010-0000-1600-000007000000}" name="持有涨跌幅" dataDxfId="176" dataCellStyle="常规 2"/>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7000000}" name="表2_36716262930389121314151831323334" displayName="表2_36716262930389121314151831323334" ref="A20:G76" totalsRowShown="0" headerRowDxfId="175">
  <autoFilter ref="A20:G76" xr:uid="{00000000-0009-0000-0100-000027000000}"/>
  <tableColumns count="7">
    <tableColumn id="1" xr3:uid="{00000000-0010-0000-1700-000001000000}" name="日期" dataDxfId="174"/>
    <tableColumn id="2" xr3:uid="{00000000-0010-0000-1700-000002000000}" name="累计净值" dataDxfId="173"/>
    <tableColumn id="3" xr3:uid="{00000000-0010-0000-1700-000003000000}" name="每日盈亏" dataDxfId="172">
      <calculatedColumnFormula>IFERROR(B21-B20,0)</calculatedColumnFormula>
    </tableColumn>
    <tableColumn id="4" xr3:uid="{00000000-0010-0000-1700-000004000000}" name="下跌幅度" dataDxfId="171">
      <calculatedColumnFormula>IF(C21&lt;0,C21,"/")</calculatedColumnFormula>
    </tableColumn>
    <tableColumn id="5" xr3:uid="{00000000-0010-0000-1700-000005000000}" name="最大回撤" dataDxfId="170">
      <calculatedColumnFormula>IF(表2_36716262930389121314151831323334[[#This Row],[累计净值]]/MAX(INDIRECT("B21:B" &amp; ROW()))-1&lt;E20,表2_36716262930389121314151831323334[[#This Row],[累计净值]]/MAX(INDIRECT("B21:B" &amp; ROW()))-1,E20)</calculatedColumnFormula>
    </tableColumn>
    <tableColumn id="6" xr3:uid="{00000000-0010-0000-1700-000006000000}" name="单位净值" dataDxfId="169" dataCellStyle="常规 2">
      <calculatedColumnFormula>表2_36716262930389121314151831323334[[#This Row],[累计净值]]</calculatedColumnFormula>
    </tableColumn>
    <tableColumn id="7" xr3:uid="{00000000-0010-0000-1700-000007000000}" name="持有涨跌幅" dataDxfId="168" dataCellStyle="常规 2"/>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8000000}" name="表2_36716262930389121314152324252627283839" displayName="表2_36716262930389121314152324252627283839" ref="A20:G77" totalsRowShown="0" headerRowDxfId="167">
  <autoFilter ref="A20:G77" xr:uid="{00000000-0009-0000-0100-000026000000}"/>
  <tableColumns count="7">
    <tableColumn id="1" xr3:uid="{00000000-0010-0000-1800-000001000000}" name="日期" dataDxfId="166"/>
    <tableColumn id="2" xr3:uid="{00000000-0010-0000-1800-000002000000}" name="累计净值" dataDxfId="165"/>
    <tableColumn id="3" xr3:uid="{00000000-0010-0000-1800-000003000000}" name="每日盈亏" dataDxfId="164">
      <calculatedColumnFormula>IFERROR(B21-B20,0)</calculatedColumnFormula>
    </tableColumn>
    <tableColumn id="4" xr3:uid="{00000000-0010-0000-1800-000004000000}" name="下跌幅度" dataDxfId="163">
      <calculatedColumnFormula>IF(C21&lt;0,C21,"/")</calculatedColumnFormula>
    </tableColumn>
    <tableColumn id="5" xr3:uid="{00000000-0010-0000-1800-000005000000}" name="最大回撤" dataDxfId="162">
      <calculatedColumnFormula>IF(表2_367162629303891213141523242526272835[[#This Row],[累计净值]]/MAX(INDIRECT("B21:B" &amp; ROW()))-1&lt;E20,表2_367162629303891213141523242526272835[[#This Row],[累计净值]]/MAX(INDIRECT("B21:B" &amp; ROW()))-1,E20)</calculatedColumnFormula>
    </tableColumn>
    <tableColumn id="6" xr3:uid="{00000000-0010-0000-1800-000006000000}" name="单位净值" dataDxfId="161" dataCellStyle="常规 2">
      <calculatedColumnFormula>表2_36716262930389121314152324252627283839[[#This Row],[累计净值]]</calculatedColumnFormula>
    </tableColumn>
    <tableColumn id="7" xr3:uid="{00000000-0010-0000-1800-000007000000}" name="持有涨跌幅" dataDxfId="160" dataCellStyle="常规 2"/>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9000000}" name="表2_3671626293038912131415232425262728383941" displayName="表2_3671626293038912131415232425262728383941" ref="A20:G50" totalsRowShown="0" headerRowDxfId="159">
  <autoFilter ref="A20:G50" xr:uid="{00000000-0009-0000-0100-000028000000}"/>
  <tableColumns count="7">
    <tableColumn id="1" xr3:uid="{00000000-0010-0000-1900-000001000000}" name="日期" dataDxfId="158"/>
    <tableColumn id="2" xr3:uid="{00000000-0010-0000-1900-000002000000}" name="累计净值" dataDxfId="157"/>
    <tableColumn id="3" xr3:uid="{00000000-0010-0000-1900-000003000000}" name="每日盈亏" dataDxfId="156">
      <calculatedColumnFormula>IFERROR(B21-B20,0)</calculatedColumnFormula>
    </tableColumn>
    <tableColumn id="4" xr3:uid="{00000000-0010-0000-1900-000004000000}" name="下跌幅度" dataDxfId="155">
      <calculatedColumnFormula>IF(C21&lt;0,C21,"/")</calculatedColumnFormula>
    </tableColumn>
    <tableColumn id="5" xr3:uid="{00000000-0010-0000-1900-000005000000}" name="最大回撤" dataDxfId="154">
      <calculatedColumnFormula>IF(表2_367162629303891213141523242526272835[[#This Row],[累计净值]]/MAX(INDIRECT("B21:B" &amp; ROW()))-1&lt;E20,表2_367162629303891213141523242526272835[[#This Row],[累计净值]]/MAX(INDIRECT("B21:B" &amp; ROW()))-1,E20)</calculatedColumnFormula>
    </tableColumn>
    <tableColumn id="6" xr3:uid="{00000000-0010-0000-1900-000006000000}" name="单位净值" dataDxfId="153" dataCellStyle="常规 2">
      <calculatedColumnFormula>表2_3671626293038912131415232425262728383941[[#This Row],[累计净值]]</calculatedColumnFormula>
    </tableColumn>
    <tableColumn id="7" xr3:uid="{00000000-0010-0000-1900-000007000000}" name="持有涨跌幅" dataDxfId="152" dataCellStyle="常规 2"/>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A000000}" name="表2_3671626293038912131415232425262728383941434446" displayName="表2_3671626293038912131415232425262728383941434446" ref="A20:G34" totalsRowShown="0" headerRowDxfId="151">
  <autoFilter ref="A20:G34" xr:uid="{00000000-0009-0000-0100-00002D000000}"/>
  <tableColumns count="7">
    <tableColumn id="1" xr3:uid="{00000000-0010-0000-1A00-000001000000}" name="日期" dataDxfId="150"/>
    <tableColumn id="2" xr3:uid="{00000000-0010-0000-1A00-000002000000}" name="累计净值" dataDxfId="149"/>
    <tableColumn id="3" xr3:uid="{00000000-0010-0000-1A00-000003000000}" name="每日盈亏" dataDxfId="148">
      <calculatedColumnFormula>IFERROR(B21-B20,0)</calculatedColumnFormula>
    </tableColumn>
    <tableColumn id="4" xr3:uid="{00000000-0010-0000-1A00-000004000000}" name="下跌幅度" dataDxfId="147">
      <calculatedColumnFormula>IF(C21&lt;0,C21,"/")</calculatedColumnFormula>
    </tableColumn>
    <tableColumn id="5" xr3:uid="{00000000-0010-0000-1A00-000005000000}" name="最大回撤" dataDxfId="146">
      <calculatedColumnFormula>IF(表2_367162629303891213141523242526272835[[#This Row],[累计净值]]/MAX(INDIRECT("B21:B" &amp; ROW()))-1&lt;E20,表2_367162629303891213141523242526272835[[#This Row],[累计净值]]/MAX(INDIRECT("B21:B" &amp; ROW()))-1,E20)</calculatedColumnFormula>
    </tableColumn>
    <tableColumn id="6" xr3:uid="{00000000-0010-0000-1A00-000006000000}" name="单位净值" dataDxfId="145" dataCellStyle="常规 2">
      <calculatedColumnFormula>表2_3671626293038912131415232425262728383941434446[[#This Row],[累计净值]]</calculatedColumnFormula>
    </tableColumn>
    <tableColumn id="7" xr3:uid="{00000000-0010-0000-1A00-000007000000}" name="持有涨跌幅" dataDxfId="144" dataCellStyle="常规 2"/>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B000000}" name="表2_36716262930389121314152324252627283839414344454748" displayName="表2_36716262930389121314152324252627283839414344454748" ref="A20:G31" totalsRowShown="0" headerRowDxfId="143">
  <autoFilter ref="A20:G31" xr:uid="{00000000-0009-0000-0100-00002F000000}"/>
  <tableColumns count="7">
    <tableColumn id="1" xr3:uid="{00000000-0010-0000-1B00-000001000000}" name="日期" dataDxfId="142"/>
    <tableColumn id="2" xr3:uid="{00000000-0010-0000-1B00-000002000000}" name="累计净值" dataDxfId="141"/>
    <tableColumn id="3" xr3:uid="{00000000-0010-0000-1B00-000003000000}" name="每日盈亏" dataDxfId="140">
      <calculatedColumnFormula>IFERROR(B21-B20,0)</calculatedColumnFormula>
    </tableColumn>
    <tableColumn id="4" xr3:uid="{00000000-0010-0000-1B00-000004000000}" name="下跌幅度" dataDxfId="139">
      <calculatedColumnFormula>IF(C21&lt;0,C21,"/")</calculatedColumnFormula>
    </tableColumn>
    <tableColumn id="5" xr3:uid="{00000000-0010-0000-1B00-000005000000}" name="最大回撤" dataDxfId="138">
      <calculatedColumnFormula>IF(表2_367162629303891213141523242526272835[[#This Row],[累计净值]]/MAX(INDIRECT("B21:B" &amp; ROW()))-1&lt;E20,表2_367162629303891213141523242526272835[[#This Row],[累计净值]]/MAX(INDIRECT("B21:B" &amp; ROW()))-1,E20)</calculatedColumnFormula>
    </tableColumn>
    <tableColumn id="6" xr3:uid="{00000000-0010-0000-1B00-000006000000}" name="单位净值" dataDxfId="137" dataCellStyle="常规 2">
      <calculatedColumnFormula>表2_36716262930389121314152324252627283839414344454748[[#This Row],[累计净值]]</calculatedColumnFormula>
    </tableColumn>
    <tableColumn id="7" xr3:uid="{00000000-0010-0000-1B00-000007000000}" name="持有涨跌幅" dataDxfId="136" dataCellStyle="常规 2"/>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C000000}" name="表2_367162629303891213141523242526272838394143444547" displayName="表2_367162629303891213141523242526272838394143444547" ref="A20:G30" totalsRowShown="0" headerRowDxfId="135">
  <autoFilter ref="A20:G30" xr:uid="{00000000-0009-0000-0100-00002E000000}"/>
  <tableColumns count="7">
    <tableColumn id="1" xr3:uid="{00000000-0010-0000-1C00-000001000000}" name="日期" dataDxfId="134"/>
    <tableColumn id="2" xr3:uid="{00000000-0010-0000-1C00-000002000000}" name="累计净值" dataDxfId="133"/>
    <tableColumn id="3" xr3:uid="{00000000-0010-0000-1C00-000003000000}" name="每日盈亏" dataDxfId="132">
      <calculatedColumnFormula>IFERROR(B21-B20,0)</calculatedColumnFormula>
    </tableColumn>
    <tableColumn id="4" xr3:uid="{00000000-0010-0000-1C00-000004000000}" name="下跌幅度" dataDxfId="131">
      <calculatedColumnFormula>IF(C21&lt;0,C21,"/")</calculatedColumnFormula>
    </tableColumn>
    <tableColumn id="5" xr3:uid="{00000000-0010-0000-1C00-000005000000}" name="最大回撤" dataDxfId="130">
      <calculatedColumnFormula>IF(表2_367162629303891213141523242526272835[[#This Row],[累计净值]]/MAX(INDIRECT("B21:B" &amp; ROW()))-1&lt;E20,表2_367162629303891213141523242526272835[[#This Row],[累计净值]]/MAX(INDIRECT("B21:B" &amp; ROW()))-1,E20)</calculatedColumnFormula>
    </tableColumn>
    <tableColumn id="6" xr3:uid="{00000000-0010-0000-1C00-000006000000}" name="单位净值" dataDxfId="129" dataCellStyle="常规 2">
      <calculatedColumnFormula>表2_367162629303891213141523242526272838394143444547[[#This Row],[累计净值]]</calculatedColumnFormula>
    </tableColumn>
    <tableColumn id="7" xr3:uid="{00000000-0010-0000-1C00-000007000000}" name="持有涨跌幅" dataDxfId="128" dataCellStyle="常规 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2000000}" name="表2_36716262930381020" displayName="表2_36716262930381020" ref="A20:H390" totalsRowShown="0" headerRowDxfId="349">
  <autoFilter ref="A20:H390" xr:uid="{00000000-0009-0000-0100-000013000000}"/>
  <tableColumns count="8">
    <tableColumn id="1" xr3:uid="{00000000-0010-0000-0200-000001000000}" name="日期" dataDxfId="348"/>
    <tableColumn id="2" xr3:uid="{00000000-0010-0000-0200-000002000000}" name="累计净值" dataDxfId="347"/>
    <tableColumn id="3" xr3:uid="{00000000-0010-0000-0200-000003000000}" name="每日盈亏" dataDxfId="346">
      <calculatedColumnFormula>IFERROR(B21-B20,0)</calculatedColumnFormula>
    </tableColumn>
    <tableColumn id="4" xr3:uid="{00000000-0010-0000-0200-000004000000}" name="下跌幅度" dataDxfId="345">
      <calculatedColumnFormula>IF(C21&lt;0,C21,"/")</calculatedColumnFormula>
    </tableColumn>
    <tableColumn id="5" xr3:uid="{00000000-0010-0000-0200-000005000000}" name="最大回撤" dataDxfId="344">
      <calculatedColumnFormula>IF(表2_36716262930381020[[#This Row],[累计净值]]/MAX(INDIRECT("B21:B" &amp; ROW()))-1&lt;E20,表2_36716262930381020[[#This Row],[累计净值]]/MAX(INDIRECT("B21:B" &amp; ROW()))-1,E20)</calculatedColumnFormula>
    </tableColumn>
    <tableColumn id="6" xr3:uid="{00000000-0010-0000-0200-000006000000}" name="单位净值" dataDxfId="343" dataCellStyle="常规 2"/>
    <tableColumn id="7" xr3:uid="{00000000-0010-0000-0200-000007000000}" name="持有涨跌幅" dataDxfId="342" dataCellStyle="常规 2"/>
    <tableColumn id="8" xr3:uid="{00000000-0010-0000-0200-000008000000}" name="持有涨跌幅2" dataDxfId="341" dataCellStyle="常规 2">
      <calculatedColumnFormula>表2_36716262930381020[[#This Row],[累计净值]]/B20-1</calculatedColumnFormula>
    </tableColumn>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D000000}" name="表1_4" displayName="表1_4" ref="A19:E22" totalsRowShown="0" headerRowDxfId="127" dataDxfId="126">
  <autoFilter ref="A19:E22" xr:uid="{00000000-0009-0000-0100-000029000000}"/>
  <tableColumns count="5">
    <tableColumn id="1" xr3:uid="{00000000-0010-0000-1D00-000001000000}" name="日期" dataDxfId="125"/>
    <tableColumn id="2" xr3:uid="{00000000-0010-0000-1D00-000002000000}" name="累计净值" dataDxfId="124">
      <calculatedColumnFormula>VLOOKUP(表1_4[[#This Row],[日期]],[2]碳一号3期净值!A:B,2,FALSE)</calculatedColumnFormula>
    </tableColumn>
    <tableColumn id="3" xr3:uid="{00000000-0010-0000-1D00-000003000000}" name="每周盈亏" dataDxfId="123"/>
    <tableColumn id="4" xr3:uid="{00000000-0010-0000-1D00-000004000000}" name="下跌幅度" dataDxfId="122">
      <calculatedColumnFormula>IF(C20&lt;0,C20,"/")</calculatedColumnFormula>
    </tableColumn>
    <tableColumn id="5" xr3:uid="{00000000-0010-0000-1D00-000005000000}" name="最大回撤" dataDxfId="121">
      <calculatedColumnFormula>IF(表1_4[[#This Row],[累计净值]]-MAX(INDIRECT("B20:B"&amp;ROW()))&lt;E19,表1_4[[#This Row],[累计净值]]-MAX(INDIRECT("B20:B"&amp;ROW())),E19)</calculatedColumnFormula>
    </tableColumn>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1E000000}" name="表1_434567" displayName="表1_434567" ref="A19:G32" totalsRowShown="0" headerRowDxfId="120" headerRowCellStyle="常规 2">
  <autoFilter ref="A19:G32" xr:uid="{00000000-0009-0000-0100-000030000000}"/>
  <tableColumns count="7">
    <tableColumn id="1" xr3:uid="{00000000-0010-0000-1E00-000001000000}" name="日期" dataDxfId="119"/>
    <tableColumn id="2" xr3:uid="{00000000-0010-0000-1E00-000002000000}" name="累计净值" dataDxfId="118"/>
    <tableColumn id="3" xr3:uid="{00000000-0010-0000-1E00-000003000000}" name="每周盈亏" dataDxfId="117">
      <calculatedColumnFormula>B20-B19</calculatedColumnFormula>
    </tableColumn>
    <tableColumn id="4" xr3:uid="{00000000-0010-0000-1E00-000004000000}" name="下跌幅度" dataDxfId="116">
      <calculatedColumnFormula>IF(C20&lt;0,C20,"/")</calculatedColumnFormula>
    </tableColumn>
    <tableColumn id="5" xr3:uid="{00000000-0010-0000-1E00-000005000000}" name="最大回撤" dataDxfId="115">
      <calculatedColumnFormula>IF(表1_434567[[#This Row],[累计净值]]/MAX(INDIRECT("B20:B" &amp; ROW()))-1&lt;E19,表1_434567[[#This Row],[累计净值]]/MAX(INDIRECT("B20:B" &amp; ROW()))-1,E19)</calculatedColumnFormula>
    </tableColumn>
    <tableColumn id="6" xr3:uid="{00000000-0010-0000-1E00-000006000000}" name="单位净值" dataDxfId="114" dataCellStyle="常规 2">
      <calculatedColumnFormula>表1_434567[[#This Row],[累计净值]]</calculatedColumnFormula>
    </tableColumn>
    <tableColumn id="7" xr3:uid="{00000000-0010-0000-1E00-000007000000}" name="持有收益" dataDxfId="113" dataCellStyle="百分比"/>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F000000}" name="表2_3671626293038912131415232425262728" displayName="表2_3671626293038912131415232425262728" ref="A20:G198" totalsRowShown="0" headerRowDxfId="112">
  <autoFilter ref="A20:G198" xr:uid="{00000000-0009-0000-0100-00001B000000}"/>
  <tableColumns count="7">
    <tableColumn id="1" xr3:uid="{00000000-0010-0000-1F00-000001000000}" name="日期" dataDxfId="111"/>
    <tableColumn id="2" xr3:uid="{00000000-0010-0000-1F00-000002000000}" name="累计净值" dataDxfId="110"/>
    <tableColumn id="3" xr3:uid="{00000000-0010-0000-1F00-000003000000}" name="每日盈亏" dataDxfId="109">
      <calculatedColumnFormula>IFERROR(B21-B20,0)</calculatedColumnFormula>
    </tableColumn>
    <tableColumn id="4" xr3:uid="{00000000-0010-0000-1F00-000004000000}" name="下跌幅度" dataDxfId="108">
      <calculatedColumnFormula>IF(C21&lt;0,C21,"/")</calculatedColumnFormula>
    </tableColumn>
    <tableColumn id="5" xr3:uid="{00000000-0010-0000-1F00-000005000000}" name="最大回撤" dataDxfId="107">
      <calculatedColumnFormula>IF(表2_3671626293038912131415232425262728[[#This Row],[累计净值]]/MAX(INDIRECT("B21:B" &amp; ROW()))-1&lt;E20,表2_3671626293038912131415232425262728[[#This Row],[累计净值]]/MAX(INDIRECT("B21:B" &amp; ROW()))-1,E20)</calculatedColumnFormula>
    </tableColumn>
    <tableColumn id="6" xr3:uid="{00000000-0010-0000-1F00-000006000000}" name="单位净值" dataDxfId="106" dataCellStyle="常规 2">
      <calculatedColumnFormula>表2_3671626293038912131415232425262728[[#This Row],[累计净值]]</calculatedColumnFormula>
    </tableColumn>
    <tableColumn id="7" xr3:uid="{00000000-0010-0000-1F00-000007000000}" name="持有涨跌幅" dataDxfId="105" dataCellStyle="常规 2"/>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0000000}" name="表2_36716262930381011" displayName="表2_36716262930381011" ref="A20:G403" totalsRowShown="0" headerRowDxfId="104">
  <autoFilter ref="A20:G403" xr:uid="{00000000-0009-0000-0100-00000A000000}"/>
  <tableColumns count="7">
    <tableColumn id="1" xr3:uid="{00000000-0010-0000-2000-000001000000}" name="日期" dataDxfId="103"/>
    <tableColumn id="2" xr3:uid="{00000000-0010-0000-2000-000002000000}" name="累计净值" dataDxfId="102"/>
    <tableColumn id="3" xr3:uid="{00000000-0010-0000-2000-000003000000}" name="每日盈亏" dataDxfId="101">
      <calculatedColumnFormula>IFERROR(B21-B20,0)</calculatedColumnFormula>
    </tableColumn>
    <tableColumn id="4" xr3:uid="{00000000-0010-0000-2000-000004000000}" name="下跌幅度" dataDxfId="100">
      <calculatedColumnFormula>IF(C21&lt;0,C21,"/")</calculatedColumnFormula>
    </tableColumn>
    <tableColumn id="5" xr3:uid="{00000000-0010-0000-2000-000005000000}" name="最大回撤" dataDxfId="99">
      <calculatedColumnFormula>IF(表2_36716262930381011[[#This Row],[累计净值]]/MAX(INDIRECT("B21:B" &amp; ROW()))-1&lt;E20,表2_36716262930381011[[#This Row],[累计净值]]/MAX(INDIRECT("B21:B" &amp; ROW()))-1,E20)</calculatedColumnFormula>
    </tableColumn>
    <tableColumn id="6" xr3:uid="{00000000-0010-0000-2000-000006000000}" name="单位净值" dataDxfId="98" dataCellStyle="常规 2">
      <calculatedColumnFormula>表2_36716262930381011[[#This Row],[累计净值]]</calculatedColumnFormula>
    </tableColumn>
    <tableColumn id="7" xr3:uid="{00000000-0010-0000-2000-000007000000}" name="持有涨跌幅" dataDxfId="97" dataCellStyle="常规 2"/>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21000000}" name="表2_36716262930345" displayName="表2_36716262930345" ref="A20:G438" totalsRowShown="0" headerRowDxfId="96">
  <autoFilter ref="A20:G438" xr:uid="{00000000-0009-0000-0100-000004000000}"/>
  <tableColumns count="7">
    <tableColumn id="1" xr3:uid="{00000000-0010-0000-2100-000001000000}" name="日期" dataDxfId="95"/>
    <tableColumn id="2" xr3:uid="{00000000-0010-0000-2100-000002000000}" name="累计净值" dataDxfId="94"/>
    <tableColumn id="3" xr3:uid="{00000000-0010-0000-2100-000003000000}" name="每日盈亏" dataDxfId="93">
      <calculatedColumnFormula>IFERROR(B21-B20,0)</calculatedColumnFormula>
    </tableColumn>
    <tableColumn id="4" xr3:uid="{00000000-0010-0000-2100-000004000000}" name="下跌幅度" dataDxfId="92">
      <calculatedColumnFormula>IF(C21&lt;0,C21,"/")</calculatedColumnFormula>
    </tableColumn>
    <tableColumn id="5" xr3:uid="{00000000-0010-0000-2100-000005000000}" name="最大回撤" dataDxfId="91">
      <calculatedColumnFormula>IF(表2_36716262930345[[#This Row],[累计净值]]/MAX(INDIRECT("B21:B" &amp; ROW()))-1&lt;E20,表2_36716262930345[[#This Row],[累计净值]]/MAX(INDIRECT("B21:B" &amp; ROW()))-1,E20)</calculatedColumnFormula>
    </tableColumn>
    <tableColumn id="6" xr3:uid="{00000000-0010-0000-2100-000006000000}" name="单位净值" dataDxfId="90" dataCellStyle="常规 2">
      <calculatedColumnFormula>表2_36716262930345[[#This Row],[累计净值]]</calculatedColumnFormula>
    </tableColumn>
    <tableColumn id="7" xr3:uid="{00000000-0010-0000-2100-000007000000}" name="持有涨跌幅" dataDxfId="89" dataCellStyle="常规 2"/>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2000000}" name="表2_367162629303891213" displayName="表2_367162629303891213" ref="A20:G325" totalsRowShown="0" headerRowDxfId="88">
  <autoFilter ref="A20:G325" xr:uid="{00000000-0009-0000-0100-00000C000000}"/>
  <tableColumns count="7">
    <tableColumn id="1" xr3:uid="{00000000-0010-0000-2200-000001000000}" name="日期" dataDxfId="87"/>
    <tableColumn id="2" xr3:uid="{00000000-0010-0000-2200-000002000000}" name="累计净值" dataDxfId="86"/>
    <tableColumn id="3" xr3:uid="{00000000-0010-0000-2200-000003000000}" name="每日盈亏" dataDxfId="85">
      <calculatedColumnFormula>IFERROR(B21-B20,0)</calculatedColumnFormula>
    </tableColumn>
    <tableColumn id="4" xr3:uid="{00000000-0010-0000-2200-000004000000}" name="下跌幅度" dataDxfId="84">
      <calculatedColumnFormula>IF(C21&lt;0,C21,"/")</calculatedColumnFormula>
    </tableColumn>
    <tableColumn id="5" xr3:uid="{00000000-0010-0000-2200-000005000000}" name="最大回撤" dataDxfId="83">
      <calculatedColumnFormula>IF(表2_367162629303891213[[#This Row],[累计净值]]/MAX(INDIRECT("B21:B" &amp; ROW()))-1&lt;E20,表2_367162629303891213[[#This Row],[累计净值]]/MAX(INDIRECT("B21:B" &amp; ROW()))-1,E20)</calculatedColumnFormula>
    </tableColumn>
    <tableColumn id="6" xr3:uid="{00000000-0010-0000-2200-000006000000}" name="单位净值" dataDxfId="82" dataCellStyle="常规 2">
      <calculatedColumnFormula>表2_367162629303891213[[#This Row],[累计净值]]</calculatedColumnFormula>
    </tableColumn>
    <tableColumn id="7" xr3:uid="{00000000-0010-0000-2200-000007000000}" name="持有涨跌幅" dataDxfId="81" dataCellStyle="常规 2"/>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3000000}" name="表2_367162629303891213141523242526272831323334" displayName="表2_367162629303891213141523242526272831323334" ref="A20:G83" totalsRowShown="0" headerRowDxfId="80">
  <autoFilter ref="A20:G83" xr:uid="{00000000-0009-0000-0100-000021000000}"/>
  <tableColumns count="7">
    <tableColumn id="1" xr3:uid="{00000000-0010-0000-2300-000001000000}" name="日期" dataDxfId="79"/>
    <tableColumn id="2" xr3:uid="{00000000-0010-0000-2300-000002000000}" name="累计净值" dataDxfId="78"/>
    <tableColumn id="3" xr3:uid="{00000000-0010-0000-2300-000003000000}" name="每日盈亏" dataDxfId="77">
      <calculatedColumnFormula>IFERROR(B21-B20,0)</calculatedColumnFormula>
    </tableColumn>
    <tableColumn id="4" xr3:uid="{00000000-0010-0000-2300-000004000000}" name="下跌幅度" dataDxfId="76">
      <calculatedColumnFormula>IF(C21&lt;0,C21,"/")</calculatedColumnFormula>
    </tableColumn>
    <tableColumn id="5" xr3:uid="{00000000-0010-0000-2300-000005000000}" name="最大回撤" dataDxfId="75">
      <calculatedColumnFormula>IF(表2_367162629303891213141523242526272831323334[[#This Row],[累计净值]]/MAX(INDIRECT("B21:B" &amp; ROW()))-1&lt;E20,表2_367162629303891213141523242526272831323334[[#This Row],[累计净值]]/MAX(INDIRECT("B21:B" &amp; ROW()))-1,E20)</calculatedColumnFormula>
    </tableColumn>
    <tableColumn id="6" xr3:uid="{00000000-0010-0000-2300-000006000000}" name="单位净值" dataDxfId="74" dataCellStyle="常规 2">
      <calculatedColumnFormula>表2_367162629303891213141523242526272831323334[[#This Row],[累计净值]]</calculatedColumnFormula>
    </tableColumn>
    <tableColumn id="7" xr3:uid="{00000000-0010-0000-2300-000007000000}" name="持有涨跌幅" dataDxfId="73" dataCellStyle="常规 2"/>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4000000}" name="表2_36716262930389121314151819" displayName="表2_36716262930389121314151819" ref="A20:G213" totalsRowShown="0" headerRowDxfId="72">
  <autoFilter ref="A20:G213" xr:uid="{00000000-0009-0000-0100-000012000000}"/>
  <tableColumns count="7">
    <tableColumn id="1" xr3:uid="{00000000-0010-0000-2400-000001000000}" name="日期" dataDxfId="71"/>
    <tableColumn id="2" xr3:uid="{00000000-0010-0000-2400-000002000000}" name="累计净值" dataDxfId="70"/>
    <tableColumn id="3" xr3:uid="{00000000-0010-0000-2400-000003000000}" name="每日盈亏" dataDxfId="69">
      <calculatedColumnFormula>IFERROR(B21-B20,0)</calculatedColumnFormula>
    </tableColumn>
    <tableColumn id="4" xr3:uid="{00000000-0010-0000-2400-000004000000}" name="下跌幅度" dataDxfId="68">
      <calculatedColumnFormula>IF(C21&lt;0,C21,"/")</calculatedColumnFormula>
    </tableColumn>
    <tableColumn id="5" xr3:uid="{00000000-0010-0000-2400-000005000000}" name="最大回撤" dataDxfId="67">
      <calculatedColumnFormula>IF(表2_36716262930389121314151819[[#This Row],[累计净值]]/MAX(INDIRECT("B21:B" &amp; ROW()))-1&lt;E20,表2_36716262930389121314151819[[#This Row],[累计净值]]/MAX(INDIRECT("B21:B" &amp; ROW()))-1,E20)</calculatedColumnFormula>
    </tableColumn>
    <tableColumn id="6" xr3:uid="{00000000-0010-0000-2400-000006000000}" name="单位净值" dataDxfId="66" dataCellStyle="常规 2">
      <calculatedColumnFormula>表2_36716262930389121314151819[[#This Row],[累计净值]]-0.144</calculatedColumnFormula>
    </tableColumn>
    <tableColumn id="7" xr3:uid="{00000000-0010-0000-2400-000007000000}" name="持有涨跌幅" dataDxfId="65" dataCellStyle="常规 2"/>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25000000}" name="表2_3671626293038912131415232425262728313233" displayName="表2_3671626293038912131415232425262728313233" ref="A20:G55" totalsRowShown="0" headerRowDxfId="64">
  <autoFilter ref="A20:G55" xr:uid="{00000000-0009-0000-0100-000020000000}"/>
  <tableColumns count="7">
    <tableColumn id="1" xr3:uid="{00000000-0010-0000-2500-000001000000}" name="日期" dataDxfId="63"/>
    <tableColumn id="2" xr3:uid="{00000000-0010-0000-2500-000002000000}" name="累计净值" dataDxfId="62"/>
    <tableColumn id="3" xr3:uid="{00000000-0010-0000-2500-000003000000}" name="每日盈亏" dataDxfId="61">
      <calculatedColumnFormula>IFERROR(B21-B20,0)</calculatedColumnFormula>
    </tableColumn>
    <tableColumn id="4" xr3:uid="{00000000-0010-0000-2500-000004000000}" name="下跌幅度" dataDxfId="60">
      <calculatedColumnFormula>IF(C21&lt;0,C21,"/")</calculatedColumnFormula>
    </tableColumn>
    <tableColumn id="5" xr3:uid="{00000000-0010-0000-2500-000005000000}" name="最大回撤" dataDxfId="59">
      <calculatedColumnFormula>IF(表2_3671626293038912131415232425262728313233[[#This Row],[累计净值]]/MAX(INDIRECT("B21:B" &amp; ROW()))-1&lt;E20,表2_3671626293038912131415232425262728313233[[#This Row],[累计净值]]/MAX(INDIRECT("B21:B" &amp; ROW()))-1,E20)</calculatedColumnFormula>
    </tableColumn>
    <tableColumn id="6" xr3:uid="{00000000-0010-0000-2500-000006000000}" name="单位净值" dataDxfId="58" dataCellStyle="常规 2">
      <calculatedColumnFormula>表2_3671626293038912131415232425262728313233[[#This Row],[累计净值]]</calculatedColumnFormula>
    </tableColumn>
    <tableColumn id="7" xr3:uid="{00000000-0010-0000-2500-000007000000}" name="持有涨跌幅" dataDxfId="57" dataCellStyle="常规 2"/>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26000000}" name="表2_367162629303456" displayName="表2_367162629303456" ref="A20:G298" totalsRowShown="0" headerRowDxfId="56">
  <autoFilter ref="A20:G298" xr:uid="{00000000-0009-0000-0100-000005000000}"/>
  <tableColumns count="7">
    <tableColumn id="1" xr3:uid="{00000000-0010-0000-2600-000001000000}" name="日期" dataDxfId="55"/>
    <tableColumn id="2" xr3:uid="{00000000-0010-0000-2600-000002000000}" name="累计净值" dataDxfId="54"/>
    <tableColumn id="3" xr3:uid="{00000000-0010-0000-2600-000003000000}" name="每日盈亏" dataDxfId="53">
      <calculatedColumnFormula>IFERROR(B21-B20,0)</calculatedColumnFormula>
    </tableColumn>
    <tableColumn id="4" xr3:uid="{00000000-0010-0000-2600-000004000000}" name="下跌幅度" dataDxfId="52">
      <calculatedColumnFormula>IF(C21&lt;0,C21,"/")</calculatedColumnFormula>
    </tableColumn>
    <tableColumn id="5" xr3:uid="{00000000-0010-0000-2600-000005000000}" name="最大回撤" dataDxfId="51">
      <calculatedColumnFormula>IF(表2_367162629303456[[#This Row],[累计净值]]/MAX(INDIRECT("B21:B" &amp; ROW()))-1&lt;E20,表2_367162629303456[[#This Row],[累计净值]]/MAX(INDIRECT("B21:B" &amp; ROW()))-1,E20)</calculatedColumnFormula>
    </tableColumn>
    <tableColumn id="6" xr3:uid="{00000000-0010-0000-2600-000006000000}" name="单位净值" dataDxfId="50" dataCellStyle="常规 2">
      <calculatedColumnFormula>表2_367162629303456[[#This Row],[累计净值]]</calculatedColumnFormula>
    </tableColumn>
    <tableColumn id="7" xr3:uid="{00000000-0010-0000-2600-000007000000}" name="持有涨跌幅" dataDxfId="49" dataCellStyle="常规 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表2_3671626293038912" displayName="表2_3671626293038912" ref="A20:G371" totalsRowShown="0" headerRowDxfId="340">
  <autoFilter ref="A20:G371" xr:uid="{00000000-0009-0000-0100-00000B000000}"/>
  <tableColumns count="7">
    <tableColumn id="1" xr3:uid="{00000000-0010-0000-0300-000001000000}" name="日期" dataDxfId="339"/>
    <tableColumn id="2" xr3:uid="{00000000-0010-0000-0300-000002000000}" name="累计净值" dataDxfId="338"/>
    <tableColumn id="3" xr3:uid="{00000000-0010-0000-0300-000003000000}" name="每日盈亏" dataDxfId="337">
      <calculatedColumnFormula>IFERROR(B21-B20,0)</calculatedColumnFormula>
    </tableColumn>
    <tableColumn id="4" xr3:uid="{00000000-0010-0000-0300-000004000000}" name="下跌幅度" dataDxfId="336">
      <calculatedColumnFormula>IF(C21&lt;0,C21,"/")</calculatedColumnFormula>
    </tableColumn>
    <tableColumn id="5" xr3:uid="{00000000-0010-0000-0300-000005000000}" name="最大回撤" dataDxfId="335">
      <calculatedColumnFormula>IF(表2_3671626293038912[[#This Row],[累计净值]]/MAX(INDIRECT("B21:B" &amp; ROW()))-1&lt;E20,表2_3671626293038912[[#This Row],[累计净值]]/MAX(INDIRECT("B21:B" &amp; ROW()))-1,E20)</calculatedColumnFormula>
    </tableColumn>
    <tableColumn id="6" xr3:uid="{00000000-0010-0000-0300-000006000000}" name="单位净值" dataDxfId="334" dataCellStyle="常规 2">
      <calculatedColumnFormula>表2_3671626293038912[[#This Row],[累计净值]]</calculatedColumnFormula>
    </tableColumn>
    <tableColumn id="7" xr3:uid="{00000000-0010-0000-0300-000007000000}" name="持有涨跌幅" dataDxfId="333" dataCellStyle="常规 2"/>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27000000}" name="表2_36716262930" displayName="表2_36716262930" ref="A20:G252" totalsRowShown="0" headerRowDxfId="48">
  <autoFilter ref="A20:G252" xr:uid="{00000000-0009-0000-0100-000001000000}"/>
  <tableColumns count="7">
    <tableColumn id="1" xr3:uid="{00000000-0010-0000-2700-000001000000}" name="日期" dataDxfId="47"/>
    <tableColumn id="2" xr3:uid="{00000000-0010-0000-2700-000002000000}" name="累计净值" dataDxfId="46"/>
    <tableColumn id="3" xr3:uid="{00000000-0010-0000-2700-000003000000}" name="每日盈亏" dataDxfId="45">
      <calculatedColumnFormula>IFERROR(B21-B20,0)</calculatedColumnFormula>
    </tableColumn>
    <tableColumn id="4" xr3:uid="{00000000-0010-0000-2700-000004000000}" name="下跌幅度" dataDxfId="44">
      <calculatedColumnFormula>IF(C21&lt;0,C21,"/")</calculatedColumnFormula>
    </tableColumn>
    <tableColumn id="5" xr3:uid="{00000000-0010-0000-2700-000005000000}" name="最大回撤" dataDxfId="43">
      <calculatedColumnFormula>IF(表2_36716262930[[#This Row],[累计净值]]/MAX(INDIRECT("B21:B" &amp; ROW()))-1&lt;E20,表2_36716262930[[#This Row],[累计净值]]/MAX(INDIRECT("B21:B" &amp; ROW()))-1,E20)</calculatedColumnFormula>
    </tableColumn>
    <tableColumn id="6" xr3:uid="{00000000-0010-0000-2700-000006000000}" name="单位净值" dataDxfId="42" dataCellStyle="常规 2">
      <calculatedColumnFormula>表2_36716262930[[#This Row],[累计净值]]-0.084</calculatedColumnFormula>
    </tableColumn>
    <tableColumn id="7" xr3:uid="{00000000-0010-0000-2700-000007000000}" name="持有涨跌幅" dataDxfId="41" dataCellStyle="常规 2"/>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8000000}" name="表2_3671626293038912131415" displayName="表2_3671626293038912131415" ref="A20:G107" totalsRowShown="0" headerRowDxfId="40">
  <autoFilter ref="A20:G107" xr:uid="{00000000-0009-0000-0100-00000E000000}"/>
  <tableColumns count="7">
    <tableColumn id="1" xr3:uid="{00000000-0010-0000-2800-000001000000}" name="日期" dataDxfId="39"/>
    <tableColumn id="2" xr3:uid="{00000000-0010-0000-2800-000002000000}" name="累计净值" dataDxfId="38"/>
    <tableColumn id="3" xr3:uid="{00000000-0010-0000-2800-000003000000}" name="每日盈亏" dataDxfId="37">
      <calculatedColumnFormula>IFERROR(B21-B20,0)</calculatedColumnFormula>
    </tableColumn>
    <tableColumn id="4" xr3:uid="{00000000-0010-0000-2800-000004000000}" name="下跌幅度" dataDxfId="36">
      <calculatedColumnFormula>IF(C21&lt;0,C21,"/")</calculatedColumnFormula>
    </tableColumn>
    <tableColumn id="5" xr3:uid="{00000000-0010-0000-2800-000005000000}" name="最大回撤" dataDxfId="35">
      <calculatedColumnFormula>IF(表2_3671626293038912131415[[#This Row],[累计净值]]/MAX(INDIRECT("B21:B" &amp; ROW()))-1&lt;E20,表2_3671626293038912131415[[#This Row],[累计净值]]/MAX(INDIRECT("B21:B" &amp; ROW()))-1,E20)</calculatedColumnFormula>
    </tableColumn>
    <tableColumn id="6" xr3:uid="{00000000-0010-0000-2800-000006000000}" name="单位净值" dataDxfId="34" dataCellStyle="常规 2">
      <calculatedColumnFormula>表2_3671626293038912131415[[#This Row],[累计净值]]</calculatedColumnFormula>
    </tableColumn>
    <tableColumn id="7" xr3:uid="{00000000-0010-0000-2800-000007000000}" name="持有涨跌幅" dataDxfId="33" dataCellStyle="常规 2"/>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9000000}" name="表2_3671626293034522" displayName="表2_3671626293034522" ref="A20:G174" totalsRowShown="0" headerRowDxfId="32">
  <autoFilter ref="A20:G174" xr:uid="{00000000-0009-0000-0100-000015000000}"/>
  <tableColumns count="7">
    <tableColumn id="1" xr3:uid="{00000000-0010-0000-2900-000001000000}" name="日期" dataDxfId="31"/>
    <tableColumn id="2" xr3:uid="{00000000-0010-0000-2900-000002000000}" name="累计净值" dataDxfId="30"/>
    <tableColumn id="3" xr3:uid="{00000000-0010-0000-2900-000003000000}" name="每日盈亏" dataDxfId="29">
      <calculatedColumnFormula>IFERROR(B21-B20,0)</calculatedColumnFormula>
    </tableColumn>
    <tableColumn id="4" xr3:uid="{00000000-0010-0000-2900-000004000000}" name="下跌幅度" dataDxfId="28">
      <calculatedColumnFormula>IF(C21&lt;0,C21,"/")</calculatedColumnFormula>
    </tableColumn>
    <tableColumn id="5" xr3:uid="{00000000-0010-0000-2900-000005000000}" name="最大回撤" dataDxfId="27">
      <calculatedColumnFormula>IF(表2_3671626293034522[[#This Row],[累计净值]]/MAX(INDIRECT("B21:B" &amp; ROW()))-1&lt;E20,表2_3671626293034522[[#This Row],[累计净值]]/MAX(INDIRECT("B21:B" &amp; ROW()))-1,E20)</calculatedColumnFormula>
    </tableColumn>
    <tableColumn id="6" xr3:uid="{00000000-0010-0000-2900-000006000000}" name="单位净值" dataDxfId="26" dataCellStyle="常规 2">
      <calculatedColumnFormula>表2_3671626293034522[[#This Row],[累计净值]]</calculatedColumnFormula>
    </tableColumn>
    <tableColumn id="7" xr3:uid="{00000000-0010-0000-2900-000007000000}" name="持有涨跌幅" dataDxfId="25" dataCellStyle="常规 2"/>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A000000}" name="表2_36716262930389" displayName="表2_36716262930389" ref="A20:G194" totalsRowShown="0" headerRowDxfId="24">
  <autoFilter ref="A20:G194" xr:uid="{00000000-0009-0000-0100-000008000000}"/>
  <tableColumns count="7">
    <tableColumn id="1" xr3:uid="{00000000-0010-0000-2A00-000001000000}" name="日期" dataDxfId="23"/>
    <tableColumn id="2" xr3:uid="{00000000-0010-0000-2A00-000002000000}" name="累计净值" dataDxfId="22"/>
    <tableColumn id="3" xr3:uid="{00000000-0010-0000-2A00-000003000000}" name="每日盈亏" dataDxfId="21">
      <calculatedColumnFormula>IFERROR(B21-B20,0)</calculatedColumnFormula>
    </tableColumn>
    <tableColumn id="4" xr3:uid="{00000000-0010-0000-2A00-000004000000}" name="下跌幅度" dataDxfId="20">
      <calculatedColumnFormula>IF(C21&lt;0,C21,"/")</calculatedColumnFormula>
    </tableColumn>
    <tableColumn id="5" xr3:uid="{00000000-0010-0000-2A00-000005000000}" name="最大回撤" dataDxfId="19">
      <calculatedColumnFormula>IF(表2_36716262930389[[#This Row],[累计净值]]/MAX(INDIRECT("B21:B" &amp; ROW()))-1&lt;E20,表2_36716262930389[[#This Row],[累计净值]]/MAX(INDIRECT("B21:B" &amp; ROW()))-1,E20)</calculatedColumnFormula>
    </tableColumn>
    <tableColumn id="6" xr3:uid="{00000000-0010-0000-2A00-000006000000}" name="单位净值" dataDxfId="18" dataCellStyle="常规 2">
      <calculatedColumnFormula>表2_36716262930389[[#This Row],[累计净值]]</calculatedColumnFormula>
    </tableColumn>
    <tableColumn id="7" xr3:uid="{00000000-0010-0000-2A00-000007000000}" name="持有涨跌幅" dataDxfId="17" dataCellStyle="常规 2"/>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2B000000}" name="表2_367162629303810" displayName="表2_367162629303810" ref="A20:G142" totalsRowShown="0" headerRowDxfId="16">
  <autoFilter ref="A20:G142" xr:uid="{00000000-0009-0000-0100-000009000000}"/>
  <tableColumns count="7">
    <tableColumn id="1" xr3:uid="{00000000-0010-0000-2B00-000001000000}" name="日期" dataDxfId="15"/>
    <tableColumn id="2" xr3:uid="{00000000-0010-0000-2B00-000002000000}" name="累计净值" dataDxfId="14"/>
    <tableColumn id="3" xr3:uid="{00000000-0010-0000-2B00-000003000000}" name="每日盈亏" dataDxfId="13">
      <calculatedColumnFormula>IFERROR(B21-B20,0)</calculatedColumnFormula>
    </tableColumn>
    <tableColumn id="4" xr3:uid="{00000000-0010-0000-2B00-000004000000}" name="下跌幅度" dataDxfId="12">
      <calculatedColumnFormula>IF(C21&lt;0,C21,"/")</calculatedColumnFormula>
    </tableColumn>
    <tableColumn id="5" xr3:uid="{00000000-0010-0000-2B00-000005000000}" name="最大回撤" dataDxfId="11">
      <calculatedColumnFormula>IF(表2_367162629303810[[#This Row],[累计净值]]/MAX(INDIRECT("B21:B" &amp; ROW()))-1&lt;E20,表2_367162629303810[[#This Row],[累计净值]]/MAX(INDIRECT("B21:B" &amp; ROW()))-1,E20)</calculatedColumnFormula>
    </tableColumn>
    <tableColumn id="6" xr3:uid="{00000000-0010-0000-2B00-000006000000}" name="单位净值" dataDxfId="10" dataCellStyle="常规 2">
      <calculatedColumnFormula>表2_367162629303810[[#This Row],[累计净值]]-0.072</calculatedColumnFormula>
    </tableColumn>
    <tableColumn id="7" xr3:uid="{00000000-0010-0000-2B00-000007000000}" name="持有涨跌幅" dataDxfId="9" dataCellStyle="常规 2"/>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2C000000}" name="表2_3671626293038" displayName="表2_3671626293038" ref="A20:G150" totalsRowShown="0" headerRowDxfId="8">
  <autoFilter ref="A20:G150" xr:uid="{00000000-0009-0000-0100-000007000000}"/>
  <tableColumns count="7">
    <tableColumn id="1" xr3:uid="{00000000-0010-0000-2C00-000001000000}" name="日期" dataDxfId="7"/>
    <tableColumn id="2" xr3:uid="{00000000-0010-0000-2C00-000002000000}" name="累计净值" dataDxfId="6"/>
    <tableColumn id="3" xr3:uid="{00000000-0010-0000-2C00-000003000000}" name="每日盈亏" dataDxfId="5">
      <calculatedColumnFormula>IFERROR(B21-B20,0)</calculatedColumnFormula>
    </tableColumn>
    <tableColumn id="4" xr3:uid="{00000000-0010-0000-2C00-000004000000}" name="下跌幅度" dataDxfId="4">
      <calculatedColumnFormula>IF(C21&lt;0,C21,"/")</calculatedColumnFormula>
    </tableColumn>
    <tableColumn id="5" xr3:uid="{00000000-0010-0000-2C00-000005000000}" name="最大回撤" dataDxfId="3">
      <calculatedColumnFormula>IF(表2_3671626293038[[#This Row],[累计净值]]/MAX(INDIRECT("B21:B" &amp; ROW()))-1&lt;E20,表2_3671626293038[[#This Row],[累计净值]]/MAX(INDIRECT("B21:B" &amp; ROW()))-1,E20)</calculatedColumnFormula>
    </tableColumn>
    <tableColumn id="6" xr3:uid="{00000000-0010-0000-2C00-000006000000}" name="单位净值" dataDxfId="2" dataCellStyle="常规 2">
      <calculatedColumnFormula>表2_3671626293038[[#This Row],[累计净值]]</calculatedColumnFormula>
    </tableColumn>
    <tableColumn id="7" xr3:uid="{00000000-0010-0000-2C00-000007000000}" name="持有涨跌幅" dataDxfId="1" dataCellStyle="常规 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表2_367162629303891213141516" displayName="表2_367162629303891213141516" ref="A20:G274" totalsRowShown="0" headerRowDxfId="332">
  <autoFilter ref="A20:G274" xr:uid="{00000000-0009-0000-0100-00000F000000}"/>
  <tableColumns count="7">
    <tableColumn id="1" xr3:uid="{00000000-0010-0000-0400-000001000000}" name="日期" dataDxfId="331"/>
    <tableColumn id="2" xr3:uid="{00000000-0010-0000-0400-000002000000}" name="累计净值" dataDxfId="330"/>
    <tableColumn id="3" xr3:uid="{00000000-0010-0000-0400-000003000000}" name="每日盈亏" dataDxfId="329">
      <calculatedColumnFormula>IFERROR(B21-B20,0)</calculatedColumnFormula>
    </tableColumn>
    <tableColumn id="4" xr3:uid="{00000000-0010-0000-0400-000004000000}" name="下跌幅度" dataDxfId="328">
      <calculatedColumnFormula>IF(C21&lt;0,C21,"/")</calculatedColumnFormula>
    </tableColumn>
    <tableColumn id="5" xr3:uid="{00000000-0010-0000-0400-000005000000}" name="最大回撤" dataDxfId="327">
      <calculatedColumnFormula>IF(表2_367162629303891213141516[[#This Row],[累计净值]]/MAX(INDIRECT("B21:B" &amp; ROW()))-1&lt;E20,表2_367162629303891213141516[[#This Row],[累计净值]]/MAX(INDIRECT("B21:B" &amp; ROW()))-1,E20)</calculatedColumnFormula>
    </tableColumn>
    <tableColumn id="6" xr3:uid="{00000000-0010-0000-0400-000006000000}" name="单位净值" dataDxfId="326" dataCellStyle="常规 2">
      <calculatedColumnFormula>表2_367162629303891213141516[[#This Row],[累计净值]]</calculatedColumnFormula>
    </tableColumn>
    <tableColumn id="7" xr3:uid="{00000000-0010-0000-0400-000007000000}" name="持有涨跌幅" dataDxfId="325" dataCellStyle="常规 2"/>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表2_36716262930389121314151617" displayName="表2_36716262930389121314151617" ref="A20:G271" totalsRowShown="0" headerRowDxfId="324">
  <autoFilter ref="A20:G271" xr:uid="{00000000-0009-0000-0100-000010000000}"/>
  <tableColumns count="7">
    <tableColumn id="1" xr3:uid="{00000000-0010-0000-0500-000001000000}" name="日期" dataDxfId="323"/>
    <tableColumn id="2" xr3:uid="{00000000-0010-0000-0500-000002000000}" name="累计净值" dataDxfId="322"/>
    <tableColumn id="3" xr3:uid="{00000000-0010-0000-0500-000003000000}" name="每日盈亏" dataDxfId="321">
      <calculatedColumnFormula>IFERROR(B21-B20,0)</calculatedColumnFormula>
    </tableColumn>
    <tableColumn id="4" xr3:uid="{00000000-0010-0000-0500-000004000000}" name="下跌幅度" dataDxfId="320">
      <calculatedColumnFormula>IF(C21&lt;0,C21,"/")</calculatedColumnFormula>
    </tableColumn>
    <tableColumn id="5" xr3:uid="{00000000-0010-0000-0500-000005000000}" name="最大回撤" dataDxfId="319">
      <calculatedColumnFormula>IF(表2_36716262930389121314151617[[#This Row],[累计净值]]/MAX(INDIRECT("B21:B" &amp; ROW()))-1&lt;E20,表2_36716262930389121314151617[[#This Row],[累计净值]]/MAX(INDIRECT("B21:B" &amp; ROW()))-1,E20)</calculatedColumnFormula>
    </tableColumn>
    <tableColumn id="6" xr3:uid="{00000000-0010-0000-0500-000006000000}" name="单位净值" dataDxfId="318" dataCellStyle="常规 2">
      <calculatedColumnFormula>表2_36716262930389121314151617[[#This Row],[累计净值]]</calculatedColumnFormula>
    </tableColumn>
    <tableColumn id="7" xr3:uid="{00000000-0010-0000-0500-000007000000}" name="持有涨跌幅" dataDxfId="317" dataCellStyle="常规 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6000000}" name="表2_367162629303421" displayName="表2_367162629303421" ref="A20:H391" totalsRowShown="0" headerRowDxfId="316">
  <autoFilter ref="A20:H391" xr:uid="{00000000-0009-0000-0100-000014000000}"/>
  <tableColumns count="8">
    <tableColumn id="1" xr3:uid="{00000000-0010-0000-0600-000001000000}" name="日期" dataDxfId="315"/>
    <tableColumn id="2" xr3:uid="{00000000-0010-0000-0600-000002000000}" name="累计净值" dataDxfId="314"/>
    <tableColumn id="3" xr3:uid="{00000000-0010-0000-0600-000003000000}" name="每日盈亏" dataDxfId="313">
      <calculatedColumnFormula>IFERROR(B21-B20,0)</calculatedColumnFormula>
    </tableColumn>
    <tableColumn id="4" xr3:uid="{00000000-0010-0000-0600-000004000000}" name="下跌幅度" dataDxfId="312">
      <calculatedColumnFormula>IF(C21&lt;0,C21,"/")</calculatedColumnFormula>
    </tableColumn>
    <tableColumn id="5" xr3:uid="{00000000-0010-0000-0600-000005000000}" name="最大回撤" dataDxfId="311">
      <calculatedColumnFormula>IF(表2_367162629303421[[#This Row],[累计净值]]/MAX(INDIRECT("B21:B" &amp; ROW()))-1&lt;E20,表2_367162629303421[[#This Row],[累计净值]]/MAX(INDIRECT("B21:B" &amp; ROW()))-1,E20)</calculatedColumnFormula>
    </tableColumn>
    <tableColumn id="6" xr3:uid="{00000000-0010-0000-0600-000006000000}" name="单位净值" dataDxfId="310" dataCellStyle="常规 2">
      <calculatedColumnFormula>表2_367162629303421[[#This Row],[累计净值]]</calculatedColumnFormula>
    </tableColumn>
    <tableColumn id="7" xr3:uid="{00000000-0010-0000-0600-000007000000}" name="持有涨跌幅" dataDxfId="309" dataCellStyle="常规 2"/>
    <tableColumn id="8" xr3:uid="{00000000-0010-0000-0600-000008000000}" name="持有涨跌幅2" dataCellStyle="常规 2 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7000000}" name="表2_367162629303891213141518" displayName="表2_367162629303891213141518" ref="A20:H263" totalsRowShown="0" headerRowDxfId="308">
  <autoFilter ref="A20:H263" xr:uid="{00000000-0009-0000-0100-000011000000}"/>
  <tableColumns count="8">
    <tableColumn id="1" xr3:uid="{00000000-0010-0000-0700-000001000000}" name="日期" dataDxfId="307"/>
    <tableColumn id="2" xr3:uid="{00000000-0010-0000-0700-000002000000}" name="累计净值" dataDxfId="306"/>
    <tableColumn id="3" xr3:uid="{00000000-0010-0000-0700-000003000000}" name="每日盈亏" dataDxfId="305">
      <calculatedColumnFormula>IFERROR(B21-B20,0)</calculatedColumnFormula>
    </tableColumn>
    <tableColumn id="4" xr3:uid="{00000000-0010-0000-0700-000004000000}" name="下跌幅度" dataDxfId="304">
      <calculatedColumnFormula>IF(C21&lt;0,C21,"/")</calculatedColumnFormula>
    </tableColumn>
    <tableColumn id="5" xr3:uid="{00000000-0010-0000-0700-000005000000}" name="最大回撤" dataDxfId="303">
      <calculatedColumnFormula>IF(表2_367162629303891213141518[[#This Row],[累计净值]]/MAX(INDIRECT("B21:B" &amp; ROW()))-1&lt;E20,表2_367162629303891213141518[[#This Row],[累计净值]]/MAX(INDIRECT("B21:B" &amp; ROW()))-1,E20)</calculatedColumnFormula>
    </tableColumn>
    <tableColumn id="6" xr3:uid="{00000000-0010-0000-0700-000006000000}" name="单位净值" dataDxfId="302" dataCellStyle="常规 2">
      <calculatedColumnFormula>表2_367162629303891213141518[[#This Row],[累计净值]]-0.12</calculatedColumnFormula>
    </tableColumn>
    <tableColumn id="7" xr3:uid="{00000000-0010-0000-0700-000007000000}" name="持有涨跌幅" dataDxfId="301" dataCellStyle="常规 2"/>
    <tableColumn id="8" xr3:uid="{00000000-0010-0000-0700-000008000000}" name="列1" dataCellStyle="常规 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表2_36716262930389121314153" displayName="表2_36716262930389121314153" ref="A20:H324" totalsRowShown="0" headerRowDxfId="300">
  <autoFilter ref="A20:H324" xr:uid="{00000000-0009-0000-0100-000002000000}"/>
  <tableColumns count="8">
    <tableColumn id="1" xr3:uid="{00000000-0010-0000-0800-000001000000}" name="日期" dataDxfId="299"/>
    <tableColumn id="2" xr3:uid="{00000000-0010-0000-0800-000002000000}" name="累计净值" dataDxfId="298"/>
    <tableColumn id="3" xr3:uid="{00000000-0010-0000-0800-000003000000}" name="每日盈亏" dataDxfId="297">
      <calculatedColumnFormula>IFERROR(B21-B20,0)</calculatedColumnFormula>
    </tableColumn>
    <tableColumn id="4" xr3:uid="{00000000-0010-0000-0800-000004000000}" name="下跌幅度" dataDxfId="296">
      <calculatedColumnFormula>IF(C21&lt;0,C21,"/")</calculatedColumnFormula>
    </tableColumn>
    <tableColumn id="5" xr3:uid="{00000000-0010-0000-0800-000005000000}" name="最大回撤" dataDxfId="295">
      <calculatedColumnFormula>IF(表2_36716262930389121314153[[#This Row],[累计净值]]/MAX(INDIRECT("B21:B" &amp; ROW()))-1&lt;E20,表2_36716262930389121314153[[#This Row],[累计净值]]/MAX(INDIRECT("B21:B" &amp; ROW()))-1,E20)</calculatedColumnFormula>
    </tableColumn>
    <tableColumn id="6" xr3:uid="{00000000-0010-0000-0800-000006000000}" name="单位净值" dataDxfId="294" dataCellStyle="常规 2">
      <calculatedColumnFormula>表2_36716262930389121314153[[#This Row],[累计净值]]</calculatedColumnFormula>
    </tableColumn>
    <tableColumn id="7" xr3:uid="{00000000-0010-0000-0800-000007000000}" name="持有涨跌幅" dataDxfId="293" dataCellStyle="常规 2"/>
    <tableColumn id="8" xr3:uid="{00000000-0010-0000-0800-000008000000}" name="持有涨跌幅2" dataCellStyle="常规 2 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vmlDrawing" Target="../drawings/vmlDrawing1.vml"/><Relationship Id="rId1" Type="http://schemas.openxmlformats.org/officeDocument/2006/relationships/drawing" Target="../drawings/drawing30.xml"/><Relationship Id="rId4" Type="http://schemas.openxmlformats.org/officeDocument/2006/relationships/comments" Target="../comments1.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1.xml"/><Relationship Id="rId1" Type="http://schemas.openxmlformats.org/officeDocument/2006/relationships/printerSettings" Target="../printerSettings/printerSettings28.bin"/><Relationship Id="rId5" Type="http://schemas.openxmlformats.org/officeDocument/2006/relationships/comments" Target="../comments2.xml"/><Relationship Id="rId4"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drawing" Target="../drawings/drawing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9.xml"/><Relationship Id="rId1" Type="http://schemas.openxmlformats.org/officeDocument/2006/relationships/printerSettings" Target="../printerSettings/printerSettings36.bin"/><Relationship Id="rId5" Type="http://schemas.openxmlformats.org/officeDocument/2006/relationships/comments" Target="../comments3.xml"/><Relationship Id="rId4"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drawing" Target="../drawings/drawing40.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41.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drawing" Target="../drawings/drawing42.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43.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drawing" Target="../drawings/drawing44.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45.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39"/>
  <sheetViews>
    <sheetView workbookViewId="0">
      <pane xSplit="1" ySplit="20" topLeftCell="B422" activePane="bottomRight" state="frozen"/>
      <selection pane="topRight" activeCell="B1" sqref="B1"/>
      <selection pane="bottomLeft" activeCell="A21" sqref="A21"/>
      <selection pane="bottomRight" activeCell="J437" sqref="J437"/>
    </sheetView>
  </sheetViews>
  <sheetFormatPr baseColWidth="10" defaultColWidth="9" defaultRowHeight="15"/>
  <cols>
    <col min="1" max="1" width="11.6640625" style="1" bestFit="1" customWidth="1"/>
    <col min="2" max="2" width="13" style="1" customWidth="1"/>
    <col min="3" max="4" width="13.5" style="1" bestFit="1" customWidth="1"/>
    <col min="5" max="5" width="10.1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COUNT(表2_3671626293034[每日盈亏])</f>
        <v>419</v>
      </c>
      <c r="C2" s="27"/>
      <c r="D2" s="3" t="s">
        <v>1</v>
      </c>
      <c r="E2" s="28"/>
      <c r="F2" s="35" t="s">
        <v>2</v>
      </c>
      <c r="G2" s="400" t="s">
        <v>3</v>
      </c>
    </row>
    <row r="3" spans="1:7">
      <c r="A3" s="25" t="s">
        <v>4</v>
      </c>
      <c r="B3" s="26">
        <f>COUNTIF(表2_3671626293034[每日盈亏],"&gt;0")</f>
        <v>241</v>
      </c>
      <c r="C3" s="29"/>
      <c r="D3" s="30" t="s">
        <v>5</v>
      </c>
      <c r="E3" s="31">
        <f>245^0.5*(B10-0.025/365)/E10</f>
        <v>4.5469848795501555</v>
      </c>
      <c r="F3" s="35"/>
      <c r="G3" s="400"/>
    </row>
    <row r="4" spans="1:7">
      <c r="A4" s="25" t="s">
        <v>6</v>
      </c>
      <c r="B4" s="26">
        <f>COUNTIF(表2_3671626293034[每日盈亏],"&lt;0")</f>
        <v>110</v>
      </c>
      <c r="C4" s="29"/>
      <c r="D4" s="32" t="s">
        <v>7</v>
      </c>
      <c r="E4" s="31">
        <f ca="1">-B9/E8</f>
        <v>11.877709748485378</v>
      </c>
      <c r="F4" s="35"/>
      <c r="G4" s="2">
        <f>LOOKUP(999^10,表2_3671626293034[累计净值])</f>
        <v>1.3979999999999999</v>
      </c>
    </row>
    <row r="5" spans="1:7">
      <c r="A5" s="25" t="s">
        <v>8</v>
      </c>
      <c r="B5" s="26">
        <f>B2-B3-B4</f>
        <v>68</v>
      </c>
      <c r="C5" s="29"/>
      <c r="D5" s="33" t="s">
        <v>9</v>
      </c>
      <c r="E5" s="4">
        <f>245^0.5*(B10-0.025/365)/E9</f>
        <v>6.7198425504871357</v>
      </c>
      <c r="F5" s="35"/>
    </row>
    <row r="6" spans="1:7" ht="16" thickBot="1">
      <c r="A6" s="34"/>
      <c r="B6" s="35"/>
      <c r="C6" s="35"/>
      <c r="D6" s="35"/>
      <c r="E6" s="36"/>
      <c r="F6" s="35"/>
    </row>
    <row r="7" spans="1:7" ht="16" thickBot="1">
      <c r="A7" s="5" t="s">
        <v>10</v>
      </c>
      <c r="B7" s="35"/>
      <c r="C7" s="35"/>
      <c r="D7" s="3" t="s">
        <v>11</v>
      </c>
      <c r="E7" s="37"/>
      <c r="F7" s="35"/>
    </row>
    <row r="8" spans="1:7">
      <c r="A8" s="105" t="s">
        <v>12</v>
      </c>
      <c r="B8" s="106">
        <f>LOOKUP(999^10,表2_3671626293034[累计净值])/$B$21-1</f>
        <v>0.39799999999999991</v>
      </c>
      <c r="C8" s="40"/>
      <c r="D8" s="30" t="s">
        <v>13</v>
      </c>
      <c r="E8" s="41">
        <f ca="1">MIN(表2_3671626293034[最大回撤])</f>
        <v>-1.9593067068575776E-2</v>
      </c>
      <c r="F8" s="35"/>
    </row>
    <row r="9" spans="1:7">
      <c r="A9" s="25" t="s">
        <v>14</v>
      </c>
      <c r="B9" s="32">
        <f>B8*245/B2</f>
        <v>0.23272076372315031</v>
      </c>
      <c r="C9" s="40"/>
      <c r="D9" s="33" t="s">
        <v>15</v>
      </c>
      <c r="E9" s="6">
        <f>STDEV(表2_3671626293034[下跌幅度])</f>
        <v>2.0530089392776464E-3</v>
      </c>
      <c r="F9" s="35"/>
    </row>
    <row r="10" spans="1:7">
      <c r="A10" s="42" t="s">
        <v>16</v>
      </c>
      <c r="B10" s="43">
        <f>AVERAGE(表2_3671626293034[每日盈亏])</f>
        <v>9.4988066825775637E-4</v>
      </c>
      <c r="C10" s="44"/>
      <c r="D10" s="33" t="s">
        <v>17</v>
      </c>
      <c r="E10" s="6">
        <f>STDEV(表2_3671626293034[每日盈亏])</f>
        <v>3.0340758089464443E-3</v>
      </c>
      <c r="F10" s="35"/>
    </row>
    <row r="11" spans="1:7">
      <c r="A11" s="7" t="s">
        <v>18</v>
      </c>
      <c r="B11" s="32">
        <f>B3/B2</f>
        <v>0.57517899761336511</v>
      </c>
      <c r="C11" s="40"/>
      <c r="D11" s="32" t="s">
        <v>19</v>
      </c>
      <c r="E11" s="41">
        <f>245^0.5*E10</f>
        <v>4.7490798303843403E-2</v>
      </c>
      <c r="F11" s="35"/>
    </row>
    <row r="12" spans="1:7" ht="16" thickBot="1">
      <c r="A12" s="45" t="s">
        <v>20</v>
      </c>
      <c r="B12" s="46">
        <f>-(SUMIF(表2_3671626293034[每日盈亏],"&gt;=0")/B3)/(SUMIF(表2_3671626293034[每日盈亏],"&lt;0")/B4)</f>
        <v>1.1098838771306572</v>
      </c>
      <c r="C12" s="47"/>
      <c r="D12" s="48"/>
      <c r="E12" s="49"/>
      <c r="F12" s="35"/>
    </row>
    <row r="13" spans="1:7">
      <c r="A13" s="35"/>
      <c r="B13" s="35"/>
      <c r="C13" s="35"/>
      <c r="D13" s="35"/>
      <c r="E13" s="35"/>
      <c r="F13" s="35"/>
    </row>
    <row r="14" spans="1:7" ht="32">
      <c r="A14" s="202" t="s">
        <v>21</v>
      </c>
      <c r="B14" s="202" t="s">
        <v>14</v>
      </c>
      <c r="C14" s="203" t="s">
        <v>19</v>
      </c>
      <c r="D14" s="203" t="s">
        <v>13</v>
      </c>
      <c r="E14" s="203" t="s">
        <v>5</v>
      </c>
      <c r="F14" s="203" t="s">
        <v>7</v>
      </c>
    </row>
    <row r="15" spans="1:7">
      <c r="A15" s="279">
        <f>B2</f>
        <v>419</v>
      </c>
      <c r="B15" s="53">
        <f>B9</f>
        <v>0.23272076372315031</v>
      </c>
      <c r="C15" s="53">
        <f>E11</f>
        <v>4.7490798303843403E-2</v>
      </c>
      <c r="D15" s="53">
        <f ca="1">E8</f>
        <v>-1.9593067068575776E-2</v>
      </c>
      <c r="E15" s="54">
        <f>E3</f>
        <v>4.5469848795501555</v>
      </c>
      <c r="F15" s="54">
        <f ca="1">E4</f>
        <v>11.877709748485378</v>
      </c>
    </row>
    <row r="19" spans="1:7">
      <c r="A19" s="8"/>
      <c r="B19" s="1" t="s">
        <v>22</v>
      </c>
    </row>
    <row r="20" spans="1:7" ht="16">
      <c r="A20" s="22" t="s">
        <v>23</v>
      </c>
      <c r="B20" s="22" t="s">
        <v>24</v>
      </c>
      <c r="C20" s="22" t="s">
        <v>25</v>
      </c>
      <c r="D20" s="22" t="s">
        <v>26</v>
      </c>
      <c r="E20" s="22" t="s">
        <v>27</v>
      </c>
      <c r="F20" s="22" t="s">
        <v>28</v>
      </c>
      <c r="G20" s="22" t="s">
        <v>29</v>
      </c>
    </row>
    <row r="21" spans="1:7">
      <c r="A21" s="9">
        <v>43698</v>
      </c>
      <c r="B21" s="10">
        <v>1</v>
      </c>
      <c r="C21" s="11">
        <f t="shared" ref="C21:C28" si="0">IFERROR(B21-B20,0)</f>
        <v>0</v>
      </c>
      <c r="D21" s="12" t="str">
        <f t="shared" ref="D21:D27" si="1">IF(C21&lt;0,C21,"/")</f>
        <v>/</v>
      </c>
      <c r="E21" s="12">
        <f ca="1">IF(表2_3671626293034[[#This Row],[累计净值]]/MAX(INDIRECT("B21:B" &amp; ROW()))-1&lt;E20,表2_3671626293034[[#This Row],[累计净值]]/MAX(INDIRECT("B21:B" &amp; ROW()))-1,E20)</f>
        <v>0</v>
      </c>
      <c r="F21" s="13">
        <f>表2_3671626293034[[#This Row],[累计净值]]</f>
        <v>1</v>
      </c>
      <c r="G21" s="14" t="s">
        <v>30</v>
      </c>
    </row>
    <row r="22" spans="1:7">
      <c r="A22" s="15">
        <v>43699</v>
      </c>
      <c r="B22" s="16">
        <v>1</v>
      </c>
      <c r="C22" s="17">
        <f t="shared" si="0"/>
        <v>0</v>
      </c>
      <c r="D22" s="18" t="str">
        <f t="shared" si="1"/>
        <v>/</v>
      </c>
      <c r="E22" s="18">
        <f ca="1">IF(表2_3671626293034[[#This Row],[累计净值]]/MAX(INDIRECT("B21:B" &amp; ROW()))-1&lt;E21,表2_3671626293034[[#This Row],[累计净值]]/MAX(INDIRECT("B21:B" &amp; ROW()))-1,E21)</f>
        <v>0</v>
      </c>
      <c r="F22" s="19">
        <f>表2_3671626293034[[#This Row],[累计净值]]</f>
        <v>1</v>
      </c>
      <c r="G22" s="20">
        <f>表2_3671626293034[[#This Row],[累计净值]]/$B$21-1</f>
        <v>0</v>
      </c>
    </row>
    <row r="23" spans="1:7">
      <c r="A23" s="15">
        <v>43700</v>
      </c>
      <c r="B23" s="16">
        <v>1</v>
      </c>
      <c r="C23" s="17">
        <f t="shared" si="0"/>
        <v>0</v>
      </c>
      <c r="D23" s="18" t="str">
        <f t="shared" si="1"/>
        <v>/</v>
      </c>
      <c r="E23" s="18">
        <f ca="1">IF(表2_3671626293034[[#This Row],[累计净值]]/MAX(INDIRECT("B21:B" &amp; ROW()))-1&lt;E22,表2_3671626293034[[#This Row],[累计净值]]/MAX(INDIRECT("B21:B" &amp; ROW()))-1,E22)</f>
        <v>0</v>
      </c>
      <c r="F23" s="19">
        <f>表2_3671626293034[[#This Row],[累计净值]]</f>
        <v>1</v>
      </c>
      <c r="G23" s="20">
        <f>表2_3671626293034[[#This Row],[累计净值]]/$B$21-1</f>
        <v>0</v>
      </c>
    </row>
    <row r="24" spans="1:7">
      <c r="A24" s="15">
        <v>43703</v>
      </c>
      <c r="B24" s="16">
        <v>1</v>
      </c>
      <c r="C24" s="17">
        <f t="shared" si="0"/>
        <v>0</v>
      </c>
      <c r="D24" s="18" t="str">
        <f t="shared" si="1"/>
        <v>/</v>
      </c>
      <c r="E24" s="18">
        <f ca="1">IF(表2_3671626293034[[#This Row],[累计净值]]/MAX(INDIRECT("B21:B" &amp; ROW()))-1&lt;E23,表2_3671626293034[[#This Row],[累计净值]]/MAX(INDIRECT("B21:B" &amp; ROW()))-1,E23)</f>
        <v>0</v>
      </c>
      <c r="F24" s="19">
        <f>表2_3671626293034[[#This Row],[累计净值]]</f>
        <v>1</v>
      </c>
      <c r="G24" s="20">
        <f>表2_3671626293034[[#This Row],[累计净值]]/$B$21-1</f>
        <v>0</v>
      </c>
    </row>
    <row r="25" spans="1:7">
      <c r="A25" s="15">
        <v>43704</v>
      </c>
      <c r="B25" s="16">
        <v>1.0009999999999999</v>
      </c>
      <c r="C25" s="17">
        <f t="shared" si="0"/>
        <v>9.9999999999988987E-4</v>
      </c>
      <c r="D25" s="18" t="str">
        <f t="shared" si="1"/>
        <v>/</v>
      </c>
      <c r="E25" s="18">
        <f ca="1">IF(表2_3671626293034[[#This Row],[累计净值]]/MAX(INDIRECT("B21:B" &amp; ROW()))-1&lt;E24,表2_3671626293034[[#This Row],[累计净值]]/MAX(INDIRECT("B21:B" &amp; ROW()))-1,E24)</f>
        <v>0</v>
      </c>
      <c r="F25" s="19">
        <f>表2_3671626293034[[#This Row],[累计净值]]</f>
        <v>1.0009999999999999</v>
      </c>
      <c r="G25" s="20">
        <f>表2_3671626293034[[#This Row],[累计净值]]/$B$21-1</f>
        <v>9.9999999999988987E-4</v>
      </c>
    </row>
    <row r="26" spans="1:7">
      <c r="A26" s="15">
        <v>43705</v>
      </c>
      <c r="B26" s="16">
        <v>1.002</v>
      </c>
      <c r="C26" s="17">
        <f t="shared" si="0"/>
        <v>1.0000000000001119E-3</v>
      </c>
      <c r="D26" s="18" t="str">
        <f t="shared" si="1"/>
        <v>/</v>
      </c>
      <c r="E26" s="18">
        <f ca="1">IF(表2_3671626293034[[#This Row],[累计净值]]/MAX(INDIRECT("B21:B" &amp; ROW()))-1&lt;E25,表2_3671626293034[[#This Row],[累计净值]]/MAX(INDIRECT("B21:B" &amp; ROW()))-1,E25)</f>
        <v>0</v>
      </c>
      <c r="F26" s="19">
        <f>表2_3671626293034[[#This Row],[累计净值]]</f>
        <v>1.002</v>
      </c>
      <c r="G26" s="20">
        <f>表2_3671626293034[[#This Row],[累计净值]]/$B$21-1</f>
        <v>2.0000000000000018E-3</v>
      </c>
    </row>
    <row r="27" spans="1:7">
      <c r="A27" s="15">
        <v>43706</v>
      </c>
      <c r="B27" s="19">
        <v>1.0029999999999999</v>
      </c>
      <c r="C27" s="17">
        <f t="shared" si="0"/>
        <v>9.9999999999988987E-4</v>
      </c>
      <c r="D27" s="18" t="str">
        <f t="shared" si="1"/>
        <v>/</v>
      </c>
      <c r="E27" s="18">
        <f ca="1">IF(表2_3671626293034[[#This Row],[累计净值]]/MAX(INDIRECT("B21:B" &amp; ROW()))-1&lt;E26,表2_3671626293034[[#This Row],[累计净值]]/MAX(INDIRECT("B21:B" &amp; ROW()))-1,E26)</f>
        <v>0</v>
      </c>
      <c r="F27" s="21">
        <f>表2_3671626293034[[#This Row],[累计净值]]</f>
        <v>1.0029999999999999</v>
      </c>
      <c r="G27" s="20">
        <f>表2_3671626293034[[#This Row],[累计净值]]/$B$21-1</f>
        <v>2.9999999999998916E-3</v>
      </c>
    </row>
    <row r="28" spans="1:7">
      <c r="A28" s="15">
        <v>43707</v>
      </c>
      <c r="B28" s="16">
        <v>1.002</v>
      </c>
      <c r="C28" s="17">
        <f t="shared" si="0"/>
        <v>-9.9999999999988987E-4</v>
      </c>
      <c r="D28" s="18">
        <f t="shared" ref="D28:D33" si="2">IF(C28&lt;0,C28,"/")</f>
        <v>-9.9999999999988987E-4</v>
      </c>
      <c r="E28" s="18">
        <f ca="1">IF(表2_3671626293034[[#This Row],[累计净值]]/MAX(INDIRECT("B21:B" &amp; ROW()))-1&lt;E27,表2_3671626293034[[#This Row],[累计净值]]/MAX(INDIRECT("B21:B" &amp; ROW()))-1,E27)</f>
        <v>-9.9700897308063752E-4</v>
      </c>
      <c r="F28" s="21">
        <f>表2_3671626293034[[#This Row],[累计净值]]</f>
        <v>1.002</v>
      </c>
      <c r="G28" s="20">
        <f>表2_3671626293034[[#This Row],[累计净值]]/$B$21-1</f>
        <v>2.0000000000000018E-3</v>
      </c>
    </row>
    <row r="29" spans="1:7">
      <c r="A29" s="15">
        <v>43710</v>
      </c>
      <c r="B29" s="63">
        <v>1.0009999999999999</v>
      </c>
      <c r="C29" s="64">
        <f t="shared" ref="C29:C34" si="3">IFERROR(B29-B28,0)</f>
        <v>-1.0000000000001119E-3</v>
      </c>
      <c r="D29" s="65">
        <f t="shared" si="2"/>
        <v>-1.0000000000001119E-3</v>
      </c>
      <c r="E29" s="65">
        <f ca="1">IF(表2_3671626293034[[#This Row],[累计净值]]/MAX(INDIRECT("B21:B" &amp; ROW()))-1&lt;E28,表2_3671626293034[[#This Row],[累计净值]]/MAX(INDIRECT("B21:B" &amp; ROW()))-1,E28)</f>
        <v>-1.9940179461614971E-3</v>
      </c>
      <c r="F29" s="66">
        <f>表2_3671626293034[[#This Row],[累计净值]]</f>
        <v>1.0009999999999999</v>
      </c>
      <c r="G29" s="20">
        <f>表2_3671626293034[[#This Row],[累计净值]]/$B$21-1</f>
        <v>9.9999999999988987E-4</v>
      </c>
    </row>
    <row r="30" spans="1:7">
      <c r="A30" s="15">
        <v>43711</v>
      </c>
      <c r="B30" s="16">
        <v>1.0069999999999999</v>
      </c>
      <c r="C30" s="73">
        <f t="shared" si="3"/>
        <v>6.0000000000000053E-3</v>
      </c>
      <c r="D30" s="18" t="str">
        <f t="shared" si="2"/>
        <v>/</v>
      </c>
      <c r="E30" s="18">
        <f ca="1">IF(表2_3671626293034[[#This Row],[累计净值]]/MAX(INDIRECT("B21:B" &amp; ROW()))-1&lt;E29,表2_3671626293034[[#This Row],[累计净值]]/MAX(INDIRECT("B21:B" &amp; ROW()))-1,E29)</f>
        <v>-1.9940179461614971E-3</v>
      </c>
      <c r="F30" s="62">
        <f>表2_3671626293034[[#This Row],[累计净值]]</f>
        <v>1.0069999999999999</v>
      </c>
      <c r="G30" s="20">
        <f>表2_3671626293034[[#This Row],[累计净值]]/$B$21-1</f>
        <v>6.9999999999998952E-3</v>
      </c>
    </row>
    <row r="31" spans="1:7">
      <c r="A31" s="15">
        <v>43712</v>
      </c>
      <c r="B31" s="16">
        <v>1.008</v>
      </c>
      <c r="C31" s="73">
        <f t="shared" si="3"/>
        <v>1.0000000000001119E-3</v>
      </c>
      <c r="D31" s="18" t="str">
        <f t="shared" si="2"/>
        <v>/</v>
      </c>
      <c r="E31" s="18">
        <f ca="1">IF(表2_3671626293034[[#This Row],[累计净值]]/MAX(INDIRECT("B21:B" &amp; ROW()))-1&lt;E30,表2_3671626293034[[#This Row],[累计净值]]/MAX(INDIRECT("B21:B" &amp; ROW()))-1,E30)</f>
        <v>-1.9940179461614971E-3</v>
      </c>
      <c r="F31" s="62">
        <f>表2_3671626293034[[#This Row],[累计净值]]</f>
        <v>1.008</v>
      </c>
      <c r="G31" s="20">
        <f>表2_3671626293034[[#This Row],[累计净值]]/$B$21-1</f>
        <v>8.0000000000000071E-3</v>
      </c>
    </row>
    <row r="32" spans="1:7">
      <c r="A32" s="15">
        <v>43713</v>
      </c>
      <c r="B32" s="16">
        <v>1.0049999999999999</v>
      </c>
      <c r="C32" s="73">
        <f t="shared" si="3"/>
        <v>-3.0000000000001137E-3</v>
      </c>
      <c r="D32" s="18">
        <f t="shared" si="2"/>
        <v>-3.0000000000001137E-3</v>
      </c>
      <c r="E32" s="18">
        <f ca="1">IF(表2_3671626293034[[#This Row],[累计净值]]/MAX(INDIRECT("B21:B" &amp; ROW()))-1&lt;E31,表2_3671626293034[[#This Row],[累计净值]]/MAX(INDIRECT("B21:B" &amp; ROW()))-1,E31)</f>
        <v>-2.9761904761905766E-3</v>
      </c>
      <c r="F32" s="62">
        <f>表2_3671626293034[[#This Row],[累计净值]]</f>
        <v>1.0049999999999999</v>
      </c>
      <c r="G32" s="20">
        <f>表2_3671626293034[[#This Row],[累计净值]]/$B$21-1</f>
        <v>4.9999999999998934E-3</v>
      </c>
    </row>
    <row r="33" spans="1:7">
      <c r="A33" s="15">
        <v>43714</v>
      </c>
      <c r="B33" s="16">
        <v>1.006</v>
      </c>
      <c r="C33" s="73">
        <f t="shared" si="3"/>
        <v>1.0000000000001119E-3</v>
      </c>
      <c r="D33" s="18" t="str">
        <f t="shared" si="2"/>
        <v>/</v>
      </c>
      <c r="E33" s="18">
        <f ca="1">IF(表2_3671626293034[[#This Row],[累计净值]]/MAX(INDIRECT("B21:B" &amp; ROW()))-1&lt;E32,表2_3671626293034[[#This Row],[累计净值]]/MAX(INDIRECT("B21:B" &amp; ROW()))-1,E32)</f>
        <v>-2.9761904761905766E-3</v>
      </c>
      <c r="F33" s="62">
        <f>表2_3671626293034[[#This Row],[累计净值]]</f>
        <v>1.006</v>
      </c>
      <c r="G33" s="20">
        <f>表2_3671626293034[[#This Row],[累计净值]]/$B$21-1</f>
        <v>6.0000000000000053E-3</v>
      </c>
    </row>
    <row r="34" spans="1:7">
      <c r="A34" s="15">
        <v>43717</v>
      </c>
      <c r="B34" s="16">
        <v>1.006</v>
      </c>
      <c r="C34" s="73">
        <f t="shared" si="3"/>
        <v>0</v>
      </c>
      <c r="D34" s="18" t="str">
        <f t="shared" ref="D34:D39" si="4">IF(C34&lt;0,C34,"/")</f>
        <v>/</v>
      </c>
      <c r="E34" s="18">
        <f ca="1">IF(表2_3671626293034[[#This Row],[累计净值]]/MAX(INDIRECT("B21:B" &amp; ROW()))-1&lt;E33,表2_3671626293034[[#This Row],[累计净值]]/MAX(INDIRECT("B21:B" &amp; ROW()))-1,E33)</f>
        <v>-2.9761904761905766E-3</v>
      </c>
      <c r="F34" s="62">
        <f>表2_3671626293034[[#This Row],[累计净值]]</f>
        <v>1.006</v>
      </c>
      <c r="G34" s="20">
        <f>表2_3671626293034[[#This Row],[累计净值]]/$B$21-1</f>
        <v>6.0000000000000053E-3</v>
      </c>
    </row>
    <row r="35" spans="1:7">
      <c r="A35" s="15">
        <v>43718</v>
      </c>
      <c r="B35" s="16">
        <v>1.0069999999999999</v>
      </c>
      <c r="C35" s="73">
        <f t="shared" ref="C35:C42" si="5">IFERROR(B35-B34,0)</f>
        <v>9.9999999999988987E-4</v>
      </c>
      <c r="D35" s="18" t="str">
        <f t="shared" si="4"/>
        <v>/</v>
      </c>
      <c r="E35" s="18">
        <f ca="1">IF(表2_3671626293034[[#This Row],[累计净值]]/MAX(INDIRECT("B21:B" &amp; ROW()))-1&lt;E34,表2_3671626293034[[#This Row],[累计净值]]/MAX(INDIRECT("B21:B" &amp; ROW()))-1,E34)</f>
        <v>-2.9761904761905766E-3</v>
      </c>
      <c r="F35" s="62">
        <f>表2_3671626293034[[#This Row],[累计净值]]</f>
        <v>1.0069999999999999</v>
      </c>
      <c r="G35" s="20">
        <f>表2_3671626293034[[#This Row],[累计净值]]/$B$21-1</f>
        <v>6.9999999999998952E-3</v>
      </c>
    </row>
    <row r="36" spans="1:7">
      <c r="A36" s="15">
        <v>43719</v>
      </c>
      <c r="B36" s="16">
        <v>1.006</v>
      </c>
      <c r="C36" s="73">
        <f t="shared" si="5"/>
        <v>-9.9999999999988987E-4</v>
      </c>
      <c r="D36" s="18">
        <f t="shared" si="4"/>
        <v>-9.9999999999988987E-4</v>
      </c>
      <c r="E36" s="18">
        <f ca="1">IF(表2_3671626293034[[#This Row],[累计净值]]/MAX(INDIRECT("B21:B" &amp; ROW()))-1&lt;E35,表2_3671626293034[[#This Row],[累计净值]]/MAX(INDIRECT("B21:B" &amp; ROW()))-1,E35)</f>
        <v>-2.9761904761905766E-3</v>
      </c>
      <c r="F36" s="62">
        <f>表2_3671626293034[[#This Row],[累计净值]]</f>
        <v>1.006</v>
      </c>
      <c r="G36" s="20">
        <f>表2_3671626293034[[#This Row],[累计净值]]/$B$21-1</f>
        <v>6.0000000000000053E-3</v>
      </c>
    </row>
    <row r="37" spans="1:7">
      <c r="A37" s="15">
        <v>43720</v>
      </c>
      <c r="B37" s="16">
        <v>1.0069999999999999</v>
      </c>
      <c r="C37" s="73">
        <f t="shared" si="5"/>
        <v>9.9999999999988987E-4</v>
      </c>
      <c r="D37" s="18" t="str">
        <f t="shared" si="4"/>
        <v>/</v>
      </c>
      <c r="E37" s="18">
        <f ca="1">IF(表2_3671626293034[[#This Row],[累计净值]]/MAX(INDIRECT("B21:B" &amp; ROW()))-1&lt;E36,表2_3671626293034[[#This Row],[累计净值]]/MAX(INDIRECT("B21:B" &amp; ROW()))-1,E36)</f>
        <v>-2.9761904761905766E-3</v>
      </c>
      <c r="F37" s="62">
        <f>表2_3671626293034[[#This Row],[累计净值]]</f>
        <v>1.0069999999999999</v>
      </c>
      <c r="G37" s="20">
        <f>表2_3671626293034[[#This Row],[累计净值]]/$B$21-1</f>
        <v>6.9999999999998952E-3</v>
      </c>
    </row>
    <row r="38" spans="1:7">
      <c r="A38" s="15">
        <v>43724</v>
      </c>
      <c r="B38" s="16">
        <v>1.008</v>
      </c>
      <c r="C38" s="73">
        <f t="shared" si="5"/>
        <v>1.0000000000001119E-3</v>
      </c>
      <c r="D38" s="18" t="str">
        <f t="shared" si="4"/>
        <v>/</v>
      </c>
      <c r="E38" s="18">
        <f ca="1">IF(表2_3671626293034[[#This Row],[累计净值]]/MAX(INDIRECT("B21:B" &amp; ROW()))-1&lt;E37,表2_3671626293034[[#This Row],[累计净值]]/MAX(INDIRECT("B21:B" &amp; ROW()))-1,E37)</f>
        <v>-2.9761904761905766E-3</v>
      </c>
      <c r="F38" s="62">
        <f>表2_3671626293034[[#This Row],[累计净值]]</f>
        <v>1.008</v>
      </c>
      <c r="G38" s="20">
        <f>表2_3671626293034[[#This Row],[累计净值]]/$B$21-1</f>
        <v>8.0000000000000071E-3</v>
      </c>
    </row>
    <row r="39" spans="1:7">
      <c r="A39" s="15">
        <v>43725</v>
      </c>
      <c r="B39" s="16">
        <v>1.0069999999999999</v>
      </c>
      <c r="C39" s="73">
        <f t="shared" si="5"/>
        <v>-1.0000000000001119E-3</v>
      </c>
      <c r="D39" s="18">
        <f t="shared" si="4"/>
        <v>-1.0000000000001119E-3</v>
      </c>
      <c r="E39" s="18">
        <f ca="1">IF(表2_3671626293034[[#This Row],[累计净值]]/MAX(INDIRECT("B21:B" &amp; ROW()))-1&lt;E38,表2_3671626293034[[#This Row],[累计净值]]/MAX(INDIRECT("B21:B" &amp; ROW()))-1,E38)</f>
        <v>-2.9761904761905766E-3</v>
      </c>
      <c r="F39" s="62">
        <f>表2_3671626293034[[#This Row],[累计净值]]</f>
        <v>1.0069999999999999</v>
      </c>
      <c r="G39" s="20">
        <f>表2_3671626293034[[#This Row],[累计净值]]/$B$21-1</f>
        <v>6.9999999999998952E-3</v>
      </c>
    </row>
    <row r="40" spans="1:7">
      <c r="A40" s="15">
        <v>43726</v>
      </c>
      <c r="B40" s="16">
        <v>1.0089999999999999</v>
      </c>
      <c r="C40" s="73">
        <f t="shared" si="5"/>
        <v>2.0000000000000018E-3</v>
      </c>
      <c r="D40" s="18" t="str">
        <f>IF(C40&lt;0,C40,"/")</f>
        <v>/</v>
      </c>
      <c r="E40" s="18">
        <f ca="1">IF(表2_3671626293034[[#This Row],[累计净值]]/MAX(INDIRECT("B21:B" &amp; ROW()))-1&lt;E39,表2_3671626293034[[#This Row],[累计净值]]/MAX(INDIRECT("B21:B" &amp; ROW()))-1,E39)</f>
        <v>-2.9761904761905766E-3</v>
      </c>
      <c r="F40" s="62">
        <f>表2_3671626293034[[#This Row],[累计净值]]</f>
        <v>1.0089999999999999</v>
      </c>
      <c r="G40" s="20">
        <f>表2_3671626293034[[#This Row],[累计净值]]/$B$21-1</f>
        <v>8.999999999999897E-3</v>
      </c>
    </row>
    <row r="41" spans="1:7">
      <c r="A41" s="15">
        <v>43727</v>
      </c>
      <c r="B41" s="16">
        <v>1.008</v>
      </c>
      <c r="C41" s="73">
        <f t="shared" si="5"/>
        <v>-9.9999999999988987E-4</v>
      </c>
      <c r="D41" s="18">
        <f>IF(C41&lt;0,C41,"/")</f>
        <v>-9.9999999999988987E-4</v>
      </c>
      <c r="E41" s="18">
        <f ca="1">IF(表2_3671626293034[[#This Row],[累计净值]]/MAX(INDIRECT("B21:B" &amp; ROW()))-1&lt;E40,表2_3671626293034[[#This Row],[累计净值]]/MAX(INDIRECT("B21:B" &amp; ROW()))-1,E40)</f>
        <v>-2.9761904761905766E-3</v>
      </c>
      <c r="F41" s="62">
        <f>表2_3671626293034[[#This Row],[累计净值]]</f>
        <v>1.008</v>
      </c>
      <c r="G41" s="20">
        <f>表2_3671626293034[[#This Row],[累计净值]]/$B$21-1</f>
        <v>8.0000000000000071E-3</v>
      </c>
    </row>
    <row r="42" spans="1:7">
      <c r="A42" s="15">
        <v>43728</v>
      </c>
      <c r="B42" s="16">
        <v>1.008</v>
      </c>
      <c r="C42" s="73">
        <f t="shared" si="5"/>
        <v>0</v>
      </c>
      <c r="D42" s="18" t="str">
        <f>IF(C42&lt;0,C42,"/")</f>
        <v>/</v>
      </c>
      <c r="E42" s="18">
        <f ca="1">IF(表2_3671626293034[[#This Row],[累计净值]]/MAX(INDIRECT("B21:B" &amp; ROW()))-1&lt;E41,表2_3671626293034[[#This Row],[累计净值]]/MAX(INDIRECT("B21:B" &amp; ROW()))-1,E41)</f>
        <v>-2.9761904761905766E-3</v>
      </c>
      <c r="F42" s="62">
        <f>表2_3671626293034[[#This Row],[累计净值]]</f>
        <v>1.008</v>
      </c>
      <c r="G42" s="20">
        <f>表2_3671626293034[[#This Row],[累计净值]]/$B$21-1</f>
        <v>8.0000000000000071E-3</v>
      </c>
    </row>
    <row r="43" spans="1:7">
      <c r="A43" s="15">
        <v>43731</v>
      </c>
      <c r="B43" s="16">
        <v>1.008</v>
      </c>
      <c r="C43" s="73">
        <f t="shared" ref="C43:C48" si="6">IFERROR(B43-B42,0)</f>
        <v>0</v>
      </c>
      <c r="D43" s="18" t="str">
        <f t="shared" ref="D43:D48" si="7">IF(C43&lt;0,C43,"/")</f>
        <v>/</v>
      </c>
      <c r="E43" s="18">
        <f ca="1">IF(表2_3671626293034[[#This Row],[累计净值]]/MAX(INDIRECT("B21:B" &amp; ROW()))-1&lt;E42,表2_3671626293034[[#This Row],[累计净值]]/MAX(INDIRECT("B21:B" &amp; ROW()))-1,E42)</f>
        <v>-2.9761904761905766E-3</v>
      </c>
      <c r="F43" s="62">
        <f>表2_3671626293034[[#This Row],[累计净值]]</f>
        <v>1.008</v>
      </c>
      <c r="G43" s="20">
        <f>表2_3671626293034[[#This Row],[累计净值]]/$B$21-1</f>
        <v>8.0000000000000071E-3</v>
      </c>
    </row>
    <row r="44" spans="1:7">
      <c r="A44" s="15">
        <v>43732</v>
      </c>
      <c r="B44" s="16">
        <v>1.01</v>
      </c>
      <c r="C44" s="73">
        <f t="shared" si="6"/>
        <v>2.0000000000000018E-3</v>
      </c>
      <c r="D44" s="18" t="str">
        <f t="shared" si="7"/>
        <v>/</v>
      </c>
      <c r="E44" s="18">
        <f ca="1">IF(表2_3671626293034[[#This Row],[累计净值]]/MAX(INDIRECT("B21:B" &amp; ROW()))-1&lt;E43,表2_3671626293034[[#This Row],[累计净值]]/MAX(INDIRECT("B21:B" &amp; ROW()))-1,E43)</f>
        <v>-2.9761904761905766E-3</v>
      </c>
      <c r="F44" s="62">
        <f>表2_3671626293034[[#This Row],[累计净值]]</f>
        <v>1.01</v>
      </c>
      <c r="G44" s="20">
        <f>表2_3671626293034[[#This Row],[累计净值]]/$B$21-1</f>
        <v>1.0000000000000009E-2</v>
      </c>
    </row>
    <row r="45" spans="1:7">
      <c r="A45" s="15">
        <v>43733</v>
      </c>
      <c r="B45" s="16">
        <v>1.0129999999999999</v>
      </c>
      <c r="C45" s="73">
        <f t="shared" si="6"/>
        <v>2.9999999999998916E-3</v>
      </c>
      <c r="D45" s="18" t="str">
        <f t="shared" si="7"/>
        <v>/</v>
      </c>
      <c r="E45" s="18">
        <f ca="1">IF(表2_3671626293034[[#This Row],[累计净值]]/MAX(INDIRECT("B21:B" &amp; ROW()))-1&lt;E44,表2_3671626293034[[#This Row],[累计净值]]/MAX(INDIRECT("B21:B" &amp; ROW()))-1,E44)</f>
        <v>-2.9761904761905766E-3</v>
      </c>
      <c r="F45" s="62">
        <f>表2_3671626293034[[#This Row],[累计净值]]</f>
        <v>1.0129999999999999</v>
      </c>
      <c r="G45" s="20">
        <f>表2_3671626293034[[#This Row],[累计净值]]/$B$21-1</f>
        <v>1.2999999999999901E-2</v>
      </c>
    </row>
    <row r="46" spans="1:7">
      <c r="A46" s="15">
        <v>43734</v>
      </c>
      <c r="B46" s="16">
        <v>1.01</v>
      </c>
      <c r="C46" s="73">
        <f t="shared" si="6"/>
        <v>-2.9999999999998916E-3</v>
      </c>
      <c r="D46" s="18">
        <f t="shared" si="7"/>
        <v>-2.9999999999998916E-3</v>
      </c>
      <c r="E46" s="18">
        <f ca="1">IF(表2_3671626293034[[#This Row],[累计净值]]/MAX(INDIRECT("B21:B" &amp; ROW()))-1&lt;E45,表2_3671626293034[[#This Row],[累计净值]]/MAX(INDIRECT("B21:B" &amp; ROW()))-1,E45)</f>
        <v>-2.9761904761905766E-3</v>
      </c>
      <c r="F46" s="62">
        <f>表2_3671626293034[[#This Row],[累计净值]]</f>
        <v>1.01</v>
      </c>
      <c r="G46" s="20">
        <f>表2_3671626293034[[#This Row],[累计净值]]/$B$21-1</f>
        <v>1.0000000000000009E-2</v>
      </c>
    </row>
    <row r="47" spans="1:7">
      <c r="A47" s="15">
        <v>43735</v>
      </c>
      <c r="B47" s="16">
        <v>1.0109999999999999</v>
      </c>
      <c r="C47" s="73">
        <f t="shared" si="6"/>
        <v>9.9999999999988987E-4</v>
      </c>
      <c r="D47" s="18" t="str">
        <f t="shared" si="7"/>
        <v>/</v>
      </c>
      <c r="E47" s="18">
        <f ca="1">IF(表2_3671626293034[[#This Row],[累计净值]]/MAX(INDIRECT("B21:B" &amp; ROW()))-1&lt;E46,表2_3671626293034[[#This Row],[累计净值]]/MAX(INDIRECT("B21:B" &amp; ROW()))-1,E46)</f>
        <v>-2.9761904761905766E-3</v>
      </c>
      <c r="F47" s="62">
        <f>表2_3671626293034[[#This Row],[累计净值]]</f>
        <v>1.0109999999999999</v>
      </c>
      <c r="G47" s="20">
        <f>表2_3671626293034[[#This Row],[累计净值]]/$B$21-1</f>
        <v>1.0999999999999899E-2</v>
      </c>
    </row>
    <row r="48" spans="1:7">
      <c r="A48" s="15">
        <v>43738</v>
      </c>
      <c r="B48" s="16">
        <v>1.0109999999999999</v>
      </c>
      <c r="C48" s="73">
        <f t="shared" si="6"/>
        <v>0</v>
      </c>
      <c r="D48" s="18" t="str">
        <f t="shared" si="7"/>
        <v>/</v>
      </c>
      <c r="E48" s="18">
        <f ca="1">IF(表2_3671626293034[[#This Row],[累计净值]]/MAX(INDIRECT("B21:B" &amp; ROW()))-1&lt;E47,表2_3671626293034[[#This Row],[累计净值]]/MAX(INDIRECT("B21:B" &amp; ROW()))-1,E47)</f>
        <v>-2.9761904761905766E-3</v>
      </c>
      <c r="F48" s="62">
        <f>表2_3671626293034[[#This Row],[累计净值]]</f>
        <v>1.0109999999999999</v>
      </c>
      <c r="G48" s="20">
        <f>表2_3671626293034[[#This Row],[累计净值]]/$B$21-1</f>
        <v>1.0999999999999899E-2</v>
      </c>
    </row>
    <row r="49" spans="1:7">
      <c r="A49" s="15">
        <v>43746</v>
      </c>
      <c r="B49" s="16">
        <v>1.0129999999999999</v>
      </c>
      <c r="C49" s="73">
        <f t="shared" ref="C49:C54" si="8">IFERROR(B49-B48,0)</f>
        <v>2.0000000000000018E-3</v>
      </c>
      <c r="D49" s="18" t="str">
        <f t="shared" ref="D49:D54" si="9">IF(C49&lt;0,C49,"/")</f>
        <v>/</v>
      </c>
      <c r="E49" s="18">
        <f ca="1">IF(表2_3671626293034[[#This Row],[累计净值]]/MAX(INDIRECT("B21:B" &amp; ROW()))-1&lt;E48,表2_3671626293034[[#This Row],[累计净值]]/MAX(INDIRECT("B21:B" &amp; ROW()))-1,E48)</f>
        <v>-2.9761904761905766E-3</v>
      </c>
      <c r="F49" s="62">
        <f>表2_3671626293034[[#This Row],[累计净值]]</f>
        <v>1.0129999999999999</v>
      </c>
      <c r="G49" s="20">
        <f>表2_3671626293034[[#This Row],[累计净值]]/$B$21-1</f>
        <v>1.2999999999999901E-2</v>
      </c>
    </row>
    <row r="50" spans="1:7">
      <c r="A50" s="15">
        <v>43747</v>
      </c>
      <c r="B50" s="16">
        <v>1.016</v>
      </c>
      <c r="C50" s="73">
        <f t="shared" si="8"/>
        <v>3.0000000000001137E-3</v>
      </c>
      <c r="D50" s="18" t="str">
        <f t="shared" si="9"/>
        <v>/</v>
      </c>
      <c r="E50" s="18">
        <f ca="1">IF(表2_3671626293034[[#This Row],[累计净值]]/MAX(INDIRECT("B21:B" &amp; ROW()))-1&lt;E49,表2_3671626293034[[#This Row],[累计净值]]/MAX(INDIRECT("B21:B" &amp; ROW()))-1,E49)</f>
        <v>-2.9761904761905766E-3</v>
      </c>
      <c r="F50" s="62">
        <f>表2_3671626293034[[#This Row],[累计净值]]</f>
        <v>1.016</v>
      </c>
      <c r="G50" s="20">
        <f>表2_3671626293034[[#This Row],[累计净值]]/$B$21-1</f>
        <v>1.6000000000000014E-2</v>
      </c>
    </row>
    <row r="51" spans="1:7">
      <c r="A51" s="15">
        <v>43748</v>
      </c>
      <c r="B51" s="16">
        <v>1.016</v>
      </c>
      <c r="C51" s="73">
        <f t="shared" si="8"/>
        <v>0</v>
      </c>
      <c r="D51" s="18" t="str">
        <f t="shared" si="9"/>
        <v>/</v>
      </c>
      <c r="E51" s="18">
        <f ca="1">IF(表2_3671626293034[[#This Row],[累计净值]]/MAX(INDIRECT("B21:B" &amp; ROW()))-1&lt;E50,表2_3671626293034[[#This Row],[累计净值]]/MAX(INDIRECT("B21:B" &amp; ROW()))-1,E50)</f>
        <v>-2.9761904761905766E-3</v>
      </c>
      <c r="F51" s="62">
        <f>表2_3671626293034[[#This Row],[累计净值]]</f>
        <v>1.016</v>
      </c>
      <c r="G51" s="20">
        <f>表2_3671626293034[[#This Row],[累计净值]]/$B$21-1</f>
        <v>1.6000000000000014E-2</v>
      </c>
    </row>
    <row r="52" spans="1:7">
      <c r="A52" s="15">
        <v>43749</v>
      </c>
      <c r="B52" s="16">
        <v>1.014</v>
      </c>
      <c r="C52" s="73">
        <f t="shared" si="8"/>
        <v>-2.0000000000000018E-3</v>
      </c>
      <c r="D52" s="18">
        <f t="shared" si="9"/>
        <v>-2.0000000000000018E-3</v>
      </c>
      <c r="E52" s="18">
        <f ca="1">IF(表2_3671626293034[[#This Row],[累计净值]]/MAX(INDIRECT("B21:B" &amp; ROW()))-1&lt;E51,表2_3671626293034[[#This Row],[累计净值]]/MAX(INDIRECT("B21:B" &amp; ROW()))-1,E51)</f>
        <v>-2.9761904761905766E-3</v>
      </c>
      <c r="F52" s="62">
        <f>表2_3671626293034[[#This Row],[累计净值]]</f>
        <v>1.014</v>
      </c>
      <c r="G52" s="20">
        <f>表2_3671626293034[[#This Row],[累计净值]]/$B$21-1</f>
        <v>1.4000000000000012E-2</v>
      </c>
    </row>
    <row r="53" spans="1:7">
      <c r="A53" s="15">
        <v>43752</v>
      </c>
      <c r="B53" s="16">
        <v>1.018</v>
      </c>
      <c r="C53" s="73">
        <f t="shared" si="8"/>
        <v>4.0000000000000036E-3</v>
      </c>
      <c r="D53" s="18" t="str">
        <f t="shared" si="9"/>
        <v>/</v>
      </c>
      <c r="E53" s="18">
        <f ca="1">IF(表2_3671626293034[[#This Row],[累计净值]]/MAX(INDIRECT("B21:B" &amp; ROW()))-1&lt;E52,表2_3671626293034[[#This Row],[累计净值]]/MAX(INDIRECT("B21:B" &amp; ROW()))-1,E52)</f>
        <v>-2.9761904761905766E-3</v>
      </c>
      <c r="F53" s="62">
        <f>表2_3671626293034[[#This Row],[累计净值]]</f>
        <v>1.018</v>
      </c>
      <c r="G53" s="20">
        <f>表2_3671626293034[[#This Row],[累计净值]]/$B$21-1</f>
        <v>1.8000000000000016E-2</v>
      </c>
    </row>
    <row r="54" spans="1:7">
      <c r="A54" s="77">
        <v>43753</v>
      </c>
      <c r="B54" s="76">
        <v>1.0249999999999999</v>
      </c>
      <c r="C54" s="73">
        <f t="shared" si="8"/>
        <v>6.9999999999998952E-3</v>
      </c>
      <c r="D54" s="18" t="str">
        <f t="shared" si="9"/>
        <v>/</v>
      </c>
      <c r="E54" s="18">
        <f ca="1">IF(表2_3671626293034[[#This Row],[累计净值]]/MAX(INDIRECT("B21:B" &amp; ROW()))-1&lt;E53,表2_3671626293034[[#This Row],[累计净值]]/MAX(INDIRECT("B21:B" &amp; ROW()))-1,E53)</f>
        <v>-2.9761904761905766E-3</v>
      </c>
      <c r="F54" s="62">
        <f>表2_3671626293034[[#This Row],[累计净值]]</f>
        <v>1.0249999999999999</v>
      </c>
      <c r="G54" s="20">
        <f>表2_3671626293034[[#This Row],[累计净值]]/$B$21-1</f>
        <v>2.4999999999999911E-2</v>
      </c>
    </row>
    <row r="55" spans="1:7">
      <c r="A55" s="15">
        <v>43754</v>
      </c>
      <c r="B55" s="16">
        <v>1.022</v>
      </c>
      <c r="C55" s="73">
        <f t="shared" ref="C55:C60" si="10">IFERROR(B55-B54,0)</f>
        <v>-2.9999999999998916E-3</v>
      </c>
      <c r="D55" s="18">
        <f t="shared" ref="D55:D60" si="11">IF(C55&lt;0,C55,"/")</f>
        <v>-2.9999999999998916E-3</v>
      </c>
      <c r="E55" s="18">
        <f ca="1">IF(表2_3671626293034[[#This Row],[累计净值]]/MAX(INDIRECT("B21:B" &amp; ROW()))-1&lt;E54,表2_3671626293034[[#This Row],[累计净值]]/MAX(INDIRECT("B21:B" &amp; ROW()))-1,E54)</f>
        <v>-2.9761904761905766E-3</v>
      </c>
      <c r="F55" s="62">
        <f>表2_3671626293034[[#This Row],[累计净值]]</f>
        <v>1.022</v>
      </c>
      <c r="G55" s="20">
        <f>表2_3671626293034[[#This Row],[累计净值]]/$B$21-1</f>
        <v>2.200000000000002E-2</v>
      </c>
    </row>
    <row r="56" spans="1:7">
      <c r="A56" s="15">
        <v>43755</v>
      </c>
      <c r="B56" s="16">
        <v>1.0189999999999999</v>
      </c>
      <c r="C56" s="73">
        <f t="shared" si="10"/>
        <v>-3.0000000000001137E-3</v>
      </c>
      <c r="D56" s="18">
        <f t="shared" si="11"/>
        <v>-3.0000000000001137E-3</v>
      </c>
      <c r="E56" s="18">
        <f ca="1">IF(表2_3671626293034[[#This Row],[累计净值]]/MAX(INDIRECT("B21:B" &amp; ROW()))-1&lt;E55,表2_3671626293034[[#This Row],[累计净值]]/MAX(INDIRECT("B21:B" &amp; ROW()))-1,E55)</f>
        <v>-5.8536585365853711E-3</v>
      </c>
      <c r="F56" s="62">
        <f>表2_3671626293034[[#This Row],[累计净值]]</f>
        <v>1.0189999999999999</v>
      </c>
      <c r="G56" s="20">
        <f>表2_3671626293034[[#This Row],[累计净值]]/$B$21-1</f>
        <v>1.8999999999999906E-2</v>
      </c>
    </row>
    <row r="57" spans="1:7">
      <c r="A57" s="15">
        <v>43756</v>
      </c>
      <c r="B57" s="16">
        <v>1.0209999999999999</v>
      </c>
      <c r="C57" s="73">
        <f t="shared" si="10"/>
        <v>2.0000000000000018E-3</v>
      </c>
      <c r="D57" s="18" t="str">
        <f t="shared" si="11"/>
        <v>/</v>
      </c>
      <c r="E57" s="18">
        <f ca="1">IF(表2_3671626293034[[#This Row],[累计净值]]/MAX(INDIRECT("B21:B" &amp; ROW()))-1&lt;E56,表2_3671626293034[[#This Row],[累计净值]]/MAX(INDIRECT("B21:B" &amp; ROW()))-1,E56)</f>
        <v>-5.8536585365853711E-3</v>
      </c>
      <c r="F57" s="62">
        <f>表2_3671626293034[[#This Row],[累计净值]]</f>
        <v>1.0209999999999999</v>
      </c>
      <c r="G57" s="20">
        <f>表2_3671626293034[[#This Row],[累计净值]]/$B$21-1</f>
        <v>2.0999999999999908E-2</v>
      </c>
    </row>
    <row r="58" spans="1:7">
      <c r="A58" s="15">
        <v>43759</v>
      </c>
      <c r="B58" s="16">
        <v>1.0209999999999999</v>
      </c>
      <c r="C58" s="73">
        <f t="shared" si="10"/>
        <v>0</v>
      </c>
      <c r="D58" s="18" t="str">
        <f t="shared" si="11"/>
        <v>/</v>
      </c>
      <c r="E58" s="18">
        <f ca="1">IF(表2_3671626293034[[#This Row],[累计净值]]/MAX(INDIRECT("B21:B" &amp; ROW()))-1&lt;E57,表2_3671626293034[[#This Row],[累计净值]]/MAX(INDIRECT("B21:B" &amp; ROW()))-1,E57)</f>
        <v>-5.8536585365853711E-3</v>
      </c>
      <c r="F58" s="62">
        <f>表2_3671626293034[[#This Row],[累计净值]]</f>
        <v>1.0209999999999999</v>
      </c>
      <c r="G58" s="20">
        <f>表2_3671626293034[[#This Row],[累计净值]]/$B$21-1</f>
        <v>2.0999999999999908E-2</v>
      </c>
    </row>
    <row r="59" spans="1:7">
      <c r="A59" s="15">
        <v>43760</v>
      </c>
      <c r="B59" s="16">
        <v>1.0169999999999999</v>
      </c>
      <c r="C59" s="73">
        <f t="shared" si="10"/>
        <v>-4.0000000000000036E-3</v>
      </c>
      <c r="D59" s="18">
        <f t="shared" si="11"/>
        <v>-4.0000000000000036E-3</v>
      </c>
      <c r="E59" s="18">
        <f ca="1">IF(表2_3671626293034[[#This Row],[累计净值]]/MAX(INDIRECT("B21:B" &amp; ROW()))-1&lt;E58,表2_3671626293034[[#This Row],[累计净值]]/MAX(INDIRECT("B21:B" &amp; ROW()))-1,E58)</f>
        <v>-7.8048780487804947E-3</v>
      </c>
      <c r="F59" s="62">
        <f>表2_3671626293034[[#This Row],[累计净值]]</f>
        <v>1.0169999999999999</v>
      </c>
      <c r="G59" s="20">
        <f>表2_3671626293034[[#This Row],[累计净值]]/$B$21-1</f>
        <v>1.6999999999999904E-2</v>
      </c>
    </row>
    <row r="60" spans="1:7">
      <c r="A60" s="15">
        <v>43761</v>
      </c>
      <c r="B60" s="16">
        <v>1.0149999999999999</v>
      </c>
      <c r="C60" s="73">
        <f t="shared" si="10"/>
        <v>-2.0000000000000018E-3</v>
      </c>
      <c r="D60" s="18">
        <f t="shared" si="11"/>
        <v>-2.0000000000000018E-3</v>
      </c>
      <c r="E60" s="18">
        <f ca="1">IF(表2_3671626293034[[#This Row],[累计净值]]/MAX(INDIRECT("B21:B" &amp; ROW()))-1&lt;E59,表2_3671626293034[[#This Row],[累计净值]]/MAX(INDIRECT("B21:B" &amp; ROW()))-1,E59)</f>
        <v>-9.7560975609756184E-3</v>
      </c>
      <c r="F60" s="62">
        <f>表2_3671626293034[[#This Row],[累计净值]]</f>
        <v>1.0149999999999999</v>
      </c>
      <c r="G60" s="20">
        <f>表2_3671626293034[[#This Row],[累计净值]]/$B$21-1</f>
        <v>1.4999999999999902E-2</v>
      </c>
    </row>
    <row r="61" spans="1:7">
      <c r="A61" s="15">
        <v>43762</v>
      </c>
      <c r="B61" s="16">
        <v>1.024</v>
      </c>
      <c r="C61" s="73">
        <f t="shared" ref="C61:C66" si="12">IFERROR(B61-B60,0)</f>
        <v>9.000000000000119E-3</v>
      </c>
      <c r="D61" s="18" t="str">
        <f t="shared" ref="D61:D66" si="13">IF(C61&lt;0,C61,"/")</f>
        <v>/</v>
      </c>
      <c r="E61" s="18">
        <f ca="1">IF(表2_3671626293034[[#This Row],[累计净值]]/MAX(INDIRECT("B21:B" &amp; ROW()))-1&lt;E60,表2_3671626293034[[#This Row],[累计净值]]/MAX(INDIRECT("B21:B" &amp; ROW()))-1,E60)</f>
        <v>-9.7560975609756184E-3</v>
      </c>
      <c r="F61" s="62">
        <f>表2_3671626293034[[#This Row],[累计净值]]</f>
        <v>1.024</v>
      </c>
      <c r="G61" s="20">
        <f>表2_3671626293034[[#This Row],[累计净值]]/$B$21-1</f>
        <v>2.4000000000000021E-2</v>
      </c>
    </row>
    <row r="62" spans="1:7">
      <c r="A62" s="15">
        <v>43763</v>
      </c>
      <c r="B62" s="16">
        <v>1.0229999999999999</v>
      </c>
      <c r="C62" s="73">
        <f t="shared" si="12"/>
        <v>-1.0000000000001119E-3</v>
      </c>
      <c r="D62" s="18">
        <f t="shared" si="13"/>
        <v>-1.0000000000001119E-3</v>
      </c>
      <c r="E62" s="18">
        <f ca="1">IF(表2_3671626293034[[#This Row],[累计净值]]/MAX(INDIRECT("B21:B" &amp; ROW()))-1&lt;E61,表2_3671626293034[[#This Row],[累计净值]]/MAX(INDIRECT("B21:B" &amp; ROW()))-1,E61)</f>
        <v>-9.7560975609756184E-3</v>
      </c>
      <c r="F62" s="62">
        <f>表2_3671626293034[[#This Row],[累计净值]]</f>
        <v>1.0229999999999999</v>
      </c>
      <c r="G62" s="20">
        <f>表2_3671626293034[[#This Row],[累计净值]]/$B$21-1</f>
        <v>2.2999999999999909E-2</v>
      </c>
    </row>
    <row r="63" spans="1:7">
      <c r="A63" s="15">
        <v>43766</v>
      </c>
      <c r="B63" s="16">
        <v>1.028</v>
      </c>
      <c r="C63" s="73">
        <f t="shared" si="12"/>
        <v>5.0000000000001155E-3</v>
      </c>
      <c r="D63" s="18" t="str">
        <f t="shared" si="13"/>
        <v>/</v>
      </c>
      <c r="E63" s="18">
        <f ca="1">IF(表2_3671626293034[[#This Row],[累计净值]]/MAX(INDIRECT("B21:B" &amp; ROW()))-1&lt;E62,表2_3671626293034[[#This Row],[累计净值]]/MAX(INDIRECT("B21:B" &amp; ROW()))-1,E62)</f>
        <v>-9.7560975609756184E-3</v>
      </c>
      <c r="F63" s="62">
        <f>表2_3671626293034[[#This Row],[累计净值]]</f>
        <v>1.028</v>
      </c>
      <c r="G63" s="20">
        <f>表2_3671626293034[[#This Row],[累计净值]]/$B$21-1</f>
        <v>2.8000000000000025E-2</v>
      </c>
    </row>
    <row r="64" spans="1:7">
      <c r="A64" s="15">
        <v>43767</v>
      </c>
      <c r="B64" s="16">
        <v>1.0209999999999999</v>
      </c>
      <c r="C64" s="73">
        <f t="shared" si="12"/>
        <v>-7.0000000000001172E-3</v>
      </c>
      <c r="D64" s="18">
        <f t="shared" si="13"/>
        <v>-7.0000000000001172E-3</v>
      </c>
      <c r="E64" s="18">
        <f ca="1">IF(表2_3671626293034[[#This Row],[累计净值]]/MAX(INDIRECT("B21:B" &amp; ROW()))-1&lt;E63,表2_3671626293034[[#This Row],[累计净值]]/MAX(INDIRECT("B21:B" &amp; ROW()))-1,E63)</f>
        <v>-9.7560975609756184E-3</v>
      </c>
      <c r="F64" s="62">
        <f>表2_3671626293034[[#This Row],[累计净值]]</f>
        <v>1.0209999999999999</v>
      </c>
      <c r="G64" s="20">
        <f>表2_3671626293034[[#This Row],[累计净值]]/$B$21-1</f>
        <v>2.0999999999999908E-2</v>
      </c>
    </row>
    <row r="65" spans="1:7">
      <c r="A65" s="15">
        <v>43768</v>
      </c>
      <c r="B65" s="16">
        <v>1.0289999999999999</v>
      </c>
      <c r="C65" s="73">
        <f t="shared" si="12"/>
        <v>8.0000000000000071E-3</v>
      </c>
      <c r="D65" s="18" t="str">
        <f t="shared" si="13"/>
        <v>/</v>
      </c>
      <c r="E65" s="18">
        <f ca="1">IF(表2_3671626293034[[#This Row],[累计净值]]/MAX(INDIRECT("B21:B" &amp; ROW()))-1&lt;E64,表2_3671626293034[[#This Row],[累计净值]]/MAX(INDIRECT("B21:B" &amp; ROW()))-1,E64)</f>
        <v>-9.7560975609756184E-3</v>
      </c>
      <c r="F65" s="62">
        <f>表2_3671626293034[[#This Row],[累计净值]]</f>
        <v>1.0289999999999999</v>
      </c>
      <c r="G65" s="20">
        <f>表2_3671626293034[[#This Row],[累计净值]]/$B$21-1</f>
        <v>2.8999999999999915E-2</v>
      </c>
    </row>
    <row r="66" spans="1:7">
      <c r="A66" s="15">
        <v>43769</v>
      </c>
      <c r="B66" s="76">
        <v>1.0309999999999999</v>
      </c>
      <c r="C66" s="73">
        <f t="shared" si="12"/>
        <v>2.0000000000000018E-3</v>
      </c>
      <c r="D66" s="18" t="str">
        <f t="shared" si="13"/>
        <v>/</v>
      </c>
      <c r="E66" s="18">
        <f ca="1">IF(表2_3671626293034[[#This Row],[累计净值]]/MAX(INDIRECT("B21:B" &amp; ROW()))-1&lt;E65,表2_3671626293034[[#This Row],[累计净值]]/MAX(INDIRECT("B21:B" &amp; ROW()))-1,E65)</f>
        <v>-9.7560975609756184E-3</v>
      </c>
      <c r="F66" s="62">
        <f>表2_3671626293034[[#This Row],[累计净值]]</f>
        <v>1.0309999999999999</v>
      </c>
      <c r="G66" s="20">
        <f>表2_3671626293034[[#This Row],[累计净值]]/$B$21-1</f>
        <v>3.0999999999999917E-2</v>
      </c>
    </row>
    <row r="67" spans="1:7">
      <c r="A67" s="15">
        <v>43770</v>
      </c>
      <c r="B67" s="16">
        <v>1.0249999999999999</v>
      </c>
      <c r="C67" s="73">
        <f t="shared" ref="C67:C72" si="14">IFERROR(B67-B66,0)</f>
        <v>-6.0000000000000053E-3</v>
      </c>
      <c r="D67" s="18">
        <f t="shared" ref="D67:D72" si="15">IF(C67&lt;0,C67,"/")</f>
        <v>-6.0000000000000053E-3</v>
      </c>
      <c r="E67" s="18">
        <f ca="1">IF(表2_3671626293034[[#This Row],[累计净值]]/MAX(INDIRECT("B21:B" &amp; ROW()))-1&lt;E66,表2_3671626293034[[#This Row],[累计净值]]/MAX(INDIRECT("B21:B" &amp; ROW()))-1,E66)</f>
        <v>-9.7560975609756184E-3</v>
      </c>
      <c r="F67" s="62">
        <f>表2_3671626293034[[#This Row],[累计净值]]</f>
        <v>1.0249999999999999</v>
      </c>
      <c r="G67" s="20">
        <f>表2_3671626293034[[#This Row],[累计净值]]/$B$21-1</f>
        <v>2.4999999999999911E-2</v>
      </c>
    </row>
    <row r="68" spans="1:7">
      <c r="A68" s="15">
        <v>43773</v>
      </c>
      <c r="B68" s="16">
        <v>1.026</v>
      </c>
      <c r="C68" s="73">
        <f t="shared" si="14"/>
        <v>1.0000000000001119E-3</v>
      </c>
      <c r="D68" s="18" t="str">
        <f t="shared" si="15"/>
        <v>/</v>
      </c>
      <c r="E68" s="18">
        <f ca="1">IF(表2_3671626293034[[#This Row],[累计净值]]/MAX(INDIRECT("B21:B" &amp; ROW()))-1&lt;E67,表2_3671626293034[[#This Row],[累计净值]]/MAX(INDIRECT("B21:B" &amp; ROW()))-1,E67)</f>
        <v>-9.7560975609756184E-3</v>
      </c>
      <c r="F68" s="62">
        <f>表2_3671626293034[[#This Row],[累计净值]]</f>
        <v>1.026</v>
      </c>
      <c r="G68" s="20">
        <f>表2_3671626293034[[#This Row],[累计净值]]/$B$21-1</f>
        <v>2.6000000000000023E-2</v>
      </c>
    </row>
    <row r="69" spans="1:7">
      <c r="A69" s="15">
        <v>43774</v>
      </c>
      <c r="B69" s="16">
        <v>1.0289999999999999</v>
      </c>
      <c r="C69" s="73">
        <f t="shared" si="14"/>
        <v>2.9999999999998916E-3</v>
      </c>
      <c r="D69" s="18" t="str">
        <f t="shared" si="15"/>
        <v>/</v>
      </c>
      <c r="E69" s="18">
        <f ca="1">IF(表2_3671626293034[[#This Row],[累计净值]]/MAX(INDIRECT("B21:B" &amp; ROW()))-1&lt;E68,表2_3671626293034[[#This Row],[累计净值]]/MAX(INDIRECT("B21:B" &amp; ROW()))-1,E68)</f>
        <v>-9.7560975609756184E-3</v>
      </c>
      <c r="F69" s="62">
        <f>表2_3671626293034[[#This Row],[累计净值]]</f>
        <v>1.0289999999999999</v>
      </c>
      <c r="G69" s="20">
        <f>表2_3671626293034[[#This Row],[累计净值]]/$B$21-1</f>
        <v>2.8999999999999915E-2</v>
      </c>
    </row>
    <row r="70" spans="1:7">
      <c r="A70" s="15">
        <v>43775</v>
      </c>
      <c r="B70" s="16">
        <v>1.0269999999999999</v>
      </c>
      <c r="C70" s="73">
        <f t="shared" si="14"/>
        <v>-2.0000000000000018E-3</v>
      </c>
      <c r="D70" s="18">
        <f t="shared" si="15"/>
        <v>-2.0000000000000018E-3</v>
      </c>
      <c r="E70" s="18">
        <f ca="1">IF(表2_3671626293034[[#This Row],[累计净值]]/MAX(INDIRECT("B21:B" &amp; ROW()))-1&lt;E69,表2_3671626293034[[#This Row],[累计净值]]/MAX(INDIRECT("B21:B" &amp; ROW()))-1,E69)</f>
        <v>-9.7560975609756184E-3</v>
      </c>
      <c r="F70" s="62">
        <f>表2_3671626293034[[#This Row],[累计净值]]</f>
        <v>1.0269999999999999</v>
      </c>
      <c r="G70" s="20">
        <f>表2_3671626293034[[#This Row],[累计净值]]/$B$21-1</f>
        <v>2.6999999999999913E-2</v>
      </c>
    </row>
    <row r="71" spans="1:7">
      <c r="A71" s="15">
        <v>43776</v>
      </c>
      <c r="B71" s="16">
        <v>1.0249999999999999</v>
      </c>
      <c r="C71" s="73">
        <f t="shared" si="14"/>
        <v>-2.0000000000000018E-3</v>
      </c>
      <c r="D71" s="18">
        <f t="shared" si="15"/>
        <v>-2.0000000000000018E-3</v>
      </c>
      <c r="E71" s="18">
        <f ca="1">IF(表2_3671626293034[[#This Row],[累计净值]]/MAX(INDIRECT("B21:B" &amp; ROW()))-1&lt;E70,表2_3671626293034[[#This Row],[累计净值]]/MAX(INDIRECT("B21:B" &amp; ROW()))-1,E70)</f>
        <v>-9.7560975609756184E-3</v>
      </c>
      <c r="F71" s="62">
        <f>表2_3671626293034[[#This Row],[累计净值]]</f>
        <v>1.0249999999999999</v>
      </c>
      <c r="G71" s="20">
        <f>表2_3671626293034[[#This Row],[累计净值]]/$B$21-1</f>
        <v>2.4999999999999911E-2</v>
      </c>
    </row>
    <row r="72" spans="1:7">
      <c r="A72" s="15">
        <v>43777</v>
      </c>
      <c r="B72" s="16">
        <v>1.0309999999999999</v>
      </c>
      <c r="C72" s="73">
        <f t="shared" si="14"/>
        <v>6.0000000000000053E-3</v>
      </c>
      <c r="D72" s="18" t="str">
        <f t="shared" si="15"/>
        <v>/</v>
      </c>
      <c r="E72" s="18">
        <f ca="1">IF(表2_3671626293034[[#This Row],[累计净值]]/MAX(INDIRECT("B21:B" &amp; ROW()))-1&lt;E71,表2_3671626293034[[#This Row],[累计净值]]/MAX(INDIRECT("B21:B" &amp; ROW()))-1,E71)</f>
        <v>-9.7560975609756184E-3</v>
      </c>
      <c r="F72" s="62">
        <f>表2_3671626293034[[#This Row],[累计净值]]</f>
        <v>1.0309999999999999</v>
      </c>
      <c r="G72" s="20">
        <f>表2_3671626293034[[#This Row],[累计净值]]/$B$21-1</f>
        <v>3.0999999999999917E-2</v>
      </c>
    </row>
    <row r="73" spans="1:7">
      <c r="A73" s="15">
        <v>43780</v>
      </c>
      <c r="B73" s="16">
        <v>1.03</v>
      </c>
      <c r="C73" s="73">
        <f t="shared" ref="C73:C79" si="16">IFERROR(B73-B72,0)</f>
        <v>-9.9999999999988987E-4</v>
      </c>
      <c r="D73" s="18">
        <f t="shared" ref="D73:D79" si="17">IF(C73&lt;0,C73,"/")</f>
        <v>-9.9999999999988987E-4</v>
      </c>
      <c r="E73" s="18">
        <f ca="1">IF(表2_3671626293034[[#This Row],[累计净值]]/MAX(INDIRECT("B21:B" &amp; ROW()))-1&lt;E72,表2_3671626293034[[#This Row],[累计净值]]/MAX(INDIRECT("B21:B" &amp; ROW()))-1,E72)</f>
        <v>-9.7560975609756184E-3</v>
      </c>
      <c r="F73" s="62">
        <f>表2_3671626293034[[#This Row],[累计净值]]</f>
        <v>1.03</v>
      </c>
      <c r="G73" s="20">
        <f>表2_3671626293034[[#This Row],[累计净值]]/$B$21-1</f>
        <v>3.0000000000000027E-2</v>
      </c>
    </row>
    <row r="74" spans="1:7">
      <c r="A74" s="15">
        <v>43781</v>
      </c>
      <c r="B74" s="16">
        <v>1.024</v>
      </c>
      <c r="C74" s="73">
        <f t="shared" si="16"/>
        <v>-6.0000000000000053E-3</v>
      </c>
      <c r="D74" s="18">
        <f t="shared" si="17"/>
        <v>-6.0000000000000053E-3</v>
      </c>
      <c r="E74" s="18">
        <f ca="1">IF(表2_3671626293034[[#This Row],[累计净值]]/MAX(INDIRECT("B21:B" &amp; ROW()))-1&lt;E73,表2_3671626293034[[#This Row],[累计净值]]/MAX(INDIRECT("B21:B" &amp; ROW()))-1,E73)</f>
        <v>-9.7560975609756184E-3</v>
      </c>
      <c r="F74" s="62">
        <f>表2_3671626293034[[#This Row],[累计净值]]</f>
        <v>1.024</v>
      </c>
      <c r="G74" s="20">
        <f>表2_3671626293034[[#This Row],[累计净值]]/$B$21-1</f>
        <v>2.4000000000000021E-2</v>
      </c>
    </row>
    <row r="75" spans="1:7">
      <c r="A75" s="15">
        <v>43782</v>
      </c>
      <c r="B75" s="16">
        <v>1.026</v>
      </c>
      <c r="C75" s="73">
        <f t="shared" si="16"/>
        <v>2.0000000000000018E-3</v>
      </c>
      <c r="D75" s="18" t="str">
        <f t="shared" si="17"/>
        <v>/</v>
      </c>
      <c r="E75" s="18">
        <f ca="1">IF(表2_3671626293034[[#This Row],[累计净值]]/MAX(INDIRECT("B21:B" &amp; ROW()))-1&lt;E74,表2_3671626293034[[#This Row],[累计净值]]/MAX(INDIRECT("B21:B" &amp; ROW()))-1,E74)</f>
        <v>-9.7560975609756184E-3</v>
      </c>
      <c r="F75" s="62">
        <f>表2_3671626293034[[#This Row],[累计净值]]</f>
        <v>1.026</v>
      </c>
      <c r="G75" s="20">
        <f>表2_3671626293034[[#This Row],[累计净值]]/$B$21-1</f>
        <v>2.6000000000000023E-2</v>
      </c>
    </row>
    <row r="76" spans="1:7">
      <c r="A76" s="15">
        <v>43783</v>
      </c>
      <c r="B76" s="16">
        <v>1.024</v>
      </c>
      <c r="C76" s="73">
        <f t="shared" si="16"/>
        <v>-2.0000000000000018E-3</v>
      </c>
      <c r="D76" s="18">
        <f t="shared" si="17"/>
        <v>-2.0000000000000018E-3</v>
      </c>
      <c r="E76" s="18">
        <f ca="1">IF(表2_3671626293034[[#This Row],[累计净值]]/MAX(INDIRECT("B21:B" &amp; ROW()))-1&lt;E75,表2_3671626293034[[#This Row],[累计净值]]/MAX(INDIRECT("B21:B" &amp; ROW()))-1,E75)</f>
        <v>-9.7560975609756184E-3</v>
      </c>
      <c r="F76" s="62">
        <f>表2_3671626293034[[#This Row],[累计净值]]</f>
        <v>1.024</v>
      </c>
      <c r="G76" s="20">
        <f>表2_3671626293034[[#This Row],[累计净值]]/$B$21-1</f>
        <v>2.4000000000000021E-2</v>
      </c>
    </row>
    <row r="77" spans="1:7">
      <c r="A77" s="15">
        <v>43784</v>
      </c>
      <c r="B77" s="16">
        <v>1.0269999999999999</v>
      </c>
      <c r="C77" s="73">
        <f t="shared" si="16"/>
        <v>2.9999999999998916E-3</v>
      </c>
      <c r="D77" s="18" t="str">
        <f t="shared" si="17"/>
        <v>/</v>
      </c>
      <c r="E77" s="18">
        <f ca="1">IF(表2_3671626293034[[#This Row],[累计净值]]/MAX(INDIRECT("B21:B" &amp; ROW()))-1&lt;E76,表2_3671626293034[[#This Row],[累计净值]]/MAX(INDIRECT("B21:B" &amp; ROW()))-1,E76)</f>
        <v>-9.7560975609756184E-3</v>
      </c>
      <c r="F77" s="62">
        <f>表2_3671626293034[[#This Row],[累计净值]]</f>
        <v>1.0269999999999999</v>
      </c>
      <c r="G77" s="20">
        <f>表2_3671626293034[[#This Row],[累计净值]]/$B$21-1</f>
        <v>2.6999999999999913E-2</v>
      </c>
    </row>
    <row r="78" spans="1:7">
      <c r="A78" s="15">
        <v>43787</v>
      </c>
      <c r="B78" s="16">
        <v>1.03</v>
      </c>
      <c r="C78" s="73">
        <f t="shared" si="16"/>
        <v>3.0000000000001137E-3</v>
      </c>
      <c r="D78" s="18" t="str">
        <f t="shared" si="17"/>
        <v>/</v>
      </c>
      <c r="E78" s="18">
        <f ca="1">IF(表2_3671626293034[[#This Row],[累计净值]]/MAX(INDIRECT("B21:B" &amp; ROW()))-1&lt;E77,表2_3671626293034[[#This Row],[累计净值]]/MAX(INDIRECT("B21:B" &amp; ROW()))-1,E77)</f>
        <v>-9.7560975609756184E-3</v>
      </c>
      <c r="F78" s="62">
        <f>表2_3671626293034[[#This Row],[累计净值]]</f>
        <v>1.03</v>
      </c>
      <c r="G78" s="20">
        <f>表2_3671626293034[[#This Row],[累计净值]]/$B$21-1</f>
        <v>3.0000000000000027E-2</v>
      </c>
    </row>
    <row r="79" spans="1:7">
      <c r="A79" s="15">
        <v>43788</v>
      </c>
      <c r="B79" s="16">
        <v>1.03</v>
      </c>
      <c r="C79" s="73">
        <f t="shared" si="16"/>
        <v>0</v>
      </c>
      <c r="D79" s="18" t="str">
        <f t="shared" si="17"/>
        <v>/</v>
      </c>
      <c r="E79" s="18">
        <f ca="1">IF(表2_3671626293034[[#This Row],[累计净值]]/MAX(INDIRECT("B21:B" &amp; ROW()))-1&lt;E78,表2_3671626293034[[#This Row],[累计净值]]/MAX(INDIRECT("B21:B" &amp; ROW()))-1,E78)</f>
        <v>-9.7560975609756184E-3</v>
      </c>
      <c r="F79" s="62">
        <f>表2_3671626293034[[#This Row],[累计净值]]</f>
        <v>1.03</v>
      </c>
      <c r="G79" s="20">
        <f>表2_3671626293034[[#This Row],[累计净值]]/$B$21-1</f>
        <v>3.0000000000000027E-2</v>
      </c>
    </row>
    <row r="80" spans="1:7">
      <c r="A80" s="15">
        <v>43789</v>
      </c>
      <c r="B80" s="16">
        <v>1.0309999999999999</v>
      </c>
      <c r="C80" s="73">
        <f t="shared" ref="C80:C85" si="18">IFERROR(B80-B79,0)</f>
        <v>9.9999999999988987E-4</v>
      </c>
      <c r="D80" s="18" t="str">
        <f t="shared" ref="D80:D85" si="19">IF(C80&lt;0,C80,"/")</f>
        <v>/</v>
      </c>
      <c r="E80" s="18">
        <f ca="1">IF(表2_3671626293034[[#This Row],[累计净值]]/MAX(INDIRECT("B21:B" &amp; ROW()))-1&lt;E79,表2_3671626293034[[#This Row],[累计净值]]/MAX(INDIRECT("B21:B" &amp; ROW()))-1,E79)</f>
        <v>-9.7560975609756184E-3</v>
      </c>
      <c r="F80" s="62">
        <f>表2_3671626293034[[#This Row],[累计净值]]</f>
        <v>1.0309999999999999</v>
      </c>
      <c r="G80" s="20">
        <f>表2_3671626293034[[#This Row],[累计净值]]/$B$21-1</f>
        <v>3.0999999999999917E-2</v>
      </c>
    </row>
    <row r="81" spans="1:7">
      <c r="A81" s="15">
        <v>43790</v>
      </c>
      <c r="B81" s="16">
        <v>1.0309999999999999</v>
      </c>
      <c r="C81" s="73">
        <f t="shared" si="18"/>
        <v>0</v>
      </c>
      <c r="D81" s="18" t="str">
        <f t="shared" si="19"/>
        <v>/</v>
      </c>
      <c r="E81" s="18">
        <f ca="1">IF(表2_3671626293034[[#This Row],[累计净值]]/MAX(INDIRECT("B21:B" &amp; ROW()))-1&lt;E80,表2_3671626293034[[#This Row],[累计净值]]/MAX(INDIRECT("B21:B" &amp; ROW()))-1,E80)</f>
        <v>-9.7560975609756184E-3</v>
      </c>
      <c r="F81" s="62">
        <f>表2_3671626293034[[#This Row],[累计净值]]</f>
        <v>1.0309999999999999</v>
      </c>
      <c r="G81" s="20">
        <f>表2_3671626293034[[#This Row],[累计净值]]/$B$21-1</f>
        <v>3.0999999999999917E-2</v>
      </c>
    </row>
    <row r="82" spans="1:7">
      <c r="A82" s="15">
        <v>43791</v>
      </c>
      <c r="B82" s="16">
        <v>1.0389999999999999</v>
      </c>
      <c r="C82" s="73">
        <f t="shared" si="18"/>
        <v>8.0000000000000071E-3</v>
      </c>
      <c r="D82" s="18" t="str">
        <f t="shared" si="19"/>
        <v>/</v>
      </c>
      <c r="E82" s="18">
        <f ca="1">IF(表2_3671626293034[[#This Row],[累计净值]]/MAX(INDIRECT("B21:B" &amp; ROW()))-1&lt;E81,表2_3671626293034[[#This Row],[累计净值]]/MAX(INDIRECT("B21:B" &amp; ROW()))-1,E81)</f>
        <v>-9.7560975609756184E-3</v>
      </c>
      <c r="F82" s="62">
        <f>表2_3671626293034[[#This Row],[累计净值]]</f>
        <v>1.0389999999999999</v>
      </c>
      <c r="G82" s="20">
        <f>表2_3671626293034[[#This Row],[累计净值]]/$B$21-1</f>
        <v>3.8999999999999924E-2</v>
      </c>
    </row>
    <row r="83" spans="1:7">
      <c r="A83" s="15">
        <v>43794</v>
      </c>
      <c r="B83" s="16">
        <v>1.04</v>
      </c>
      <c r="C83" s="73">
        <f t="shared" si="18"/>
        <v>1.0000000000001119E-3</v>
      </c>
      <c r="D83" s="18" t="str">
        <f t="shared" si="19"/>
        <v>/</v>
      </c>
      <c r="E83" s="18">
        <f ca="1">IF(表2_3671626293034[[#This Row],[累计净值]]/MAX(INDIRECT("B21:B" &amp; ROW()))-1&lt;E82,表2_3671626293034[[#This Row],[累计净值]]/MAX(INDIRECT("B21:B" &amp; ROW()))-1,E82)</f>
        <v>-9.7560975609756184E-3</v>
      </c>
      <c r="F83" s="62">
        <f>表2_3671626293034[[#This Row],[累计净值]]</f>
        <v>1.04</v>
      </c>
      <c r="G83" s="20">
        <f>表2_3671626293034[[#This Row],[累计净值]]/$B$21-1</f>
        <v>4.0000000000000036E-2</v>
      </c>
    </row>
    <row r="84" spans="1:7">
      <c r="A84" s="15">
        <v>43795</v>
      </c>
      <c r="B84" s="16">
        <v>1.0389999999999999</v>
      </c>
      <c r="C84" s="73">
        <f t="shared" si="18"/>
        <v>-1.0000000000001119E-3</v>
      </c>
      <c r="D84" s="18">
        <f t="shared" si="19"/>
        <v>-1.0000000000001119E-3</v>
      </c>
      <c r="E84" s="18">
        <f ca="1">IF(表2_3671626293034[[#This Row],[累计净值]]/MAX(INDIRECT("B21:B" &amp; ROW()))-1&lt;E83,表2_3671626293034[[#This Row],[累计净值]]/MAX(INDIRECT("B21:B" &amp; ROW()))-1,E83)</f>
        <v>-9.7560975609756184E-3</v>
      </c>
      <c r="F84" s="62">
        <f>表2_3671626293034[[#This Row],[累计净值]]</f>
        <v>1.0389999999999999</v>
      </c>
      <c r="G84" s="20">
        <f>表2_3671626293034[[#This Row],[累计净值]]/$B$21-1</f>
        <v>3.8999999999999924E-2</v>
      </c>
    </row>
    <row r="85" spans="1:7">
      <c r="A85" s="15">
        <v>43796</v>
      </c>
      <c r="B85" s="16">
        <v>1.0409999999999999</v>
      </c>
      <c r="C85" s="73">
        <f t="shared" si="18"/>
        <v>2.0000000000000018E-3</v>
      </c>
      <c r="D85" s="18" t="str">
        <f t="shared" si="19"/>
        <v>/</v>
      </c>
      <c r="E85" s="18">
        <f ca="1">IF(表2_3671626293034[[#This Row],[累计净值]]/MAX(INDIRECT("B21:B" &amp; ROW()))-1&lt;E84,表2_3671626293034[[#This Row],[累计净值]]/MAX(INDIRECT("B21:B" &amp; ROW()))-1,E84)</f>
        <v>-9.7560975609756184E-3</v>
      </c>
      <c r="F85" s="62">
        <f>表2_3671626293034[[#This Row],[累计净值]]</f>
        <v>1.0409999999999999</v>
      </c>
      <c r="G85" s="20">
        <f>表2_3671626293034[[#This Row],[累计净值]]/$B$21-1</f>
        <v>4.0999999999999925E-2</v>
      </c>
    </row>
    <row r="86" spans="1:7">
      <c r="A86" s="15">
        <v>43797</v>
      </c>
      <c r="B86" s="16">
        <v>1.042</v>
      </c>
      <c r="C86" s="73">
        <f t="shared" ref="C86:C91" si="20">IFERROR(B86-B85,0)</f>
        <v>1.0000000000001119E-3</v>
      </c>
      <c r="D86" s="18" t="str">
        <f t="shared" ref="D86:D91" si="21">IF(C86&lt;0,C86,"/")</f>
        <v>/</v>
      </c>
      <c r="E86" s="18">
        <f ca="1">IF(表2_3671626293034[[#This Row],[累计净值]]/MAX(INDIRECT("B21:B" &amp; ROW()))-1&lt;E85,表2_3671626293034[[#This Row],[累计净值]]/MAX(INDIRECT("B21:B" &amp; ROW()))-1,E85)</f>
        <v>-9.7560975609756184E-3</v>
      </c>
      <c r="F86" s="62">
        <f>表2_3671626293034[[#This Row],[累计净值]]</f>
        <v>1.042</v>
      </c>
      <c r="G86" s="20">
        <f>表2_3671626293034[[#This Row],[累计净值]]/$B$21-1</f>
        <v>4.2000000000000037E-2</v>
      </c>
    </row>
    <row r="87" spans="1:7">
      <c r="A87" s="15">
        <v>43798</v>
      </c>
      <c r="B87" s="16">
        <v>1.0429999999999999</v>
      </c>
      <c r="C87" s="73">
        <f t="shared" si="20"/>
        <v>9.9999999999988987E-4</v>
      </c>
      <c r="D87" s="18" t="str">
        <f t="shared" si="21"/>
        <v>/</v>
      </c>
      <c r="E87" s="18">
        <f ca="1">IF(表2_3671626293034[[#This Row],[累计净值]]/MAX(INDIRECT("B21:B" &amp; ROW()))-1&lt;E86,表2_3671626293034[[#This Row],[累计净值]]/MAX(INDIRECT("B21:B" &amp; ROW()))-1,E86)</f>
        <v>-9.7560975609756184E-3</v>
      </c>
      <c r="F87" s="62">
        <f>表2_3671626293034[[#This Row],[累计净值]]</f>
        <v>1.0429999999999999</v>
      </c>
      <c r="G87" s="20">
        <f>表2_3671626293034[[#This Row],[累计净值]]/$B$21-1</f>
        <v>4.2999999999999927E-2</v>
      </c>
    </row>
    <row r="88" spans="1:7">
      <c r="A88" s="15">
        <v>43801</v>
      </c>
      <c r="B88" s="16">
        <v>1.044</v>
      </c>
      <c r="C88" s="73">
        <f t="shared" si="20"/>
        <v>1.0000000000001119E-3</v>
      </c>
      <c r="D88" s="18" t="str">
        <f t="shared" si="21"/>
        <v>/</v>
      </c>
      <c r="E88" s="18">
        <f ca="1">IF(表2_3671626293034[[#This Row],[累计净值]]/MAX(INDIRECT("B21:B" &amp; ROW()))-1&lt;E87,表2_3671626293034[[#This Row],[累计净值]]/MAX(INDIRECT("B21:B" &amp; ROW()))-1,E87)</f>
        <v>-9.7560975609756184E-3</v>
      </c>
      <c r="F88" s="62">
        <f>表2_3671626293034[[#This Row],[累计净值]]</f>
        <v>1.044</v>
      </c>
      <c r="G88" s="20">
        <f>表2_3671626293034[[#This Row],[累计净值]]/$B$21-1</f>
        <v>4.4000000000000039E-2</v>
      </c>
    </row>
    <row r="89" spans="1:7">
      <c r="A89" s="15">
        <v>43802</v>
      </c>
      <c r="B89" s="16">
        <v>1.046</v>
      </c>
      <c r="C89" s="73">
        <f t="shared" si="20"/>
        <v>2.0000000000000018E-3</v>
      </c>
      <c r="D89" s="18" t="str">
        <f t="shared" si="21"/>
        <v>/</v>
      </c>
      <c r="E89" s="18">
        <f ca="1">IF(表2_3671626293034[[#This Row],[累计净值]]/MAX(INDIRECT("B21:B" &amp; ROW()))-1&lt;E88,表2_3671626293034[[#This Row],[累计净值]]/MAX(INDIRECT("B21:B" &amp; ROW()))-1,E88)</f>
        <v>-9.7560975609756184E-3</v>
      </c>
      <c r="F89" s="62">
        <f>表2_3671626293034[[#This Row],[累计净值]]</f>
        <v>1.046</v>
      </c>
      <c r="G89" s="20">
        <f>表2_3671626293034[[#This Row],[累计净值]]/$B$21-1</f>
        <v>4.6000000000000041E-2</v>
      </c>
    </row>
    <row r="90" spans="1:7">
      <c r="A90" s="15">
        <v>43803</v>
      </c>
      <c r="B90" s="16">
        <v>1.0469999999999999</v>
      </c>
      <c r="C90" s="73">
        <f t="shared" si="20"/>
        <v>9.9999999999988987E-4</v>
      </c>
      <c r="D90" s="18" t="str">
        <f t="shared" si="21"/>
        <v>/</v>
      </c>
      <c r="E90" s="18">
        <f ca="1">IF(表2_3671626293034[[#This Row],[累计净值]]/MAX(INDIRECT("B21:B" &amp; ROW()))-1&lt;E89,表2_3671626293034[[#This Row],[累计净值]]/MAX(INDIRECT("B21:B" &amp; ROW()))-1,E89)</f>
        <v>-9.7560975609756184E-3</v>
      </c>
      <c r="F90" s="62">
        <f>表2_3671626293034[[#This Row],[累计净值]]</f>
        <v>1.0469999999999999</v>
      </c>
      <c r="G90" s="20">
        <f>表2_3671626293034[[#This Row],[累计净值]]/$B$21-1</f>
        <v>4.6999999999999931E-2</v>
      </c>
    </row>
    <row r="91" spans="1:7">
      <c r="A91" s="15">
        <v>43804</v>
      </c>
      <c r="B91" s="16">
        <v>1.046</v>
      </c>
      <c r="C91" s="73">
        <f t="shared" si="20"/>
        <v>-9.9999999999988987E-4</v>
      </c>
      <c r="D91" s="18">
        <f t="shared" si="21"/>
        <v>-9.9999999999988987E-4</v>
      </c>
      <c r="E91" s="18">
        <f ca="1">IF(表2_3671626293034[[#This Row],[累计净值]]/MAX(INDIRECT("B21:B" &amp; ROW()))-1&lt;E90,表2_3671626293034[[#This Row],[累计净值]]/MAX(INDIRECT("B21:B" &amp; ROW()))-1,E90)</f>
        <v>-9.7560975609756184E-3</v>
      </c>
      <c r="F91" s="62">
        <f>表2_3671626293034[[#This Row],[累计净值]]</f>
        <v>1.046</v>
      </c>
      <c r="G91" s="20">
        <f>表2_3671626293034[[#This Row],[累计净值]]/$B$21-1</f>
        <v>4.6000000000000041E-2</v>
      </c>
    </row>
    <row r="92" spans="1:7">
      <c r="A92" s="15">
        <v>43805</v>
      </c>
      <c r="B92" s="16">
        <v>1.048</v>
      </c>
      <c r="C92" s="73">
        <f t="shared" ref="C92:C97" si="22">IFERROR(B92-B91,0)</f>
        <v>2.0000000000000018E-3</v>
      </c>
      <c r="D92" s="18" t="str">
        <f t="shared" ref="D92:D97" si="23">IF(C92&lt;0,C92,"/")</f>
        <v>/</v>
      </c>
      <c r="E92" s="18">
        <f ca="1">IF(表2_3671626293034[[#This Row],[累计净值]]/MAX(INDIRECT("B21:B" &amp; ROW()))-1&lt;E91,表2_3671626293034[[#This Row],[累计净值]]/MAX(INDIRECT("B21:B" &amp; ROW()))-1,E91)</f>
        <v>-9.7560975609756184E-3</v>
      </c>
      <c r="F92" s="62">
        <f>表2_3671626293034[[#This Row],[累计净值]]</f>
        <v>1.048</v>
      </c>
      <c r="G92" s="20">
        <f>表2_3671626293034[[#This Row],[累计净值]]/$B$21-1</f>
        <v>4.8000000000000043E-2</v>
      </c>
    </row>
    <row r="93" spans="1:7">
      <c r="A93" s="15">
        <v>43808</v>
      </c>
      <c r="B93" s="16">
        <v>1.042</v>
      </c>
      <c r="C93" s="73">
        <f t="shared" si="22"/>
        <v>-6.0000000000000053E-3</v>
      </c>
      <c r="D93" s="18">
        <f t="shared" si="23"/>
        <v>-6.0000000000000053E-3</v>
      </c>
      <c r="E93" s="18">
        <f ca="1">IF(表2_3671626293034[[#This Row],[累计净值]]/MAX(INDIRECT("B21:B" &amp; ROW()))-1&lt;E92,表2_3671626293034[[#This Row],[累计净值]]/MAX(INDIRECT("B21:B" &amp; ROW()))-1,E92)</f>
        <v>-9.7560975609756184E-3</v>
      </c>
      <c r="F93" s="62">
        <f>表2_3671626293034[[#This Row],[累计净值]]</f>
        <v>1.042</v>
      </c>
      <c r="G93" s="20">
        <f>表2_3671626293034[[#This Row],[累计净值]]/$B$21-1</f>
        <v>4.2000000000000037E-2</v>
      </c>
    </row>
    <row r="94" spans="1:7">
      <c r="A94" s="15">
        <v>43809</v>
      </c>
      <c r="B94" s="16">
        <v>1.0449999999999999</v>
      </c>
      <c r="C94" s="73">
        <f t="shared" si="22"/>
        <v>2.9999999999998916E-3</v>
      </c>
      <c r="D94" s="18" t="str">
        <f t="shared" si="23"/>
        <v>/</v>
      </c>
      <c r="E94" s="18">
        <f ca="1">IF(表2_3671626293034[[#This Row],[累计净值]]/MAX(INDIRECT("B21:B" &amp; ROW()))-1&lt;E93,表2_3671626293034[[#This Row],[累计净值]]/MAX(INDIRECT("B21:B" &amp; ROW()))-1,E93)</f>
        <v>-9.7560975609756184E-3</v>
      </c>
      <c r="F94" s="62">
        <f>表2_3671626293034[[#This Row],[累计净值]]</f>
        <v>1.0449999999999999</v>
      </c>
      <c r="G94" s="20">
        <f>表2_3671626293034[[#This Row],[累计净值]]/$B$21-1</f>
        <v>4.4999999999999929E-2</v>
      </c>
    </row>
    <row r="95" spans="1:7">
      <c r="A95" s="15">
        <v>43810</v>
      </c>
      <c r="B95" s="16">
        <v>1.0469999999999999</v>
      </c>
      <c r="C95" s="73">
        <f t="shared" si="22"/>
        <v>2.0000000000000018E-3</v>
      </c>
      <c r="D95" s="18" t="str">
        <f t="shared" si="23"/>
        <v>/</v>
      </c>
      <c r="E95" s="18">
        <f ca="1">IF(表2_3671626293034[[#This Row],[累计净值]]/MAX(INDIRECT("B21:B" &amp; ROW()))-1&lt;E94,表2_3671626293034[[#This Row],[累计净值]]/MAX(INDIRECT("B21:B" &amp; ROW()))-1,E94)</f>
        <v>-9.7560975609756184E-3</v>
      </c>
      <c r="F95" s="62">
        <f>表2_3671626293034[[#This Row],[累计净值]]</f>
        <v>1.0469999999999999</v>
      </c>
      <c r="G95" s="20">
        <f>表2_3671626293034[[#This Row],[累计净值]]/$B$21-1</f>
        <v>4.6999999999999931E-2</v>
      </c>
    </row>
    <row r="96" spans="1:7">
      <c r="A96" s="15">
        <v>43811</v>
      </c>
      <c r="B96" s="76">
        <v>1.05</v>
      </c>
      <c r="C96" s="73">
        <f t="shared" si="22"/>
        <v>3.0000000000001137E-3</v>
      </c>
      <c r="D96" s="18" t="str">
        <f t="shared" si="23"/>
        <v>/</v>
      </c>
      <c r="E96" s="18">
        <f ca="1">IF(表2_3671626293034[[#This Row],[累计净值]]/MAX(INDIRECT("B21:B" &amp; ROW()))-1&lt;E95,表2_3671626293034[[#This Row],[累计净值]]/MAX(INDIRECT("B21:B" &amp; ROW()))-1,E95)</f>
        <v>-9.7560975609756184E-3</v>
      </c>
      <c r="F96" s="62">
        <f>表2_3671626293034[[#This Row],[累计净值]]</f>
        <v>1.05</v>
      </c>
      <c r="G96" s="20">
        <f>表2_3671626293034[[#This Row],[累计净值]]/$B$21-1</f>
        <v>5.0000000000000044E-2</v>
      </c>
    </row>
    <row r="97" spans="1:7">
      <c r="A97" s="15">
        <v>43812</v>
      </c>
      <c r="B97" s="16">
        <v>1.05</v>
      </c>
      <c r="C97" s="73">
        <f t="shared" si="22"/>
        <v>0</v>
      </c>
      <c r="D97" s="18" t="str">
        <f t="shared" si="23"/>
        <v>/</v>
      </c>
      <c r="E97" s="18">
        <f ca="1">IF(表2_3671626293034[[#This Row],[累计净值]]/MAX(INDIRECT("B21:B" &amp; ROW()))-1&lt;E96,表2_3671626293034[[#This Row],[累计净值]]/MAX(INDIRECT("B21:B" &amp; ROW()))-1,E96)</f>
        <v>-9.7560975609756184E-3</v>
      </c>
      <c r="F97" s="62">
        <f>表2_3671626293034[[#This Row],[累计净值]]</f>
        <v>1.05</v>
      </c>
      <c r="G97" s="20">
        <f>表2_3671626293034[[#This Row],[累计净值]]/$B$21-1</f>
        <v>5.0000000000000044E-2</v>
      </c>
    </row>
    <row r="98" spans="1:7">
      <c r="A98" s="15">
        <v>43815</v>
      </c>
      <c r="B98" s="16">
        <v>1.05</v>
      </c>
      <c r="C98" s="73">
        <f>IFERROR(B98-B97,0)</f>
        <v>0</v>
      </c>
      <c r="D98" s="18" t="str">
        <f>IF(C98&lt;0,C98,"/")</f>
        <v>/</v>
      </c>
      <c r="E98" s="18">
        <f ca="1">IF(表2_3671626293034[[#This Row],[累计净值]]/MAX(INDIRECT("B21:B" &amp; ROW()))-1&lt;E97,表2_3671626293034[[#This Row],[累计净值]]/MAX(INDIRECT("B21:B" &amp; ROW()))-1,E97)</f>
        <v>-9.7560975609756184E-3</v>
      </c>
      <c r="F98" s="62">
        <f>表2_3671626293034[[#This Row],[累计净值]]</f>
        <v>1.05</v>
      </c>
      <c r="G98" s="20">
        <f>表2_3671626293034[[#This Row],[累计净值]]/$B$21-1</f>
        <v>5.0000000000000044E-2</v>
      </c>
    </row>
    <row r="99" spans="1:7">
      <c r="A99" s="15">
        <v>43816</v>
      </c>
      <c r="B99" s="16">
        <v>1.05</v>
      </c>
      <c r="C99" s="73">
        <f>IFERROR(B99-B98,0)</f>
        <v>0</v>
      </c>
      <c r="D99" s="18" t="str">
        <f>IF(C99&lt;0,C99,"/")</f>
        <v>/</v>
      </c>
      <c r="E99" s="18">
        <f ca="1">IF(表2_3671626293034[[#This Row],[累计净值]]/MAX(INDIRECT("B21:B" &amp; ROW()))-1&lt;E98,表2_3671626293034[[#This Row],[累计净值]]/MAX(INDIRECT("B21:B" &amp; ROW()))-1,E98)</f>
        <v>-9.7560975609756184E-3</v>
      </c>
      <c r="F99" s="62">
        <f>表2_3671626293034[[#This Row],[累计净值]]</f>
        <v>1.05</v>
      </c>
      <c r="G99" s="20">
        <f>表2_3671626293034[[#This Row],[累计净值]]/$B$21-1</f>
        <v>5.0000000000000044E-2</v>
      </c>
    </row>
    <row r="100" spans="1:7">
      <c r="A100" s="15">
        <v>43817</v>
      </c>
      <c r="B100" s="16">
        <v>1.0489999999999999</v>
      </c>
      <c r="C100" s="73">
        <f>IFERROR(B100-B99,0)</f>
        <v>-1.0000000000001119E-3</v>
      </c>
      <c r="D100" s="18">
        <f>IF(C100&lt;0,C100,"/")</f>
        <v>-1.0000000000001119E-3</v>
      </c>
      <c r="E100" s="18">
        <f ca="1">IF(表2_3671626293034[[#This Row],[累计净值]]/MAX(INDIRECT("B21:B" &amp; ROW()))-1&lt;E99,表2_3671626293034[[#This Row],[累计净值]]/MAX(INDIRECT("B21:B" &amp; ROW()))-1,E99)</f>
        <v>-9.7560975609756184E-3</v>
      </c>
      <c r="F100" s="62">
        <f>表2_3671626293034[[#This Row],[累计净值]]</f>
        <v>1.0489999999999999</v>
      </c>
      <c r="G100" s="20">
        <f>表2_3671626293034[[#This Row],[累计净值]]/$B$21-1</f>
        <v>4.8999999999999932E-2</v>
      </c>
    </row>
    <row r="101" spans="1:7">
      <c r="A101" s="15">
        <v>43818</v>
      </c>
      <c r="B101" s="16">
        <v>1.052</v>
      </c>
      <c r="C101" s="73">
        <f>IFERROR(B101-B100,0)</f>
        <v>3.0000000000001137E-3</v>
      </c>
      <c r="D101" s="18" t="str">
        <f>IF(C101&lt;0,C101,"/")</f>
        <v>/</v>
      </c>
      <c r="E101" s="18">
        <f ca="1">IF(表2_3671626293034[[#This Row],[累计净值]]/MAX(INDIRECT("B21:B" &amp; ROW()))-1&lt;E100,表2_3671626293034[[#This Row],[累计净值]]/MAX(INDIRECT("B21:B" &amp; ROW()))-1,E100)</f>
        <v>-9.7560975609756184E-3</v>
      </c>
      <c r="F101" s="62">
        <f>表2_3671626293034[[#This Row],[累计净值]]</f>
        <v>1.052</v>
      </c>
      <c r="G101" s="20">
        <f>表2_3671626293034[[#This Row],[累计净值]]/$B$21-1</f>
        <v>5.2000000000000046E-2</v>
      </c>
    </row>
    <row r="102" spans="1:7">
      <c r="A102" s="15">
        <v>43819</v>
      </c>
      <c r="B102" s="16">
        <v>1.0509999999999999</v>
      </c>
      <c r="C102" s="73">
        <f>IFERROR(B102-B101,0)</f>
        <v>-1.0000000000001119E-3</v>
      </c>
      <c r="D102" s="18">
        <f>IF(C102&lt;0,C102,"/")</f>
        <v>-1.0000000000001119E-3</v>
      </c>
      <c r="E102" s="18">
        <f ca="1">IF(表2_3671626293034[[#This Row],[累计净值]]/MAX(INDIRECT("B21:B" &amp; ROW()))-1&lt;E101,表2_3671626293034[[#This Row],[累计净值]]/MAX(INDIRECT("B21:B" &amp; ROW()))-1,E101)</f>
        <v>-9.7560975609756184E-3</v>
      </c>
      <c r="F102" s="62">
        <f>表2_3671626293034[[#This Row],[累计净值]]</f>
        <v>1.0509999999999999</v>
      </c>
      <c r="G102" s="20">
        <f>表2_3671626293034[[#This Row],[累计净值]]/$B$21-1</f>
        <v>5.0999999999999934E-2</v>
      </c>
    </row>
    <row r="103" spans="1:7">
      <c r="A103" s="15">
        <v>43822</v>
      </c>
      <c r="B103" s="16">
        <v>1.05</v>
      </c>
      <c r="C103" s="73">
        <f t="shared" ref="C103:C109" si="24">IFERROR(B103-B102,0)</f>
        <v>-9.9999999999988987E-4</v>
      </c>
      <c r="D103" s="18">
        <f t="shared" ref="D103:D109" si="25">IF(C103&lt;0,C103,"/")</f>
        <v>-9.9999999999988987E-4</v>
      </c>
      <c r="E103" s="18">
        <f ca="1">IF(表2_3671626293034[[#This Row],[累计净值]]/MAX(INDIRECT("B21:B" &amp; ROW()))-1&lt;E102,表2_3671626293034[[#This Row],[累计净值]]/MAX(INDIRECT("B21:B" &amp; ROW()))-1,E102)</f>
        <v>-9.7560975609756184E-3</v>
      </c>
      <c r="F103" s="62">
        <f>表2_3671626293034[[#This Row],[累计净值]]</f>
        <v>1.05</v>
      </c>
      <c r="G103" s="20">
        <f>表2_3671626293034[[#This Row],[累计净值]]/$B$21-1</f>
        <v>5.0000000000000044E-2</v>
      </c>
    </row>
    <row r="104" spans="1:7">
      <c r="A104" s="15">
        <v>43823</v>
      </c>
      <c r="B104" s="16">
        <v>1.0549999999999999</v>
      </c>
      <c r="C104" s="73">
        <f t="shared" si="24"/>
        <v>4.9999999999998934E-3</v>
      </c>
      <c r="D104" s="18" t="str">
        <f t="shared" si="25"/>
        <v>/</v>
      </c>
      <c r="E104" s="18">
        <f ca="1">IF(表2_3671626293034[[#This Row],[累计净值]]/MAX(INDIRECT("B21:B" &amp; ROW()))-1&lt;E103,表2_3671626293034[[#This Row],[累计净值]]/MAX(INDIRECT("B21:B" &amp; ROW()))-1,E103)</f>
        <v>-9.7560975609756184E-3</v>
      </c>
      <c r="F104" s="62">
        <f>表2_3671626293034[[#This Row],[累计净值]]</f>
        <v>1.0549999999999999</v>
      </c>
      <c r="G104" s="20">
        <f>表2_3671626293034[[#This Row],[累计净值]]/$B$21-1</f>
        <v>5.4999999999999938E-2</v>
      </c>
    </row>
    <row r="105" spans="1:7">
      <c r="A105" s="15">
        <v>43824</v>
      </c>
      <c r="B105" s="16">
        <v>1.0549999999999999</v>
      </c>
      <c r="C105" s="73">
        <f t="shared" si="24"/>
        <v>0</v>
      </c>
      <c r="D105" s="18" t="str">
        <f t="shared" si="25"/>
        <v>/</v>
      </c>
      <c r="E105" s="18">
        <f ca="1">IF(表2_3671626293034[[#This Row],[累计净值]]/MAX(INDIRECT("B21:B" &amp; ROW()))-1&lt;E104,表2_3671626293034[[#This Row],[累计净值]]/MAX(INDIRECT("B21:B" &amp; ROW()))-1,E104)</f>
        <v>-9.7560975609756184E-3</v>
      </c>
      <c r="F105" s="62">
        <f>表2_3671626293034[[#This Row],[累计净值]]</f>
        <v>1.0549999999999999</v>
      </c>
      <c r="G105" s="20">
        <f>表2_3671626293034[[#This Row],[累计净值]]/$B$21-1</f>
        <v>5.4999999999999938E-2</v>
      </c>
    </row>
    <row r="106" spans="1:7">
      <c r="A106" s="15">
        <v>43825</v>
      </c>
      <c r="B106" s="76">
        <v>1.056</v>
      </c>
      <c r="C106" s="73">
        <f t="shared" si="24"/>
        <v>1.0000000000001119E-3</v>
      </c>
      <c r="D106" s="18" t="str">
        <f t="shared" si="25"/>
        <v>/</v>
      </c>
      <c r="E106" s="18">
        <f ca="1">IF(表2_3671626293034[[#This Row],[累计净值]]/MAX(INDIRECT("B21:B" &amp; ROW()))-1&lt;E105,表2_3671626293034[[#This Row],[累计净值]]/MAX(INDIRECT("B21:B" &amp; ROW()))-1,E105)</f>
        <v>-9.7560975609756184E-3</v>
      </c>
      <c r="F106" s="62">
        <f>表2_3671626293034[[#This Row],[累计净值]]</f>
        <v>1.056</v>
      </c>
      <c r="G106" s="20">
        <f>表2_3671626293034[[#This Row],[累计净值]]/$B$21-1</f>
        <v>5.600000000000005E-2</v>
      </c>
    </row>
    <row r="107" spans="1:7">
      <c r="A107" s="15">
        <v>43826</v>
      </c>
      <c r="B107" s="16">
        <v>1.0549999999999999</v>
      </c>
      <c r="C107" s="73">
        <f t="shared" si="24"/>
        <v>-1.0000000000001119E-3</v>
      </c>
      <c r="D107" s="18">
        <f t="shared" si="25"/>
        <v>-1.0000000000001119E-3</v>
      </c>
      <c r="E107" s="18">
        <f ca="1">IF(表2_3671626293034[[#This Row],[累计净值]]/MAX(INDIRECT("B21:B" &amp; ROW()))-1&lt;E106,表2_3671626293034[[#This Row],[累计净值]]/MAX(INDIRECT("B21:B" &amp; ROW()))-1,E106)</f>
        <v>-9.7560975609756184E-3</v>
      </c>
      <c r="F107" s="62">
        <f>表2_3671626293034[[#This Row],[累计净值]]</f>
        <v>1.0549999999999999</v>
      </c>
      <c r="G107" s="20">
        <f>表2_3671626293034[[#This Row],[累计净值]]/$B$21-1</f>
        <v>5.4999999999999938E-2</v>
      </c>
    </row>
    <row r="108" spans="1:7">
      <c r="A108" s="15">
        <v>43829</v>
      </c>
      <c r="B108" s="16">
        <v>1.0529999999999999</v>
      </c>
      <c r="C108" s="73">
        <f t="shared" si="24"/>
        <v>-2.0000000000000018E-3</v>
      </c>
      <c r="D108" s="18">
        <f t="shared" si="25"/>
        <v>-2.0000000000000018E-3</v>
      </c>
      <c r="E108" s="18">
        <f ca="1">IF(表2_3671626293034[[#This Row],[累计净值]]/MAX(INDIRECT("B21:B" &amp; ROW()))-1&lt;E107,表2_3671626293034[[#This Row],[累计净值]]/MAX(INDIRECT("B21:B" &amp; ROW()))-1,E107)</f>
        <v>-9.7560975609756184E-3</v>
      </c>
      <c r="F108" s="62">
        <f>表2_3671626293034[[#This Row],[累计净值]]</f>
        <v>1.0529999999999999</v>
      </c>
      <c r="G108" s="20">
        <f>表2_3671626293034[[#This Row],[累计净值]]/$B$21-1</f>
        <v>5.2999999999999936E-2</v>
      </c>
    </row>
    <row r="109" spans="1:7">
      <c r="A109" s="15">
        <v>43830</v>
      </c>
      <c r="B109" s="16">
        <v>1.0529999999999999</v>
      </c>
      <c r="C109" s="73">
        <f t="shared" si="24"/>
        <v>0</v>
      </c>
      <c r="D109" s="18" t="str">
        <f t="shared" si="25"/>
        <v>/</v>
      </c>
      <c r="E109" s="18">
        <f ca="1">IF(表2_3671626293034[[#This Row],[累计净值]]/MAX(INDIRECT("B21:B" &amp; ROW()))-1&lt;E108,表2_3671626293034[[#This Row],[累计净值]]/MAX(INDIRECT("B21:B" &amp; ROW()))-1,E108)</f>
        <v>-9.7560975609756184E-3</v>
      </c>
      <c r="F109" s="62">
        <f>表2_3671626293034[[#This Row],[累计净值]]</f>
        <v>1.0529999999999999</v>
      </c>
      <c r="G109" s="20">
        <f>表2_3671626293034[[#This Row],[累计净值]]/$B$21-1</f>
        <v>5.2999999999999936E-2</v>
      </c>
    </row>
    <row r="110" spans="1:7">
      <c r="A110" s="15">
        <v>43832</v>
      </c>
      <c r="B110" s="16">
        <v>1.0549999999999999</v>
      </c>
      <c r="C110" s="73">
        <f t="shared" ref="C110:C115" si="26">IFERROR(B110-B109,0)</f>
        <v>2.0000000000000018E-3</v>
      </c>
      <c r="D110" s="18" t="str">
        <f t="shared" ref="D110:D115" si="27">IF(C110&lt;0,C110,"/")</f>
        <v>/</v>
      </c>
      <c r="E110" s="18">
        <f ca="1">IF(表2_3671626293034[[#This Row],[累计净值]]/MAX(INDIRECT("B21:B" &amp; ROW()))-1&lt;E109,表2_3671626293034[[#This Row],[累计净值]]/MAX(INDIRECT("B21:B" &amp; ROW()))-1,E109)</f>
        <v>-9.7560975609756184E-3</v>
      </c>
      <c r="F110" s="62">
        <f>表2_3671626293034[[#This Row],[累计净值]]</f>
        <v>1.0549999999999999</v>
      </c>
      <c r="G110" s="20">
        <f>表2_3671626293034[[#This Row],[累计净值]]/$B$21-1</f>
        <v>5.4999999999999938E-2</v>
      </c>
    </row>
    <row r="111" spans="1:7">
      <c r="A111" s="15">
        <v>43833</v>
      </c>
      <c r="B111" s="16">
        <v>1.056</v>
      </c>
      <c r="C111" s="73">
        <f t="shared" si="26"/>
        <v>1.0000000000001119E-3</v>
      </c>
      <c r="D111" s="18" t="str">
        <f t="shared" si="27"/>
        <v>/</v>
      </c>
      <c r="E111" s="18">
        <f ca="1">IF(表2_3671626293034[[#This Row],[累计净值]]/MAX(INDIRECT("B21:B" &amp; ROW()))-1&lt;E110,表2_3671626293034[[#This Row],[累计净值]]/MAX(INDIRECT("B21:B" &amp; ROW()))-1,E110)</f>
        <v>-9.7560975609756184E-3</v>
      </c>
      <c r="F111" s="62">
        <f>表2_3671626293034[[#This Row],[累计净值]]</f>
        <v>1.056</v>
      </c>
      <c r="G111" s="20">
        <f>表2_3671626293034[[#This Row],[累计净值]]/$B$21-1</f>
        <v>5.600000000000005E-2</v>
      </c>
    </row>
    <row r="112" spans="1:7">
      <c r="A112" s="15">
        <v>43836</v>
      </c>
      <c r="B112" s="16">
        <v>1.0569999999999999</v>
      </c>
      <c r="C112" s="73">
        <f t="shared" si="26"/>
        <v>9.9999999999988987E-4</v>
      </c>
      <c r="D112" s="18" t="str">
        <f t="shared" si="27"/>
        <v>/</v>
      </c>
      <c r="E112" s="18">
        <f ca="1">IF(表2_3671626293034[[#This Row],[累计净值]]/MAX(INDIRECT("B21:B" &amp; ROW()))-1&lt;E111,表2_3671626293034[[#This Row],[累计净值]]/MAX(INDIRECT("B21:B" &amp; ROW()))-1,E111)</f>
        <v>-9.7560975609756184E-3</v>
      </c>
      <c r="F112" s="62">
        <f>表2_3671626293034[[#This Row],[累计净值]]</f>
        <v>1.0569999999999999</v>
      </c>
      <c r="G112" s="20">
        <f>表2_3671626293034[[#This Row],[累计净值]]/$B$21-1</f>
        <v>5.699999999999994E-2</v>
      </c>
    </row>
    <row r="113" spans="1:7">
      <c r="A113" s="15">
        <v>43837</v>
      </c>
      <c r="B113" s="16">
        <v>1.0580000000000001</v>
      </c>
      <c r="C113" s="73">
        <f t="shared" si="26"/>
        <v>1.0000000000001119E-3</v>
      </c>
      <c r="D113" s="18" t="str">
        <f t="shared" si="27"/>
        <v>/</v>
      </c>
      <c r="E113" s="18">
        <f ca="1">IF(表2_3671626293034[[#This Row],[累计净值]]/MAX(INDIRECT("B21:B" &amp; ROW()))-1&lt;E112,表2_3671626293034[[#This Row],[累计净值]]/MAX(INDIRECT("B21:B" &amp; ROW()))-1,E112)</f>
        <v>-9.7560975609756184E-3</v>
      </c>
      <c r="F113" s="62">
        <f>表2_3671626293034[[#This Row],[累计净值]]</f>
        <v>1.0580000000000001</v>
      </c>
      <c r="G113" s="20">
        <f>表2_3671626293034[[#This Row],[累计净值]]/$B$21-1</f>
        <v>5.8000000000000052E-2</v>
      </c>
    </row>
    <row r="114" spans="1:7">
      <c r="A114" s="15">
        <v>43838</v>
      </c>
      <c r="B114" s="76">
        <v>1.06</v>
      </c>
      <c r="C114" s="73">
        <f t="shared" si="26"/>
        <v>2.0000000000000018E-3</v>
      </c>
      <c r="D114" s="18" t="str">
        <f t="shared" si="27"/>
        <v>/</v>
      </c>
      <c r="E114" s="18">
        <f ca="1">IF(表2_3671626293034[[#This Row],[累计净值]]/MAX(INDIRECT("B21:B" &amp; ROW()))-1&lt;E113,表2_3671626293034[[#This Row],[累计净值]]/MAX(INDIRECT("B21:B" &amp; ROW()))-1,E113)</f>
        <v>-9.7560975609756184E-3</v>
      </c>
      <c r="F114" s="62">
        <f>表2_3671626293034[[#This Row],[累计净值]]</f>
        <v>1.06</v>
      </c>
      <c r="G114" s="20">
        <f>表2_3671626293034[[#This Row],[累计净值]]/$B$21-1</f>
        <v>6.0000000000000053E-2</v>
      </c>
    </row>
    <row r="115" spans="1:7">
      <c r="A115" s="15">
        <v>43839</v>
      </c>
      <c r="B115" s="16">
        <v>1.056</v>
      </c>
      <c r="C115" s="73">
        <f t="shared" si="26"/>
        <v>-4.0000000000000036E-3</v>
      </c>
      <c r="D115" s="18">
        <f t="shared" si="27"/>
        <v>-4.0000000000000036E-3</v>
      </c>
      <c r="E115" s="18">
        <f ca="1">IF(表2_3671626293034[[#This Row],[累计净值]]/MAX(INDIRECT("B21:B" &amp; ROW()))-1&lt;E114,表2_3671626293034[[#This Row],[累计净值]]/MAX(INDIRECT("B21:B" &amp; ROW()))-1,E114)</f>
        <v>-9.7560975609756184E-3</v>
      </c>
      <c r="F115" s="62">
        <f>表2_3671626293034[[#This Row],[累计净值]]</f>
        <v>1.056</v>
      </c>
      <c r="G115" s="20">
        <f>表2_3671626293034[[#This Row],[累计净值]]/$B$21-1</f>
        <v>5.600000000000005E-2</v>
      </c>
    </row>
    <row r="116" spans="1:7">
      <c r="A116" s="15">
        <v>43840</v>
      </c>
      <c r="B116" s="16">
        <v>1.0569999999999999</v>
      </c>
      <c r="C116" s="73">
        <f t="shared" ref="C116:C121" si="28">IFERROR(B116-B115,0)</f>
        <v>9.9999999999988987E-4</v>
      </c>
      <c r="D116" s="18" t="str">
        <f t="shared" ref="D116:D121" si="29">IF(C116&lt;0,C116,"/")</f>
        <v>/</v>
      </c>
      <c r="E116" s="18">
        <f ca="1">IF(表2_3671626293034[[#This Row],[累计净值]]/MAX(INDIRECT("B21:B" &amp; ROW()))-1&lt;E115,表2_3671626293034[[#This Row],[累计净值]]/MAX(INDIRECT("B21:B" &amp; ROW()))-1,E115)</f>
        <v>-9.7560975609756184E-3</v>
      </c>
      <c r="F116" s="62">
        <f>表2_3671626293034[[#This Row],[累计净值]]</f>
        <v>1.0569999999999999</v>
      </c>
      <c r="G116" s="20">
        <f>表2_3671626293034[[#This Row],[累计净值]]/$B$21-1</f>
        <v>5.699999999999994E-2</v>
      </c>
    </row>
    <row r="117" spans="1:7">
      <c r="A117" s="15">
        <v>43843</v>
      </c>
      <c r="B117" s="16">
        <v>1.0589999999999999</v>
      </c>
      <c r="C117" s="73">
        <f t="shared" si="28"/>
        <v>2.0000000000000018E-3</v>
      </c>
      <c r="D117" s="18" t="str">
        <f t="shared" si="29"/>
        <v>/</v>
      </c>
      <c r="E117" s="18">
        <f ca="1">IF(表2_3671626293034[[#This Row],[累计净值]]/MAX(INDIRECT("B21:B" &amp; ROW()))-1&lt;E116,表2_3671626293034[[#This Row],[累计净值]]/MAX(INDIRECT("B21:B" &amp; ROW()))-1,E116)</f>
        <v>-9.7560975609756184E-3</v>
      </c>
      <c r="F117" s="62">
        <f>表2_3671626293034[[#This Row],[累计净值]]</f>
        <v>1.0589999999999999</v>
      </c>
      <c r="G117" s="20">
        <f>表2_3671626293034[[#This Row],[累计净值]]/$B$21-1</f>
        <v>5.8999999999999941E-2</v>
      </c>
    </row>
    <row r="118" spans="1:7">
      <c r="A118" s="15">
        <v>43844</v>
      </c>
      <c r="B118" s="16">
        <v>1.06</v>
      </c>
      <c r="C118" s="73">
        <f t="shared" si="28"/>
        <v>1.0000000000001119E-3</v>
      </c>
      <c r="D118" s="18" t="str">
        <f t="shared" si="29"/>
        <v>/</v>
      </c>
      <c r="E118" s="18">
        <f ca="1">IF(表2_3671626293034[[#This Row],[累计净值]]/MAX(INDIRECT("B21:B" &amp; ROW()))-1&lt;E117,表2_3671626293034[[#This Row],[累计净值]]/MAX(INDIRECT("B21:B" &amp; ROW()))-1,E117)</f>
        <v>-9.7560975609756184E-3</v>
      </c>
      <c r="F118" s="62">
        <f>表2_3671626293034[[#This Row],[累计净值]]</f>
        <v>1.06</v>
      </c>
      <c r="G118" s="20">
        <f>表2_3671626293034[[#This Row],[累计净值]]/$B$21-1</f>
        <v>6.0000000000000053E-2</v>
      </c>
    </row>
    <row r="119" spans="1:7">
      <c r="A119" s="15">
        <v>43845</v>
      </c>
      <c r="B119" s="16">
        <v>1.0589999999999999</v>
      </c>
      <c r="C119" s="73">
        <f t="shared" si="28"/>
        <v>-1.0000000000001119E-3</v>
      </c>
      <c r="D119" s="18">
        <f t="shared" si="29"/>
        <v>-1.0000000000001119E-3</v>
      </c>
      <c r="E119" s="18">
        <f ca="1">IF(表2_3671626293034[[#This Row],[累计净值]]/MAX(INDIRECT("B21:B" &amp; ROW()))-1&lt;E118,表2_3671626293034[[#This Row],[累计净值]]/MAX(INDIRECT("B21:B" &amp; ROW()))-1,E118)</f>
        <v>-9.7560975609756184E-3</v>
      </c>
      <c r="F119" s="62">
        <f>表2_3671626293034[[#This Row],[累计净值]]</f>
        <v>1.0589999999999999</v>
      </c>
      <c r="G119" s="20">
        <f>表2_3671626293034[[#This Row],[累计净值]]/$B$21-1</f>
        <v>5.8999999999999941E-2</v>
      </c>
    </row>
    <row r="120" spans="1:7">
      <c r="A120" s="15">
        <v>43846</v>
      </c>
      <c r="B120" s="16">
        <v>1.0609999999999999</v>
      </c>
      <c r="C120" s="73">
        <f t="shared" si="28"/>
        <v>2.0000000000000018E-3</v>
      </c>
      <c r="D120" s="18" t="str">
        <f t="shared" si="29"/>
        <v>/</v>
      </c>
      <c r="E120" s="18">
        <f ca="1">IF(表2_3671626293034[[#This Row],[累计净值]]/MAX(INDIRECT("B21:B" &amp; ROW()))-1&lt;E119,表2_3671626293034[[#This Row],[累计净值]]/MAX(INDIRECT("B21:B" &amp; ROW()))-1,E119)</f>
        <v>-9.7560975609756184E-3</v>
      </c>
      <c r="F120" s="62">
        <f>表2_3671626293034[[#This Row],[累计净值]]</f>
        <v>1.0609999999999999</v>
      </c>
      <c r="G120" s="20">
        <f>表2_3671626293034[[#This Row],[累计净值]]/$B$21-1</f>
        <v>6.0999999999999943E-2</v>
      </c>
    </row>
    <row r="121" spans="1:7">
      <c r="A121" s="15">
        <v>43847</v>
      </c>
      <c r="B121" s="16">
        <v>1.0609999999999999</v>
      </c>
      <c r="C121" s="73">
        <f t="shared" si="28"/>
        <v>0</v>
      </c>
      <c r="D121" s="18" t="str">
        <f t="shared" si="29"/>
        <v>/</v>
      </c>
      <c r="E121" s="18">
        <f ca="1">IF(表2_3671626293034[[#This Row],[累计净值]]/MAX(INDIRECT("B21:B" &amp; ROW()))-1&lt;E120,表2_3671626293034[[#This Row],[累计净值]]/MAX(INDIRECT("B21:B" &amp; ROW()))-1,E120)</f>
        <v>-9.7560975609756184E-3</v>
      </c>
      <c r="F121" s="62">
        <f>表2_3671626293034[[#This Row],[累计净值]]</f>
        <v>1.0609999999999999</v>
      </c>
      <c r="G121" s="20">
        <f>表2_3671626293034[[#This Row],[累计净值]]/$B$21-1</f>
        <v>6.0999999999999943E-2</v>
      </c>
    </row>
    <row r="122" spans="1:7">
      <c r="A122" s="15">
        <v>43850</v>
      </c>
      <c r="B122" s="76">
        <v>1.0649999999999999</v>
      </c>
      <c r="C122" s="73">
        <f t="shared" ref="C122:C128" si="30">IFERROR(B122-B121,0)</f>
        <v>4.0000000000000036E-3</v>
      </c>
      <c r="D122" s="18" t="str">
        <f t="shared" ref="D122:D128" si="31">IF(C122&lt;0,C122,"/")</f>
        <v>/</v>
      </c>
      <c r="E122" s="18">
        <f ca="1">IF(表2_3671626293034[[#This Row],[累计净值]]/MAX(INDIRECT("B21:B" &amp; ROW()))-1&lt;E121,表2_3671626293034[[#This Row],[累计净值]]/MAX(INDIRECT("B21:B" &amp; ROW()))-1,E121)</f>
        <v>-9.7560975609756184E-3</v>
      </c>
      <c r="F122" s="62">
        <f>表2_3671626293034[[#This Row],[累计净值]]</f>
        <v>1.0649999999999999</v>
      </c>
      <c r="G122" s="20">
        <f>表2_3671626293034[[#This Row],[累计净值]]/$B$21-1</f>
        <v>6.4999999999999947E-2</v>
      </c>
    </row>
    <row r="123" spans="1:7">
      <c r="A123" s="15">
        <v>43851</v>
      </c>
      <c r="B123" s="16">
        <v>1.0649999999999999</v>
      </c>
      <c r="C123" s="73">
        <f t="shared" si="30"/>
        <v>0</v>
      </c>
      <c r="D123" s="18" t="str">
        <f t="shared" si="31"/>
        <v>/</v>
      </c>
      <c r="E123" s="18">
        <f ca="1">IF(表2_3671626293034[[#This Row],[累计净值]]/MAX(INDIRECT("B21:B" &amp; ROW()))-1&lt;E122,表2_3671626293034[[#This Row],[累计净值]]/MAX(INDIRECT("B21:B" &amp; ROW()))-1,E122)</f>
        <v>-9.7560975609756184E-3</v>
      </c>
      <c r="F123" s="62">
        <f>表2_3671626293034[[#This Row],[累计净值]]</f>
        <v>1.0649999999999999</v>
      </c>
      <c r="G123" s="20">
        <f>表2_3671626293034[[#This Row],[累计净值]]/$B$21-1</f>
        <v>6.4999999999999947E-2</v>
      </c>
    </row>
    <row r="124" spans="1:7">
      <c r="A124" s="15">
        <v>43852</v>
      </c>
      <c r="B124" s="16">
        <v>1.0649999999999999</v>
      </c>
      <c r="C124" s="73">
        <f t="shared" si="30"/>
        <v>0</v>
      </c>
      <c r="D124" s="18" t="str">
        <f t="shared" si="31"/>
        <v>/</v>
      </c>
      <c r="E124" s="18">
        <f ca="1">IF(表2_3671626293034[[#This Row],[累计净值]]/MAX(INDIRECT("B21:B" &amp; ROW()))-1&lt;E123,表2_3671626293034[[#This Row],[累计净值]]/MAX(INDIRECT("B21:B" &amp; ROW()))-1,E123)</f>
        <v>-9.7560975609756184E-3</v>
      </c>
      <c r="F124" s="62">
        <f>表2_3671626293034[[#This Row],[累计净值]]</f>
        <v>1.0649999999999999</v>
      </c>
      <c r="G124" s="20">
        <f>表2_3671626293034[[#This Row],[累计净值]]/$B$21-1</f>
        <v>6.4999999999999947E-2</v>
      </c>
    </row>
    <row r="125" spans="1:7">
      <c r="A125" s="15">
        <v>43853</v>
      </c>
      <c r="B125" s="16">
        <v>1.0649999999999999</v>
      </c>
      <c r="C125" s="73">
        <f t="shared" si="30"/>
        <v>0</v>
      </c>
      <c r="D125" s="18" t="str">
        <f t="shared" si="31"/>
        <v>/</v>
      </c>
      <c r="E125" s="18">
        <f ca="1">IF(表2_3671626293034[[#This Row],[累计净值]]/MAX(INDIRECT("B21:B" &amp; ROW()))-1&lt;E124,表2_3671626293034[[#This Row],[累计净值]]/MAX(INDIRECT("B21:B" &amp; ROW()))-1,E124)</f>
        <v>-9.7560975609756184E-3</v>
      </c>
      <c r="F125" s="62">
        <f>表2_3671626293034[[#This Row],[累计净值]]</f>
        <v>1.0649999999999999</v>
      </c>
      <c r="G125" s="20">
        <f>表2_3671626293034[[#This Row],[累计净值]]/$B$21-1</f>
        <v>6.4999999999999947E-2</v>
      </c>
    </row>
    <row r="126" spans="1:7">
      <c r="A126" s="15">
        <v>43864</v>
      </c>
      <c r="B126" s="16">
        <v>1.0649999999999999</v>
      </c>
      <c r="C126" s="73">
        <f t="shared" si="30"/>
        <v>0</v>
      </c>
      <c r="D126" s="18" t="str">
        <f t="shared" si="31"/>
        <v>/</v>
      </c>
      <c r="E126" s="18">
        <f ca="1">IF(表2_3671626293034[[#This Row],[累计净值]]/MAX(INDIRECT("B21:B" &amp; ROW()))-1&lt;E125,表2_3671626293034[[#This Row],[累计净值]]/MAX(INDIRECT("B21:B" &amp; ROW()))-1,E125)</f>
        <v>-9.7560975609756184E-3</v>
      </c>
      <c r="F126" s="62">
        <f>表2_3671626293034[[#This Row],[累计净值]]</f>
        <v>1.0649999999999999</v>
      </c>
      <c r="G126" s="20">
        <f>表2_3671626293034[[#This Row],[累计净值]]/$B$21-1</f>
        <v>6.4999999999999947E-2</v>
      </c>
    </row>
    <row r="127" spans="1:7">
      <c r="A127" s="15">
        <v>43865</v>
      </c>
      <c r="B127" s="16">
        <v>1.0649999999999999</v>
      </c>
      <c r="C127" s="73">
        <f t="shared" si="30"/>
        <v>0</v>
      </c>
      <c r="D127" s="18" t="str">
        <f t="shared" si="31"/>
        <v>/</v>
      </c>
      <c r="E127" s="18">
        <f ca="1">IF(表2_3671626293034[[#This Row],[累计净值]]/MAX(INDIRECT("B21:B" &amp; ROW()))-1&lt;E126,表2_3671626293034[[#This Row],[累计净值]]/MAX(INDIRECT("B21:B" &amp; ROW()))-1,E126)</f>
        <v>-9.7560975609756184E-3</v>
      </c>
      <c r="F127" s="62">
        <f>表2_3671626293034[[#This Row],[累计净值]]</f>
        <v>1.0649999999999999</v>
      </c>
      <c r="G127" s="20">
        <f>表2_3671626293034[[#This Row],[累计净值]]/$B$21-1</f>
        <v>6.4999999999999947E-2</v>
      </c>
    </row>
    <row r="128" spans="1:7">
      <c r="A128" s="15">
        <v>43866</v>
      </c>
      <c r="B128" s="16">
        <v>1.0649999999999999</v>
      </c>
      <c r="C128" s="73">
        <f t="shared" si="30"/>
        <v>0</v>
      </c>
      <c r="D128" s="18" t="str">
        <f t="shared" si="31"/>
        <v>/</v>
      </c>
      <c r="E128" s="18">
        <f ca="1">IF(表2_3671626293034[[#This Row],[累计净值]]/MAX(INDIRECT("B21:B" &amp; ROW()))-1&lt;E127,表2_3671626293034[[#This Row],[累计净值]]/MAX(INDIRECT("B21:B" &amp; ROW()))-1,E127)</f>
        <v>-9.7560975609756184E-3</v>
      </c>
      <c r="F128" s="62">
        <f>表2_3671626293034[[#This Row],[累计净值]]</f>
        <v>1.0649999999999999</v>
      </c>
      <c r="G128" s="20">
        <f>表2_3671626293034[[#This Row],[累计净值]]/$B$21-1</f>
        <v>6.4999999999999947E-2</v>
      </c>
    </row>
    <row r="129" spans="1:7">
      <c r="A129" s="15">
        <v>43867</v>
      </c>
      <c r="B129" s="16">
        <v>1.0649999999999999</v>
      </c>
      <c r="C129" s="73">
        <f t="shared" ref="C129:C134" si="32">IFERROR(B129-B128,0)</f>
        <v>0</v>
      </c>
      <c r="D129" s="18" t="str">
        <f t="shared" ref="D129:D134" si="33">IF(C129&lt;0,C129,"/")</f>
        <v>/</v>
      </c>
      <c r="E129" s="18">
        <f ca="1">IF(表2_3671626293034[[#This Row],[累计净值]]/MAX(INDIRECT("B21:B" &amp; ROW()))-1&lt;E128,表2_3671626293034[[#This Row],[累计净值]]/MAX(INDIRECT("B21:B" &amp; ROW()))-1,E128)</f>
        <v>-9.7560975609756184E-3</v>
      </c>
      <c r="F129" s="62">
        <f>表2_3671626293034[[#This Row],[累计净值]]</f>
        <v>1.0649999999999999</v>
      </c>
      <c r="G129" s="20">
        <f>表2_3671626293034[[#This Row],[累计净值]]/$B$21-1</f>
        <v>6.4999999999999947E-2</v>
      </c>
    </row>
    <row r="130" spans="1:7">
      <c r="A130" s="15">
        <v>43868</v>
      </c>
      <c r="B130" s="16">
        <v>1.0649999999999999</v>
      </c>
      <c r="C130" s="73">
        <f t="shared" si="32"/>
        <v>0</v>
      </c>
      <c r="D130" s="18" t="str">
        <f t="shared" si="33"/>
        <v>/</v>
      </c>
      <c r="E130" s="18">
        <f ca="1">IF(表2_3671626293034[[#This Row],[累计净值]]/MAX(INDIRECT("B21:B" &amp; ROW()))-1&lt;E129,表2_3671626293034[[#This Row],[累计净值]]/MAX(INDIRECT("B21:B" &amp; ROW()))-1,E129)</f>
        <v>-9.7560975609756184E-3</v>
      </c>
      <c r="F130" s="62">
        <f>表2_3671626293034[[#This Row],[累计净值]]</f>
        <v>1.0649999999999999</v>
      </c>
      <c r="G130" s="20">
        <f>表2_3671626293034[[#This Row],[累计净值]]/$B$21-1</f>
        <v>6.4999999999999947E-2</v>
      </c>
    </row>
    <row r="131" spans="1:7">
      <c r="A131" s="15">
        <v>43871</v>
      </c>
      <c r="B131" s="16">
        <v>1.0649999999999999</v>
      </c>
      <c r="C131" s="73">
        <f t="shared" si="32"/>
        <v>0</v>
      </c>
      <c r="D131" s="18" t="str">
        <f t="shared" si="33"/>
        <v>/</v>
      </c>
      <c r="E131" s="18">
        <f ca="1">IF(表2_3671626293034[[#This Row],[累计净值]]/MAX(INDIRECT("B21:B" &amp; ROW()))-1&lt;E130,表2_3671626293034[[#This Row],[累计净值]]/MAX(INDIRECT("B21:B" &amp; ROW()))-1,E130)</f>
        <v>-9.7560975609756184E-3</v>
      </c>
      <c r="F131" s="62">
        <f>表2_3671626293034[[#This Row],[累计净值]]</f>
        <v>1.0649999999999999</v>
      </c>
      <c r="G131" s="20">
        <f>表2_3671626293034[[#This Row],[累计净值]]/$B$21-1</f>
        <v>6.4999999999999947E-2</v>
      </c>
    </row>
    <row r="132" spans="1:7">
      <c r="A132" s="15">
        <v>43872</v>
      </c>
      <c r="B132" s="16">
        <v>1.0660000000000001</v>
      </c>
      <c r="C132" s="73">
        <f t="shared" si="32"/>
        <v>1.0000000000001119E-3</v>
      </c>
      <c r="D132" s="18" t="str">
        <f t="shared" si="33"/>
        <v>/</v>
      </c>
      <c r="E132" s="18">
        <f ca="1">IF(表2_3671626293034[[#This Row],[累计净值]]/MAX(INDIRECT("B21:B" &amp; ROW()))-1&lt;E131,表2_3671626293034[[#This Row],[累计净值]]/MAX(INDIRECT("B21:B" &amp; ROW()))-1,E131)</f>
        <v>-9.7560975609756184E-3</v>
      </c>
      <c r="F132" s="62">
        <f>表2_3671626293034[[#This Row],[累计净值]]</f>
        <v>1.0660000000000001</v>
      </c>
      <c r="G132" s="20">
        <f>表2_3671626293034[[#This Row],[累计净值]]/$B$21-1</f>
        <v>6.6000000000000059E-2</v>
      </c>
    </row>
    <row r="133" spans="1:7">
      <c r="A133" s="15">
        <v>43873</v>
      </c>
      <c r="B133" s="16">
        <v>1.0680000000000001</v>
      </c>
      <c r="C133" s="73">
        <f t="shared" si="32"/>
        <v>2.0000000000000018E-3</v>
      </c>
      <c r="D133" s="18" t="str">
        <f t="shared" si="33"/>
        <v>/</v>
      </c>
      <c r="E133" s="18">
        <f ca="1">IF(表2_3671626293034[[#This Row],[累计净值]]/MAX(INDIRECT("B21:B" &amp; ROW()))-1&lt;E132,表2_3671626293034[[#This Row],[累计净值]]/MAX(INDIRECT("B21:B" &amp; ROW()))-1,E132)</f>
        <v>-9.7560975609756184E-3</v>
      </c>
      <c r="F133" s="62">
        <f>表2_3671626293034[[#This Row],[累计净值]]</f>
        <v>1.0680000000000001</v>
      </c>
      <c r="G133" s="20">
        <f>表2_3671626293034[[#This Row],[累计净值]]/$B$21-1</f>
        <v>6.800000000000006E-2</v>
      </c>
    </row>
    <row r="134" spans="1:7">
      <c r="A134" s="15">
        <v>43874</v>
      </c>
      <c r="B134" s="76">
        <v>1.0680000000000001</v>
      </c>
      <c r="C134" s="73">
        <f t="shared" si="32"/>
        <v>0</v>
      </c>
      <c r="D134" s="18" t="str">
        <f t="shared" si="33"/>
        <v>/</v>
      </c>
      <c r="E134" s="18">
        <f ca="1">IF(表2_3671626293034[[#This Row],[累计净值]]/MAX(INDIRECT("B21:B" &amp; ROW()))-1&lt;E133,表2_3671626293034[[#This Row],[累计净值]]/MAX(INDIRECT("B21:B" &amp; ROW()))-1,E133)</f>
        <v>-9.7560975609756184E-3</v>
      </c>
      <c r="F134" s="62">
        <f>表2_3671626293034[[#This Row],[累计净值]]</f>
        <v>1.0680000000000001</v>
      </c>
      <c r="G134" s="20">
        <f>表2_3671626293034[[#This Row],[累计净值]]/$B$21-1</f>
        <v>6.800000000000006E-2</v>
      </c>
    </row>
    <row r="135" spans="1:7">
      <c r="A135" s="15">
        <v>43875</v>
      </c>
      <c r="B135" s="16">
        <v>1.0669999999999999</v>
      </c>
      <c r="C135" s="73">
        <f t="shared" ref="C135:C140" si="34">IFERROR(B135-B134,0)</f>
        <v>-1.0000000000001119E-3</v>
      </c>
      <c r="D135" s="18">
        <f t="shared" ref="D135:D140" si="35">IF(C135&lt;0,C135,"/")</f>
        <v>-1.0000000000001119E-3</v>
      </c>
      <c r="E135" s="18">
        <f ca="1">IF(表2_3671626293034[[#This Row],[累计净值]]/MAX(INDIRECT("B21:B" &amp; ROW()))-1&lt;E134,表2_3671626293034[[#This Row],[累计净值]]/MAX(INDIRECT("B21:B" &amp; ROW()))-1,E134)</f>
        <v>-9.7560975609756184E-3</v>
      </c>
      <c r="F135" s="62">
        <f>表2_3671626293034[[#This Row],[累计净值]]</f>
        <v>1.0669999999999999</v>
      </c>
      <c r="G135" s="20">
        <f>表2_3671626293034[[#This Row],[累计净值]]/$B$21-1</f>
        <v>6.6999999999999948E-2</v>
      </c>
    </row>
    <row r="136" spans="1:7">
      <c r="A136" s="15">
        <v>43878</v>
      </c>
      <c r="B136" s="16">
        <v>1.0669999999999999</v>
      </c>
      <c r="C136" s="73">
        <f t="shared" si="34"/>
        <v>0</v>
      </c>
      <c r="D136" s="18" t="str">
        <f t="shared" si="35"/>
        <v>/</v>
      </c>
      <c r="E136" s="18">
        <f ca="1">IF(表2_3671626293034[[#This Row],[累计净值]]/MAX(INDIRECT("B21:B" &amp; ROW()))-1&lt;E135,表2_3671626293034[[#This Row],[累计净值]]/MAX(INDIRECT("B21:B" &amp; ROW()))-1,E135)</f>
        <v>-9.7560975609756184E-3</v>
      </c>
      <c r="F136" s="62">
        <f>表2_3671626293034[[#This Row],[累计净值]]</f>
        <v>1.0669999999999999</v>
      </c>
      <c r="G136" s="20">
        <f>表2_3671626293034[[#This Row],[累计净值]]/$B$21-1</f>
        <v>6.6999999999999948E-2</v>
      </c>
    </row>
    <row r="137" spans="1:7">
      <c r="A137" s="15">
        <v>43879</v>
      </c>
      <c r="B137" s="91">
        <v>1.0669999999999999</v>
      </c>
      <c r="C137" s="73">
        <f t="shared" si="34"/>
        <v>0</v>
      </c>
      <c r="D137" s="18" t="str">
        <f t="shared" si="35"/>
        <v>/</v>
      </c>
      <c r="E137" s="18">
        <f ca="1">IF(表2_3671626293034[[#This Row],[累计净值]]/MAX(INDIRECT("B21:B" &amp; ROW()))-1&lt;E136,表2_3671626293034[[#This Row],[累计净值]]/MAX(INDIRECT("B21:B" &amp; ROW()))-1,E136)</f>
        <v>-9.7560975609756184E-3</v>
      </c>
      <c r="F137" s="62">
        <f>表2_3671626293034[[#This Row],[累计净值]]</f>
        <v>1.0669999999999999</v>
      </c>
      <c r="G137" s="20">
        <f>表2_3671626293034[[#This Row],[累计净值]]/$B$21-1</f>
        <v>6.6999999999999948E-2</v>
      </c>
    </row>
    <row r="138" spans="1:7">
      <c r="A138" s="15">
        <v>43880</v>
      </c>
      <c r="B138" s="16">
        <v>1.069</v>
      </c>
      <c r="C138" s="73">
        <f t="shared" si="34"/>
        <v>2.0000000000000018E-3</v>
      </c>
      <c r="D138" s="18" t="str">
        <f t="shared" si="35"/>
        <v>/</v>
      </c>
      <c r="E138" s="18">
        <f ca="1">IF(表2_3671626293034[[#This Row],[累计净值]]/MAX(INDIRECT("B21:B" &amp; ROW()))-1&lt;E137,表2_3671626293034[[#This Row],[累计净值]]/MAX(INDIRECT("B21:B" &amp; ROW()))-1,E137)</f>
        <v>-9.7560975609756184E-3</v>
      </c>
      <c r="F138" s="62">
        <f>表2_3671626293034[[#This Row],[累计净值]]</f>
        <v>1.069</v>
      </c>
      <c r="G138" s="20">
        <f>表2_3671626293034[[#This Row],[累计净值]]/$B$21-1</f>
        <v>6.899999999999995E-2</v>
      </c>
    </row>
    <row r="139" spans="1:7">
      <c r="A139" s="15">
        <v>43881</v>
      </c>
      <c r="B139" s="16">
        <v>1.07</v>
      </c>
      <c r="C139" s="73">
        <f t="shared" si="34"/>
        <v>1.0000000000001119E-3</v>
      </c>
      <c r="D139" s="18" t="str">
        <f t="shared" si="35"/>
        <v>/</v>
      </c>
      <c r="E139" s="18">
        <f ca="1">IF(表2_3671626293034[[#This Row],[累计净值]]/MAX(INDIRECT("B21:B" &amp; ROW()))-1&lt;E138,表2_3671626293034[[#This Row],[累计净值]]/MAX(INDIRECT("B21:B" &amp; ROW()))-1,E138)</f>
        <v>-9.7560975609756184E-3</v>
      </c>
      <c r="F139" s="62">
        <f>表2_3671626293034[[#This Row],[累计净值]]</f>
        <v>1.07</v>
      </c>
      <c r="G139" s="20">
        <f>表2_3671626293034[[#This Row],[累计净值]]/$B$21-1</f>
        <v>7.0000000000000062E-2</v>
      </c>
    </row>
    <row r="140" spans="1:7">
      <c r="A140" s="15">
        <v>43882</v>
      </c>
      <c r="B140" s="16">
        <v>1.0720000000000001</v>
      </c>
      <c r="C140" s="73">
        <f t="shared" si="34"/>
        <v>2.0000000000000018E-3</v>
      </c>
      <c r="D140" s="18" t="str">
        <f t="shared" si="35"/>
        <v>/</v>
      </c>
      <c r="E140" s="18">
        <f ca="1">IF(表2_3671626293034[[#This Row],[累计净值]]/MAX(INDIRECT("B21:B" &amp; ROW()))-1&lt;E139,表2_3671626293034[[#This Row],[累计净值]]/MAX(INDIRECT("B21:B" &amp; ROW()))-1,E139)</f>
        <v>-9.7560975609756184E-3</v>
      </c>
      <c r="F140" s="62">
        <f>表2_3671626293034[[#This Row],[累计净值]]</f>
        <v>1.0720000000000001</v>
      </c>
      <c r="G140" s="20">
        <f>表2_3671626293034[[#This Row],[累计净值]]/$B$21-1</f>
        <v>7.2000000000000064E-2</v>
      </c>
    </row>
    <row r="141" spans="1:7">
      <c r="A141" s="15">
        <v>43885</v>
      </c>
      <c r="B141" s="16">
        <v>1.073</v>
      </c>
      <c r="C141" s="73">
        <f t="shared" ref="C141:C146" si="36">IFERROR(B141-B140,0)</f>
        <v>9.9999999999988987E-4</v>
      </c>
      <c r="D141" s="18" t="str">
        <f t="shared" ref="D141:D146" si="37">IF(C141&lt;0,C141,"/")</f>
        <v>/</v>
      </c>
      <c r="E141" s="18">
        <f ca="1">IF(表2_3671626293034[[#This Row],[累计净值]]/MAX(INDIRECT("B21:B" &amp; ROW()))-1&lt;E140,表2_3671626293034[[#This Row],[累计净值]]/MAX(INDIRECT("B21:B" &amp; ROW()))-1,E140)</f>
        <v>-9.7560975609756184E-3</v>
      </c>
      <c r="F141" s="62">
        <f>表2_3671626293034[[#This Row],[累计净值]]</f>
        <v>1.073</v>
      </c>
      <c r="G141" s="20">
        <f>表2_3671626293034[[#This Row],[累计净值]]/$B$21-1</f>
        <v>7.2999999999999954E-2</v>
      </c>
    </row>
    <row r="142" spans="1:7">
      <c r="A142" s="15">
        <v>43886</v>
      </c>
      <c r="B142" s="16">
        <v>1.075</v>
      </c>
      <c r="C142" s="73">
        <f t="shared" si="36"/>
        <v>2.0000000000000018E-3</v>
      </c>
      <c r="D142" s="18" t="str">
        <f t="shared" si="37"/>
        <v>/</v>
      </c>
      <c r="E142" s="18">
        <f ca="1">IF(表2_3671626293034[[#This Row],[累计净值]]/MAX(INDIRECT("B21:B" &amp; ROW()))-1&lt;E141,表2_3671626293034[[#This Row],[累计净值]]/MAX(INDIRECT("B21:B" &amp; ROW()))-1,E141)</f>
        <v>-9.7560975609756184E-3</v>
      </c>
      <c r="F142" s="62">
        <f>表2_3671626293034[[#This Row],[累计净值]]</f>
        <v>1.075</v>
      </c>
      <c r="G142" s="20">
        <f>表2_3671626293034[[#This Row],[累计净值]]/$B$21-1</f>
        <v>7.4999999999999956E-2</v>
      </c>
    </row>
    <row r="143" spans="1:7">
      <c r="A143" s="15">
        <v>43887</v>
      </c>
      <c r="B143" s="76">
        <v>1.0760000000000001</v>
      </c>
      <c r="C143" s="73">
        <f t="shared" si="36"/>
        <v>1.0000000000001119E-3</v>
      </c>
      <c r="D143" s="18" t="str">
        <f t="shared" si="37"/>
        <v>/</v>
      </c>
      <c r="E143" s="18">
        <f ca="1">IF(表2_3671626293034[[#This Row],[累计净值]]/MAX(INDIRECT("B21:B" &amp; ROW()))-1&lt;E142,表2_3671626293034[[#This Row],[累计净值]]/MAX(INDIRECT("B21:B" &amp; ROW()))-1,E142)</f>
        <v>-9.7560975609756184E-3</v>
      </c>
      <c r="F143" s="62">
        <f>表2_3671626293034[[#This Row],[累计净值]]</f>
        <v>1.0760000000000001</v>
      </c>
      <c r="G143" s="20">
        <f>表2_3671626293034[[#This Row],[累计净值]]/$B$21-1</f>
        <v>7.6000000000000068E-2</v>
      </c>
    </row>
    <row r="144" spans="1:7">
      <c r="A144" s="15">
        <v>43888</v>
      </c>
      <c r="B144" s="16">
        <v>1.073</v>
      </c>
      <c r="C144" s="73">
        <f t="shared" si="36"/>
        <v>-3.0000000000001137E-3</v>
      </c>
      <c r="D144" s="18">
        <f t="shared" si="37"/>
        <v>-3.0000000000001137E-3</v>
      </c>
      <c r="E144" s="18">
        <f ca="1">IF(表2_3671626293034[[#This Row],[累计净值]]/MAX(INDIRECT("B21:B" &amp; ROW()))-1&lt;E143,表2_3671626293034[[#This Row],[累计净值]]/MAX(INDIRECT("B21:B" &amp; ROW()))-1,E143)</f>
        <v>-9.7560975609756184E-3</v>
      </c>
      <c r="F144" s="62">
        <f>表2_3671626293034[[#This Row],[累计净值]]</f>
        <v>1.073</v>
      </c>
      <c r="G144" s="20">
        <f>表2_3671626293034[[#This Row],[累计净值]]/$B$21-1</f>
        <v>7.2999999999999954E-2</v>
      </c>
    </row>
    <row r="145" spans="1:7">
      <c r="A145" s="15">
        <v>43889</v>
      </c>
      <c r="B145" s="16">
        <v>1.0720000000000001</v>
      </c>
      <c r="C145" s="73">
        <f t="shared" si="36"/>
        <v>-9.9999999999988987E-4</v>
      </c>
      <c r="D145" s="18">
        <f t="shared" si="37"/>
        <v>-9.9999999999988987E-4</v>
      </c>
      <c r="E145" s="18">
        <f ca="1">IF(表2_3671626293034[[#This Row],[累计净值]]/MAX(INDIRECT("B21:B" &amp; ROW()))-1&lt;E144,表2_3671626293034[[#This Row],[累计净值]]/MAX(INDIRECT("B21:B" &amp; ROW()))-1,E144)</f>
        <v>-9.7560975609756184E-3</v>
      </c>
      <c r="F145" s="62">
        <f>表2_3671626293034[[#This Row],[累计净值]]</f>
        <v>1.0720000000000001</v>
      </c>
      <c r="G145" s="20">
        <f>表2_3671626293034[[#This Row],[累计净值]]/$B$21-1</f>
        <v>7.2000000000000064E-2</v>
      </c>
    </row>
    <row r="146" spans="1:7">
      <c r="A146" s="15">
        <v>43892</v>
      </c>
      <c r="B146" s="16">
        <v>1.069</v>
      </c>
      <c r="C146" s="73">
        <f t="shared" si="36"/>
        <v>-3.0000000000001137E-3</v>
      </c>
      <c r="D146" s="18">
        <f t="shared" si="37"/>
        <v>-3.0000000000001137E-3</v>
      </c>
      <c r="E146" s="18">
        <f ca="1">IF(表2_3671626293034[[#This Row],[累计净值]]/MAX(INDIRECT("B21:B" &amp; ROW()))-1&lt;E145,表2_3671626293034[[#This Row],[累计净值]]/MAX(INDIRECT("B21:B" &amp; ROW()))-1,E145)</f>
        <v>-9.7560975609756184E-3</v>
      </c>
      <c r="F146" s="62">
        <f>表2_3671626293034[[#This Row],[累计净值]]</f>
        <v>1.069</v>
      </c>
      <c r="G146" s="20">
        <f>表2_3671626293034[[#This Row],[累计净值]]/$B$21-1</f>
        <v>6.899999999999995E-2</v>
      </c>
    </row>
    <row r="147" spans="1:7">
      <c r="A147" s="15">
        <v>43893</v>
      </c>
      <c r="B147" s="16">
        <v>1.069</v>
      </c>
      <c r="C147" s="73">
        <f>IFERROR(B147-B146,0)</f>
        <v>0</v>
      </c>
      <c r="D147" s="18" t="str">
        <f>IF(C147&lt;0,C147,"/")</f>
        <v>/</v>
      </c>
      <c r="E147" s="18">
        <f ca="1">IF(表2_3671626293034[[#This Row],[累计净值]]/MAX(INDIRECT("B21:B" &amp; ROW()))-1&lt;E146,表2_3671626293034[[#This Row],[累计净值]]/MAX(INDIRECT("B21:B" &amp; ROW()))-1,E146)</f>
        <v>-9.7560975609756184E-3</v>
      </c>
      <c r="F147" s="62">
        <f>表2_3671626293034[[#This Row],[累计净值]]</f>
        <v>1.069</v>
      </c>
      <c r="G147" s="20">
        <f>表2_3671626293034[[#This Row],[累计净值]]/$B$21-1</f>
        <v>6.899999999999995E-2</v>
      </c>
    </row>
    <row r="148" spans="1:7">
      <c r="A148" s="15">
        <v>43894</v>
      </c>
      <c r="B148" s="16">
        <v>1.069</v>
      </c>
      <c r="C148" s="73">
        <f>IFERROR(B148-B147,0)</f>
        <v>0</v>
      </c>
      <c r="D148" s="18" t="str">
        <f>IF(C148&lt;0,C148,"/")</f>
        <v>/</v>
      </c>
      <c r="E148" s="18">
        <f ca="1">IF(表2_3671626293034[[#This Row],[累计净值]]/MAX(INDIRECT("B21:B" &amp; ROW()))-1&lt;E147,表2_3671626293034[[#This Row],[累计净值]]/MAX(INDIRECT("B21:B" &amp; ROW()))-1,E147)</f>
        <v>-9.7560975609756184E-3</v>
      </c>
      <c r="F148" s="62">
        <f>表2_3671626293034[[#This Row],[累计净值]]</f>
        <v>1.069</v>
      </c>
      <c r="G148" s="20">
        <f>表2_3671626293034[[#This Row],[累计净值]]/$B$21-1</f>
        <v>6.899999999999995E-2</v>
      </c>
    </row>
    <row r="149" spans="1:7">
      <c r="A149" s="15">
        <v>43895</v>
      </c>
      <c r="B149" s="16">
        <v>1.0720000000000001</v>
      </c>
      <c r="C149" s="73">
        <f t="shared" ref="C149:C154" si="38">IFERROR(B149-B148,0)</f>
        <v>3.0000000000001137E-3</v>
      </c>
      <c r="D149" s="18" t="str">
        <f t="shared" ref="D149:D154" si="39">IF(C149&lt;0,C149,"/")</f>
        <v>/</v>
      </c>
      <c r="E149" s="18">
        <f ca="1">IF(表2_3671626293034[[#This Row],[累计净值]]/MAX(INDIRECT("B21:B" &amp; ROW()))-1&lt;E148,表2_3671626293034[[#This Row],[累计净值]]/MAX(INDIRECT("B21:B" &amp; ROW()))-1,E148)</f>
        <v>-9.7560975609756184E-3</v>
      </c>
      <c r="F149" s="62">
        <f>表2_3671626293034[[#This Row],[累计净值]]</f>
        <v>1.0720000000000001</v>
      </c>
      <c r="G149" s="20">
        <f>表2_3671626293034[[#This Row],[累计净值]]/$B$21-1</f>
        <v>7.2000000000000064E-2</v>
      </c>
    </row>
    <row r="150" spans="1:7">
      <c r="A150" s="15">
        <v>43896</v>
      </c>
      <c r="B150" s="16">
        <v>1.0740000000000001</v>
      </c>
      <c r="C150" s="73">
        <f t="shared" si="38"/>
        <v>2.0000000000000018E-3</v>
      </c>
      <c r="D150" s="18" t="str">
        <f t="shared" si="39"/>
        <v>/</v>
      </c>
      <c r="E150" s="18">
        <f ca="1">IF(表2_3671626293034[[#This Row],[累计净值]]/MAX(INDIRECT("B21:B" &amp; ROW()))-1&lt;E149,表2_3671626293034[[#This Row],[累计净值]]/MAX(INDIRECT("B21:B" &amp; ROW()))-1,E149)</f>
        <v>-9.7560975609756184E-3</v>
      </c>
      <c r="F150" s="62">
        <f>表2_3671626293034[[#This Row],[累计净值]]</f>
        <v>1.0740000000000001</v>
      </c>
      <c r="G150" s="20">
        <f>表2_3671626293034[[#This Row],[累计净值]]/$B$21-1</f>
        <v>7.4000000000000066E-2</v>
      </c>
    </row>
    <row r="151" spans="1:7">
      <c r="A151" s="15">
        <v>43899</v>
      </c>
      <c r="B151" s="16">
        <v>1.0740000000000001</v>
      </c>
      <c r="C151" s="73">
        <f t="shared" si="38"/>
        <v>0</v>
      </c>
      <c r="D151" s="18" t="str">
        <f t="shared" si="39"/>
        <v>/</v>
      </c>
      <c r="E151" s="18">
        <f ca="1">IF(表2_3671626293034[[#This Row],[累计净值]]/MAX(INDIRECT("B21:B" &amp; ROW()))-1&lt;E150,表2_3671626293034[[#This Row],[累计净值]]/MAX(INDIRECT("B21:B" &amp; ROW()))-1,E150)</f>
        <v>-9.7560975609756184E-3</v>
      </c>
      <c r="F151" s="62">
        <f>表2_3671626293034[[#This Row],[累计净值]]</f>
        <v>1.0740000000000001</v>
      </c>
      <c r="G151" s="20">
        <f>表2_3671626293034[[#This Row],[累计净值]]/$B$21-1</f>
        <v>7.4000000000000066E-2</v>
      </c>
    </row>
    <row r="152" spans="1:7">
      <c r="A152" s="15">
        <v>43900</v>
      </c>
      <c r="B152" s="16">
        <v>1.0760000000000001</v>
      </c>
      <c r="C152" s="73">
        <f t="shared" si="38"/>
        <v>2.0000000000000018E-3</v>
      </c>
      <c r="D152" s="18" t="str">
        <f t="shared" si="39"/>
        <v>/</v>
      </c>
      <c r="E152" s="18">
        <f ca="1">IF(表2_3671626293034[[#This Row],[累计净值]]/MAX(INDIRECT("B21:B" &amp; ROW()))-1&lt;E151,表2_3671626293034[[#This Row],[累计净值]]/MAX(INDIRECT("B21:B" &amp; ROW()))-1,E151)</f>
        <v>-9.7560975609756184E-3</v>
      </c>
      <c r="F152" s="62">
        <f>表2_3671626293034[[#This Row],[累计净值]]</f>
        <v>1.0760000000000001</v>
      </c>
      <c r="G152" s="20">
        <f>表2_3671626293034[[#This Row],[累计净值]]/$B$21-1</f>
        <v>7.6000000000000068E-2</v>
      </c>
    </row>
    <row r="153" spans="1:7">
      <c r="A153" s="15">
        <v>43901</v>
      </c>
      <c r="B153" s="16">
        <v>1.0840000000000001</v>
      </c>
      <c r="C153" s="73">
        <f t="shared" si="38"/>
        <v>8.0000000000000071E-3</v>
      </c>
      <c r="D153" s="18" t="str">
        <f t="shared" si="39"/>
        <v>/</v>
      </c>
      <c r="E153" s="18">
        <f ca="1">IF(表2_3671626293034[[#This Row],[累计净值]]/MAX(INDIRECT("B21:B" &amp; ROW()))-1&lt;E152,表2_3671626293034[[#This Row],[累计净值]]/MAX(INDIRECT("B21:B" &amp; ROW()))-1,E152)</f>
        <v>-9.7560975609756184E-3</v>
      </c>
      <c r="F153" s="62">
        <f>表2_3671626293034[[#This Row],[累计净值]]</f>
        <v>1.0840000000000001</v>
      </c>
      <c r="G153" s="20">
        <f>表2_3671626293034[[#This Row],[累计净值]]/$B$21-1</f>
        <v>8.4000000000000075E-2</v>
      </c>
    </row>
    <row r="154" spans="1:7">
      <c r="A154" s="15">
        <v>43902</v>
      </c>
      <c r="B154" s="16">
        <v>1.0820000000000001</v>
      </c>
      <c r="C154" s="73">
        <f t="shared" si="38"/>
        <v>-2.0000000000000018E-3</v>
      </c>
      <c r="D154" s="18">
        <f t="shared" si="39"/>
        <v>-2.0000000000000018E-3</v>
      </c>
      <c r="E154" s="18">
        <f ca="1">IF(表2_3671626293034[[#This Row],[累计净值]]/MAX(INDIRECT("B21:B" &amp; ROW()))-1&lt;E153,表2_3671626293034[[#This Row],[累计净值]]/MAX(INDIRECT("B21:B" &amp; ROW()))-1,E153)</f>
        <v>-9.7560975609756184E-3</v>
      </c>
      <c r="F154" s="62">
        <f>表2_3671626293034[[#This Row],[累计净值]]</f>
        <v>1.0820000000000001</v>
      </c>
      <c r="G154" s="20">
        <f>表2_3671626293034[[#This Row],[累计净值]]/$B$21-1</f>
        <v>8.2000000000000073E-2</v>
      </c>
    </row>
    <row r="155" spans="1:7">
      <c r="A155" s="15">
        <v>43903</v>
      </c>
      <c r="B155" s="76">
        <v>1.0880000000000001</v>
      </c>
      <c r="C155" s="73">
        <f t="shared" ref="C155:C161" si="40">IFERROR(B155-B154,0)</f>
        <v>6.0000000000000053E-3</v>
      </c>
      <c r="D155" s="18" t="str">
        <f t="shared" ref="D155:D161" si="41">IF(C155&lt;0,C155,"/")</f>
        <v>/</v>
      </c>
      <c r="E155" s="18">
        <f ca="1">IF(表2_3671626293034[[#This Row],[累计净值]]/MAX(INDIRECT("B21:B" &amp; ROW()))-1&lt;E154,表2_3671626293034[[#This Row],[累计净值]]/MAX(INDIRECT("B21:B" &amp; ROW()))-1,E154)</f>
        <v>-9.7560975609756184E-3</v>
      </c>
      <c r="F155" s="62">
        <f>表2_3671626293034[[#This Row],[累计净值]]</f>
        <v>1.0880000000000001</v>
      </c>
      <c r="G155" s="20">
        <f>表2_3671626293034[[#This Row],[累计净值]]/$B$21-1</f>
        <v>8.8000000000000078E-2</v>
      </c>
    </row>
    <row r="156" spans="1:7">
      <c r="A156" s="15">
        <v>43906</v>
      </c>
      <c r="B156" s="16">
        <v>1.0840000000000001</v>
      </c>
      <c r="C156" s="73">
        <f t="shared" si="40"/>
        <v>-4.0000000000000036E-3</v>
      </c>
      <c r="D156" s="18">
        <f t="shared" si="41"/>
        <v>-4.0000000000000036E-3</v>
      </c>
      <c r="E156" s="18">
        <f ca="1">IF(表2_3671626293034[[#This Row],[累计净值]]/MAX(INDIRECT("B21:B" &amp; ROW()))-1&lt;E155,表2_3671626293034[[#This Row],[累计净值]]/MAX(INDIRECT("B21:B" &amp; ROW()))-1,E155)</f>
        <v>-9.7560975609756184E-3</v>
      </c>
      <c r="F156" s="62">
        <f>表2_3671626293034[[#This Row],[累计净值]]</f>
        <v>1.0840000000000001</v>
      </c>
      <c r="G156" s="20">
        <f>表2_3671626293034[[#This Row],[累计净值]]/$B$21-1</f>
        <v>8.4000000000000075E-2</v>
      </c>
    </row>
    <row r="157" spans="1:7">
      <c r="A157" s="15">
        <v>43907</v>
      </c>
      <c r="B157" s="16">
        <v>1.0880000000000001</v>
      </c>
      <c r="C157" s="73">
        <f t="shared" si="40"/>
        <v>4.0000000000000036E-3</v>
      </c>
      <c r="D157" s="18" t="str">
        <f t="shared" si="41"/>
        <v>/</v>
      </c>
      <c r="E157" s="18">
        <f ca="1">IF(表2_3671626293034[[#This Row],[累计净值]]/MAX(INDIRECT("B21:B" &amp; ROW()))-1&lt;E156,表2_3671626293034[[#This Row],[累计净值]]/MAX(INDIRECT("B21:B" &amp; ROW()))-1,E156)</f>
        <v>-9.7560975609756184E-3</v>
      </c>
      <c r="F157" s="62">
        <f>表2_3671626293034[[#This Row],[累计净值]]</f>
        <v>1.0880000000000001</v>
      </c>
      <c r="G157" s="20">
        <f>表2_3671626293034[[#This Row],[累计净值]]/$B$21-1</f>
        <v>8.8000000000000078E-2</v>
      </c>
    </row>
    <row r="158" spans="1:7">
      <c r="A158" s="15">
        <v>43908</v>
      </c>
      <c r="B158" s="16">
        <v>1.0940000000000001</v>
      </c>
      <c r="C158" s="73">
        <f t="shared" si="40"/>
        <v>6.0000000000000053E-3</v>
      </c>
      <c r="D158" s="18" t="str">
        <f t="shared" si="41"/>
        <v>/</v>
      </c>
      <c r="E158" s="18">
        <f ca="1">IF(表2_3671626293034[[#This Row],[累计净值]]/MAX(INDIRECT("B21:B" &amp; ROW()))-1&lt;E157,表2_3671626293034[[#This Row],[累计净值]]/MAX(INDIRECT("B21:B" &amp; ROW()))-1,E157)</f>
        <v>-9.7560975609756184E-3</v>
      </c>
      <c r="F158" s="62">
        <f>表2_3671626293034[[#This Row],[累计净值]]</f>
        <v>1.0940000000000001</v>
      </c>
      <c r="G158" s="20">
        <f>表2_3671626293034[[#This Row],[累计净值]]/$B$21-1</f>
        <v>9.4000000000000083E-2</v>
      </c>
    </row>
    <row r="159" spans="1:7">
      <c r="A159" s="15">
        <v>43909</v>
      </c>
      <c r="B159" s="16">
        <v>1.101</v>
      </c>
      <c r="C159" s="73">
        <f t="shared" si="40"/>
        <v>6.9999999999998952E-3</v>
      </c>
      <c r="D159" s="18" t="str">
        <f t="shared" si="41"/>
        <v>/</v>
      </c>
      <c r="E159" s="18">
        <f ca="1">IF(表2_3671626293034[[#This Row],[累计净值]]/MAX(INDIRECT("B21:B" &amp; ROW()))-1&lt;E158,表2_3671626293034[[#This Row],[累计净值]]/MAX(INDIRECT("B21:B" &amp; ROW()))-1,E158)</f>
        <v>-9.7560975609756184E-3</v>
      </c>
      <c r="F159" s="62">
        <f>表2_3671626293034[[#This Row],[累计净值]]</f>
        <v>1.101</v>
      </c>
      <c r="G159" s="20">
        <f>表2_3671626293034[[#This Row],[累计净值]]/$B$21-1</f>
        <v>0.10099999999999998</v>
      </c>
    </row>
    <row r="160" spans="1:7">
      <c r="A160" s="15">
        <v>43910</v>
      </c>
      <c r="B160" s="76">
        <v>1.107</v>
      </c>
      <c r="C160" s="73">
        <f t="shared" si="40"/>
        <v>6.0000000000000053E-3</v>
      </c>
      <c r="D160" s="18" t="str">
        <f t="shared" si="41"/>
        <v>/</v>
      </c>
      <c r="E160" s="18">
        <f ca="1">IF(表2_3671626293034[[#This Row],[累计净值]]/MAX(INDIRECT("B21:B" &amp; ROW()))-1&lt;E159,表2_3671626293034[[#This Row],[累计净值]]/MAX(INDIRECT("B21:B" &amp; ROW()))-1,E159)</f>
        <v>-9.7560975609756184E-3</v>
      </c>
      <c r="F160" s="62">
        <f>表2_3671626293034[[#This Row],[累计净值]]</f>
        <v>1.107</v>
      </c>
      <c r="G160" s="20">
        <f>表2_3671626293034[[#This Row],[累计净值]]/$B$21-1</f>
        <v>0.10699999999999998</v>
      </c>
    </row>
    <row r="161" spans="1:7">
      <c r="A161" s="15">
        <v>43913</v>
      </c>
      <c r="B161" s="16">
        <v>1.103</v>
      </c>
      <c r="C161" s="73">
        <f t="shared" si="40"/>
        <v>-4.0000000000000036E-3</v>
      </c>
      <c r="D161" s="18">
        <f t="shared" si="41"/>
        <v>-4.0000000000000036E-3</v>
      </c>
      <c r="E161" s="18">
        <f ca="1">IF(表2_3671626293034[[#This Row],[累计净值]]/MAX(INDIRECT("B21:B" &amp; ROW()))-1&lt;E160,表2_3671626293034[[#This Row],[累计净值]]/MAX(INDIRECT("B21:B" &amp; ROW()))-1,E160)</f>
        <v>-9.7560975609756184E-3</v>
      </c>
      <c r="F161" s="62">
        <f>表2_3671626293034[[#This Row],[累计净值]]</f>
        <v>1.103</v>
      </c>
      <c r="G161" s="20">
        <f>表2_3671626293034[[#This Row],[累计净值]]/$B$21-1</f>
        <v>0.10299999999999998</v>
      </c>
    </row>
    <row r="162" spans="1:7">
      <c r="A162" s="15">
        <v>43914</v>
      </c>
      <c r="B162" s="16">
        <v>1.1060000000000001</v>
      </c>
      <c r="C162" s="73">
        <f t="shared" ref="C162:C168" si="42">IFERROR(B162-B161,0)</f>
        <v>3.0000000000001137E-3</v>
      </c>
      <c r="D162" s="18" t="str">
        <f t="shared" ref="D162:D168" si="43">IF(C162&lt;0,C162,"/")</f>
        <v>/</v>
      </c>
      <c r="E162" s="18">
        <f ca="1">IF(表2_3671626293034[[#This Row],[累计净值]]/MAX(INDIRECT("B21:B" &amp; ROW()))-1&lt;E161,表2_3671626293034[[#This Row],[累计净值]]/MAX(INDIRECT("B21:B" &amp; ROW()))-1,E161)</f>
        <v>-9.7560975609756184E-3</v>
      </c>
      <c r="F162" s="62">
        <f>表2_3671626293034[[#This Row],[累计净值]]</f>
        <v>1.1060000000000001</v>
      </c>
      <c r="G162" s="20">
        <f>表2_3671626293034[[#This Row],[累计净值]]/$B$21-1</f>
        <v>0.10600000000000009</v>
      </c>
    </row>
    <row r="163" spans="1:7">
      <c r="A163" s="15">
        <v>43915</v>
      </c>
      <c r="B163" s="76">
        <v>1.1080000000000001</v>
      </c>
      <c r="C163" s="73">
        <f t="shared" si="42"/>
        <v>2.0000000000000018E-3</v>
      </c>
      <c r="D163" s="18" t="str">
        <f t="shared" si="43"/>
        <v>/</v>
      </c>
      <c r="E163" s="18">
        <f ca="1">IF(表2_3671626293034[[#This Row],[累计净值]]/MAX(INDIRECT("B21:B" &amp; ROW()))-1&lt;E162,表2_3671626293034[[#This Row],[累计净值]]/MAX(INDIRECT("B21:B" &amp; ROW()))-1,E162)</f>
        <v>-9.7560975609756184E-3</v>
      </c>
      <c r="F163" s="62">
        <f>表2_3671626293034[[#This Row],[累计净值]]</f>
        <v>1.1080000000000001</v>
      </c>
      <c r="G163" s="20">
        <f>表2_3671626293034[[#This Row],[累计净值]]/$B$21-1</f>
        <v>0.1080000000000001</v>
      </c>
    </row>
    <row r="164" spans="1:7">
      <c r="A164" s="15">
        <v>43916</v>
      </c>
      <c r="B164" s="16">
        <v>1.101</v>
      </c>
      <c r="C164" s="73">
        <f t="shared" si="42"/>
        <v>-7.0000000000001172E-3</v>
      </c>
      <c r="D164" s="18">
        <f t="shared" si="43"/>
        <v>-7.0000000000001172E-3</v>
      </c>
      <c r="E164" s="18">
        <f ca="1">IF(表2_3671626293034[[#This Row],[累计净值]]/MAX(INDIRECT("B21:B" &amp; ROW()))-1&lt;E163,表2_3671626293034[[#This Row],[累计净值]]/MAX(INDIRECT("B21:B" &amp; ROW()))-1,E163)</f>
        <v>-9.7560975609756184E-3</v>
      </c>
      <c r="F164" s="62">
        <f>表2_3671626293034[[#This Row],[累计净值]]</f>
        <v>1.101</v>
      </c>
      <c r="G164" s="20">
        <f>表2_3671626293034[[#This Row],[累计净值]]/$B$21-1</f>
        <v>0.10099999999999998</v>
      </c>
    </row>
    <row r="165" spans="1:7">
      <c r="A165" s="15">
        <v>43917</v>
      </c>
      <c r="B165" s="16">
        <v>1.1060000000000001</v>
      </c>
      <c r="C165" s="73">
        <f t="shared" si="42"/>
        <v>5.0000000000001155E-3</v>
      </c>
      <c r="D165" s="18" t="str">
        <f t="shared" si="43"/>
        <v>/</v>
      </c>
      <c r="E165" s="18">
        <f ca="1">IF(表2_3671626293034[[#This Row],[累计净值]]/MAX(INDIRECT("B21:B" &amp; ROW()))-1&lt;E164,表2_3671626293034[[#This Row],[累计净值]]/MAX(INDIRECT("B21:B" &amp; ROW()))-1,E164)</f>
        <v>-9.7560975609756184E-3</v>
      </c>
      <c r="F165" s="62">
        <f>表2_3671626293034[[#This Row],[累计净值]]</f>
        <v>1.1060000000000001</v>
      </c>
      <c r="G165" s="20">
        <f>表2_3671626293034[[#This Row],[累计净值]]/$B$21-1</f>
        <v>0.10600000000000009</v>
      </c>
    </row>
    <row r="166" spans="1:7">
      <c r="A166" s="15">
        <v>43920</v>
      </c>
      <c r="B166" s="16">
        <v>1.1100000000000001</v>
      </c>
      <c r="C166" s="73">
        <f t="shared" si="42"/>
        <v>4.0000000000000036E-3</v>
      </c>
      <c r="D166" s="18" t="str">
        <f t="shared" si="43"/>
        <v>/</v>
      </c>
      <c r="E166" s="18">
        <f ca="1">IF(表2_3671626293034[[#This Row],[累计净值]]/MAX(INDIRECT("B21:B" &amp; ROW()))-1&lt;E165,表2_3671626293034[[#This Row],[累计净值]]/MAX(INDIRECT("B21:B" &amp; ROW()))-1,E165)</f>
        <v>-9.7560975609756184E-3</v>
      </c>
      <c r="F166" s="62">
        <f>表2_3671626293034[[#This Row],[累计净值]]</f>
        <v>1.1100000000000001</v>
      </c>
      <c r="G166" s="20">
        <f>表2_3671626293034[[#This Row],[累计净值]]/$B$21-1</f>
        <v>0.1100000000000001</v>
      </c>
    </row>
    <row r="167" spans="1:7">
      <c r="A167" s="15">
        <v>43921</v>
      </c>
      <c r="B167" s="16">
        <v>1.1120000000000001</v>
      </c>
      <c r="C167" s="73">
        <f t="shared" si="42"/>
        <v>2.0000000000000018E-3</v>
      </c>
      <c r="D167" s="18" t="str">
        <f t="shared" si="43"/>
        <v>/</v>
      </c>
      <c r="E167" s="18">
        <f ca="1">IF(表2_3671626293034[[#This Row],[累计净值]]/MAX(INDIRECT("B21:B" &amp; ROW()))-1&lt;E166,表2_3671626293034[[#This Row],[累计净值]]/MAX(INDIRECT("B21:B" &amp; ROW()))-1,E166)</f>
        <v>-9.7560975609756184E-3</v>
      </c>
      <c r="F167" s="62">
        <f>表2_3671626293034[[#This Row],[累计净值]]</f>
        <v>1.1120000000000001</v>
      </c>
      <c r="G167" s="20">
        <f>表2_3671626293034[[#This Row],[累计净值]]/$B$21-1</f>
        <v>0.1120000000000001</v>
      </c>
    </row>
    <row r="168" spans="1:7">
      <c r="A168" s="15">
        <v>43922</v>
      </c>
      <c r="B168" s="16">
        <v>1.115</v>
      </c>
      <c r="C168" s="73">
        <f t="shared" si="42"/>
        <v>2.9999999999998916E-3</v>
      </c>
      <c r="D168" s="18" t="str">
        <f t="shared" si="43"/>
        <v>/</v>
      </c>
      <c r="E168" s="18">
        <f ca="1">IF(表2_3671626293034[[#This Row],[累计净值]]/MAX(INDIRECT("B21:B" &amp; ROW()))-1&lt;E167,表2_3671626293034[[#This Row],[累计净值]]/MAX(INDIRECT("B21:B" &amp; ROW()))-1,E167)</f>
        <v>-9.7560975609756184E-3</v>
      </c>
      <c r="F168" s="62">
        <f>表2_3671626293034[[#This Row],[累计净值]]</f>
        <v>1.115</v>
      </c>
      <c r="G168" s="20">
        <f>表2_3671626293034[[#This Row],[累计净值]]/$B$21-1</f>
        <v>0.11499999999999999</v>
      </c>
    </row>
    <row r="169" spans="1:7">
      <c r="A169" s="15">
        <v>43923</v>
      </c>
      <c r="B169" s="16">
        <v>1.119</v>
      </c>
      <c r="C169" s="73">
        <f t="shared" ref="C169:C174" si="44">IFERROR(B169-B168,0)</f>
        <v>4.0000000000000036E-3</v>
      </c>
      <c r="D169" s="18" t="str">
        <f t="shared" ref="D169:D174" si="45">IF(C169&lt;0,C169,"/")</f>
        <v>/</v>
      </c>
      <c r="E169" s="18">
        <f ca="1">IF(表2_3671626293034[[#This Row],[累计净值]]/MAX(INDIRECT("B21:B" &amp; ROW()))-1&lt;E168,表2_3671626293034[[#This Row],[累计净值]]/MAX(INDIRECT("B21:B" &amp; ROW()))-1,E168)</f>
        <v>-9.7560975609756184E-3</v>
      </c>
      <c r="F169" s="62">
        <f>表2_3671626293034[[#This Row],[累计净值]]</f>
        <v>1.119</v>
      </c>
      <c r="G169" s="20">
        <f>表2_3671626293034[[#This Row],[累计净值]]/$B$21-1</f>
        <v>0.11899999999999999</v>
      </c>
    </row>
    <row r="170" spans="1:7">
      <c r="A170" s="15">
        <v>43924</v>
      </c>
      <c r="B170" s="16">
        <v>1.1200000000000001</v>
      </c>
      <c r="C170" s="73">
        <f t="shared" si="44"/>
        <v>1.0000000000001119E-3</v>
      </c>
      <c r="D170" s="18" t="str">
        <f t="shared" si="45"/>
        <v>/</v>
      </c>
      <c r="E170" s="18">
        <f ca="1">IF(表2_3671626293034[[#This Row],[累计净值]]/MAX(INDIRECT("B21:B" &amp; ROW()))-1&lt;E169,表2_3671626293034[[#This Row],[累计净值]]/MAX(INDIRECT("B21:B" &amp; ROW()))-1,E169)</f>
        <v>-9.7560975609756184E-3</v>
      </c>
      <c r="F170" s="62">
        <f>表2_3671626293034[[#This Row],[累计净值]]</f>
        <v>1.1200000000000001</v>
      </c>
      <c r="G170" s="20">
        <f>表2_3671626293034[[#This Row],[累计净值]]/$B$21-1</f>
        <v>0.12000000000000011</v>
      </c>
    </row>
    <row r="171" spans="1:7">
      <c r="A171" s="15">
        <v>43928</v>
      </c>
      <c r="B171" s="16">
        <v>1.1220000000000001</v>
      </c>
      <c r="C171" s="73">
        <f t="shared" si="44"/>
        <v>2.0000000000000018E-3</v>
      </c>
      <c r="D171" s="18" t="str">
        <f t="shared" si="45"/>
        <v>/</v>
      </c>
      <c r="E171" s="18">
        <f ca="1">IF(表2_3671626293034[[#This Row],[累计净值]]/MAX(INDIRECT("B21:B" &amp; ROW()))-1&lt;E170,表2_3671626293034[[#This Row],[累计净值]]/MAX(INDIRECT("B21:B" &amp; ROW()))-1,E170)</f>
        <v>-9.7560975609756184E-3</v>
      </c>
      <c r="F171" s="62">
        <f>表2_3671626293034[[#This Row],[累计净值]]</f>
        <v>1.1220000000000001</v>
      </c>
      <c r="G171" s="20">
        <f>表2_3671626293034[[#This Row],[累计净值]]/$B$21-1</f>
        <v>0.12200000000000011</v>
      </c>
    </row>
    <row r="172" spans="1:7">
      <c r="A172" s="15">
        <v>43929</v>
      </c>
      <c r="B172" s="76">
        <v>1.1240000000000001</v>
      </c>
      <c r="C172" s="73">
        <f t="shared" si="44"/>
        <v>2.0000000000000018E-3</v>
      </c>
      <c r="D172" s="18" t="str">
        <f t="shared" si="45"/>
        <v>/</v>
      </c>
      <c r="E172" s="18">
        <f ca="1">IF(表2_3671626293034[[#This Row],[累计净值]]/MAX(INDIRECT("B21:B" &amp; ROW()))-1&lt;E171,表2_3671626293034[[#This Row],[累计净值]]/MAX(INDIRECT("B21:B" &amp; ROW()))-1,E171)</f>
        <v>-9.7560975609756184E-3</v>
      </c>
      <c r="F172" s="62">
        <f>表2_3671626293034[[#This Row],[累计净值]]</f>
        <v>1.1240000000000001</v>
      </c>
      <c r="G172" s="20">
        <f>表2_3671626293034[[#This Row],[累计净值]]/$B$21-1</f>
        <v>0.12400000000000011</v>
      </c>
    </row>
    <row r="173" spans="1:7">
      <c r="A173" s="15">
        <v>43930</v>
      </c>
      <c r="B173" s="16">
        <v>1.121</v>
      </c>
      <c r="C173" s="73">
        <f t="shared" si="44"/>
        <v>-3.0000000000001137E-3</v>
      </c>
      <c r="D173" s="18">
        <f t="shared" si="45"/>
        <v>-3.0000000000001137E-3</v>
      </c>
      <c r="E173" s="18">
        <f ca="1">IF(表2_3671626293034[[#This Row],[累计净值]]/MAX(INDIRECT("B21:B" &amp; ROW()))-1&lt;E172,表2_3671626293034[[#This Row],[累计净值]]/MAX(INDIRECT("B21:B" &amp; ROW()))-1,E172)</f>
        <v>-9.7560975609756184E-3</v>
      </c>
      <c r="F173" s="62">
        <f>表2_3671626293034[[#This Row],[累计净值]]</f>
        <v>1.121</v>
      </c>
      <c r="G173" s="20">
        <f>表2_3671626293034[[#This Row],[累计净值]]/$B$21-1</f>
        <v>0.121</v>
      </c>
    </row>
    <row r="174" spans="1:7">
      <c r="A174" s="15">
        <v>43931</v>
      </c>
      <c r="B174" s="16">
        <v>1.121</v>
      </c>
      <c r="C174" s="73">
        <f t="shared" si="44"/>
        <v>0</v>
      </c>
      <c r="D174" s="18" t="str">
        <f t="shared" si="45"/>
        <v>/</v>
      </c>
      <c r="E174" s="18">
        <f ca="1">IF(表2_3671626293034[[#This Row],[累计净值]]/MAX(INDIRECT("B21:B" &amp; ROW()))-1&lt;E173,表2_3671626293034[[#This Row],[累计净值]]/MAX(INDIRECT("B21:B" &amp; ROW()))-1,E173)</f>
        <v>-9.7560975609756184E-3</v>
      </c>
      <c r="F174" s="62">
        <f>表2_3671626293034[[#This Row],[累计净值]]</f>
        <v>1.121</v>
      </c>
      <c r="G174" s="20">
        <f>表2_3671626293034[[#This Row],[累计净值]]/$B$21-1</f>
        <v>0.121</v>
      </c>
    </row>
    <row r="175" spans="1:7">
      <c r="A175" s="15">
        <v>43934</v>
      </c>
      <c r="B175" s="16">
        <v>1.1200000000000001</v>
      </c>
      <c r="C175" s="73">
        <f t="shared" ref="C175:C180" si="46">IFERROR(B175-B174,0)</f>
        <v>-9.9999999999988987E-4</v>
      </c>
      <c r="D175" s="18">
        <f t="shared" ref="D175:D180" si="47">IF(C175&lt;0,C175,"/")</f>
        <v>-9.9999999999988987E-4</v>
      </c>
      <c r="E175" s="18">
        <f ca="1">IF(表2_3671626293034[[#This Row],[累计净值]]/MAX(INDIRECT("B21:B" &amp; ROW()))-1&lt;E174,表2_3671626293034[[#This Row],[累计净值]]/MAX(INDIRECT("B21:B" &amp; ROW()))-1,E174)</f>
        <v>-9.7560975609756184E-3</v>
      </c>
      <c r="F175" s="62">
        <f>表2_3671626293034[[#This Row],[累计净值]]</f>
        <v>1.1200000000000001</v>
      </c>
      <c r="G175" s="20">
        <f>表2_3671626293034[[#This Row],[累计净值]]/$B$21-1</f>
        <v>0.12000000000000011</v>
      </c>
    </row>
    <row r="176" spans="1:7">
      <c r="A176" s="15">
        <v>43935</v>
      </c>
      <c r="B176" s="16">
        <v>1.1220000000000001</v>
      </c>
      <c r="C176" s="73">
        <f t="shared" si="46"/>
        <v>2.0000000000000018E-3</v>
      </c>
      <c r="D176" s="18" t="str">
        <f t="shared" si="47"/>
        <v>/</v>
      </c>
      <c r="E176" s="18">
        <f ca="1">IF(表2_3671626293034[[#This Row],[累计净值]]/MAX(INDIRECT("B21:B" &amp; ROW()))-1&lt;E175,表2_3671626293034[[#This Row],[累计净值]]/MAX(INDIRECT("B21:B" &amp; ROW()))-1,E175)</f>
        <v>-9.7560975609756184E-3</v>
      </c>
      <c r="F176" s="62">
        <f>表2_3671626293034[[#This Row],[累计净值]]</f>
        <v>1.1220000000000001</v>
      </c>
      <c r="G176" s="20">
        <f>表2_3671626293034[[#This Row],[累计净值]]/$B$21-1</f>
        <v>0.12200000000000011</v>
      </c>
    </row>
    <row r="177" spans="1:7">
      <c r="A177" s="15">
        <v>43936</v>
      </c>
      <c r="B177" s="16">
        <v>1.127</v>
      </c>
      <c r="C177" s="73">
        <f t="shared" si="46"/>
        <v>4.9999999999998934E-3</v>
      </c>
      <c r="D177" s="18" t="str">
        <f t="shared" si="47"/>
        <v>/</v>
      </c>
      <c r="E177" s="18">
        <f ca="1">IF(表2_3671626293034[[#This Row],[累计净值]]/MAX(INDIRECT("B21:B" &amp; ROW()))-1&lt;E176,表2_3671626293034[[#This Row],[累计净值]]/MAX(INDIRECT("B21:B" &amp; ROW()))-1,E176)</f>
        <v>-9.7560975609756184E-3</v>
      </c>
      <c r="F177" s="62">
        <f>表2_3671626293034[[#This Row],[累计净值]]</f>
        <v>1.127</v>
      </c>
      <c r="G177" s="20">
        <f>表2_3671626293034[[#This Row],[累计净值]]/$B$21-1</f>
        <v>0.127</v>
      </c>
    </row>
    <row r="178" spans="1:7">
      <c r="A178" s="15">
        <v>43937</v>
      </c>
      <c r="B178" s="96">
        <v>1.135</v>
      </c>
      <c r="C178" s="94">
        <f t="shared" si="46"/>
        <v>8.0000000000000071E-3</v>
      </c>
      <c r="D178" s="95" t="str">
        <f t="shared" si="47"/>
        <v>/</v>
      </c>
      <c r="E178" s="95">
        <f ca="1">IF(表2_3671626293034[[#This Row],[累计净值]]/MAX(INDIRECT("B21:B" &amp; ROW()))-1&lt;E177,表2_3671626293034[[#This Row],[累计净值]]/MAX(INDIRECT("B21:B" &amp; ROW()))-1,E177)</f>
        <v>-9.7560975609756184E-3</v>
      </c>
      <c r="F178" s="97">
        <f>表2_3671626293034[[#This Row],[累计净值]]</f>
        <v>1.135</v>
      </c>
      <c r="G178" s="20">
        <f>表2_3671626293034[[#This Row],[累计净值]]/$B$21-1</f>
        <v>0.13500000000000001</v>
      </c>
    </row>
    <row r="179" spans="1:7">
      <c r="A179" s="15">
        <v>43938</v>
      </c>
      <c r="B179" s="96">
        <v>1.1399999999999999</v>
      </c>
      <c r="C179" s="94">
        <f t="shared" si="46"/>
        <v>4.9999999999998934E-3</v>
      </c>
      <c r="D179" s="95" t="str">
        <f t="shared" si="47"/>
        <v>/</v>
      </c>
      <c r="E179" s="95">
        <f ca="1">IF(表2_3671626293034[[#This Row],[累计净值]]/MAX(INDIRECT("B21:B" &amp; ROW()))-1&lt;E178,表2_3671626293034[[#This Row],[累计净值]]/MAX(INDIRECT("B21:B" &amp; ROW()))-1,E178)</f>
        <v>-9.7560975609756184E-3</v>
      </c>
      <c r="F179" s="97">
        <f>表2_3671626293034[[#This Row],[累计净值]]</f>
        <v>1.1399999999999999</v>
      </c>
      <c r="G179" s="20">
        <f>表2_3671626293034[[#This Row],[累计净值]]/$B$21-1</f>
        <v>0.1399999999999999</v>
      </c>
    </row>
    <row r="180" spans="1:7">
      <c r="A180" s="15">
        <v>43941</v>
      </c>
      <c r="B180" s="96">
        <v>1.1439999999999999</v>
      </c>
      <c r="C180" s="94">
        <f t="shared" si="46"/>
        <v>4.0000000000000036E-3</v>
      </c>
      <c r="D180" s="95" t="str">
        <f t="shared" si="47"/>
        <v>/</v>
      </c>
      <c r="E180" s="95">
        <f ca="1">IF(表2_3671626293034[[#This Row],[累计净值]]/MAX(INDIRECT("B21:B" &amp; ROW()))-1&lt;E179,表2_3671626293034[[#This Row],[累计净值]]/MAX(INDIRECT("B21:B" &amp; ROW()))-1,E179)</f>
        <v>-9.7560975609756184E-3</v>
      </c>
      <c r="F180" s="97">
        <f>表2_3671626293034[[#This Row],[累计净值]]</f>
        <v>1.1439999999999999</v>
      </c>
      <c r="G180" s="20">
        <f>表2_3671626293034[[#This Row],[累计净值]]/$B$21-1</f>
        <v>0.14399999999999991</v>
      </c>
    </row>
    <row r="181" spans="1:7">
      <c r="A181" s="15">
        <v>43942</v>
      </c>
      <c r="B181" s="76">
        <v>1.151</v>
      </c>
      <c r="C181" s="94">
        <f t="shared" ref="C181:C186" si="48">IFERROR(B181-B180,0)</f>
        <v>7.0000000000001172E-3</v>
      </c>
      <c r="D181" s="95" t="str">
        <f t="shared" ref="D181:D186" si="49">IF(C181&lt;0,C181,"/")</f>
        <v>/</v>
      </c>
      <c r="E181" s="95">
        <f ca="1">IF(表2_3671626293034[[#This Row],[累计净值]]/MAX(INDIRECT("B21:B" &amp; ROW()))-1&lt;E180,表2_3671626293034[[#This Row],[累计净值]]/MAX(INDIRECT("B21:B" &amp; ROW()))-1,E180)</f>
        <v>-9.7560975609756184E-3</v>
      </c>
      <c r="F181" s="97">
        <f>表2_3671626293034[[#This Row],[累计净值]]</f>
        <v>1.151</v>
      </c>
      <c r="G181" s="20">
        <f>表2_3671626293034[[#This Row],[累计净值]]/$B$21-1</f>
        <v>0.15100000000000002</v>
      </c>
    </row>
    <row r="182" spans="1:7">
      <c r="A182" s="15">
        <v>43943</v>
      </c>
      <c r="B182" s="96">
        <v>1.151</v>
      </c>
      <c r="C182" s="94">
        <f t="shared" si="48"/>
        <v>0</v>
      </c>
      <c r="D182" s="95" t="str">
        <f t="shared" si="49"/>
        <v>/</v>
      </c>
      <c r="E182" s="95">
        <f ca="1">IF(表2_3671626293034[[#This Row],[累计净值]]/MAX(INDIRECT("B21:B" &amp; ROW()))-1&lt;E181,表2_3671626293034[[#This Row],[累计净值]]/MAX(INDIRECT("B21:B" &amp; ROW()))-1,E181)</f>
        <v>-9.7560975609756184E-3</v>
      </c>
      <c r="F182" s="97">
        <f>表2_3671626293034[[#This Row],[累计净值]]</f>
        <v>1.151</v>
      </c>
      <c r="G182" s="20">
        <f>表2_3671626293034[[#This Row],[累计净值]]/$B$21-1</f>
        <v>0.15100000000000002</v>
      </c>
    </row>
    <row r="183" spans="1:7">
      <c r="A183" s="15">
        <v>43944</v>
      </c>
      <c r="B183" s="96">
        <v>1.153</v>
      </c>
      <c r="C183" s="94">
        <f t="shared" si="48"/>
        <v>2.0000000000000018E-3</v>
      </c>
      <c r="D183" s="95" t="str">
        <f t="shared" si="49"/>
        <v>/</v>
      </c>
      <c r="E183" s="95">
        <f ca="1">IF(表2_3671626293034[[#This Row],[累计净值]]/MAX(INDIRECT("B21:B" &amp; ROW()))-1&lt;E182,表2_3671626293034[[#This Row],[累计净值]]/MAX(INDIRECT("B21:B" &amp; ROW()))-1,E182)</f>
        <v>-9.7560975609756184E-3</v>
      </c>
      <c r="F183" s="97">
        <f>表2_3671626293034[[#This Row],[累计净值]]</f>
        <v>1.153</v>
      </c>
      <c r="G183" s="20">
        <f>表2_3671626293034[[#This Row],[累计净值]]/$B$21-1</f>
        <v>0.15300000000000002</v>
      </c>
    </row>
    <row r="184" spans="1:7">
      <c r="A184" s="15">
        <v>43945</v>
      </c>
      <c r="B184" s="96">
        <v>1.153</v>
      </c>
      <c r="C184" s="94">
        <f t="shared" si="48"/>
        <v>0</v>
      </c>
      <c r="D184" s="95" t="str">
        <f t="shared" si="49"/>
        <v>/</v>
      </c>
      <c r="E184" s="95">
        <f ca="1">IF(表2_3671626293034[[#This Row],[累计净值]]/MAX(INDIRECT("B21:B" &amp; ROW()))-1&lt;E183,表2_3671626293034[[#This Row],[累计净值]]/MAX(INDIRECT("B21:B" &amp; ROW()))-1,E183)</f>
        <v>-9.7560975609756184E-3</v>
      </c>
      <c r="F184" s="97">
        <f>表2_3671626293034[[#This Row],[累计净值]]</f>
        <v>1.153</v>
      </c>
      <c r="G184" s="20">
        <f>表2_3671626293034[[#This Row],[累计净值]]/$B$21-1</f>
        <v>0.15300000000000002</v>
      </c>
    </row>
    <row r="185" spans="1:7">
      <c r="A185" s="15">
        <v>43948</v>
      </c>
      <c r="B185" s="76">
        <v>1.1539999999999999</v>
      </c>
      <c r="C185" s="94">
        <f t="shared" si="48"/>
        <v>9.9999999999988987E-4</v>
      </c>
      <c r="D185" s="95" t="str">
        <f t="shared" si="49"/>
        <v>/</v>
      </c>
      <c r="E185" s="95">
        <f ca="1">IF(表2_3671626293034[[#This Row],[累计净值]]/MAX(INDIRECT("B21:B" &amp; ROW()))-1&lt;E184,表2_3671626293034[[#This Row],[累计净值]]/MAX(INDIRECT("B21:B" &amp; ROW()))-1,E184)</f>
        <v>-9.7560975609756184E-3</v>
      </c>
      <c r="F185" s="97">
        <f>表2_3671626293034[[#This Row],[累计净值]]</f>
        <v>1.1539999999999999</v>
      </c>
      <c r="G185" s="20">
        <f>表2_3671626293034[[#This Row],[累计净值]]/$B$21-1</f>
        <v>0.15399999999999991</v>
      </c>
    </row>
    <row r="186" spans="1:7">
      <c r="A186" s="15">
        <v>43949</v>
      </c>
      <c r="B186" s="96">
        <v>1.1499999999999999</v>
      </c>
      <c r="C186" s="94">
        <f t="shared" si="48"/>
        <v>-4.0000000000000036E-3</v>
      </c>
      <c r="D186" s="95">
        <f t="shared" si="49"/>
        <v>-4.0000000000000036E-3</v>
      </c>
      <c r="E186" s="95">
        <f ca="1">IF(表2_3671626293034[[#This Row],[累计净值]]/MAX(INDIRECT("B21:B" &amp; ROW()))-1&lt;E185,表2_3671626293034[[#This Row],[累计净值]]/MAX(INDIRECT("B21:B" &amp; ROW()))-1,E185)</f>
        <v>-9.7560975609756184E-3</v>
      </c>
      <c r="F186" s="97">
        <f>表2_3671626293034[[#This Row],[累计净值]]</f>
        <v>1.1499999999999999</v>
      </c>
      <c r="G186" s="20">
        <f>表2_3671626293034[[#This Row],[累计净值]]/$B$21-1</f>
        <v>0.14999999999999991</v>
      </c>
    </row>
    <row r="187" spans="1:7">
      <c r="A187" s="15">
        <v>43950</v>
      </c>
      <c r="B187" s="96">
        <v>1.1519999999999999</v>
      </c>
      <c r="C187" s="94">
        <f t="shared" ref="C187:C192" si="50">IFERROR(B187-B186,0)</f>
        <v>2.0000000000000018E-3</v>
      </c>
      <c r="D187" s="95" t="str">
        <f t="shared" ref="D187:D192" si="51">IF(C187&lt;0,C187,"/")</f>
        <v>/</v>
      </c>
      <c r="E187" s="95">
        <f ca="1">IF(表2_3671626293034[[#This Row],[累计净值]]/MAX(INDIRECT("B21:B" &amp; ROW()))-1&lt;E186,表2_3671626293034[[#This Row],[累计净值]]/MAX(INDIRECT("B21:B" &amp; ROW()))-1,E186)</f>
        <v>-9.7560975609756184E-3</v>
      </c>
      <c r="F187" s="97">
        <f>表2_3671626293034[[#This Row],[累计净值]]</f>
        <v>1.1519999999999999</v>
      </c>
      <c r="G187" s="20">
        <f>表2_3671626293034[[#This Row],[累计净值]]/$B$21-1</f>
        <v>0.15199999999999991</v>
      </c>
    </row>
    <row r="188" spans="1:7">
      <c r="A188" s="15">
        <v>43951</v>
      </c>
      <c r="B188" s="96">
        <v>1.145</v>
      </c>
      <c r="C188" s="94">
        <f t="shared" si="50"/>
        <v>-6.9999999999998952E-3</v>
      </c>
      <c r="D188" s="95">
        <f t="shared" si="51"/>
        <v>-6.9999999999998952E-3</v>
      </c>
      <c r="E188" s="95">
        <f ca="1">IF(表2_3671626293034[[#This Row],[累计净值]]/MAX(INDIRECT("B21:B" &amp; ROW()))-1&lt;E187,表2_3671626293034[[#This Row],[累计净值]]/MAX(INDIRECT("B21:B" &amp; ROW()))-1,E187)</f>
        <v>-9.7560975609756184E-3</v>
      </c>
      <c r="F188" s="97">
        <f>表2_3671626293034[[#This Row],[累计净值]]</f>
        <v>1.145</v>
      </c>
      <c r="G188" s="20">
        <f>表2_3671626293034[[#This Row],[累计净值]]/$B$21-1</f>
        <v>0.14500000000000002</v>
      </c>
    </row>
    <row r="189" spans="1:7">
      <c r="A189" s="15">
        <v>43957</v>
      </c>
      <c r="B189" s="96">
        <v>1.159</v>
      </c>
      <c r="C189" s="94">
        <f t="shared" si="50"/>
        <v>1.4000000000000012E-2</v>
      </c>
      <c r="D189" s="95" t="str">
        <f t="shared" si="51"/>
        <v>/</v>
      </c>
      <c r="E189" s="95">
        <f ca="1">IF(表2_3671626293034[[#This Row],[累计净值]]/MAX(INDIRECT("B21:B" &amp; ROW()))-1&lt;E188,表2_3671626293034[[#This Row],[累计净值]]/MAX(INDIRECT("B21:B" &amp; ROW()))-1,E188)</f>
        <v>-9.7560975609756184E-3</v>
      </c>
      <c r="F189" s="97">
        <f>表2_3671626293034[[#This Row],[累计净值]]</f>
        <v>1.159</v>
      </c>
      <c r="G189" s="20">
        <f>表2_3671626293034[[#This Row],[累计净值]]/$B$21-1</f>
        <v>0.15900000000000003</v>
      </c>
    </row>
    <row r="190" spans="1:7">
      <c r="A190" s="15">
        <v>43958</v>
      </c>
      <c r="B190" s="76">
        <v>1.1619999999999999</v>
      </c>
      <c r="C190" s="101">
        <f t="shared" si="50"/>
        <v>2.9999999999998916E-3</v>
      </c>
      <c r="D190" s="102" t="str">
        <f t="shared" si="51"/>
        <v>/</v>
      </c>
      <c r="E190" s="102">
        <f ca="1">IF(表2_3671626293034[[#This Row],[累计净值]]/MAX(INDIRECT("B21:B" &amp; ROW()))-1&lt;E189,表2_3671626293034[[#This Row],[累计净值]]/MAX(INDIRECT("B21:B" &amp; ROW()))-1,E189)</f>
        <v>-9.7560975609756184E-3</v>
      </c>
      <c r="F190" s="103">
        <f>表2_3671626293034[[#This Row],[累计净值]]</f>
        <v>1.1619999999999999</v>
      </c>
      <c r="G190" s="20">
        <f>表2_3671626293034[[#This Row],[累计净值]]/$B$21-1</f>
        <v>0.16199999999999992</v>
      </c>
    </row>
    <row r="191" spans="1:7">
      <c r="A191" s="15">
        <v>43959</v>
      </c>
      <c r="B191" s="104">
        <v>1.161</v>
      </c>
      <c r="C191" s="101">
        <f t="shared" si="50"/>
        <v>-9.9999999999988987E-4</v>
      </c>
      <c r="D191" s="102">
        <f t="shared" si="51"/>
        <v>-9.9999999999988987E-4</v>
      </c>
      <c r="E191" s="102">
        <f ca="1">IF(表2_3671626293034[[#This Row],[累计净值]]/MAX(INDIRECT("B21:B" &amp; ROW()))-1&lt;E190,表2_3671626293034[[#This Row],[累计净值]]/MAX(INDIRECT("B21:B" &amp; ROW()))-1,E190)</f>
        <v>-9.7560975609756184E-3</v>
      </c>
      <c r="F191" s="103">
        <f>表2_3671626293034[[#This Row],[累计净值]]</f>
        <v>1.161</v>
      </c>
      <c r="G191" s="20">
        <f>表2_3671626293034[[#This Row],[累计净值]]/$B$21-1</f>
        <v>0.16100000000000003</v>
      </c>
    </row>
    <row r="192" spans="1:7">
      <c r="A192" s="15">
        <v>43962</v>
      </c>
      <c r="B192" s="104">
        <v>1.163</v>
      </c>
      <c r="C192" s="101">
        <f t="shared" si="50"/>
        <v>2.0000000000000018E-3</v>
      </c>
      <c r="D192" s="102" t="str">
        <f t="shared" si="51"/>
        <v>/</v>
      </c>
      <c r="E192" s="102">
        <f ca="1">IF(表2_3671626293034[[#This Row],[累计净值]]/MAX(INDIRECT("B21:B" &amp; ROW()))-1&lt;E191,表2_3671626293034[[#This Row],[累计净值]]/MAX(INDIRECT("B21:B" &amp; ROW()))-1,E191)</f>
        <v>-9.7560975609756184E-3</v>
      </c>
      <c r="F192" s="103">
        <f>表2_3671626293034[[#This Row],[累计净值]]</f>
        <v>1.163</v>
      </c>
      <c r="G192" s="20">
        <f>表2_3671626293034[[#This Row],[累计净值]]/$B$21-1</f>
        <v>0.16300000000000003</v>
      </c>
    </row>
    <row r="193" spans="1:7">
      <c r="A193" s="15">
        <v>43963</v>
      </c>
      <c r="B193" s="104">
        <v>1.1639999999999999</v>
      </c>
      <c r="C193" s="101">
        <f t="shared" ref="C193:C198" si="52">IFERROR(B193-B192,0)</f>
        <v>9.9999999999988987E-4</v>
      </c>
      <c r="D193" s="102" t="str">
        <f t="shared" ref="D193:D198" si="53">IF(C193&lt;0,C193,"/")</f>
        <v>/</v>
      </c>
      <c r="E193" s="102">
        <f ca="1">IF(表2_3671626293034[[#This Row],[累计净值]]/MAX(INDIRECT("B21:B" &amp; ROW()))-1&lt;E192,表2_3671626293034[[#This Row],[累计净值]]/MAX(INDIRECT("B21:B" &amp; ROW()))-1,E192)</f>
        <v>-9.7560975609756184E-3</v>
      </c>
      <c r="F193" s="103">
        <f>表2_3671626293034[[#This Row],[累计净值]]</f>
        <v>1.1639999999999999</v>
      </c>
      <c r="G193" s="20">
        <f>表2_3671626293034[[#This Row],[累计净值]]/$B$21-1</f>
        <v>0.16399999999999992</v>
      </c>
    </row>
    <row r="194" spans="1:7">
      <c r="A194" s="15">
        <v>43964</v>
      </c>
      <c r="B194" s="104">
        <v>1.163</v>
      </c>
      <c r="C194" s="101">
        <f t="shared" si="52"/>
        <v>-9.9999999999988987E-4</v>
      </c>
      <c r="D194" s="102">
        <f t="shared" si="53"/>
        <v>-9.9999999999988987E-4</v>
      </c>
      <c r="E194" s="102">
        <f ca="1">IF(表2_3671626293034[[#This Row],[累计净值]]/MAX(INDIRECT("B21:B" &amp; ROW()))-1&lt;E193,表2_3671626293034[[#This Row],[累计净值]]/MAX(INDIRECT("B21:B" &amp; ROW()))-1,E193)</f>
        <v>-9.7560975609756184E-3</v>
      </c>
      <c r="F194" s="103">
        <f>表2_3671626293034[[#This Row],[累计净值]]</f>
        <v>1.163</v>
      </c>
      <c r="G194" s="20">
        <f>表2_3671626293034[[#This Row],[累计净值]]/$B$21-1</f>
        <v>0.16300000000000003</v>
      </c>
    </row>
    <row r="195" spans="1:7">
      <c r="A195" s="15">
        <v>43965</v>
      </c>
      <c r="B195" s="104">
        <v>1.165</v>
      </c>
      <c r="C195" s="101">
        <f t="shared" si="52"/>
        <v>2.0000000000000018E-3</v>
      </c>
      <c r="D195" s="102" t="str">
        <f t="shared" si="53"/>
        <v>/</v>
      </c>
      <c r="E195" s="102">
        <f ca="1">IF(表2_3671626293034[[#This Row],[累计净值]]/MAX(INDIRECT("B21:B" &amp; ROW()))-1&lt;E194,表2_3671626293034[[#This Row],[累计净值]]/MAX(INDIRECT("B21:B" &amp; ROW()))-1,E194)</f>
        <v>-9.7560975609756184E-3</v>
      </c>
      <c r="F195" s="103">
        <f>表2_3671626293034[[#This Row],[累计净值]]</f>
        <v>1.165</v>
      </c>
      <c r="G195" s="20">
        <f>表2_3671626293034[[#This Row],[累计净值]]/$B$21-1</f>
        <v>0.16500000000000004</v>
      </c>
    </row>
    <row r="196" spans="1:7">
      <c r="A196" s="15">
        <v>43966</v>
      </c>
      <c r="B196" s="104">
        <v>1.167</v>
      </c>
      <c r="C196" s="101">
        <f t="shared" si="52"/>
        <v>2.0000000000000018E-3</v>
      </c>
      <c r="D196" s="102" t="str">
        <f t="shared" si="53"/>
        <v>/</v>
      </c>
      <c r="E196" s="102">
        <f ca="1">IF(表2_3671626293034[[#This Row],[累计净值]]/MAX(INDIRECT("B21:B" &amp; ROW()))-1&lt;E195,表2_3671626293034[[#This Row],[累计净值]]/MAX(INDIRECT("B21:B" &amp; ROW()))-1,E195)</f>
        <v>-9.7560975609756184E-3</v>
      </c>
      <c r="F196" s="103">
        <f>表2_3671626293034[[#This Row],[累计净值]]</f>
        <v>1.167</v>
      </c>
      <c r="G196" s="20">
        <f>表2_3671626293034[[#This Row],[累计净值]]/$B$21-1</f>
        <v>0.16700000000000004</v>
      </c>
    </row>
    <row r="197" spans="1:7">
      <c r="A197" s="15">
        <v>43969</v>
      </c>
      <c r="B197" s="104">
        <v>1.17</v>
      </c>
      <c r="C197" s="101">
        <f t="shared" si="52"/>
        <v>2.9999999999998916E-3</v>
      </c>
      <c r="D197" s="102" t="str">
        <f t="shared" si="53"/>
        <v>/</v>
      </c>
      <c r="E197" s="102">
        <f ca="1">IF(表2_3671626293034[[#This Row],[累计净值]]/MAX(INDIRECT("B21:B" &amp; ROW()))-1&lt;E196,表2_3671626293034[[#This Row],[累计净值]]/MAX(INDIRECT("B21:B" &amp; ROW()))-1,E196)</f>
        <v>-9.7560975609756184E-3</v>
      </c>
      <c r="F197" s="103">
        <f>表2_3671626293034[[#This Row],[累计净值]]</f>
        <v>1.17</v>
      </c>
      <c r="G197" s="20">
        <f>表2_3671626293034[[#This Row],[累计净值]]/$B$21-1</f>
        <v>0.16999999999999993</v>
      </c>
    </row>
    <row r="198" spans="1:7">
      <c r="A198" s="15">
        <v>43970</v>
      </c>
      <c r="B198" s="104">
        <v>1.17</v>
      </c>
      <c r="C198" s="101">
        <f t="shared" si="52"/>
        <v>0</v>
      </c>
      <c r="D198" s="102" t="str">
        <f t="shared" si="53"/>
        <v>/</v>
      </c>
      <c r="E198" s="102">
        <f ca="1">IF(表2_3671626293034[[#This Row],[累计净值]]/MAX(INDIRECT("B21:B" &amp; ROW()))-1&lt;E197,表2_3671626293034[[#This Row],[累计净值]]/MAX(INDIRECT("B21:B" &amp; ROW()))-1,E197)</f>
        <v>-9.7560975609756184E-3</v>
      </c>
      <c r="F198" s="103">
        <f>表2_3671626293034[[#This Row],[累计净值]]</f>
        <v>1.17</v>
      </c>
      <c r="G198" s="20">
        <f>表2_3671626293034[[#This Row],[累计净值]]/$B$21-1</f>
        <v>0.16999999999999993</v>
      </c>
    </row>
    <row r="199" spans="1:7">
      <c r="A199" s="15">
        <v>43971</v>
      </c>
      <c r="B199" s="104">
        <v>1.173</v>
      </c>
      <c r="C199" s="101">
        <f t="shared" ref="C199:C204" si="54">IFERROR(B199-B198,0)</f>
        <v>3.0000000000001137E-3</v>
      </c>
      <c r="D199" s="102" t="str">
        <f t="shared" ref="D199:D204" si="55">IF(C199&lt;0,C199,"/")</f>
        <v>/</v>
      </c>
      <c r="E199" s="102">
        <f ca="1">IF(表2_3671626293034[[#This Row],[累计净值]]/MAX(INDIRECT("B21:B" &amp; ROW()))-1&lt;E198,表2_3671626293034[[#This Row],[累计净值]]/MAX(INDIRECT("B21:B" &amp; ROW()))-1,E198)</f>
        <v>-9.7560975609756184E-3</v>
      </c>
      <c r="F199" s="103">
        <f>表2_3671626293034[[#This Row],[累计净值]]</f>
        <v>1.173</v>
      </c>
      <c r="G199" s="20">
        <f>表2_3671626293034[[#This Row],[累计净值]]/$B$21-1</f>
        <v>0.17300000000000004</v>
      </c>
    </row>
    <row r="200" spans="1:7">
      <c r="A200" s="15">
        <v>43972</v>
      </c>
      <c r="B200" s="112">
        <v>1.173</v>
      </c>
      <c r="C200" s="108">
        <f t="shared" si="54"/>
        <v>0</v>
      </c>
      <c r="D200" s="109" t="str">
        <f t="shared" si="55"/>
        <v>/</v>
      </c>
      <c r="E200" s="109">
        <f ca="1">IF(表2_3671626293034[[#This Row],[累计净值]]/MAX(INDIRECT("B21:B" &amp; ROW()))-1&lt;E199,表2_3671626293034[[#This Row],[累计净值]]/MAX(INDIRECT("B21:B" &amp; ROW()))-1,E199)</f>
        <v>-9.7560975609756184E-3</v>
      </c>
      <c r="F200" s="110">
        <f>表2_3671626293034[[#This Row],[累计净值]]</f>
        <v>1.173</v>
      </c>
      <c r="G200" s="20">
        <f>表2_3671626293034[[#This Row],[累计净值]]/$B$21-1</f>
        <v>0.17300000000000004</v>
      </c>
    </row>
    <row r="201" spans="1:7">
      <c r="A201" s="15">
        <v>43973</v>
      </c>
      <c r="B201" s="112">
        <v>1.177</v>
      </c>
      <c r="C201" s="108">
        <f t="shared" si="54"/>
        <v>4.0000000000000036E-3</v>
      </c>
      <c r="D201" s="109" t="str">
        <f t="shared" si="55"/>
        <v>/</v>
      </c>
      <c r="E201" s="109">
        <f ca="1">IF(表2_3671626293034[[#This Row],[累计净值]]/MAX(INDIRECT("B21:B" &amp; ROW()))-1&lt;E200,表2_3671626293034[[#This Row],[累计净值]]/MAX(INDIRECT("B21:B" &amp; ROW()))-1,E200)</f>
        <v>-9.7560975609756184E-3</v>
      </c>
      <c r="F201" s="110">
        <f>表2_3671626293034[[#This Row],[累计净值]]</f>
        <v>1.177</v>
      </c>
      <c r="G201" s="20">
        <f>表2_3671626293034[[#This Row],[累计净值]]/$B$21-1</f>
        <v>0.17700000000000005</v>
      </c>
    </row>
    <row r="202" spans="1:7">
      <c r="A202" s="15">
        <v>43976</v>
      </c>
      <c r="B202" s="112">
        <v>1.1779999999999999</v>
      </c>
      <c r="C202" s="108">
        <f t="shared" si="54"/>
        <v>9.9999999999988987E-4</v>
      </c>
      <c r="D202" s="109" t="str">
        <f t="shared" si="55"/>
        <v>/</v>
      </c>
      <c r="E202" s="109">
        <f ca="1">IF(表2_3671626293034[[#This Row],[累计净值]]/MAX(INDIRECT("B21:B" &amp; ROW()))-1&lt;E201,表2_3671626293034[[#This Row],[累计净值]]/MAX(INDIRECT("B21:B" &amp; ROW()))-1,E201)</f>
        <v>-9.7560975609756184E-3</v>
      </c>
      <c r="F202" s="110">
        <f>表2_3671626293034[[#This Row],[累计净值]]</f>
        <v>1.1779999999999999</v>
      </c>
      <c r="G202" s="20">
        <f>表2_3671626293034[[#This Row],[累计净值]]/$B$21-1</f>
        <v>0.17799999999999994</v>
      </c>
    </row>
    <row r="203" spans="1:7">
      <c r="A203" s="15">
        <v>43977</v>
      </c>
      <c r="B203" s="112">
        <v>1.1850000000000001</v>
      </c>
      <c r="C203" s="108">
        <f t="shared" si="54"/>
        <v>7.0000000000001172E-3</v>
      </c>
      <c r="D203" s="109" t="str">
        <f t="shared" si="55"/>
        <v>/</v>
      </c>
      <c r="E203" s="109">
        <f ca="1">IF(表2_3671626293034[[#This Row],[累计净值]]/MAX(INDIRECT("B21:B" &amp; ROW()))-1&lt;E202,表2_3671626293034[[#This Row],[累计净值]]/MAX(INDIRECT("B21:B" &amp; ROW()))-1,E202)</f>
        <v>-9.7560975609756184E-3</v>
      </c>
      <c r="F203" s="110">
        <f>表2_3671626293034[[#This Row],[累计净值]]</f>
        <v>1.1850000000000001</v>
      </c>
      <c r="G203" s="20">
        <f>表2_3671626293034[[#This Row],[累计净值]]/$B$21-1</f>
        <v>0.18500000000000005</v>
      </c>
    </row>
    <row r="204" spans="1:7">
      <c r="A204" s="15">
        <v>43978</v>
      </c>
      <c r="B204" s="112">
        <v>1.1850000000000001</v>
      </c>
      <c r="C204" s="108">
        <f t="shared" si="54"/>
        <v>0</v>
      </c>
      <c r="D204" s="109" t="str">
        <f t="shared" si="55"/>
        <v>/</v>
      </c>
      <c r="E204" s="109">
        <f ca="1">IF(表2_3671626293034[[#This Row],[累计净值]]/MAX(INDIRECT("B21:B" &amp; ROW()))-1&lt;E203,表2_3671626293034[[#This Row],[累计净值]]/MAX(INDIRECT("B21:B" &amp; ROW()))-1,E203)</f>
        <v>-9.7560975609756184E-3</v>
      </c>
      <c r="F204" s="110">
        <f>表2_3671626293034[[#This Row],[累计净值]]</f>
        <v>1.1850000000000001</v>
      </c>
      <c r="G204" s="20">
        <f>表2_3671626293034[[#This Row],[累计净值]]/$B$21-1</f>
        <v>0.18500000000000005</v>
      </c>
    </row>
    <row r="205" spans="1:7">
      <c r="A205" s="15">
        <v>43979</v>
      </c>
      <c r="B205" s="112">
        <v>1.1879999999999999</v>
      </c>
      <c r="C205" s="108">
        <f t="shared" ref="C205:C210" si="56">IFERROR(B205-B204,0)</f>
        <v>2.9999999999998916E-3</v>
      </c>
      <c r="D205" s="109" t="str">
        <f t="shared" ref="D205:D210" si="57">IF(C205&lt;0,C205,"/")</f>
        <v>/</v>
      </c>
      <c r="E205" s="109">
        <f ca="1">IF(表2_3671626293034[[#This Row],[累计净值]]/MAX(INDIRECT("B21:B" &amp; ROW()))-1&lt;E204,表2_3671626293034[[#This Row],[累计净值]]/MAX(INDIRECT("B21:B" &amp; ROW()))-1,E204)</f>
        <v>-9.7560975609756184E-3</v>
      </c>
      <c r="F205" s="110">
        <f>表2_3671626293034[[#This Row],[累计净值]]</f>
        <v>1.1879999999999999</v>
      </c>
      <c r="G205" s="20">
        <f>表2_3671626293034[[#This Row],[累计净值]]/$B$21-1</f>
        <v>0.18799999999999994</v>
      </c>
    </row>
    <row r="206" spans="1:7">
      <c r="A206" s="15">
        <v>43980</v>
      </c>
      <c r="B206" s="112">
        <v>1.1859999999999999</v>
      </c>
      <c r="C206" s="108">
        <f t="shared" si="56"/>
        <v>-2.0000000000000018E-3</v>
      </c>
      <c r="D206" s="109">
        <f t="shared" si="57"/>
        <v>-2.0000000000000018E-3</v>
      </c>
      <c r="E206" s="109">
        <f ca="1">IF(表2_3671626293034[[#This Row],[累计净值]]/MAX(INDIRECT("B21:B" &amp; ROW()))-1&lt;E205,表2_3671626293034[[#This Row],[累计净值]]/MAX(INDIRECT("B21:B" &amp; ROW()))-1,E205)</f>
        <v>-9.7560975609756184E-3</v>
      </c>
      <c r="F206" s="110">
        <f>表2_3671626293034[[#This Row],[累计净值]]</f>
        <v>1.1859999999999999</v>
      </c>
      <c r="G206" s="20">
        <f>表2_3671626293034[[#This Row],[累计净值]]/$B$21-1</f>
        <v>0.18599999999999994</v>
      </c>
    </row>
    <row r="207" spans="1:7">
      <c r="A207" s="15">
        <v>43983</v>
      </c>
      <c r="B207" s="117">
        <v>1.19</v>
      </c>
      <c r="C207" s="108">
        <f t="shared" si="56"/>
        <v>4.0000000000000036E-3</v>
      </c>
      <c r="D207" s="109" t="str">
        <f t="shared" si="57"/>
        <v>/</v>
      </c>
      <c r="E207" s="109">
        <f ca="1">IF(表2_3671626293034[[#This Row],[累计净值]]/MAX(INDIRECT("B21:B" &amp; ROW()))-1&lt;E206,表2_3671626293034[[#This Row],[累计净值]]/MAX(INDIRECT("B21:B" &amp; ROW()))-1,E206)</f>
        <v>-9.7560975609756184E-3</v>
      </c>
      <c r="F207" s="110">
        <f>表2_3671626293034[[#This Row],[累计净值]]</f>
        <v>1.19</v>
      </c>
      <c r="G207" s="20">
        <f>表2_3671626293034[[#This Row],[累计净值]]/$B$21-1</f>
        <v>0.18999999999999995</v>
      </c>
    </row>
    <row r="208" spans="1:7">
      <c r="A208" s="15">
        <v>43984</v>
      </c>
      <c r="B208" s="112">
        <v>1.1879999999999999</v>
      </c>
      <c r="C208" s="108">
        <f t="shared" si="56"/>
        <v>-2.0000000000000018E-3</v>
      </c>
      <c r="D208" s="109">
        <f t="shared" si="57"/>
        <v>-2.0000000000000018E-3</v>
      </c>
      <c r="E208" s="109">
        <f ca="1">IF(表2_3671626293034[[#This Row],[累计净值]]/MAX(INDIRECT("B21:B" &amp; ROW()))-1&lt;E207,表2_3671626293034[[#This Row],[累计净值]]/MAX(INDIRECT("B21:B" &amp; ROW()))-1,E207)</f>
        <v>-9.7560975609756184E-3</v>
      </c>
      <c r="F208" s="110">
        <f>表2_3671626293034[[#This Row],[累计净值]]</f>
        <v>1.1879999999999999</v>
      </c>
      <c r="G208" s="20">
        <f>表2_3671626293034[[#This Row],[累计净值]]/$B$21-1</f>
        <v>0.18799999999999994</v>
      </c>
    </row>
    <row r="209" spans="1:7">
      <c r="A209" s="15">
        <v>43985</v>
      </c>
      <c r="B209" s="112">
        <v>1.1850000000000001</v>
      </c>
      <c r="C209" s="108">
        <f t="shared" si="56"/>
        <v>-2.9999999999998916E-3</v>
      </c>
      <c r="D209" s="109">
        <f t="shared" si="57"/>
        <v>-2.9999999999998916E-3</v>
      </c>
      <c r="E209" s="109">
        <f ca="1">IF(表2_3671626293034[[#This Row],[累计净值]]/MAX(INDIRECT("B21:B" &amp; ROW()))-1&lt;E208,表2_3671626293034[[#This Row],[累计净值]]/MAX(INDIRECT("B21:B" &amp; ROW()))-1,E208)</f>
        <v>-9.7560975609756184E-3</v>
      </c>
      <c r="F209" s="110">
        <f>表2_3671626293034[[#This Row],[累计净值]]-0.168</f>
        <v>1.0170000000000001</v>
      </c>
      <c r="G209" s="20">
        <f>表2_3671626293034[[#This Row],[累计净值]]/$B$21-1</f>
        <v>0.18500000000000005</v>
      </c>
    </row>
    <row r="210" spans="1:7">
      <c r="A210" s="15">
        <v>43986</v>
      </c>
      <c r="B210" s="112">
        <v>1.1819999999999999</v>
      </c>
      <c r="C210" s="108">
        <f t="shared" si="56"/>
        <v>-3.0000000000001137E-3</v>
      </c>
      <c r="D210" s="109">
        <f t="shared" si="57"/>
        <v>-3.0000000000001137E-3</v>
      </c>
      <c r="E210" s="109">
        <f ca="1">IF(表2_3671626293034[[#This Row],[累计净值]]/MAX(INDIRECT("B21:B" &amp; ROW()))-1&lt;E209,表2_3671626293034[[#This Row],[累计净值]]/MAX(INDIRECT("B21:B" &amp; ROW()))-1,E209)</f>
        <v>-9.7560975609756184E-3</v>
      </c>
      <c r="F210" s="110">
        <f>表2_3671626293034[[#This Row],[累计净值]]-0.168</f>
        <v>1.014</v>
      </c>
      <c r="G210" s="20">
        <f>表2_3671626293034[[#This Row],[累计净值]]/$B$21-1</f>
        <v>0.18199999999999994</v>
      </c>
    </row>
    <row r="211" spans="1:7">
      <c r="A211" s="15">
        <v>43987</v>
      </c>
      <c r="B211" s="112">
        <v>1.1850000000000001</v>
      </c>
      <c r="C211" s="108">
        <f t="shared" ref="C211:C216" si="58">IFERROR(B211-B210,0)</f>
        <v>3.0000000000001137E-3</v>
      </c>
      <c r="D211" s="109" t="str">
        <f t="shared" ref="D211:D216" si="59">IF(C211&lt;0,C211,"/")</f>
        <v>/</v>
      </c>
      <c r="E211" s="109">
        <f ca="1">IF(表2_3671626293034[[#This Row],[累计净值]]/MAX(INDIRECT("B21:B" &amp; ROW()))-1&lt;E210,表2_3671626293034[[#This Row],[累计净值]]/MAX(INDIRECT("B21:B" &amp; ROW()))-1,E210)</f>
        <v>-9.7560975609756184E-3</v>
      </c>
      <c r="F211" s="110">
        <f>表2_3671626293034[[#This Row],[累计净值]]-0.168</f>
        <v>1.0170000000000001</v>
      </c>
      <c r="G211" s="20">
        <f>表2_3671626293034[[#This Row],[累计净值]]/$B$21-1</f>
        <v>0.18500000000000005</v>
      </c>
    </row>
    <row r="212" spans="1:7">
      <c r="A212" s="15">
        <v>43990</v>
      </c>
      <c r="B212" s="112">
        <v>1.1879999999999999</v>
      </c>
      <c r="C212" s="108">
        <f t="shared" si="58"/>
        <v>2.9999999999998916E-3</v>
      </c>
      <c r="D212" s="109" t="str">
        <f t="shared" si="59"/>
        <v>/</v>
      </c>
      <c r="E212" s="109">
        <f ca="1">IF(表2_3671626293034[[#This Row],[累计净值]]/MAX(INDIRECT("B21:B" &amp; ROW()))-1&lt;E211,表2_3671626293034[[#This Row],[累计净值]]/MAX(INDIRECT("B21:B" &amp; ROW()))-1,E211)</f>
        <v>-9.7560975609756184E-3</v>
      </c>
      <c r="F212" s="110">
        <f>表2_3671626293034[[#This Row],[累计净值]]-0.168</f>
        <v>1.02</v>
      </c>
      <c r="G212" s="20">
        <f>表2_3671626293034[[#This Row],[累计净值]]/$B$21-1</f>
        <v>0.18799999999999994</v>
      </c>
    </row>
    <row r="213" spans="1:7">
      <c r="A213" s="15">
        <v>43991</v>
      </c>
      <c r="B213" s="112">
        <v>1.1890000000000001</v>
      </c>
      <c r="C213" s="108">
        <f t="shared" si="58"/>
        <v>1.0000000000001119E-3</v>
      </c>
      <c r="D213" s="109" t="str">
        <f t="shared" si="59"/>
        <v>/</v>
      </c>
      <c r="E213" s="109">
        <f ca="1">IF(表2_3671626293034[[#This Row],[累计净值]]/MAX(INDIRECT("B21:B" &amp; ROW()))-1&lt;E212,表2_3671626293034[[#This Row],[累计净值]]/MAX(INDIRECT("B21:B" &amp; ROW()))-1,E212)</f>
        <v>-9.7560975609756184E-3</v>
      </c>
      <c r="F213" s="110">
        <f>表2_3671626293034[[#This Row],[累计净值]]-0.168</f>
        <v>1.0210000000000001</v>
      </c>
      <c r="G213" s="20">
        <f>表2_3671626293034[[#This Row],[累计净值]]/$B$21-1</f>
        <v>0.18900000000000006</v>
      </c>
    </row>
    <row r="214" spans="1:7">
      <c r="A214" s="15">
        <v>43992</v>
      </c>
      <c r="B214" s="112">
        <v>1.1879999999999999</v>
      </c>
      <c r="C214" s="108">
        <f t="shared" si="58"/>
        <v>-1.0000000000001119E-3</v>
      </c>
      <c r="D214" s="109">
        <f t="shared" si="59"/>
        <v>-1.0000000000001119E-3</v>
      </c>
      <c r="E214" s="109">
        <f ca="1">IF(表2_3671626293034[[#This Row],[累计净值]]/MAX(INDIRECT("B21:B" &amp; ROW()))-1&lt;E213,表2_3671626293034[[#This Row],[累计净值]]/MAX(INDIRECT("B21:B" &amp; ROW()))-1,E213)</f>
        <v>-9.7560975609756184E-3</v>
      </c>
      <c r="F214" s="110">
        <f>表2_3671626293034[[#This Row],[累计净值]]-0.168</f>
        <v>1.02</v>
      </c>
      <c r="G214" s="20">
        <f>表2_3671626293034[[#This Row],[累计净值]]/$B$21-1</f>
        <v>0.18799999999999994</v>
      </c>
    </row>
    <row r="215" spans="1:7">
      <c r="A215" s="15">
        <v>43993</v>
      </c>
      <c r="B215" s="112">
        <v>1.1890000000000001</v>
      </c>
      <c r="C215" s="108">
        <f t="shared" si="58"/>
        <v>1.0000000000001119E-3</v>
      </c>
      <c r="D215" s="109" t="str">
        <f t="shared" si="59"/>
        <v>/</v>
      </c>
      <c r="E215" s="109">
        <f ca="1">IF(表2_3671626293034[[#This Row],[累计净值]]/MAX(INDIRECT("B21:B" &amp; ROW()))-1&lt;E214,表2_3671626293034[[#This Row],[累计净值]]/MAX(INDIRECT("B21:B" &amp; ROW()))-1,E214)</f>
        <v>-9.7560975609756184E-3</v>
      </c>
      <c r="F215" s="110">
        <f>表2_3671626293034[[#This Row],[累计净值]]-0.168</f>
        <v>1.0210000000000001</v>
      </c>
      <c r="G215" s="20">
        <f>表2_3671626293034[[#This Row],[累计净值]]/$B$21-1</f>
        <v>0.18900000000000006</v>
      </c>
    </row>
    <row r="216" spans="1:7">
      <c r="A216" s="15">
        <v>43994</v>
      </c>
      <c r="B216" s="112">
        <v>1.1890000000000001</v>
      </c>
      <c r="C216" s="108">
        <f t="shared" si="58"/>
        <v>0</v>
      </c>
      <c r="D216" s="109" t="str">
        <f t="shared" si="59"/>
        <v>/</v>
      </c>
      <c r="E216" s="109">
        <f ca="1">IF(表2_3671626293034[[#This Row],[累计净值]]/MAX(INDIRECT("B21:B" &amp; ROW()))-1&lt;E215,表2_3671626293034[[#This Row],[累计净值]]/MAX(INDIRECT("B21:B" &amp; ROW()))-1,E215)</f>
        <v>-9.7560975609756184E-3</v>
      </c>
      <c r="F216" s="110">
        <f>表2_3671626293034[[#This Row],[累计净值]]-0.168</f>
        <v>1.0210000000000001</v>
      </c>
      <c r="G216" s="20">
        <f>表2_3671626293034[[#This Row],[累计净值]]/$B$21-1</f>
        <v>0.18900000000000006</v>
      </c>
    </row>
    <row r="217" spans="1:7">
      <c r="A217" s="15">
        <v>43997</v>
      </c>
      <c r="B217" s="112">
        <v>1.1910000000000001</v>
      </c>
      <c r="C217" s="108">
        <f t="shared" ref="C217:C223" si="60">IFERROR(B217-B216,0)</f>
        <v>2.0000000000000018E-3</v>
      </c>
      <c r="D217" s="109" t="str">
        <f t="shared" ref="D217:D223" si="61">IF(C217&lt;0,C217,"/")</f>
        <v>/</v>
      </c>
      <c r="E217" s="109">
        <f ca="1">IF(表2_3671626293034[[#This Row],[累计净值]]/MAX(INDIRECT("B21:B" &amp; ROW()))-1&lt;E216,表2_3671626293034[[#This Row],[累计净值]]/MAX(INDIRECT("B21:B" &amp; ROW()))-1,E216)</f>
        <v>-9.7560975609756184E-3</v>
      </c>
      <c r="F217" s="110">
        <f>表2_3671626293034[[#This Row],[累计净值]]-0.168</f>
        <v>1.0230000000000001</v>
      </c>
      <c r="G217" s="20">
        <f>表2_3671626293034[[#This Row],[累计净值]]/$B$21-1</f>
        <v>0.19100000000000006</v>
      </c>
    </row>
    <row r="218" spans="1:7">
      <c r="A218" s="15">
        <v>43998</v>
      </c>
      <c r="B218" s="112">
        <v>1.1950000000000001</v>
      </c>
      <c r="C218" s="108">
        <f t="shared" si="60"/>
        <v>4.0000000000000036E-3</v>
      </c>
      <c r="D218" s="109" t="str">
        <f t="shared" si="61"/>
        <v>/</v>
      </c>
      <c r="E218" s="109">
        <f ca="1">IF(表2_3671626293034[[#This Row],[累计净值]]/MAX(INDIRECT("B21:B" &amp; ROW()))-1&lt;E217,表2_3671626293034[[#This Row],[累计净值]]/MAX(INDIRECT("B21:B" &amp; ROW()))-1,E217)</f>
        <v>-9.7560975609756184E-3</v>
      </c>
      <c r="F218" s="110">
        <f>表2_3671626293034[[#This Row],[累计净值]]-0.168</f>
        <v>1.0270000000000001</v>
      </c>
      <c r="G218" s="20">
        <f>表2_3671626293034[[#This Row],[累计净值]]/$B$21-1</f>
        <v>0.19500000000000006</v>
      </c>
    </row>
    <row r="219" spans="1:7">
      <c r="A219" s="15">
        <v>43999</v>
      </c>
      <c r="B219" s="112">
        <v>1.196</v>
      </c>
      <c r="C219" s="108">
        <f t="shared" si="60"/>
        <v>9.9999999999988987E-4</v>
      </c>
      <c r="D219" s="109" t="str">
        <f t="shared" si="61"/>
        <v>/</v>
      </c>
      <c r="E219" s="109">
        <f ca="1">IF(表2_3671626293034[[#This Row],[累计净值]]/MAX(INDIRECT("B21:B" &amp; ROW()))-1&lt;E218,表2_3671626293034[[#This Row],[累计净值]]/MAX(INDIRECT("B21:B" &amp; ROW()))-1,E218)</f>
        <v>-9.7560975609756184E-3</v>
      </c>
      <c r="F219" s="110">
        <f>表2_3671626293034[[#This Row],[累计净值]]-0.168</f>
        <v>1.028</v>
      </c>
      <c r="G219" s="20">
        <f>表2_3671626293034[[#This Row],[累计净值]]/$B$21-1</f>
        <v>0.19599999999999995</v>
      </c>
    </row>
    <row r="220" spans="1:7">
      <c r="A220" s="15">
        <v>44000</v>
      </c>
      <c r="B220" s="112">
        <v>1.1950000000000001</v>
      </c>
      <c r="C220" s="108">
        <f t="shared" si="60"/>
        <v>-9.9999999999988987E-4</v>
      </c>
      <c r="D220" s="109">
        <f t="shared" si="61"/>
        <v>-9.9999999999988987E-4</v>
      </c>
      <c r="E220" s="109">
        <f ca="1">IF(表2_3671626293034[[#This Row],[累计净值]]/MAX(INDIRECT("B21:B" &amp; ROW()))-1&lt;E219,表2_3671626293034[[#This Row],[累计净值]]/MAX(INDIRECT("B21:B" &amp; ROW()))-1,E219)</f>
        <v>-9.7560975609756184E-3</v>
      </c>
      <c r="F220" s="110">
        <f>表2_3671626293034[[#This Row],[累计净值]]-0.168</f>
        <v>1.0270000000000001</v>
      </c>
      <c r="G220" s="20">
        <f>表2_3671626293034[[#This Row],[累计净值]]/$B$21-1</f>
        <v>0.19500000000000006</v>
      </c>
    </row>
    <row r="221" spans="1:7">
      <c r="A221" s="15">
        <v>44001</v>
      </c>
      <c r="B221" s="112">
        <v>1.19</v>
      </c>
      <c r="C221" s="108">
        <f t="shared" si="60"/>
        <v>-5.0000000000001155E-3</v>
      </c>
      <c r="D221" s="109">
        <f t="shared" si="61"/>
        <v>-5.0000000000001155E-3</v>
      </c>
      <c r="E221" s="109">
        <f ca="1">IF(表2_3671626293034[[#This Row],[累计净值]]/MAX(INDIRECT("B21:B" &amp; ROW()))-1&lt;E220,表2_3671626293034[[#This Row],[累计净值]]/MAX(INDIRECT("B21:B" &amp; ROW()))-1,E220)</f>
        <v>-9.7560975609756184E-3</v>
      </c>
      <c r="F221" s="110">
        <f>表2_3671626293034[[#This Row],[累计净值]]-0.168</f>
        <v>1.022</v>
      </c>
      <c r="G221" s="20">
        <f>表2_3671626293034[[#This Row],[累计净值]]/$B$21-1</f>
        <v>0.18999999999999995</v>
      </c>
    </row>
    <row r="222" spans="1:7">
      <c r="A222" s="15">
        <v>44004</v>
      </c>
      <c r="B222" s="112">
        <v>1.1910000000000001</v>
      </c>
      <c r="C222" s="108">
        <f t="shared" si="60"/>
        <v>1.0000000000001119E-3</v>
      </c>
      <c r="D222" s="109" t="str">
        <f t="shared" si="61"/>
        <v>/</v>
      </c>
      <c r="E222" s="109">
        <f ca="1">IF(表2_3671626293034[[#This Row],[累计净值]]/MAX(INDIRECT("B21:B" &amp; ROW()))-1&lt;E221,表2_3671626293034[[#This Row],[累计净值]]/MAX(INDIRECT("B21:B" &amp; ROW()))-1,E221)</f>
        <v>-9.7560975609756184E-3</v>
      </c>
      <c r="F222" s="110">
        <f>表2_3671626293034[[#This Row],[累计净值]]-0.168</f>
        <v>1.0230000000000001</v>
      </c>
      <c r="G222" s="20">
        <f>表2_3671626293034[[#This Row],[累计净值]]/$B$21-1</f>
        <v>0.19100000000000006</v>
      </c>
    </row>
    <row r="223" spans="1:7">
      <c r="A223" s="15">
        <v>44005</v>
      </c>
      <c r="B223" s="112">
        <v>1.198</v>
      </c>
      <c r="C223" s="108">
        <f t="shared" si="60"/>
        <v>6.9999999999998952E-3</v>
      </c>
      <c r="D223" s="109" t="str">
        <f t="shared" si="61"/>
        <v>/</v>
      </c>
      <c r="E223" s="109">
        <f ca="1">IF(表2_3671626293034[[#This Row],[累计净值]]/MAX(INDIRECT("B21:B" &amp; ROW()))-1&lt;E222,表2_3671626293034[[#This Row],[累计净值]]/MAX(INDIRECT("B21:B" &amp; ROW()))-1,E222)</f>
        <v>-9.7560975609756184E-3</v>
      </c>
      <c r="F223" s="110">
        <f>表2_3671626293034[[#This Row],[累计净值]]-0.168</f>
        <v>1.03</v>
      </c>
      <c r="G223" s="20">
        <f>表2_3671626293034[[#This Row],[累计净值]]/$B$21-1</f>
        <v>0.19799999999999995</v>
      </c>
    </row>
    <row r="224" spans="1:7">
      <c r="A224" s="15">
        <v>44006</v>
      </c>
      <c r="B224" s="112">
        <v>1.202</v>
      </c>
      <c r="C224" s="108">
        <f t="shared" ref="C224:C230" si="62">IFERROR(B224-B223,0)</f>
        <v>4.0000000000000036E-3</v>
      </c>
      <c r="D224" s="109" t="str">
        <f t="shared" ref="D224:D230" si="63">IF(C224&lt;0,C224,"/")</f>
        <v>/</v>
      </c>
      <c r="E224" s="109">
        <f ca="1">IF(表2_3671626293034[[#This Row],[累计净值]]/MAX(INDIRECT("B21:B" &amp; ROW()))-1&lt;E223,表2_3671626293034[[#This Row],[累计净值]]/MAX(INDIRECT("B21:B" &amp; ROW()))-1,E223)</f>
        <v>-9.7560975609756184E-3</v>
      </c>
      <c r="F224" s="110">
        <f>表2_3671626293034[[#This Row],[累计净值]]-0.168</f>
        <v>1.034</v>
      </c>
      <c r="G224" s="20">
        <f>表2_3671626293034[[#This Row],[累计净值]]/$B$21-1</f>
        <v>0.20199999999999996</v>
      </c>
    </row>
    <row r="225" spans="1:7">
      <c r="A225" s="15">
        <v>44011</v>
      </c>
      <c r="B225" s="112">
        <v>1.204</v>
      </c>
      <c r="C225" s="108">
        <f t="shared" si="62"/>
        <v>2.0000000000000018E-3</v>
      </c>
      <c r="D225" s="109" t="str">
        <f t="shared" si="63"/>
        <v>/</v>
      </c>
      <c r="E225" s="109">
        <f ca="1">IF(表2_3671626293034[[#This Row],[累计净值]]/MAX(INDIRECT("B21:B" &amp; ROW()))-1&lt;E224,表2_3671626293034[[#This Row],[累计净值]]/MAX(INDIRECT("B21:B" &amp; ROW()))-1,E224)</f>
        <v>-9.7560975609756184E-3</v>
      </c>
      <c r="F225" s="110">
        <f>表2_3671626293034[[#This Row],[累计净值]]-0.168</f>
        <v>1.036</v>
      </c>
      <c r="G225" s="20">
        <f>表2_3671626293034[[#This Row],[累计净值]]/$B$21-1</f>
        <v>0.20399999999999996</v>
      </c>
    </row>
    <row r="226" spans="1:7">
      <c r="A226" s="15">
        <v>44012</v>
      </c>
      <c r="B226" s="112">
        <v>1.204</v>
      </c>
      <c r="C226" s="108">
        <f t="shared" si="62"/>
        <v>0</v>
      </c>
      <c r="D226" s="109" t="str">
        <f t="shared" si="63"/>
        <v>/</v>
      </c>
      <c r="E226" s="109">
        <f ca="1">IF(表2_3671626293034[[#This Row],[累计净值]]/MAX(INDIRECT("B21:B" &amp; ROW()))-1&lt;E225,表2_3671626293034[[#This Row],[累计净值]]/MAX(INDIRECT("B21:B" &amp; ROW()))-1,E225)</f>
        <v>-9.7560975609756184E-3</v>
      </c>
      <c r="F226" s="110">
        <f>表2_3671626293034[[#This Row],[累计净值]]-0.168</f>
        <v>1.036</v>
      </c>
      <c r="G226" s="20">
        <f>表2_3671626293034[[#This Row],[累计净值]]/$B$21-1</f>
        <v>0.20399999999999996</v>
      </c>
    </row>
    <row r="227" spans="1:7">
      <c r="A227" s="15">
        <v>44013</v>
      </c>
      <c r="B227" s="117">
        <v>1.2050000000000001</v>
      </c>
      <c r="C227" s="108">
        <f t="shared" si="62"/>
        <v>1.0000000000001119E-3</v>
      </c>
      <c r="D227" s="109" t="str">
        <f t="shared" si="63"/>
        <v>/</v>
      </c>
      <c r="E227" s="109">
        <f ca="1">IF(表2_3671626293034[[#This Row],[累计净值]]/MAX(INDIRECT("B21:B" &amp; ROW()))-1&lt;E226,表2_3671626293034[[#This Row],[累计净值]]/MAX(INDIRECT("B21:B" &amp; ROW()))-1,E226)</f>
        <v>-9.7560975609756184E-3</v>
      </c>
      <c r="F227" s="110">
        <f>表2_3671626293034[[#This Row],[累计净值]]-0.168</f>
        <v>1.0370000000000001</v>
      </c>
      <c r="G227" s="20">
        <f>表2_3671626293034[[#This Row],[累计净值]]/$B$21-1</f>
        <v>0.20500000000000007</v>
      </c>
    </row>
    <row r="228" spans="1:7">
      <c r="A228" s="15">
        <v>44014</v>
      </c>
      <c r="B228" s="112">
        <v>1.202</v>
      </c>
      <c r="C228" s="108">
        <f t="shared" si="62"/>
        <v>-3.0000000000001137E-3</v>
      </c>
      <c r="D228" s="109">
        <f t="shared" si="63"/>
        <v>-3.0000000000001137E-3</v>
      </c>
      <c r="E228" s="109">
        <f ca="1">IF(表2_3671626293034[[#This Row],[累计净值]]/MAX(INDIRECT("B21:B" &amp; ROW()))-1&lt;E227,表2_3671626293034[[#This Row],[累计净值]]/MAX(INDIRECT("B21:B" &amp; ROW()))-1,E227)</f>
        <v>-9.7560975609756184E-3</v>
      </c>
      <c r="F228" s="110">
        <f>表2_3671626293034[[#This Row],[累计净值]]-0.168</f>
        <v>1.034</v>
      </c>
      <c r="G228" s="20">
        <f>表2_3671626293034[[#This Row],[累计净值]]/$B$21-1</f>
        <v>0.20199999999999996</v>
      </c>
    </row>
    <row r="229" spans="1:7">
      <c r="A229" s="15">
        <v>44015</v>
      </c>
      <c r="B229" s="112">
        <v>1.204</v>
      </c>
      <c r="C229" s="108">
        <f t="shared" si="62"/>
        <v>2.0000000000000018E-3</v>
      </c>
      <c r="D229" s="109" t="str">
        <f t="shared" si="63"/>
        <v>/</v>
      </c>
      <c r="E229" s="109">
        <f ca="1">IF(表2_3671626293034[[#This Row],[累计净值]]/MAX(INDIRECT("B21:B" &amp; ROW()))-1&lt;E228,表2_3671626293034[[#This Row],[累计净值]]/MAX(INDIRECT("B21:B" &amp; ROW()))-1,E228)</f>
        <v>-9.7560975609756184E-3</v>
      </c>
      <c r="F229" s="110">
        <f>表2_3671626293034[[#This Row],[累计净值]]-0.168</f>
        <v>1.036</v>
      </c>
      <c r="G229" s="20">
        <f>表2_3671626293034[[#This Row],[累计净值]]/$B$21-1</f>
        <v>0.20399999999999996</v>
      </c>
    </row>
    <row r="230" spans="1:7">
      <c r="A230" s="15">
        <v>44018</v>
      </c>
      <c r="B230" s="112">
        <v>1.2050000000000001</v>
      </c>
      <c r="C230" s="108">
        <f t="shared" si="62"/>
        <v>1.0000000000001119E-3</v>
      </c>
      <c r="D230" s="109" t="str">
        <f t="shared" si="63"/>
        <v>/</v>
      </c>
      <c r="E230" s="109">
        <f ca="1">IF(表2_3671626293034[[#This Row],[累计净值]]/MAX(INDIRECT("B21:B" &amp; ROW()))-1&lt;E229,表2_3671626293034[[#This Row],[累计净值]]/MAX(INDIRECT("B21:B" &amp; ROW()))-1,E229)</f>
        <v>-9.7560975609756184E-3</v>
      </c>
      <c r="F230" s="110">
        <f>表2_3671626293034[[#This Row],[累计净值]]-0.168</f>
        <v>1.0370000000000001</v>
      </c>
      <c r="G230" s="20">
        <f>表2_3671626293034[[#This Row],[累计净值]]/$B$21-1</f>
        <v>0.20500000000000007</v>
      </c>
    </row>
    <row r="231" spans="1:7">
      <c r="A231" s="15">
        <v>44019</v>
      </c>
      <c r="B231" s="112">
        <v>1.216</v>
      </c>
      <c r="C231" s="108">
        <f t="shared" ref="C231:C237" si="64">IFERROR(B231-B230,0)</f>
        <v>1.0999999999999899E-2</v>
      </c>
      <c r="D231" s="109" t="str">
        <f t="shared" ref="D231:D237" si="65">IF(C231&lt;0,C231,"/")</f>
        <v>/</v>
      </c>
      <c r="E231" s="109">
        <f ca="1">IF(表2_3671626293034[[#This Row],[累计净值]]/MAX(INDIRECT("B21:B" &amp; ROW()))-1&lt;E230,表2_3671626293034[[#This Row],[累计净值]]/MAX(INDIRECT("B21:B" &amp; ROW()))-1,E230)</f>
        <v>-9.7560975609756184E-3</v>
      </c>
      <c r="F231" s="110">
        <f>表2_3671626293034[[#This Row],[累计净值]]-0.168</f>
        <v>1.048</v>
      </c>
      <c r="G231" s="20">
        <f>表2_3671626293034[[#This Row],[累计净值]]/$B$21-1</f>
        <v>0.21599999999999997</v>
      </c>
    </row>
    <row r="232" spans="1:7">
      <c r="A232" s="15">
        <v>44020</v>
      </c>
      <c r="B232" s="112">
        <v>1.222</v>
      </c>
      <c r="C232" s="108">
        <f t="shared" si="64"/>
        <v>6.0000000000000053E-3</v>
      </c>
      <c r="D232" s="109" t="str">
        <f t="shared" si="65"/>
        <v>/</v>
      </c>
      <c r="E232" s="109">
        <f ca="1">IF(表2_3671626293034[[#This Row],[累计净值]]/MAX(INDIRECT("B21:B" &amp; ROW()))-1&lt;E231,表2_3671626293034[[#This Row],[累计净值]]/MAX(INDIRECT("B21:B" &amp; ROW()))-1,E231)</f>
        <v>-9.7560975609756184E-3</v>
      </c>
      <c r="F232" s="110">
        <f>表2_3671626293034[[#This Row],[累计净值]]-0.168</f>
        <v>1.054</v>
      </c>
      <c r="G232" s="20">
        <f>表2_3671626293034[[#This Row],[累计净值]]/$B$21-1</f>
        <v>0.22199999999999998</v>
      </c>
    </row>
    <row r="233" spans="1:7">
      <c r="A233" s="15">
        <v>44021</v>
      </c>
      <c r="B233" s="112">
        <v>1.224</v>
      </c>
      <c r="C233" s="108">
        <f t="shared" si="64"/>
        <v>2.0000000000000018E-3</v>
      </c>
      <c r="D233" s="109" t="str">
        <f t="shared" si="65"/>
        <v>/</v>
      </c>
      <c r="E233" s="109">
        <f ca="1">IF(表2_3671626293034[[#This Row],[累计净值]]/MAX(INDIRECT("B21:B" &amp; ROW()))-1&lt;E232,表2_3671626293034[[#This Row],[累计净值]]/MAX(INDIRECT("B21:B" &amp; ROW()))-1,E232)</f>
        <v>-9.7560975609756184E-3</v>
      </c>
      <c r="F233" s="110">
        <f>表2_3671626293034[[#This Row],[累计净值]]-0.168</f>
        <v>1.056</v>
      </c>
      <c r="G233" s="20">
        <f>表2_3671626293034[[#This Row],[累计净值]]/$B$21-1</f>
        <v>0.22399999999999998</v>
      </c>
    </row>
    <row r="234" spans="1:7">
      <c r="A234" s="15">
        <v>44022</v>
      </c>
      <c r="B234" s="112">
        <v>1.23</v>
      </c>
      <c r="C234" s="108">
        <f t="shared" si="64"/>
        <v>6.0000000000000053E-3</v>
      </c>
      <c r="D234" s="109" t="str">
        <f t="shared" si="65"/>
        <v>/</v>
      </c>
      <c r="E234" s="109">
        <f ca="1">IF(表2_3671626293034[[#This Row],[累计净值]]/MAX(INDIRECT("B21:B" &amp; ROW()))-1&lt;E233,表2_3671626293034[[#This Row],[累计净值]]/MAX(INDIRECT("B21:B" &amp; ROW()))-1,E233)</f>
        <v>-9.7560975609756184E-3</v>
      </c>
      <c r="F234" s="110">
        <f>表2_3671626293034[[#This Row],[累计净值]]-0.168</f>
        <v>1.0620000000000001</v>
      </c>
      <c r="G234" s="20">
        <f>表2_3671626293034[[#This Row],[累计净值]]/$B$21-1</f>
        <v>0.22999999999999998</v>
      </c>
    </row>
    <row r="235" spans="1:7">
      <c r="A235" s="15">
        <v>44025</v>
      </c>
      <c r="B235" s="112">
        <v>1.23</v>
      </c>
      <c r="C235" s="108">
        <f t="shared" si="64"/>
        <v>0</v>
      </c>
      <c r="D235" s="109" t="str">
        <f t="shared" si="65"/>
        <v>/</v>
      </c>
      <c r="E235" s="109">
        <f ca="1">IF(表2_3671626293034[[#This Row],[累计净值]]/MAX(INDIRECT("B21:B" &amp; ROW()))-1&lt;E234,表2_3671626293034[[#This Row],[累计净值]]/MAX(INDIRECT("B21:B" &amp; ROW()))-1,E234)</f>
        <v>-9.7560975609756184E-3</v>
      </c>
      <c r="F235" s="110">
        <f>表2_3671626293034[[#This Row],[累计净值]]-0.168</f>
        <v>1.0620000000000001</v>
      </c>
      <c r="G235" s="20">
        <f>表2_3671626293034[[#This Row],[累计净值]]/$B$21-1</f>
        <v>0.22999999999999998</v>
      </c>
    </row>
    <row r="236" spans="1:7">
      <c r="A236" s="15">
        <v>44026</v>
      </c>
      <c r="B236" s="112">
        <v>1.2310000000000001</v>
      </c>
      <c r="C236" s="108">
        <f t="shared" si="64"/>
        <v>1.0000000000001119E-3</v>
      </c>
      <c r="D236" s="109" t="str">
        <f t="shared" si="65"/>
        <v>/</v>
      </c>
      <c r="E236" s="109">
        <f ca="1">IF(表2_3671626293034[[#This Row],[累计净值]]/MAX(INDIRECT("B21:B" &amp; ROW()))-1&lt;E235,表2_3671626293034[[#This Row],[累计净值]]/MAX(INDIRECT("B21:B" &amp; ROW()))-1,E235)</f>
        <v>-9.7560975609756184E-3</v>
      </c>
      <c r="F236" s="110">
        <f>表2_3671626293034[[#This Row],[累计净值]]-0.168</f>
        <v>1.0630000000000002</v>
      </c>
      <c r="G236" s="20">
        <f>表2_3671626293034[[#This Row],[累计净值]]/$B$21-1</f>
        <v>0.23100000000000009</v>
      </c>
    </row>
    <row r="237" spans="1:7">
      <c r="A237" s="15">
        <v>44027</v>
      </c>
      <c r="B237" s="112">
        <v>1.2330000000000001</v>
      </c>
      <c r="C237" s="108">
        <f t="shared" si="64"/>
        <v>2.0000000000000018E-3</v>
      </c>
      <c r="D237" s="109" t="str">
        <f t="shared" si="65"/>
        <v>/</v>
      </c>
      <c r="E237" s="109">
        <f ca="1">IF(表2_3671626293034[[#This Row],[累计净值]]/MAX(INDIRECT("B21:B" &amp; ROW()))-1&lt;E236,表2_3671626293034[[#This Row],[累计净值]]/MAX(INDIRECT("B21:B" &amp; ROW()))-1,E236)</f>
        <v>-9.7560975609756184E-3</v>
      </c>
      <c r="F237" s="110">
        <f>表2_3671626293034[[#This Row],[累计净值]]-0.168</f>
        <v>1.0650000000000002</v>
      </c>
      <c r="G237" s="20">
        <f>表2_3671626293034[[#This Row],[累计净值]]/$B$21-1</f>
        <v>0.2330000000000001</v>
      </c>
    </row>
    <row r="238" spans="1:7">
      <c r="A238" s="15">
        <v>44028</v>
      </c>
      <c r="B238" s="112">
        <v>1.2430000000000001</v>
      </c>
      <c r="C238" s="108">
        <f t="shared" ref="C238:C244" si="66">IFERROR(B238-B237,0)</f>
        <v>1.0000000000000009E-2</v>
      </c>
      <c r="D238" s="109" t="str">
        <f t="shared" ref="D238:D244" si="67">IF(C238&lt;0,C238,"/")</f>
        <v>/</v>
      </c>
      <c r="E238" s="109">
        <f ca="1">IF(表2_3671626293034[[#This Row],[累计净值]]/MAX(INDIRECT("B21:B" &amp; ROW()))-1&lt;E237,表2_3671626293034[[#This Row],[累计净值]]/MAX(INDIRECT("B21:B" &amp; ROW()))-1,E237)</f>
        <v>-9.7560975609756184E-3</v>
      </c>
      <c r="F238" s="110">
        <f>表2_3671626293034[[#This Row],[累计净值]]-0.168</f>
        <v>1.0750000000000002</v>
      </c>
      <c r="G238" s="20">
        <f>表2_3671626293034[[#This Row],[累计净值]]/$B$21-1</f>
        <v>0.2430000000000001</v>
      </c>
    </row>
    <row r="239" spans="1:7">
      <c r="A239" s="15">
        <v>44029</v>
      </c>
      <c r="B239" s="112">
        <v>1.2490000000000001</v>
      </c>
      <c r="C239" s="108">
        <f t="shared" si="66"/>
        <v>6.0000000000000053E-3</v>
      </c>
      <c r="D239" s="109" t="str">
        <f t="shared" si="67"/>
        <v>/</v>
      </c>
      <c r="E239" s="109">
        <f ca="1">IF(表2_3671626293034[[#This Row],[累计净值]]/MAX(INDIRECT("B21:B" &amp; ROW()))-1&lt;E238,表2_3671626293034[[#This Row],[累计净值]]/MAX(INDIRECT("B21:B" &amp; ROW()))-1,E238)</f>
        <v>-9.7560975609756184E-3</v>
      </c>
      <c r="F239" s="110">
        <f>表2_3671626293034[[#This Row],[累计净值]]-0.168</f>
        <v>1.0810000000000002</v>
      </c>
      <c r="G239" s="20">
        <f>表2_3671626293034[[#This Row],[累计净值]]/$B$21-1</f>
        <v>0.24900000000000011</v>
      </c>
    </row>
    <row r="240" spans="1:7">
      <c r="A240" s="15">
        <v>44032</v>
      </c>
      <c r="B240" s="112">
        <v>1.2529999999999999</v>
      </c>
      <c r="C240" s="108">
        <f t="shared" si="66"/>
        <v>3.9999999999997815E-3</v>
      </c>
      <c r="D240" s="109" t="str">
        <f t="shared" si="67"/>
        <v>/</v>
      </c>
      <c r="E240" s="109">
        <f ca="1">IF(表2_3671626293034[[#This Row],[累计净值]]/MAX(INDIRECT("B21:B" &amp; ROW()))-1&lt;E239,表2_3671626293034[[#This Row],[累计净值]]/MAX(INDIRECT("B21:B" &amp; ROW()))-1,E239)</f>
        <v>-9.7560975609756184E-3</v>
      </c>
      <c r="F240" s="110">
        <f>表2_3671626293034[[#This Row],[累计净值]]-0.168</f>
        <v>1.085</v>
      </c>
      <c r="G240" s="20">
        <f>表2_3671626293034[[#This Row],[累计净值]]/$B$21-1</f>
        <v>0.25299999999999989</v>
      </c>
    </row>
    <row r="241" spans="1:7">
      <c r="A241" s="15">
        <v>44033</v>
      </c>
      <c r="B241" s="112">
        <v>1.254</v>
      </c>
      <c r="C241" s="108">
        <f t="shared" si="66"/>
        <v>1.0000000000001119E-3</v>
      </c>
      <c r="D241" s="109" t="str">
        <f t="shared" si="67"/>
        <v>/</v>
      </c>
      <c r="E241" s="109">
        <f ca="1">IF(表2_3671626293034[[#This Row],[累计净值]]/MAX(INDIRECT("B21:B" &amp; ROW()))-1&lt;E240,表2_3671626293034[[#This Row],[累计净值]]/MAX(INDIRECT("B21:B" &amp; ROW()))-1,E240)</f>
        <v>-9.7560975609756184E-3</v>
      </c>
      <c r="F241" s="110">
        <f>表2_3671626293034[[#This Row],[累计净值]]-0.168</f>
        <v>1.0860000000000001</v>
      </c>
      <c r="G241" s="20">
        <f>表2_3671626293034[[#This Row],[累计净值]]/$B$21-1</f>
        <v>0.254</v>
      </c>
    </row>
    <row r="242" spans="1:7">
      <c r="A242" s="15">
        <v>44034</v>
      </c>
      <c r="B242" s="112">
        <v>1.258</v>
      </c>
      <c r="C242" s="108">
        <f t="shared" si="66"/>
        <v>4.0000000000000036E-3</v>
      </c>
      <c r="D242" s="109" t="str">
        <f t="shared" si="67"/>
        <v>/</v>
      </c>
      <c r="E242" s="109">
        <f ca="1">IF(表2_3671626293034[[#This Row],[累计净值]]/MAX(INDIRECT("B21:B" &amp; ROW()))-1&lt;E241,表2_3671626293034[[#This Row],[累计净值]]/MAX(INDIRECT("B21:B" &amp; ROW()))-1,E241)</f>
        <v>-9.7560975609756184E-3</v>
      </c>
      <c r="F242" s="110">
        <f>表2_3671626293034[[#This Row],[累计净值]]-0.168</f>
        <v>1.0900000000000001</v>
      </c>
      <c r="G242" s="20">
        <f>表2_3671626293034[[#This Row],[累计净值]]/$B$21-1</f>
        <v>0.25800000000000001</v>
      </c>
    </row>
    <row r="243" spans="1:7">
      <c r="A243" s="15">
        <v>44035</v>
      </c>
      <c r="B243" s="112">
        <v>1.2609999999999999</v>
      </c>
      <c r="C243" s="108">
        <f t="shared" si="66"/>
        <v>2.9999999999998916E-3</v>
      </c>
      <c r="D243" s="109" t="str">
        <f t="shared" si="67"/>
        <v>/</v>
      </c>
      <c r="E243" s="109">
        <f ca="1">IF(表2_3671626293034[[#This Row],[累计净值]]/MAX(INDIRECT("B21:B" &amp; ROW()))-1&lt;E242,表2_3671626293034[[#This Row],[累计净值]]/MAX(INDIRECT("B21:B" &amp; ROW()))-1,E242)</f>
        <v>-9.7560975609756184E-3</v>
      </c>
      <c r="F243" s="110">
        <f>表2_3671626293034[[#This Row],[累计净值]]-0.168</f>
        <v>1.093</v>
      </c>
      <c r="G243" s="20">
        <f>表2_3671626293034[[#This Row],[累计净值]]/$B$21-1</f>
        <v>0.2609999999999999</v>
      </c>
    </row>
    <row r="244" spans="1:7">
      <c r="A244" s="15">
        <v>44036</v>
      </c>
      <c r="B244" s="112">
        <v>1.2629999999999999</v>
      </c>
      <c r="C244" s="108">
        <f t="shared" si="66"/>
        <v>2.0000000000000018E-3</v>
      </c>
      <c r="D244" s="109" t="str">
        <f t="shared" si="67"/>
        <v>/</v>
      </c>
      <c r="E244" s="109">
        <f ca="1">IF(表2_3671626293034[[#This Row],[累计净值]]/MAX(INDIRECT("B21:B" &amp; ROW()))-1&lt;E243,表2_3671626293034[[#This Row],[累计净值]]/MAX(INDIRECT("B21:B" &amp; ROW()))-1,E243)</f>
        <v>-9.7560975609756184E-3</v>
      </c>
      <c r="F244" s="110">
        <f>表2_3671626293034[[#This Row],[累计净值]]-0.168</f>
        <v>1.095</v>
      </c>
      <c r="G244" s="20">
        <f>表2_3671626293034[[#This Row],[累计净值]]/$B$21-1</f>
        <v>0.2629999999999999</v>
      </c>
    </row>
    <row r="245" spans="1:7">
      <c r="A245" s="15">
        <v>44039</v>
      </c>
      <c r="B245" s="117">
        <v>1.2649999999999999</v>
      </c>
      <c r="C245" s="108">
        <f t="shared" ref="C245:C250" si="68">IFERROR(B245-B244,0)</f>
        <v>2.0000000000000018E-3</v>
      </c>
      <c r="D245" s="109" t="str">
        <f t="shared" ref="D245:D250" si="69">IF(C245&lt;0,C245,"/")</f>
        <v>/</v>
      </c>
      <c r="E245" s="109">
        <f ca="1">IF(表2_3671626293034[[#This Row],[累计净值]]/MAX(INDIRECT("B21:B" &amp; ROW()))-1&lt;E244,表2_3671626293034[[#This Row],[累计净值]]/MAX(INDIRECT("B21:B" &amp; ROW()))-1,E244)</f>
        <v>-9.7560975609756184E-3</v>
      </c>
      <c r="F245" s="110">
        <f>表2_3671626293034[[#This Row],[累计净值]]-0.168</f>
        <v>1.097</v>
      </c>
      <c r="G245" s="20">
        <f>表2_3671626293034[[#This Row],[累计净值]]/$B$21-1</f>
        <v>0.2649999999999999</v>
      </c>
    </row>
    <row r="246" spans="1:7">
      <c r="A246" s="15">
        <v>44040</v>
      </c>
      <c r="B246" s="112">
        <v>1.264</v>
      </c>
      <c r="C246" s="108">
        <f t="shared" si="68"/>
        <v>-9.9999999999988987E-4</v>
      </c>
      <c r="D246" s="109">
        <f t="shared" si="69"/>
        <v>-9.9999999999988987E-4</v>
      </c>
      <c r="E246" s="109">
        <f ca="1">IF(表2_3671626293034[[#This Row],[累计净值]]/MAX(INDIRECT("B21:B" &amp; ROW()))-1&lt;E245,表2_3671626293034[[#This Row],[累计净值]]/MAX(INDIRECT("B21:B" &amp; ROW()))-1,E245)</f>
        <v>-9.7560975609756184E-3</v>
      </c>
      <c r="F246" s="110">
        <f>表2_3671626293034[[#This Row],[累计净值]]-0.168</f>
        <v>1.0960000000000001</v>
      </c>
      <c r="G246" s="20">
        <f>表2_3671626293034[[#This Row],[累计净值]]/$B$21-1</f>
        <v>0.26400000000000001</v>
      </c>
    </row>
    <row r="247" spans="1:7">
      <c r="A247" s="15">
        <v>44041</v>
      </c>
      <c r="B247" s="112">
        <v>1.2629999999999999</v>
      </c>
      <c r="C247" s="108">
        <f t="shared" si="68"/>
        <v>-1.0000000000001119E-3</v>
      </c>
      <c r="D247" s="109">
        <f t="shared" si="69"/>
        <v>-1.0000000000001119E-3</v>
      </c>
      <c r="E247" s="109">
        <f ca="1">IF(表2_3671626293034[[#This Row],[累计净值]]/MAX(INDIRECT("B21:B" &amp; ROW()))-1&lt;E246,表2_3671626293034[[#This Row],[累计净值]]/MAX(INDIRECT("B21:B" &amp; ROW()))-1,E246)</f>
        <v>-9.7560975609756184E-3</v>
      </c>
      <c r="F247" s="110">
        <f>表2_3671626293034[[#This Row],[累计净值]]-0.168</f>
        <v>1.095</v>
      </c>
      <c r="G247" s="20">
        <f>表2_3671626293034[[#This Row],[累计净值]]/$B$21-1</f>
        <v>0.2629999999999999</v>
      </c>
    </row>
    <row r="248" spans="1:7">
      <c r="A248" s="15">
        <v>44042</v>
      </c>
      <c r="B248" s="112">
        <v>1.264</v>
      </c>
      <c r="C248" s="108">
        <f t="shared" si="68"/>
        <v>1.0000000000001119E-3</v>
      </c>
      <c r="D248" s="109" t="str">
        <f t="shared" si="69"/>
        <v>/</v>
      </c>
      <c r="E248" s="109">
        <f ca="1">IF(表2_3671626293034[[#This Row],[累计净值]]/MAX(INDIRECT("B21:B" &amp; ROW()))-1&lt;E247,表2_3671626293034[[#This Row],[累计净值]]/MAX(INDIRECT("B21:B" &amp; ROW()))-1,E247)</f>
        <v>-9.7560975609756184E-3</v>
      </c>
      <c r="F248" s="110">
        <f>表2_3671626293034[[#This Row],[累计净值]]-0.168</f>
        <v>1.0960000000000001</v>
      </c>
      <c r="G248" s="20">
        <f>表2_3671626293034[[#This Row],[累计净值]]/$B$21-1</f>
        <v>0.26400000000000001</v>
      </c>
    </row>
    <row r="249" spans="1:7">
      <c r="A249" s="15">
        <v>44043</v>
      </c>
      <c r="B249" s="112">
        <v>1.266</v>
      </c>
      <c r="C249" s="108">
        <f t="shared" si="68"/>
        <v>2.0000000000000018E-3</v>
      </c>
      <c r="D249" s="109" t="str">
        <f t="shared" si="69"/>
        <v>/</v>
      </c>
      <c r="E249" s="109">
        <f ca="1">IF(表2_3671626293034[[#This Row],[累计净值]]/MAX(INDIRECT("B21:B" &amp; ROW()))-1&lt;E248,表2_3671626293034[[#This Row],[累计净值]]/MAX(INDIRECT("B21:B" &amp; ROW()))-1,E248)</f>
        <v>-9.7560975609756184E-3</v>
      </c>
      <c r="F249" s="110">
        <f>表2_3671626293034[[#This Row],[累计净值]]-0.168</f>
        <v>1.0980000000000001</v>
      </c>
      <c r="G249" s="20">
        <f>表2_3671626293034[[#This Row],[累计净值]]/$B$21-1</f>
        <v>0.26600000000000001</v>
      </c>
    </row>
    <row r="250" spans="1:7">
      <c r="A250" s="15">
        <v>44046</v>
      </c>
      <c r="B250" s="112">
        <v>1.266</v>
      </c>
      <c r="C250" s="108">
        <f t="shared" si="68"/>
        <v>0</v>
      </c>
      <c r="D250" s="109" t="str">
        <f t="shared" si="69"/>
        <v>/</v>
      </c>
      <c r="E250" s="109">
        <f ca="1">IF(表2_3671626293034[[#This Row],[累计净值]]/MAX(INDIRECT("B21:B" &amp; ROW()))-1&lt;E249,表2_3671626293034[[#This Row],[累计净值]]/MAX(INDIRECT("B21:B" &amp; ROW()))-1,E249)</f>
        <v>-9.7560975609756184E-3</v>
      </c>
      <c r="F250" s="110">
        <f>表2_3671626293034[[#This Row],[累计净值]]-0.168</f>
        <v>1.0980000000000001</v>
      </c>
      <c r="G250" s="20">
        <f>表2_3671626293034[[#This Row],[累计净值]]/$B$21-1</f>
        <v>0.26600000000000001</v>
      </c>
    </row>
    <row r="251" spans="1:7">
      <c r="A251" s="15">
        <v>44047</v>
      </c>
      <c r="B251" s="112">
        <v>1.2669999999999999</v>
      </c>
      <c r="C251" s="108">
        <f t="shared" ref="C251:C256" si="70">IFERROR(B251-B250,0)</f>
        <v>9.9999999999988987E-4</v>
      </c>
      <c r="D251" s="109" t="str">
        <f t="shared" ref="D251:D256" si="71">IF(C251&lt;0,C251,"/")</f>
        <v>/</v>
      </c>
      <c r="E251" s="109">
        <f ca="1">IF(表2_3671626293034[[#This Row],[累计净值]]/MAX(INDIRECT("B21:B" &amp; ROW()))-1&lt;E250,表2_3671626293034[[#This Row],[累计净值]]/MAX(INDIRECT("B21:B" &amp; ROW()))-1,E250)</f>
        <v>-9.7560975609756184E-3</v>
      </c>
      <c r="F251" s="110">
        <f>表2_3671626293034[[#This Row],[累计净值]]-0.168</f>
        <v>1.099</v>
      </c>
      <c r="G251" s="20">
        <f>表2_3671626293034[[#This Row],[累计净值]]/$B$21-1</f>
        <v>0.2669999999999999</v>
      </c>
    </row>
    <row r="252" spans="1:7">
      <c r="A252" s="15">
        <v>44048</v>
      </c>
      <c r="B252" s="112">
        <v>1.268</v>
      </c>
      <c r="C252" s="108">
        <f t="shared" si="70"/>
        <v>1.0000000000001119E-3</v>
      </c>
      <c r="D252" s="109" t="str">
        <f t="shared" si="71"/>
        <v>/</v>
      </c>
      <c r="E252" s="109">
        <f ca="1">IF(表2_3671626293034[[#This Row],[累计净值]]/MAX(INDIRECT("B21:B" &amp; ROW()))-1&lt;E251,表2_3671626293034[[#This Row],[累计净值]]/MAX(INDIRECT("B21:B" &amp; ROW()))-1,E251)</f>
        <v>-9.7560975609756184E-3</v>
      </c>
      <c r="F252" s="110">
        <f>表2_3671626293034[[#This Row],[累计净值]]-0.168</f>
        <v>1.1000000000000001</v>
      </c>
      <c r="G252" s="20">
        <f>表2_3671626293034[[#This Row],[累计净值]]/$B$21-1</f>
        <v>0.26800000000000002</v>
      </c>
    </row>
    <row r="253" spans="1:7">
      <c r="A253" s="15">
        <v>44049</v>
      </c>
      <c r="B253" s="112">
        <v>1.272</v>
      </c>
      <c r="C253" s="108">
        <f t="shared" si="70"/>
        <v>4.0000000000000036E-3</v>
      </c>
      <c r="D253" s="109" t="str">
        <f t="shared" si="71"/>
        <v>/</v>
      </c>
      <c r="E253" s="109">
        <f ca="1">IF(表2_3671626293034[[#This Row],[累计净值]]/MAX(INDIRECT("B21:B" &amp; ROW()))-1&lt;E252,表2_3671626293034[[#This Row],[累计净值]]/MAX(INDIRECT("B21:B" &amp; ROW()))-1,E252)</f>
        <v>-9.7560975609756184E-3</v>
      </c>
      <c r="F253" s="110">
        <f>表2_3671626293034[[#This Row],[累计净值]]-0.168</f>
        <v>1.1040000000000001</v>
      </c>
      <c r="G253" s="20">
        <f>表2_3671626293034[[#This Row],[累计净值]]/$B$21-1</f>
        <v>0.27200000000000002</v>
      </c>
    </row>
    <row r="254" spans="1:7">
      <c r="A254" s="15">
        <v>44050</v>
      </c>
      <c r="B254" s="112">
        <v>1.2709999999999999</v>
      </c>
      <c r="C254" s="108">
        <f t="shared" si="70"/>
        <v>-1.0000000000001119E-3</v>
      </c>
      <c r="D254" s="109">
        <f t="shared" si="71"/>
        <v>-1.0000000000001119E-3</v>
      </c>
      <c r="E254" s="109">
        <f ca="1">IF(表2_3671626293034[[#This Row],[累计净值]]/MAX(INDIRECT("B21:B" &amp; ROW()))-1&lt;E253,表2_3671626293034[[#This Row],[累计净值]]/MAX(INDIRECT("B21:B" &amp; ROW()))-1,E253)</f>
        <v>-9.7560975609756184E-3</v>
      </c>
      <c r="F254" s="110">
        <f>表2_3671626293034[[#This Row],[累计净值]]-0.168</f>
        <v>1.103</v>
      </c>
      <c r="G254" s="20">
        <f>表2_3671626293034[[#This Row],[累计净值]]/$B$21-1</f>
        <v>0.27099999999999991</v>
      </c>
    </row>
    <row r="255" spans="1:7">
      <c r="A255" s="15">
        <v>44053</v>
      </c>
      <c r="B255" s="112">
        <v>1.2729999999999999</v>
      </c>
      <c r="C255" s="108">
        <f t="shared" si="70"/>
        <v>2.0000000000000018E-3</v>
      </c>
      <c r="D255" s="109" t="str">
        <f t="shared" si="71"/>
        <v>/</v>
      </c>
      <c r="E255" s="109">
        <f ca="1">IF(表2_3671626293034[[#This Row],[累计净值]]/MAX(INDIRECT("B21:B" &amp; ROW()))-1&lt;E254,表2_3671626293034[[#This Row],[累计净值]]/MAX(INDIRECT("B21:B" &amp; ROW()))-1,E254)</f>
        <v>-9.7560975609756184E-3</v>
      </c>
      <c r="F255" s="110">
        <f>表2_3671626293034[[#This Row],[累计净值]]-0.168</f>
        <v>1.105</v>
      </c>
      <c r="G255" s="20">
        <f>表2_3671626293034[[#This Row],[累计净值]]/$B$21-1</f>
        <v>0.27299999999999991</v>
      </c>
    </row>
    <row r="256" spans="1:7">
      <c r="A256" s="15">
        <v>44054</v>
      </c>
      <c r="B256" s="112">
        <v>1.2729999999999999</v>
      </c>
      <c r="C256" s="108">
        <f t="shared" si="70"/>
        <v>0</v>
      </c>
      <c r="D256" s="109" t="str">
        <f t="shared" si="71"/>
        <v>/</v>
      </c>
      <c r="E256" s="109">
        <f ca="1">IF(表2_3671626293034[[#This Row],[累计净值]]/MAX(INDIRECT("B21:B" &amp; ROW()))-1&lt;E255,表2_3671626293034[[#This Row],[累计净值]]/MAX(INDIRECT("B21:B" &amp; ROW()))-1,E255)</f>
        <v>-9.7560975609756184E-3</v>
      </c>
      <c r="F256" s="110">
        <f>表2_3671626293034[[#This Row],[累计净值]]-0.168</f>
        <v>1.105</v>
      </c>
      <c r="G256" s="20">
        <f>表2_3671626293034[[#This Row],[累计净值]]/$B$21-1</f>
        <v>0.27299999999999991</v>
      </c>
    </row>
    <row r="257" spans="1:7">
      <c r="A257" s="15">
        <v>44055</v>
      </c>
      <c r="B257" s="112">
        <v>1.276</v>
      </c>
      <c r="C257" s="108">
        <f t="shared" ref="C257:C262" si="72">IFERROR(B257-B256,0)</f>
        <v>3.0000000000001137E-3</v>
      </c>
      <c r="D257" s="109" t="str">
        <f t="shared" ref="D257:D262" si="73">IF(C257&lt;0,C257,"/")</f>
        <v>/</v>
      </c>
      <c r="E257" s="109">
        <f ca="1">IF(表2_3671626293034[[#This Row],[累计净值]]/MAX(INDIRECT("B21:B" &amp; ROW()))-1&lt;E256,表2_3671626293034[[#This Row],[累计净值]]/MAX(INDIRECT("B21:B" &amp; ROW()))-1,E256)</f>
        <v>-9.7560975609756184E-3</v>
      </c>
      <c r="F257" s="110">
        <f>表2_3671626293034[[#This Row],[累计净值]]-0.168</f>
        <v>1.1080000000000001</v>
      </c>
      <c r="G257" s="20">
        <f>表2_3671626293034[[#This Row],[累计净值]]/$B$21-1</f>
        <v>0.27600000000000002</v>
      </c>
    </row>
    <row r="258" spans="1:7">
      <c r="A258" s="15">
        <v>44056</v>
      </c>
      <c r="B258" s="112">
        <v>1.2749999999999999</v>
      </c>
      <c r="C258" s="108">
        <f t="shared" si="72"/>
        <v>-1.0000000000001119E-3</v>
      </c>
      <c r="D258" s="109">
        <f t="shared" si="73"/>
        <v>-1.0000000000001119E-3</v>
      </c>
      <c r="E258" s="109">
        <f ca="1">IF(表2_3671626293034[[#This Row],[累计净值]]/MAX(INDIRECT("B21:B" &amp; ROW()))-1&lt;E257,表2_3671626293034[[#This Row],[累计净值]]/MAX(INDIRECT("B21:B" &amp; ROW()))-1,E257)</f>
        <v>-9.7560975609756184E-3</v>
      </c>
      <c r="F258" s="110">
        <f>表2_3671626293034[[#This Row],[累计净值]]-0.168</f>
        <v>1.107</v>
      </c>
      <c r="G258" s="20">
        <f>表2_3671626293034[[#This Row],[累计净值]]/$B$21-1</f>
        <v>0.27499999999999991</v>
      </c>
    </row>
    <row r="259" spans="1:7">
      <c r="A259" s="15">
        <v>44057</v>
      </c>
      <c r="B259" s="117">
        <v>1.2769999999999999</v>
      </c>
      <c r="C259" s="108">
        <f t="shared" si="72"/>
        <v>2.0000000000000018E-3</v>
      </c>
      <c r="D259" s="109" t="str">
        <f t="shared" si="73"/>
        <v>/</v>
      </c>
      <c r="E259" s="109">
        <f ca="1">IF(表2_3671626293034[[#This Row],[累计净值]]/MAX(INDIRECT("B21:B" &amp; ROW()))-1&lt;E258,表2_3671626293034[[#This Row],[累计净值]]/MAX(INDIRECT("B21:B" &amp; ROW()))-1,E258)</f>
        <v>-9.7560975609756184E-3</v>
      </c>
      <c r="F259" s="110">
        <f>表2_3671626293034[[#This Row],[累计净值]]-0.168</f>
        <v>1.109</v>
      </c>
      <c r="G259" s="20">
        <f>表2_3671626293034[[#This Row],[累计净值]]/$B$21-1</f>
        <v>0.27699999999999991</v>
      </c>
    </row>
    <row r="260" spans="1:7">
      <c r="A260" s="15">
        <v>44060</v>
      </c>
      <c r="B260" s="112">
        <v>1.2729999999999999</v>
      </c>
      <c r="C260" s="108">
        <f t="shared" si="72"/>
        <v>-4.0000000000000036E-3</v>
      </c>
      <c r="D260" s="109">
        <f t="shared" si="73"/>
        <v>-4.0000000000000036E-3</v>
      </c>
      <c r="E260" s="109">
        <f ca="1">IF(表2_3671626293034[[#This Row],[累计净值]]/MAX(INDIRECT("B21:B" &amp; ROW()))-1&lt;E259,表2_3671626293034[[#This Row],[累计净值]]/MAX(INDIRECT("B21:B" &amp; ROW()))-1,E259)</f>
        <v>-9.7560975609756184E-3</v>
      </c>
      <c r="F260" s="110">
        <f>表2_3671626293034[[#This Row],[累计净值]]-0.168</f>
        <v>1.105</v>
      </c>
      <c r="G260" s="20">
        <f>表2_3671626293034[[#This Row],[累计净值]]/$B$21-1</f>
        <v>0.27299999999999991</v>
      </c>
    </row>
    <row r="261" spans="1:7">
      <c r="A261" s="15">
        <v>44061</v>
      </c>
      <c r="B261" s="112">
        <v>1.27</v>
      </c>
      <c r="C261" s="108">
        <f t="shared" si="72"/>
        <v>-2.9999999999998916E-3</v>
      </c>
      <c r="D261" s="109">
        <f t="shared" si="73"/>
        <v>-2.9999999999998916E-3</v>
      </c>
      <c r="E261" s="109">
        <f ca="1">IF(表2_3671626293034[[#This Row],[累计净值]]/MAX(INDIRECT("B21:B" &amp; ROW()))-1&lt;E260,表2_3671626293034[[#This Row],[累计净值]]/MAX(INDIRECT("B21:B" &amp; ROW()))-1,E260)</f>
        <v>-9.7560975609756184E-3</v>
      </c>
      <c r="F261" s="110">
        <f>表2_3671626293034[[#This Row],[累计净值]]-0.168</f>
        <v>1.1020000000000001</v>
      </c>
      <c r="G261" s="20">
        <f>表2_3671626293034[[#This Row],[累计净值]]/$B$21-1</f>
        <v>0.27</v>
      </c>
    </row>
    <row r="262" spans="1:7">
      <c r="A262" s="15">
        <v>44062</v>
      </c>
      <c r="B262" s="112">
        <v>1.272</v>
      </c>
      <c r="C262" s="108">
        <f t="shared" si="72"/>
        <v>2.0000000000000018E-3</v>
      </c>
      <c r="D262" s="109" t="str">
        <f t="shared" si="73"/>
        <v>/</v>
      </c>
      <c r="E262" s="109">
        <f ca="1">IF(表2_3671626293034[[#This Row],[累计净值]]/MAX(INDIRECT("B21:B" &amp; ROW()))-1&lt;E261,表2_3671626293034[[#This Row],[累计净值]]/MAX(INDIRECT("B21:B" &amp; ROW()))-1,E261)</f>
        <v>-9.7560975609756184E-3</v>
      </c>
      <c r="F262" s="110">
        <f>表2_3671626293034[[#This Row],[累计净值]]-0.168</f>
        <v>1.1040000000000001</v>
      </c>
      <c r="G262" s="20">
        <f>表2_3671626293034[[#This Row],[累计净值]]/$B$21-1</f>
        <v>0.27200000000000002</v>
      </c>
    </row>
    <row r="263" spans="1:7">
      <c r="A263" s="15">
        <v>44063</v>
      </c>
      <c r="B263" s="112">
        <v>1.2709999999999999</v>
      </c>
      <c r="C263" s="108">
        <f t="shared" ref="C263:C268" si="74">IFERROR(B263-B262,0)</f>
        <v>-1.0000000000001119E-3</v>
      </c>
      <c r="D263" s="109">
        <f t="shared" ref="D263:D268" si="75">IF(C263&lt;0,C263,"/")</f>
        <v>-1.0000000000001119E-3</v>
      </c>
      <c r="E263" s="109">
        <f ca="1">IF(表2_3671626293034[[#This Row],[累计净值]]/MAX(INDIRECT("B21:B" &amp; ROW()))-1&lt;E262,表2_3671626293034[[#This Row],[累计净值]]/MAX(INDIRECT("B21:B" &amp; ROW()))-1,E262)</f>
        <v>-9.7560975609756184E-3</v>
      </c>
      <c r="F263" s="110">
        <f>表2_3671626293034[[#This Row],[累计净值]]-0.168</f>
        <v>1.103</v>
      </c>
      <c r="G263" s="20">
        <f>表2_3671626293034[[#This Row],[累计净值]]/$B$21-1</f>
        <v>0.27099999999999991</v>
      </c>
    </row>
    <row r="264" spans="1:7">
      <c r="A264" s="15">
        <v>44064</v>
      </c>
      <c r="B264" s="112">
        <v>1.2709999999999999</v>
      </c>
      <c r="C264" s="108">
        <f t="shared" si="74"/>
        <v>0</v>
      </c>
      <c r="D264" s="109" t="str">
        <f t="shared" si="75"/>
        <v>/</v>
      </c>
      <c r="E264" s="109">
        <f ca="1">IF(表2_3671626293034[[#This Row],[累计净值]]/MAX(INDIRECT("B21:B" &amp; ROW()))-1&lt;E263,表2_3671626293034[[#This Row],[累计净值]]/MAX(INDIRECT("B21:B" &amp; ROW()))-1,E263)</f>
        <v>-9.7560975609756184E-3</v>
      </c>
      <c r="F264" s="110">
        <f>表2_3671626293034[[#This Row],[累计净值]]-0.168</f>
        <v>1.103</v>
      </c>
      <c r="G264" s="20">
        <f>表2_3671626293034[[#This Row],[累计净值]]/$B$21-1</f>
        <v>0.27099999999999991</v>
      </c>
    </row>
    <row r="265" spans="1:7">
      <c r="A265" s="15">
        <v>44067</v>
      </c>
      <c r="B265" s="112">
        <v>1.2729999999999999</v>
      </c>
      <c r="C265" s="108">
        <f t="shared" si="74"/>
        <v>2.0000000000000018E-3</v>
      </c>
      <c r="D265" s="109" t="str">
        <f t="shared" si="75"/>
        <v>/</v>
      </c>
      <c r="E265" s="109">
        <f ca="1">IF(表2_3671626293034[[#This Row],[累计净值]]/MAX(INDIRECT("B21:B" &amp; ROW()))-1&lt;E264,表2_3671626293034[[#This Row],[累计净值]]/MAX(INDIRECT("B21:B" &amp; ROW()))-1,E264)</f>
        <v>-9.7560975609756184E-3</v>
      </c>
      <c r="F265" s="110">
        <f>表2_3671626293034[[#This Row],[累计净值]]-0.168</f>
        <v>1.105</v>
      </c>
      <c r="G265" s="20">
        <f>表2_3671626293034[[#This Row],[累计净值]]/$B$21-1</f>
        <v>0.27299999999999991</v>
      </c>
    </row>
    <row r="266" spans="1:7">
      <c r="A266" s="15">
        <v>44068</v>
      </c>
      <c r="B266" s="112">
        <v>1.274</v>
      </c>
      <c r="C266" s="108">
        <f t="shared" si="74"/>
        <v>1.0000000000001119E-3</v>
      </c>
      <c r="D266" s="109" t="str">
        <f t="shared" si="75"/>
        <v>/</v>
      </c>
      <c r="E266" s="109">
        <f ca="1">IF(表2_3671626293034[[#This Row],[累计净值]]/MAX(INDIRECT("B21:B" &amp; ROW()))-1&lt;E265,表2_3671626293034[[#This Row],[累计净值]]/MAX(INDIRECT("B21:B" &amp; ROW()))-1,E265)</f>
        <v>-9.7560975609756184E-3</v>
      </c>
      <c r="F266" s="110">
        <f>表2_3671626293034[[#This Row],[累计净值]]-0.168</f>
        <v>1.1060000000000001</v>
      </c>
      <c r="G266" s="20">
        <f>表2_3671626293034[[#This Row],[累计净值]]/$B$21-1</f>
        <v>0.27400000000000002</v>
      </c>
    </row>
    <row r="267" spans="1:7">
      <c r="A267" s="15">
        <v>44069</v>
      </c>
      <c r="B267" s="112">
        <v>1.272</v>
      </c>
      <c r="C267" s="108">
        <f t="shared" si="74"/>
        <v>-2.0000000000000018E-3</v>
      </c>
      <c r="D267" s="109">
        <f t="shared" si="75"/>
        <v>-2.0000000000000018E-3</v>
      </c>
      <c r="E267" s="109">
        <f ca="1">IF(表2_3671626293034[[#This Row],[累计净值]]/MAX(INDIRECT("B21:B" &amp; ROW()))-1&lt;E266,表2_3671626293034[[#This Row],[累计净值]]/MAX(INDIRECT("B21:B" &amp; ROW()))-1,E266)</f>
        <v>-9.7560975609756184E-3</v>
      </c>
      <c r="F267" s="110">
        <f>表2_3671626293034[[#This Row],[累计净值]]-0.168</f>
        <v>1.1040000000000001</v>
      </c>
      <c r="G267" s="20">
        <f>表2_3671626293034[[#This Row],[累计净值]]/$B$21-1</f>
        <v>0.27200000000000002</v>
      </c>
    </row>
    <row r="268" spans="1:7">
      <c r="A268" s="15">
        <v>44070</v>
      </c>
      <c r="B268" s="112">
        <v>1.2729999999999999</v>
      </c>
      <c r="C268" s="108">
        <f t="shared" si="74"/>
        <v>9.9999999999988987E-4</v>
      </c>
      <c r="D268" s="109" t="str">
        <f t="shared" si="75"/>
        <v>/</v>
      </c>
      <c r="E268" s="109">
        <f ca="1">IF(表2_3671626293034[[#This Row],[累计净值]]/MAX(INDIRECT("B21:B" &amp; ROW()))-1&lt;E267,表2_3671626293034[[#This Row],[累计净值]]/MAX(INDIRECT("B21:B" &amp; ROW()))-1,E267)</f>
        <v>-9.7560975609756184E-3</v>
      </c>
      <c r="F268" s="110">
        <f>表2_3671626293034[[#This Row],[累计净值]]-0.168</f>
        <v>1.105</v>
      </c>
      <c r="G268" s="20">
        <f>表2_3671626293034[[#This Row],[累计净值]]/$B$21-1</f>
        <v>0.27299999999999991</v>
      </c>
    </row>
    <row r="269" spans="1:7">
      <c r="A269" s="15">
        <v>44071</v>
      </c>
      <c r="B269" s="112">
        <v>1.274</v>
      </c>
      <c r="C269" s="108">
        <f t="shared" ref="C269:C274" si="76">IFERROR(B269-B268,0)</f>
        <v>1.0000000000001119E-3</v>
      </c>
      <c r="D269" s="109" t="str">
        <f t="shared" ref="D269:D274" si="77">IF(C269&lt;0,C269,"/")</f>
        <v>/</v>
      </c>
      <c r="E269" s="109">
        <f ca="1">IF(表2_3671626293034[[#This Row],[累计净值]]/MAX(INDIRECT("B21:B" &amp; ROW()))-1&lt;E268,表2_3671626293034[[#This Row],[累计净值]]/MAX(INDIRECT("B21:B" &amp; ROW()))-1,E268)</f>
        <v>-9.7560975609756184E-3</v>
      </c>
      <c r="F269" s="110">
        <f>表2_3671626293034[[#This Row],[累计净值]]-0.168</f>
        <v>1.1060000000000001</v>
      </c>
      <c r="G269" s="20">
        <f>表2_3671626293034[[#This Row],[累计净值]]/$B$21-1</f>
        <v>0.27400000000000002</v>
      </c>
    </row>
    <row r="270" spans="1:7">
      <c r="A270" s="15">
        <v>44074</v>
      </c>
      <c r="B270" s="112">
        <v>1.2729999999999999</v>
      </c>
      <c r="C270" s="108">
        <f t="shared" si="76"/>
        <v>-1.0000000000001119E-3</v>
      </c>
      <c r="D270" s="109">
        <f t="shared" si="77"/>
        <v>-1.0000000000001119E-3</v>
      </c>
      <c r="E270" s="109">
        <f ca="1">IF(表2_3671626293034[[#This Row],[累计净值]]/MAX(INDIRECT("B21:B" &amp; ROW()))-1&lt;E269,表2_3671626293034[[#This Row],[累计净值]]/MAX(INDIRECT("B21:B" &amp; ROW()))-1,E269)</f>
        <v>-9.7560975609756184E-3</v>
      </c>
      <c r="F270" s="110">
        <f>表2_3671626293034[[#This Row],[累计净值]]-0.168</f>
        <v>1.105</v>
      </c>
      <c r="G270" s="20">
        <f>表2_3671626293034[[#This Row],[累计净值]]/$B$21-1</f>
        <v>0.27299999999999991</v>
      </c>
    </row>
    <row r="271" spans="1:7">
      <c r="A271" s="15">
        <v>44075</v>
      </c>
      <c r="B271" s="112">
        <v>1.2729999999999999</v>
      </c>
      <c r="C271" s="108">
        <f t="shared" si="76"/>
        <v>0</v>
      </c>
      <c r="D271" s="109" t="str">
        <f t="shared" si="77"/>
        <v>/</v>
      </c>
      <c r="E271" s="109">
        <f ca="1">IF(表2_3671626293034[[#This Row],[累计净值]]/MAX(INDIRECT("B21:B" &amp; ROW()))-1&lt;E270,表2_3671626293034[[#This Row],[累计净值]]/MAX(INDIRECT("B21:B" &amp; ROW()))-1,E270)</f>
        <v>-9.7560975609756184E-3</v>
      </c>
      <c r="F271" s="110">
        <f>表2_3671626293034[[#This Row],[累计净值]]-0.168</f>
        <v>1.105</v>
      </c>
      <c r="G271" s="20">
        <f>表2_3671626293034[[#This Row],[累计净值]]/$B$21-1</f>
        <v>0.27299999999999991</v>
      </c>
    </row>
    <row r="272" spans="1:7">
      <c r="A272" s="15">
        <v>44076</v>
      </c>
      <c r="B272" s="112">
        <v>1.2729999999999999</v>
      </c>
      <c r="C272" s="108">
        <f t="shared" si="76"/>
        <v>0</v>
      </c>
      <c r="D272" s="109" t="str">
        <f t="shared" si="77"/>
        <v>/</v>
      </c>
      <c r="E272" s="109">
        <f ca="1">IF(表2_3671626293034[[#This Row],[累计净值]]/MAX(INDIRECT("B21:B" &amp; ROW()))-1&lt;E271,表2_3671626293034[[#This Row],[累计净值]]/MAX(INDIRECT("B21:B" &amp; ROW()))-1,E271)</f>
        <v>-9.7560975609756184E-3</v>
      </c>
      <c r="F272" s="110">
        <f>表2_3671626293034[[#This Row],[累计净值]]-0.168</f>
        <v>1.105</v>
      </c>
      <c r="G272" s="20">
        <f>表2_3671626293034[[#This Row],[累计净值]]/$B$21-1</f>
        <v>0.27299999999999991</v>
      </c>
    </row>
    <row r="273" spans="1:7">
      <c r="A273" s="15">
        <v>44077</v>
      </c>
      <c r="B273" s="112">
        <v>1.276</v>
      </c>
      <c r="C273" s="108">
        <f t="shared" si="76"/>
        <v>3.0000000000001137E-3</v>
      </c>
      <c r="D273" s="109" t="str">
        <f t="shared" si="77"/>
        <v>/</v>
      </c>
      <c r="E273" s="109">
        <f ca="1">IF(表2_3671626293034[[#This Row],[累计净值]]/MAX(INDIRECT("B21:B" &amp; ROW()))-1&lt;E272,表2_3671626293034[[#This Row],[累计净值]]/MAX(INDIRECT("B21:B" &amp; ROW()))-1,E272)</f>
        <v>-9.7560975609756184E-3</v>
      </c>
      <c r="F273" s="110">
        <f>表2_3671626293034[[#This Row],[累计净值]]-0.168</f>
        <v>1.1080000000000001</v>
      </c>
      <c r="G273" s="20">
        <f>表2_3671626293034[[#This Row],[累计净值]]/$B$21-1</f>
        <v>0.27600000000000002</v>
      </c>
    </row>
    <row r="274" spans="1:7">
      <c r="A274" s="15">
        <v>44078</v>
      </c>
      <c r="B274" s="112">
        <v>1.2749999999999999</v>
      </c>
      <c r="C274" s="108">
        <f t="shared" si="76"/>
        <v>-1.0000000000001119E-3</v>
      </c>
      <c r="D274" s="109">
        <f t="shared" si="77"/>
        <v>-1.0000000000001119E-3</v>
      </c>
      <c r="E274" s="109">
        <f ca="1">IF(表2_3671626293034[[#This Row],[累计净值]]/MAX(INDIRECT("B21:B" &amp; ROW()))-1&lt;E273,表2_3671626293034[[#This Row],[累计净值]]/MAX(INDIRECT("B21:B" &amp; ROW()))-1,E273)</f>
        <v>-9.7560975609756184E-3</v>
      </c>
      <c r="F274" s="110">
        <f>表2_3671626293034[[#This Row],[累计净值]]-0.168</f>
        <v>1.107</v>
      </c>
      <c r="G274" s="20">
        <f>表2_3671626293034[[#This Row],[累计净值]]/$B$21-1</f>
        <v>0.27499999999999991</v>
      </c>
    </row>
    <row r="275" spans="1:7">
      <c r="A275" s="15">
        <v>44081</v>
      </c>
      <c r="B275" s="112">
        <v>1.278</v>
      </c>
      <c r="C275" s="108">
        <f t="shared" ref="C275:C280" si="78">IFERROR(B275-B274,0)</f>
        <v>3.0000000000001137E-3</v>
      </c>
      <c r="D275" s="109" t="str">
        <f t="shared" ref="D275:D280" si="79">IF(C275&lt;0,C275,"/")</f>
        <v>/</v>
      </c>
      <c r="E275" s="109">
        <f ca="1">IF(表2_3671626293034[[#This Row],[累计净值]]/MAX(INDIRECT("B21:B" &amp; ROW()))-1&lt;E274,表2_3671626293034[[#This Row],[累计净值]]/MAX(INDIRECT("B21:B" &amp; ROW()))-1,E274)</f>
        <v>-9.7560975609756184E-3</v>
      </c>
      <c r="F275" s="110">
        <f>表2_3671626293034[[#This Row],[累计净值]]-0.168</f>
        <v>1.1100000000000001</v>
      </c>
      <c r="G275" s="20">
        <f>表2_3671626293034[[#This Row],[累计净值]]/$B$21-1</f>
        <v>0.27800000000000002</v>
      </c>
    </row>
    <row r="276" spans="1:7">
      <c r="A276" s="15">
        <v>44082</v>
      </c>
      <c r="B276" s="112">
        <v>1.2769999999999999</v>
      </c>
      <c r="C276" s="108">
        <f t="shared" si="78"/>
        <v>-1.0000000000001119E-3</v>
      </c>
      <c r="D276" s="109">
        <f t="shared" si="79"/>
        <v>-1.0000000000001119E-3</v>
      </c>
      <c r="E276" s="109">
        <f ca="1">IF(表2_3671626293034[[#This Row],[累计净值]]/MAX(INDIRECT("B21:B" &amp; ROW()))-1&lt;E275,表2_3671626293034[[#This Row],[累计净值]]/MAX(INDIRECT("B21:B" &amp; ROW()))-1,E275)</f>
        <v>-9.7560975609756184E-3</v>
      </c>
      <c r="F276" s="110">
        <f>表2_3671626293034[[#This Row],[累计净值]]-0.168</f>
        <v>1.109</v>
      </c>
      <c r="G276" s="20">
        <f>表2_3671626293034[[#This Row],[累计净值]]/$B$21-1</f>
        <v>0.27699999999999991</v>
      </c>
    </row>
    <row r="277" spans="1:7">
      <c r="A277" s="15">
        <v>44083</v>
      </c>
      <c r="B277" s="112">
        <v>1.28</v>
      </c>
      <c r="C277" s="108">
        <f t="shared" si="78"/>
        <v>3.0000000000001137E-3</v>
      </c>
      <c r="D277" s="109" t="str">
        <f t="shared" si="79"/>
        <v>/</v>
      </c>
      <c r="E277" s="109">
        <f ca="1">IF(表2_3671626293034[[#This Row],[累计净值]]/MAX(INDIRECT("B21:B" &amp; ROW()))-1&lt;E276,表2_3671626293034[[#This Row],[累计净值]]/MAX(INDIRECT("B21:B" &amp; ROW()))-1,E276)</f>
        <v>-9.7560975609756184E-3</v>
      </c>
      <c r="F277" s="110">
        <f>表2_3671626293034[[#This Row],[累计净值]]-0.168</f>
        <v>1.1120000000000001</v>
      </c>
      <c r="G277" s="20">
        <f>表2_3671626293034[[#This Row],[累计净值]]/$B$21-1</f>
        <v>0.28000000000000003</v>
      </c>
    </row>
    <row r="278" spans="1:7">
      <c r="A278" s="15">
        <v>44084</v>
      </c>
      <c r="B278" s="112">
        <v>1.2789999999999999</v>
      </c>
      <c r="C278" s="108">
        <f t="shared" si="78"/>
        <v>-1.0000000000001119E-3</v>
      </c>
      <c r="D278" s="109">
        <f t="shared" si="79"/>
        <v>-1.0000000000001119E-3</v>
      </c>
      <c r="E278" s="109">
        <f ca="1">IF(表2_3671626293034[[#This Row],[累计净值]]/MAX(INDIRECT("B21:B" &amp; ROW()))-1&lt;E277,表2_3671626293034[[#This Row],[累计净值]]/MAX(INDIRECT("B21:B" &amp; ROW()))-1,E277)</f>
        <v>-9.7560975609756184E-3</v>
      </c>
      <c r="F278" s="110">
        <f>表2_3671626293034[[#This Row],[累计净值]]-0.168</f>
        <v>1.111</v>
      </c>
      <c r="G278" s="20">
        <f>表2_3671626293034[[#This Row],[累计净值]]/$B$21-1</f>
        <v>0.27899999999999991</v>
      </c>
    </row>
    <row r="279" spans="1:7">
      <c r="A279" s="15">
        <v>44085</v>
      </c>
      <c r="B279" s="112">
        <v>1.2809999999999999</v>
      </c>
      <c r="C279" s="108">
        <f t="shared" si="78"/>
        <v>2.0000000000000018E-3</v>
      </c>
      <c r="D279" s="109" t="str">
        <f t="shared" si="79"/>
        <v>/</v>
      </c>
      <c r="E279" s="109">
        <f ca="1">IF(表2_3671626293034[[#This Row],[累计净值]]/MAX(INDIRECT("B21:B" &amp; ROW()))-1&lt;E278,表2_3671626293034[[#This Row],[累计净值]]/MAX(INDIRECT("B21:B" &amp; ROW()))-1,E278)</f>
        <v>-9.7560975609756184E-3</v>
      </c>
      <c r="F279" s="110">
        <f>表2_3671626293034[[#This Row],[累计净值]]-0.168</f>
        <v>1.113</v>
      </c>
      <c r="G279" s="20">
        <f>表2_3671626293034[[#This Row],[累计净值]]/$B$21-1</f>
        <v>0.28099999999999992</v>
      </c>
    </row>
    <row r="280" spans="1:7">
      <c r="A280" s="15">
        <v>44088</v>
      </c>
      <c r="B280" s="112">
        <v>1.2829999999999999</v>
      </c>
      <c r="C280" s="108">
        <f t="shared" si="78"/>
        <v>2.0000000000000018E-3</v>
      </c>
      <c r="D280" s="109" t="str">
        <f t="shared" si="79"/>
        <v>/</v>
      </c>
      <c r="E280" s="109">
        <f ca="1">IF(表2_3671626293034[[#This Row],[累计净值]]/MAX(INDIRECT("B21:B" &amp; ROW()))-1&lt;E279,表2_3671626293034[[#This Row],[累计净值]]/MAX(INDIRECT("B21:B" &amp; ROW()))-1,E279)</f>
        <v>-9.7560975609756184E-3</v>
      </c>
      <c r="F280" s="110">
        <f>表2_3671626293034[[#This Row],[累计净值]]-0.168</f>
        <v>1.115</v>
      </c>
      <c r="G280" s="20">
        <f>表2_3671626293034[[#This Row],[累计净值]]/$B$21-1</f>
        <v>0.28299999999999992</v>
      </c>
    </row>
    <row r="281" spans="1:7">
      <c r="A281" s="15">
        <v>44089</v>
      </c>
      <c r="B281" s="112">
        <v>1.284</v>
      </c>
      <c r="C281" s="108">
        <f t="shared" ref="C281:C286" si="80">IFERROR(B281-B280,0)</f>
        <v>1.0000000000001119E-3</v>
      </c>
      <c r="D281" s="109" t="str">
        <f t="shared" ref="D281:D286" si="81">IF(C281&lt;0,C281,"/")</f>
        <v>/</v>
      </c>
      <c r="E281" s="109">
        <f ca="1">IF(表2_3671626293034[[#This Row],[累计净值]]/MAX(INDIRECT("B21:B" &amp; ROW()))-1&lt;E280,表2_3671626293034[[#This Row],[累计净值]]/MAX(INDIRECT("B21:B" &amp; ROW()))-1,E280)</f>
        <v>-9.7560975609756184E-3</v>
      </c>
      <c r="F281" s="110">
        <f>表2_3671626293034[[#This Row],[累计净值]]-0.168</f>
        <v>1.1160000000000001</v>
      </c>
      <c r="G281" s="20">
        <f>表2_3671626293034[[#This Row],[累计净值]]/$B$21-1</f>
        <v>0.28400000000000003</v>
      </c>
    </row>
    <row r="282" spans="1:7">
      <c r="A282" s="15">
        <v>44090</v>
      </c>
      <c r="B282" s="112">
        <v>1.2849999999999999</v>
      </c>
      <c r="C282" s="108">
        <f t="shared" si="80"/>
        <v>9.9999999999988987E-4</v>
      </c>
      <c r="D282" s="109" t="str">
        <f t="shared" si="81"/>
        <v>/</v>
      </c>
      <c r="E282" s="109">
        <f ca="1">IF(表2_3671626293034[[#This Row],[累计净值]]/MAX(INDIRECT("B21:B" &amp; ROW()))-1&lt;E281,表2_3671626293034[[#This Row],[累计净值]]/MAX(INDIRECT("B21:B" &amp; ROW()))-1,E281)</f>
        <v>-9.7560975609756184E-3</v>
      </c>
      <c r="F282" s="110">
        <f>表2_3671626293034[[#This Row],[累计净值]]-0.168</f>
        <v>1.117</v>
      </c>
      <c r="G282" s="20">
        <f>表2_3671626293034[[#This Row],[累计净值]]/$B$21-1</f>
        <v>0.28499999999999992</v>
      </c>
    </row>
    <row r="283" spans="1:7">
      <c r="A283" s="15">
        <v>44091</v>
      </c>
      <c r="B283" s="117">
        <v>1.286</v>
      </c>
      <c r="C283" s="108">
        <f t="shared" si="80"/>
        <v>1.0000000000001119E-3</v>
      </c>
      <c r="D283" s="109" t="str">
        <f t="shared" si="81"/>
        <v>/</v>
      </c>
      <c r="E283" s="109">
        <f ca="1">IF(表2_3671626293034[[#This Row],[累计净值]]/MAX(INDIRECT("B21:B" &amp; ROW()))-1&lt;E282,表2_3671626293034[[#This Row],[累计净值]]/MAX(INDIRECT("B21:B" &amp; ROW()))-1,E282)</f>
        <v>-9.7560975609756184E-3</v>
      </c>
      <c r="F283" s="110">
        <f>表2_3671626293034[[#This Row],[累计净值]]-0.168</f>
        <v>1.1180000000000001</v>
      </c>
      <c r="G283" s="20">
        <f>表2_3671626293034[[#This Row],[累计净值]]/$B$21-1</f>
        <v>0.28600000000000003</v>
      </c>
    </row>
    <row r="284" spans="1:7">
      <c r="A284" s="15">
        <v>44092</v>
      </c>
      <c r="B284" s="112">
        <v>1.2829999999999999</v>
      </c>
      <c r="C284" s="108">
        <f t="shared" si="80"/>
        <v>-3.0000000000001137E-3</v>
      </c>
      <c r="D284" s="109">
        <f t="shared" si="81"/>
        <v>-3.0000000000001137E-3</v>
      </c>
      <c r="E284" s="109">
        <f ca="1">IF(表2_3671626293034[[#This Row],[累计净值]]/MAX(INDIRECT("B21:B" &amp; ROW()))-1&lt;E283,表2_3671626293034[[#This Row],[累计净值]]/MAX(INDIRECT("B21:B" &amp; ROW()))-1,E283)</f>
        <v>-9.7560975609756184E-3</v>
      </c>
      <c r="F284" s="110">
        <f>表2_3671626293034[[#This Row],[累计净值]]-0.168</f>
        <v>1.115</v>
      </c>
      <c r="G284" s="20">
        <f>表2_3671626293034[[#This Row],[累计净值]]/$B$21-1</f>
        <v>0.28299999999999992</v>
      </c>
    </row>
    <row r="285" spans="1:7">
      <c r="A285" s="15">
        <v>44095</v>
      </c>
      <c r="B285" s="112">
        <v>1.28</v>
      </c>
      <c r="C285" s="108">
        <f t="shared" si="80"/>
        <v>-2.9999999999998916E-3</v>
      </c>
      <c r="D285" s="109">
        <f t="shared" si="81"/>
        <v>-2.9999999999998916E-3</v>
      </c>
      <c r="E285" s="109">
        <f ca="1">IF(表2_3671626293034[[#This Row],[累计净值]]/MAX(INDIRECT("B21:B" &amp; ROW()))-1&lt;E284,表2_3671626293034[[#This Row],[累计净值]]/MAX(INDIRECT("B21:B" &amp; ROW()))-1,E284)</f>
        <v>-9.7560975609756184E-3</v>
      </c>
      <c r="F285" s="110">
        <f>表2_3671626293034[[#This Row],[累计净值]]-0.168</f>
        <v>1.1120000000000001</v>
      </c>
      <c r="G285" s="20">
        <f>表2_3671626293034[[#This Row],[累计净值]]/$B$21-1</f>
        <v>0.28000000000000003</v>
      </c>
    </row>
    <row r="286" spans="1:7">
      <c r="A286" s="15">
        <v>44096</v>
      </c>
      <c r="B286" s="112">
        <v>1.286</v>
      </c>
      <c r="C286" s="108">
        <f t="shared" si="80"/>
        <v>6.0000000000000053E-3</v>
      </c>
      <c r="D286" s="109" t="str">
        <f t="shared" si="81"/>
        <v>/</v>
      </c>
      <c r="E286" s="109">
        <f ca="1">IF(表2_3671626293034[[#This Row],[累计净值]]/MAX(INDIRECT("B21:B" &amp; ROW()))-1&lt;E285,表2_3671626293034[[#This Row],[累计净值]]/MAX(INDIRECT("B21:B" &amp; ROW()))-1,E285)</f>
        <v>-9.7560975609756184E-3</v>
      </c>
      <c r="F286" s="110">
        <f>表2_3671626293034[[#This Row],[累计净值]]-0.168</f>
        <v>1.1180000000000001</v>
      </c>
      <c r="G286" s="20">
        <f>表2_3671626293034[[#This Row],[累计净值]]/$B$21-1</f>
        <v>0.28600000000000003</v>
      </c>
    </row>
    <row r="287" spans="1:7">
      <c r="A287" s="15">
        <v>44097</v>
      </c>
      <c r="B287" s="112">
        <v>1.2849999999999999</v>
      </c>
      <c r="C287" s="108">
        <f t="shared" ref="C287:C292" si="82">IFERROR(B287-B286,0)</f>
        <v>-1.0000000000001119E-3</v>
      </c>
      <c r="D287" s="109">
        <f t="shared" ref="D287:D292" si="83">IF(C287&lt;0,C287,"/")</f>
        <v>-1.0000000000001119E-3</v>
      </c>
      <c r="E287" s="109">
        <f ca="1">IF(表2_3671626293034[[#This Row],[累计净值]]/MAX(INDIRECT("B21:B" &amp; ROW()))-1&lt;E286,表2_3671626293034[[#This Row],[累计净值]]/MAX(INDIRECT("B21:B" &amp; ROW()))-1,E286)</f>
        <v>-9.7560975609756184E-3</v>
      </c>
      <c r="F287" s="110">
        <f>表2_3671626293034[[#This Row],[累计净值]]-0.168</f>
        <v>1.117</v>
      </c>
      <c r="G287" s="20">
        <f>表2_3671626293034[[#This Row],[累计净值]]/$B$21-1</f>
        <v>0.28499999999999992</v>
      </c>
    </row>
    <row r="288" spans="1:7">
      <c r="A288" s="15">
        <v>44098</v>
      </c>
      <c r="B288" s="112">
        <v>1.2809999999999999</v>
      </c>
      <c r="C288" s="108">
        <f t="shared" si="82"/>
        <v>-4.0000000000000036E-3</v>
      </c>
      <c r="D288" s="109">
        <f t="shared" si="83"/>
        <v>-4.0000000000000036E-3</v>
      </c>
      <c r="E288" s="109">
        <f ca="1">IF(表2_3671626293034[[#This Row],[累计净值]]/MAX(INDIRECT("B21:B" &amp; ROW()))-1&lt;E287,表2_3671626293034[[#This Row],[累计净值]]/MAX(INDIRECT("B21:B" &amp; ROW()))-1,E287)</f>
        <v>-9.7560975609756184E-3</v>
      </c>
      <c r="F288" s="110">
        <f>表2_3671626293034[[#This Row],[累计净值]]-0.168</f>
        <v>1.113</v>
      </c>
      <c r="G288" s="20">
        <f>表2_3671626293034[[#This Row],[累计净值]]/$B$21-1</f>
        <v>0.28099999999999992</v>
      </c>
    </row>
    <row r="289" spans="1:7">
      <c r="A289" s="15">
        <v>44099</v>
      </c>
      <c r="B289" s="112">
        <v>1.276</v>
      </c>
      <c r="C289" s="108">
        <f t="shared" si="82"/>
        <v>-4.9999999999998934E-3</v>
      </c>
      <c r="D289" s="109">
        <f t="shared" si="83"/>
        <v>-4.9999999999998934E-3</v>
      </c>
      <c r="E289" s="109">
        <f ca="1">IF(表2_3671626293034[[#This Row],[累计净值]]/MAX(INDIRECT("B21:B" &amp; ROW()))-1&lt;E288,表2_3671626293034[[#This Row],[累计净值]]/MAX(INDIRECT("B21:B" &amp; ROW()))-1,E288)</f>
        <v>-9.7560975609756184E-3</v>
      </c>
      <c r="F289" s="110">
        <f>表2_3671626293034[[#This Row],[累计净值]]-0.168</f>
        <v>1.1080000000000001</v>
      </c>
      <c r="G289" s="20">
        <f>表2_3671626293034[[#This Row],[累计净值]]/$B$21-1</f>
        <v>0.27600000000000002</v>
      </c>
    </row>
    <row r="290" spans="1:7">
      <c r="A290" s="15">
        <v>44102</v>
      </c>
      <c r="B290" s="112">
        <v>1.2749999999999999</v>
      </c>
      <c r="C290" s="108">
        <f t="shared" si="82"/>
        <v>-1.0000000000001119E-3</v>
      </c>
      <c r="D290" s="109">
        <f t="shared" si="83"/>
        <v>-1.0000000000001119E-3</v>
      </c>
      <c r="E290" s="109">
        <f ca="1">IF(表2_3671626293034[[#This Row],[累计净值]]/MAX(INDIRECT("B21:B" &amp; ROW()))-1&lt;E289,表2_3671626293034[[#This Row],[累计净值]]/MAX(INDIRECT("B21:B" &amp; ROW()))-1,E289)</f>
        <v>-9.7560975609756184E-3</v>
      </c>
      <c r="F290" s="110">
        <f>表2_3671626293034[[#This Row],[累计净值]]-0.168</f>
        <v>1.107</v>
      </c>
      <c r="G290" s="20">
        <f>表2_3671626293034[[#This Row],[累计净值]]/$B$21-1</f>
        <v>0.27499999999999991</v>
      </c>
    </row>
    <row r="291" spans="1:7">
      <c r="A291" s="15">
        <v>44103</v>
      </c>
      <c r="B291" s="112">
        <v>1.276</v>
      </c>
      <c r="C291" s="108">
        <f t="shared" si="82"/>
        <v>1.0000000000001119E-3</v>
      </c>
      <c r="D291" s="109" t="str">
        <f t="shared" si="83"/>
        <v>/</v>
      </c>
      <c r="E291" s="109">
        <f ca="1">IF(表2_3671626293034[[#This Row],[累计净值]]/MAX(INDIRECT("B21:B" &amp; ROW()))-1&lt;E290,表2_3671626293034[[#This Row],[累计净值]]/MAX(INDIRECT("B21:B" &amp; ROW()))-1,E290)</f>
        <v>-9.7560975609756184E-3</v>
      </c>
      <c r="F291" s="110">
        <f>表2_3671626293034[[#This Row],[累计净值]]-0.168</f>
        <v>1.1080000000000001</v>
      </c>
      <c r="G291" s="20">
        <f>表2_3671626293034[[#This Row],[累计净值]]/$B$21-1</f>
        <v>0.27600000000000002</v>
      </c>
    </row>
    <row r="292" spans="1:7">
      <c r="A292" s="15">
        <v>44104</v>
      </c>
      <c r="B292" s="112">
        <v>1.276</v>
      </c>
      <c r="C292" s="108">
        <f t="shared" si="82"/>
        <v>0</v>
      </c>
      <c r="D292" s="109" t="str">
        <f t="shared" si="83"/>
        <v>/</v>
      </c>
      <c r="E292" s="109">
        <f ca="1">IF(表2_3671626293034[[#This Row],[累计净值]]/MAX(INDIRECT("B21:B" &amp; ROW()))-1&lt;E291,表2_3671626293034[[#This Row],[累计净值]]/MAX(INDIRECT("B21:B" &amp; ROW()))-1,E291)</f>
        <v>-9.7560975609756184E-3</v>
      </c>
      <c r="F292" s="110">
        <f>表2_3671626293034[[#This Row],[累计净值]]-0.168</f>
        <v>1.1080000000000001</v>
      </c>
      <c r="G292" s="20">
        <f>表2_3671626293034[[#This Row],[累计净值]]/$B$21-1</f>
        <v>0.27600000000000002</v>
      </c>
    </row>
    <row r="293" spans="1:7">
      <c r="A293" s="15">
        <v>44113</v>
      </c>
      <c r="B293" s="112">
        <v>1.2789999999999999</v>
      </c>
      <c r="C293" s="108">
        <f t="shared" ref="C293:C298" si="84">IFERROR(B293-B292,0)</f>
        <v>2.9999999999998916E-3</v>
      </c>
      <c r="D293" s="109" t="str">
        <f t="shared" ref="D293:D298" si="85">IF(C293&lt;0,C293,"/")</f>
        <v>/</v>
      </c>
      <c r="E293" s="109">
        <f ca="1">IF(表2_3671626293034[[#This Row],[累计净值]]/MAX(INDIRECT("B21:B" &amp; ROW()))-1&lt;E292,表2_3671626293034[[#This Row],[累计净值]]/MAX(INDIRECT("B21:B" &amp; ROW()))-1,E292)</f>
        <v>-9.7560975609756184E-3</v>
      </c>
      <c r="F293" s="110">
        <f>表2_3671626293034[[#This Row],[累计净值]]-0.168</f>
        <v>1.111</v>
      </c>
      <c r="G293" s="20">
        <f>表2_3671626293034[[#This Row],[累计净值]]/$B$21-1</f>
        <v>0.27899999999999991</v>
      </c>
    </row>
    <row r="294" spans="1:7">
      <c r="A294" s="15">
        <v>44116</v>
      </c>
      <c r="B294" s="112">
        <v>1.2789999999999999</v>
      </c>
      <c r="C294" s="108">
        <f t="shared" si="84"/>
        <v>0</v>
      </c>
      <c r="D294" s="109" t="str">
        <f t="shared" si="85"/>
        <v>/</v>
      </c>
      <c r="E294" s="109">
        <f ca="1">IF(表2_3671626293034[[#This Row],[累计净值]]/MAX(INDIRECT("B21:B" &amp; ROW()))-1&lt;E293,表2_3671626293034[[#This Row],[累计净值]]/MAX(INDIRECT("B21:B" &amp; ROW()))-1,E293)</f>
        <v>-9.7560975609756184E-3</v>
      </c>
      <c r="F294" s="110">
        <f>表2_3671626293034[[#This Row],[累计净值]]-0.168</f>
        <v>1.111</v>
      </c>
      <c r="G294" s="20">
        <f>表2_3671626293034[[#This Row],[累计净值]]/$B$21-1</f>
        <v>0.27899999999999991</v>
      </c>
    </row>
    <row r="295" spans="1:7">
      <c r="A295" s="15">
        <v>44117</v>
      </c>
      <c r="B295" s="112">
        <v>1.28</v>
      </c>
      <c r="C295" s="108">
        <f t="shared" si="84"/>
        <v>1.0000000000001119E-3</v>
      </c>
      <c r="D295" s="109" t="str">
        <f t="shared" si="85"/>
        <v>/</v>
      </c>
      <c r="E295" s="109">
        <f ca="1">IF(表2_3671626293034[[#This Row],[累计净值]]/MAX(INDIRECT("B21:B" &amp; ROW()))-1&lt;E294,表2_3671626293034[[#This Row],[累计净值]]/MAX(INDIRECT("B21:B" &amp; ROW()))-1,E294)</f>
        <v>-9.7560975609756184E-3</v>
      </c>
      <c r="F295" s="110">
        <f>表2_3671626293034[[#This Row],[累计净值]]-0.168</f>
        <v>1.1120000000000001</v>
      </c>
      <c r="G295" s="20">
        <f>表2_3671626293034[[#This Row],[累计净值]]/$B$21-1</f>
        <v>0.28000000000000003</v>
      </c>
    </row>
    <row r="296" spans="1:7">
      <c r="A296" s="15">
        <v>44118</v>
      </c>
      <c r="B296" s="112">
        <v>1.2809999999999999</v>
      </c>
      <c r="C296" s="108">
        <f t="shared" si="84"/>
        <v>9.9999999999988987E-4</v>
      </c>
      <c r="D296" s="109" t="str">
        <f t="shared" si="85"/>
        <v>/</v>
      </c>
      <c r="E296" s="109">
        <f ca="1">IF(表2_3671626293034[[#This Row],[累计净值]]/MAX(INDIRECT("B21:B" &amp; ROW()))-1&lt;E295,表2_3671626293034[[#This Row],[累计净值]]/MAX(INDIRECT("B21:B" &amp; ROW()))-1,E295)</f>
        <v>-9.7560975609756184E-3</v>
      </c>
      <c r="F296" s="110">
        <f>表2_3671626293034[[#This Row],[累计净值]]-0.168</f>
        <v>1.113</v>
      </c>
      <c r="G296" s="20">
        <f>表2_3671626293034[[#This Row],[累计净值]]/$B$21-1</f>
        <v>0.28099999999999992</v>
      </c>
    </row>
    <row r="297" spans="1:7">
      <c r="A297" s="15">
        <v>44119</v>
      </c>
      <c r="B297" s="112">
        <v>1.28</v>
      </c>
      <c r="C297" s="108">
        <f t="shared" si="84"/>
        <v>-9.9999999999988987E-4</v>
      </c>
      <c r="D297" s="109">
        <f t="shared" si="85"/>
        <v>-9.9999999999988987E-4</v>
      </c>
      <c r="E297" s="109">
        <f ca="1">IF(表2_3671626293034[[#This Row],[累计净值]]/MAX(INDIRECT("B21:B" &amp; ROW()))-1&lt;E296,表2_3671626293034[[#This Row],[累计净值]]/MAX(INDIRECT("B21:B" &amp; ROW()))-1,E296)</f>
        <v>-9.7560975609756184E-3</v>
      </c>
      <c r="F297" s="110">
        <f>表2_3671626293034[[#This Row],[累计净值]]-0.168</f>
        <v>1.1120000000000001</v>
      </c>
      <c r="G297" s="20">
        <f>表2_3671626293034[[#This Row],[累计净值]]/$B$21-1</f>
        <v>0.28000000000000003</v>
      </c>
    </row>
    <row r="298" spans="1:7">
      <c r="A298" s="15">
        <v>44120</v>
      </c>
      <c r="B298" s="112">
        <v>1.2829999999999999</v>
      </c>
      <c r="C298" s="108">
        <f t="shared" si="84"/>
        <v>2.9999999999998916E-3</v>
      </c>
      <c r="D298" s="109" t="str">
        <f t="shared" si="85"/>
        <v>/</v>
      </c>
      <c r="E298" s="109">
        <f ca="1">IF(表2_3671626293034[[#This Row],[累计净值]]/MAX(INDIRECT("B21:B" &amp; ROW()))-1&lt;E297,表2_3671626293034[[#This Row],[累计净值]]/MAX(INDIRECT("B21:B" &amp; ROW()))-1,E297)</f>
        <v>-9.7560975609756184E-3</v>
      </c>
      <c r="F298" s="110">
        <f>表2_3671626293034[[#This Row],[累计净值]]-0.168</f>
        <v>1.115</v>
      </c>
      <c r="G298" s="20">
        <f>表2_3671626293034[[#This Row],[累计净值]]/$B$21-1</f>
        <v>0.28299999999999992</v>
      </c>
    </row>
    <row r="299" spans="1:7">
      <c r="A299" s="15">
        <v>44123</v>
      </c>
      <c r="B299" s="112">
        <v>1.284</v>
      </c>
      <c r="C299" s="108">
        <f t="shared" ref="C299:C304" si="86">IFERROR(B299-B298,0)</f>
        <v>1.0000000000001119E-3</v>
      </c>
      <c r="D299" s="109" t="str">
        <f t="shared" ref="D299:D304" si="87">IF(C299&lt;0,C299,"/")</f>
        <v>/</v>
      </c>
      <c r="E299" s="109">
        <f ca="1">IF(表2_3671626293034[[#This Row],[累计净值]]/MAX(INDIRECT("B21:B" &amp; ROW()))-1&lt;E298,表2_3671626293034[[#This Row],[累计净值]]/MAX(INDIRECT("B21:B" &amp; ROW()))-1,E298)</f>
        <v>-9.7560975609756184E-3</v>
      </c>
      <c r="F299" s="110">
        <f>表2_3671626293034[[#This Row],[累计净值]]-0.168</f>
        <v>1.1160000000000001</v>
      </c>
      <c r="G299" s="20">
        <f>表2_3671626293034[[#This Row],[累计净值]]/$B$21-1</f>
        <v>0.28400000000000003</v>
      </c>
    </row>
    <row r="300" spans="1:7">
      <c r="A300" s="15">
        <v>44124</v>
      </c>
      <c r="B300" s="112">
        <v>1.284</v>
      </c>
      <c r="C300" s="108">
        <f t="shared" si="86"/>
        <v>0</v>
      </c>
      <c r="D300" s="109" t="str">
        <f t="shared" si="87"/>
        <v>/</v>
      </c>
      <c r="E300" s="109">
        <f ca="1">IF(表2_3671626293034[[#This Row],[累计净值]]/MAX(INDIRECT("B21:B" &amp; ROW()))-1&lt;E299,表2_3671626293034[[#This Row],[累计净值]]/MAX(INDIRECT("B21:B" &amp; ROW()))-1,E299)</f>
        <v>-9.7560975609756184E-3</v>
      </c>
      <c r="F300" s="110">
        <f>表2_3671626293034[[#This Row],[累计净值]]-0.168</f>
        <v>1.1160000000000001</v>
      </c>
      <c r="G300" s="20">
        <f>表2_3671626293034[[#This Row],[累计净值]]/$B$21-1</f>
        <v>0.28400000000000003</v>
      </c>
    </row>
    <row r="301" spans="1:7">
      <c r="A301" s="15">
        <v>44125</v>
      </c>
      <c r="B301" s="112">
        <v>1.2849999999999999</v>
      </c>
      <c r="C301" s="108">
        <f t="shared" si="86"/>
        <v>9.9999999999988987E-4</v>
      </c>
      <c r="D301" s="109" t="str">
        <f t="shared" si="87"/>
        <v>/</v>
      </c>
      <c r="E301" s="109">
        <f ca="1">IF(表2_3671626293034[[#This Row],[累计净值]]/MAX(INDIRECT("B21:B" &amp; ROW()))-1&lt;E300,表2_3671626293034[[#This Row],[累计净值]]/MAX(INDIRECT("B21:B" &amp; ROW()))-1,E300)</f>
        <v>-9.7560975609756184E-3</v>
      </c>
      <c r="F301" s="110">
        <f>表2_3671626293034[[#This Row],[累计净值]]-0.168</f>
        <v>1.117</v>
      </c>
      <c r="G301" s="20">
        <f>表2_3671626293034[[#This Row],[累计净值]]/$B$21-1</f>
        <v>0.28499999999999992</v>
      </c>
    </row>
    <row r="302" spans="1:7">
      <c r="A302" s="15">
        <v>44126</v>
      </c>
      <c r="B302" s="112">
        <v>1.2849999999999999</v>
      </c>
      <c r="C302" s="108">
        <f t="shared" si="86"/>
        <v>0</v>
      </c>
      <c r="D302" s="109" t="str">
        <f t="shared" si="87"/>
        <v>/</v>
      </c>
      <c r="E302" s="109">
        <f ca="1">IF(表2_3671626293034[[#This Row],[累计净值]]/MAX(INDIRECT("B21:B" &amp; ROW()))-1&lt;E301,表2_3671626293034[[#This Row],[累计净值]]/MAX(INDIRECT("B21:B" &amp; ROW()))-1,E301)</f>
        <v>-9.7560975609756184E-3</v>
      </c>
      <c r="F302" s="110">
        <f>表2_3671626293034[[#This Row],[累计净值]]-0.168</f>
        <v>1.117</v>
      </c>
      <c r="G302" s="20">
        <f>表2_3671626293034[[#This Row],[累计净值]]/$B$21-1</f>
        <v>0.28499999999999992</v>
      </c>
    </row>
    <row r="303" spans="1:7">
      <c r="A303" s="15">
        <v>44127</v>
      </c>
      <c r="B303" s="112">
        <v>1.2829999999999999</v>
      </c>
      <c r="C303" s="108">
        <f t="shared" si="86"/>
        <v>-2.0000000000000018E-3</v>
      </c>
      <c r="D303" s="109">
        <f t="shared" si="87"/>
        <v>-2.0000000000000018E-3</v>
      </c>
      <c r="E303" s="109">
        <f ca="1">IF(表2_3671626293034[[#This Row],[累计净值]]/MAX(INDIRECT("B21:B" &amp; ROW()))-1&lt;E302,表2_3671626293034[[#This Row],[累计净值]]/MAX(INDIRECT("B21:B" &amp; ROW()))-1,E302)</f>
        <v>-9.7560975609756184E-3</v>
      </c>
      <c r="F303" s="110">
        <f>表2_3671626293034[[#This Row],[累计净值]]-0.168</f>
        <v>1.115</v>
      </c>
      <c r="G303" s="20">
        <f>表2_3671626293034[[#This Row],[累计净值]]/$B$21-1</f>
        <v>0.28299999999999992</v>
      </c>
    </row>
    <row r="304" spans="1:7">
      <c r="A304" s="15">
        <v>44130</v>
      </c>
      <c r="B304" s="112">
        <v>1.2849999999999999</v>
      </c>
      <c r="C304" s="108">
        <f t="shared" si="86"/>
        <v>2.0000000000000018E-3</v>
      </c>
      <c r="D304" s="109" t="str">
        <f t="shared" si="87"/>
        <v>/</v>
      </c>
      <c r="E304" s="109">
        <f ca="1">IF(表2_3671626293034[[#This Row],[累计净值]]/MAX(INDIRECT("B21:B" &amp; ROW()))-1&lt;E303,表2_3671626293034[[#This Row],[累计净值]]/MAX(INDIRECT("B21:B" &amp; ROW()))-1,E303)</f>
        <v>-9.7560975609756184E-3</v>
      </c>
      <c r="F304" s="110">
        <f>表2_3671626293034[[#This Row],[累计净值]]-0.168</f>
        <v>1.117</v>
      </c>
      <c r="G304" s="20">
        <f>表2_3671626293034[[#This Row],[累计净值]]/$B$21-1</f>
        <v>0.28499999999999992</v>
      </c>
    </row>
    <row r="305" spans="1:7">
      <c r="A305" s="15">
        <v>44131</v>
      </c>
      <c r="B305" s="112">
        <v>1.2849999999999999</v>
      </c>
      <c r="C305" s="108">
        <f t="shared" ref="C305:C311" si="88">IFERROR(B305-B304,0)</f>
        <v>0</v>
      </c>
      <c r="D305" s="109" t="str">
        <f t="shared" ref="D305:D311" si="89">IF(C305&lt;0,C305,"/")</f>
        <v>/</v>
      </c>
      <c r="E305" s="109">
        <f ca="1">IF(表2_3671626293034[[#This Row],[累计净值]]/MAX(INDIRECT("B21:B" &amp; ROW()))-1&lt;E304,表2_3671626293034[[#This Row],[累计净值]]/MAX(INDIRECT("B21:B" &amp; ROW()))-1,E304)</f>
        <v>-9.7560975609756184E-3</v>
      </c>
      <c r="F305" s="110">
        <f>表2_3671626293034[[#This Row],[累计净值]]-0.168</f>
        <v>1.117</v>
      </c>
      <c r="G305" s="20">
        <f>表2_3671626293034[[#This Row],[累计净值]]/$B$21-1</f>
        <v>0.28499999999999992</v>
      </c>
    </row>
    <row r="306" spans="1:7">
      <c r="A306" s="15">
        <v>44132</v>
      </c>
      <c r="B306" s="112">
        <v>1.286</v>
      </c>
      <c r="C306" s="108">
        <f t="shared" si="88"/>
        <v>1.0000000000001119E-3</v>
      </c>
      <c r="D306" s="109" t="str">
        <f t="shared" si="89"/>
        <v>/</v>
      </c>
      <c r="E306" s="109">
        <f ca="1">IF(表2_3671626293034[[#This Row],[累计净值]]/MAX(INDIRECT("B21:B" &amp; ROW()))-1&lt;E305,表2_3671626293034[[#This Row],[累计净值]]/MAX(INDIRECT("B21:B" &amp; ROW()))-1,E305)</f>
        <v>-9.7560975609756184E-3</v>
      </c>
      <c r="F306" s="110">
        <f>表2_3671626293034[[#This Row],[累计净值]]-0.168</f>
        <v>1.1180000000000001</v>
      </c>
      <c r="G306" s="20">
        <f>表2_3671626293034[[#This Row],[累计净值]]/$B$21-1</f>
        <v>0.28600000000000003</v>
      </c>
    </row>
    <row r="307" spans="1:7">
      <c r="A307" s="15">
        <v>44133</v>
      </c>
      <c r="B307" s="112">
        <v>1.288</v>
      </c>
      <c r="C307" s="108">
        <f t="shared" si="88"/>
        <v>2.0000000000000018E-3</v>
      </c>
      <c r="D307" s="109" t="str">
        <f t="shared" si="89"/>
        <v>/</v>
      </c>
      <c r="E307" s="109">
        <f ca="1">IF(表2_3671626293034[[#This Row],[累计净值]]/MAX(INDIRECT("B21:B" &amp; ROW()))-1&lt;E306,表2_3671626293034[[#This Row],[累计净值]]/MAX(INDIRECT("B21:B" &amp; ROW()))-1,E306)</f>
        <v>-9.7560975609756184E-3</v>
      </c>
      <c r="F307" s="110">
        <f>表2_3671626293034[[#This Row],[累计净值]]-0.168</f>
        <v>1.1200000000000001</v>
      </c>
      <c r="G307" s="20">
        <f>表2_3671626293034[[#This Row],[累计净值]]/$B$21-1</f>
        <v>0.28800000000000003</v>
      </c>
    </row>
    <row r="308" spans="1:7">
      <c r="A308" s="15">
        <v>44134</v>
      </c>
      <c r="B308" s="112">
        <v>1.2929999999999999</v>
      </c>
      <c r="C308" s="108">
        <f t="shared" si="88"/>
        <v>4.9999999999998934E-3</v>
      </c>
      <c r="D308" s="109" t="str">
        <f t="shared" si="89"/>
        <v>/</v>
      </c>
      <c r="E308" s="109">
        <f ca="1">IF(表2_3671626293034[[#This Row],[累计净值]]/MAX(INDIRECT("B21:B" &amp; ROW()))-1&lt;E307,表2_3671626293034[[#This Row],[累计净值]]/MAX(INDIRECT("B21:B" &amp; ROW()))-1,E307)</f>
        <v>-9.7560975609756184E-3</v>
      </c>
      <c r="F308" s="110">
        <f>表2_3671626293034[[#This Row],[累计净值]]-0.168</f>
        <v>1.125</v>
      </c>
      <c r="G308" s="20">
        <f>表2_3671626293034[[#This Row],[累计净值]]/$B$21-1</f>
        <v>0.29299999999999993</v>
      </c>
    </row>
    <row r="309" spans="1:7">
      <c r="A309" s="15">
        <v>44137</v>
      </c>
      <c r="B309" s="112">
        <v>1.294</v>
      </c>
      <c r="C309" s="108">
        <f t="shared" si="88"/>
        <v>1.0000000000001119E-3</v>
      </c>
      <c r="D309" s="109" t="str">
        <f t="shared" si="89"/>
        <v>/</v>
      </c>
      <c r="E309" s="109">
        <f ca="1">IF(表2_3671626293034[[#This Row],[累计净值]]/MAX(INDIRECT("B21:B" &amp; ROW()))-1&lt;E308,表2_3671626293034[[#This Row],[累计净值]]/MAX(INDIRECT("B21:B" &amp; ROW()))-1,E308)</f>
        <v>-9.7560975609756184E-3</v>
      </c>
      <c r="F309" s="110">
        <f>表2_3671626293034[[#This Row],[累计净值]]-0.168</f>
        <v>1.1260000000000001</v>
      </c>
      <c r="G309" s="20">
        <f>表2_3671626293034[[#This Row],[累计净值]]/$B$21-1</f>
        <v>0.29400000000000004</v>
      </c>
    </row>
    <row r="310" spans="1:7">
      <c r="A310" s="15">
        <v>44138</v>
      </c>
      <c r="B310" s="112">
        <v>1.2969999999999999</v>
      </c>
      <c r="C310" s="108">
        <f t="shared" si="88"/>
        <v>2.9999999999998916E-3</v>
      </c>
      <c r="D310" s="109" t="str">
        <f t="shared" si="89"/>
        <v>/</v>
      </c>
      <c r="E310" s="109">
        <f ca="1">IF(表2_3671626293034[[#This Row],[累计净值]]/MAX(INDIRECT("B21:B" &amp; ROW()))-1&lt;E309,表2_3671626293034[[#This Row],[累计净值]]/MAX(INDIRECT("B21:B" &amp; ROW()))-1,E309)</f>
        <v>-9.7560975609756184E-3</v>
      </c>
      <c r="F310" s="110">
        <f>表2_3671626293034[[#This Row],[累计净值]]-0.168</f>
        <v>1.129</v>
      </c>
      <c r="G310" s="20">
        <f>表2_3671626293034[[#This Row],[累计净值]]/$B$21-1</f>
        <v>0.29699999999999993</v>
      </c>
    </row>
    <row r="311" spans="1:7">
      <c r="A311" s="15">
        <v>44139</v>
      </c>
      <c r="B311" s="112">
        <v>1.298</v>
      </c>
      <c r="C311" s="108">
        <f t="shared" si="88"/>
        <v>1.0000000000001119E-3</v>
      </c>
      <c r="D311" s="109" t="str">
        <f t="shared" si="89"/>
        <v>/</v>
      </c>
      <c r="E311" s="109">
        <f ca="1">IF(表2_3671626293034[[#This Row],[累计净值]]/MAX(INDIRECT("B21:B" &amp; ROW()))-1&lt;E310,表2_3671626293034[[#This Row],[累计净值]]/MAX(INDIRECT("B21:B" &amp; ROW()))-1,E310)</f>
        <v>-9.7560975609756184E-3</v>
      </c>
      <c r="F311" s="110">
        <f>表2_3671626293034[[#This Row],[累计净值]]-0.168</f>
        <v>1.1300000000000001</v>
      </c>
      <c r="G311" s="20">
        <f>表2_3671626293034[[#This Row],[累计净值]]/$B$21-1</f>
        <v>0.29800000000000004</v>
      </c>
    </row>
    <row r="312" spans="1:7">
      <c r="A312" s="15">
        <v>44140</v>
      </c>
      <c r="B312" s="112">
        <v>1.2989999999999999</v>
      </c>
      <c r="C312" s="108">
        <f t="shared" ref="C312:C317" si="90">IFERROR(B312-B311,0)</f>
        <v>9.9999999999988987E-4</v>
      </c>
      <c r="D312" s="109" t="str">
        <f t="shared" ref="D312:D317" si="91">IF(C312&lt;0,C312,"/")</f>
        <v>/</v>
      </c>
      <c r="E312" s="109">
        <f ca="1">IF(表2_3671626293034[[#This Row],[累计净值]]/MAX(INDIRECT("B21:B" &amp; ROW()))-1&lt;E311,表2_3671626293034[[#This Row],[累计净值]]/MAX(INDIRECT("B21:B" &amp; ROW()))-1,E311)</f>
        <v>-9.7560975609756184E-3</v>
      </c>
      <c r="F312" s="110">
        <f>表2_3671626293034[[#This Row],[累计净值]]-0.168</f>
        <v>1.131</v>
      </c>
      <c r="G312" s="20">
        <f>表2_3671626293034[[#This Row],[累计净值]]/$B$21-1</f>
        <v>0.29899999999999993</v>
      </c>
    </row>
    <row r="313" spans="1:7">
      <c r="A313" s="15">
        <v>44141</v>
      </c>
      <c r="B313" s="112">
        <v>1.3</v>
      </c>
      <c r="C313" s="108">
        <f t="shared" si="90"/>
        <v>1.0000000000001119E-3</v>
      </c>
      <c r="D313" s="109" t="str">
        <f t="shared" si="91"/>
        <v>/</v>
      </c>
      <c r="E313" s="109">
        <f ca="1">IF(表2_3671626293034[[#This Row],[累计净值]]/MAX(INDIRECT("B21:B" &amp; ROW()))-1&lt;E312,表2_3671626293034[[#This Row],[累计净值]]/MAX(INDIRECT("B21:B" &amp; ROW()))-1,E312)</f>
        <v>-9.7560975609756184E-3</v>
      </c>
      <c r="F313" s="110">
        <f>表2_3671626293034[[#This Row],[累计净值]]-0.168</f>
        <v>1.1320000000000001</v>
      </c>
      <c r="G313" s="20">
        <f>表2_3671626293034[[#This Row],[累计净值]]/$B$21-1</f>
        <v>0.30000000000000004</v>
      </c>
    </row>
    <row r="314" spans="1:7">
      <c r="A314" s="15">
        <v>44144</v>
      </c>
      <c r="B314" s="112">
        <v>1.3029999999999999</v>
      </c>
      <c r="C314" s="108">
        <f t="shared" si="90"/>
        <v>2.9999999999998916E-3</v>
      </c>
      <c r="D314" s="109" t="str">
        <f t="shared" si="91"/>
        <v>/</v>
      </c>
      <c r="E314" s="109">
        <f ca="1">IF(表2_3671626293034[[#This Row],[累计净值]]/MAX(INDIRECT("B21:B" &amp; ROW()))-1&lt;E313,表2_3671626293034[[#This Row],[累计净值]]/MAX(INDIRECT("B21:B" &amp; ROW()))-1,E313)</f>
        <v>-9.7560975609756184E-3</v>
      </c>
      <c r="F314" s="110">
        <f>表2_3671626293034[[#This Row],[累计净值]]-0.168</f>
        <v>1.135</v>
      </c>
      <c r="G314" s="20">
        <f>表2_3671626293034[[#This Row],[累计净值]]/$B$21-1</f>
        <v>0.30299999999999994</v>
      </c>
    </row>
    <row r="315" spans="1:7">
      <c r="A315" s="15">
        <v>44145</v>
      </c>
      <c r="B315" s="112">
        <v>1.3080000000000001</v>
      </c>
      <c r="C315" s="108">
        <f t="shared" si="90"/>
        <v>5.0000000000001155E-3</v>
      </c>
      <c r="D315" s="109" t="str">
        <f t="shared" si="91"/>
        <v>/</v>
      </c>
      <c r="E315" s="109">
        <f ca="1">IF(表2_3671626293034[[#This Row],[累计净值]]/MAX(INDIRECT("B21:B" &amp; ROW()))-1&lt;E314,表2_3671626293034[[#This Row],[累计净值]]/MAX(INDIRECT("B21:B" &amp; ROW()))-1,E314)</f>
        <v>-9.7560975609756184E-3</v>
      </c>
      <c r="F315" s="110">
        <f>表2_3671626293034[[#This Row],[累计净值]]-0.168</f>
        <v>1.1400000000000001</v>
      </c>
      <c r="G315" s="20">
        <f>表2_3671626293034[[#This Row],[累计净值]]/$B$21-1</f>
        <v>0.30800000000000005</v>
      </c>
    </row>
    <row r="316" spans="1:7">
      <c r="A316" s="15">
        <v>44146</v>
      </c>
      <c r="B316" s="112">
        <v>1.3129999999999999</v>
      </c>
      <c r="C316" s="108">
        <f t="shared" si="90"/>
        <v>4.9999999999998934E-3</v>
      </c>
      <c r="D316" s="109" t="str">
        <f t="shared" si="91"/>
        <v>/</v>
      </c>
      <c r="E316" s="109">
        <f ca="1">IF(表2_3671626293034[[#This Row],[累计净值]]/MAX(INDIRECT("B21:B" &amp; ROW()))-1&lt;E315,表2_3671626293034[[#This Row],[累计净值]]/MAX(INDIRECT("B21:B" &amp; ROW()))-1,E315)</f>
        <v>-9.7560975609756184E-3</v>
      </c>
      <c r="F316" s="110">
        <f>表2_3671626293034[[#This Row],[累计净值]]-0.168</f>
        <v>1.145</v>
      </c>
      <c r="G316" s="20">
        <f>表2_3671626293034[[#This Row],[累计净值]]/$B$21-1</f>
        <v>0.31299999999999994</v>
      </c>
    </row>
    <row r="317" spans="1:7">
      <c r="A317" s="15">
        <v>44147</v>
      </c>
      <c r="B317" s="112">
        <v>1.31</v>
      </c>
      <c r="C317" s="108">
        <f t="shared" si="90"/>
        <v>-2.9999999999998916E-3</v>
      </c>
      <c r="D317" s="109">
        <f t="shared" si="91"/>
        <v>-2.9999999999998916E-3</v>
      </c>
      <c r="E317" s="109">
        <f ca="1">IF(表2_3671626293034[[#This Row],[累计净值]]/MAX(INDIRECT("B21:B" &amp; ROW()))-1&lt;E316,表2_3671626293034[[#This Row],[累计净值]]/MAX(INDIRECT("B21:B" &amp; ROW()))-1,E316)</f>
        <v>-9.7560975609756184E-3</v>
      </c>
      <c r="F317" s="110">
        <f>表2_3671626293034[[#This Row],[累计净值]]-0.168</f>
        <v>1.1420000000000001</v>
      </c>
      <c r="G317" s="20">
        <f>表2_3671626293034[[#This Row],[累计净值]]/$B$21-1</f>
        <v>0.31000000000000005</v>
      </c>
    </row>
    <row r="318" spans="1:7">
      <c r="A318" s="15">
        <v>44148</v>
      </c>
      <c r="B318" s="112">
        <v>1.3140000000000001</v>
      </c>
      <c r="C318" s="108">
        <f t="shared" ref="C318:C323" si="92">IFERROR(B318-B317,0)</f>
        <v>4.0000000000000036E-3</v>
      </c>
      <c r="D318" s="109" t="str">
        <f t="shared" ref="D318:D323" si="93">IF(C318&lt;0,C318,"/")</f>
        <v>/</v>
      </c>
      <c r="E318" s="109">
        <f ca="1">IF(表2_3671626293034[[#This Row],[累计净值]]/MAX(INDIRECT("B21:B" &amp; ROW()))-1&lt;E317,表2_3671626293034[[#This Row],[累计净值]]/MAX(INDIRECT("B21:B" &amp; ROW()))-1,E317)</f>
        <v>-9.7560975609756184E-3</v>
      </c>
      <c r="F318" s="110">
        <f>表2_3671626293034[[#This Row],[累计净值]]-0.168</f>
        <v>1.1460000000000001</v>
      </c>
      <c r="G318" s="20">
        <f>表2_3671626293034[[#This Row],[累计净值]]/$B$21-1</f>
        <v>0.31400000000000006</v>
      </c>
    </row>
    <row r="319" spans="1:7">
      <c r="A319" s="15">
        <v>44151</v>
      </c>
      <c r="B319" s="117">
        <v>1.3169999999999999</v>
      </c>
      <c r="C319" s="108">
        <f t="shared" si="92"/>
        <v>2.9999999999998916E-3</v>
      </c>
      <c r="D319" s="109" t="str">
        <f t="shared" si="93"/>
        <v>/</v>
      </c>
      <c r="E319" s="109">
        <f ca="1">IF(表2_3671626293034[[#This Row],[累计净值]]/MAX(INDIRECT("B21:B" &amp; ROW()))-1&lt;E318,表2_3671626293034[[#This Row],[累计净值]]/MAX(INDIRECT("B21:B" &amp; ROW()))-1,E318)</f>
        <v>-9.7560975609756184E-3</v>
      </c>
      <c r="F319" s="110">
        <f>表2_3671626293034[[#This Row],[累计净值]]-0.168</f>
        <v>1.149</v>
      </c>
      <c r="G319" s="20">
        <f>表2_3671626293034[[#This Row],[累计净值]]/$B$21-1</f>
        <v>0.31699999999999995</v>
      </c>
    </row>
    <row r="320" spans="1:7">
      <c r="A320" s="15">
        <v>44152</v>
      </c>
      <c r="B320" s="112">
        <v>1.3169999999999999</v>
      </c>
      <c r="C320" s="108">
        <f t="shared" si="92"/>
        <v>0</v>
      </c>
      <c r="D320" s="109" t="str">
        <f t="shared" si="93"/>
        <v>/</v>
      </c>
      <c r="E320" s="109">
        <f ca="1">IF(表2_3671626293034[[#This Row],[累计净值]]/MAX(INDIRECT("B21:B" &amp; ROW()))-1&lt;E319,表2_3671626293034[[#This Row],[累计净值]]/MAX(INDIRECT("B21:B" &amp; ROW()))-1,E319)</f>
        <v>-9.7560975609756184E-3</v>
      </c>
      <c r="F320" s="110">
        <f>表2_3671626293034[[#This Row],[累计净值]]-0.168</f>
        <v>1.149</v>
      </c>
      <c r="G320" s="20">
        <f>表2_3671626293034[[#This Row],[累计净值]]/$B$21-1</f>
        <v>0.31699999999999995</v>
      </c>
    </row>
    <row r="321" spans="1:7">
      <c r="A321" s="15">
        <v>44153</v>
      </c>
      <c r="B321" s="112">
        <v>1.3169999999999999</v>
      </c>
      <c r="C321" s="108">
        <f t="shared" si="92"/>
        <v>0</v>
      </c>
      <c r="D321" s="109" t="str">
        <f t="shared" si="93"/>
        <v>/</v>
      </c>
      <c r="E321" s="109">
        <f ca="1">IF(表2_3671626293034[[#This Row],[累计净值]]/MAX(INDIRECT("B21:B" &amp; ROW()))-1&lt;E320,表2_3671626293034[[#This Row],[累计净值]]/MAX(INDIRECT("B21:B" &amp; ROW()))-1,E320)</f>
        <v>-9.7560975609756184E-3</v>
      </c>
      <c r="F321" s="110">
        <f>表2_3671626293034[[#This Row],[累计净值]]-0.168</f>
        <v>1.149</v>
      </c>
      <c r="G321" s="20">
        <f>表2_3671626293034[[#This Row],[累计净值]]/$B$21-1</f>
        <v>0.31699999999999995</v>
      </c>
    </row>
    <row r="322" spans="1:7">
      <c r="A322" s="15">
        <v>44154</v>
      </c>
      <c r="B322" s="112">
        <v>1.3169999999999999</v>
      </c>
      <c r="C322" s="108">
        <f t="shared" si="92"/>
        <v>0</v>
      </c>
      <c r="D322" s="109" t="str">
        <f t="shared" si="93"/>
        <v>/</v>
      </c>
      <c r="E322" s="109">
        <f ca="1">IF(表2_3671626293034[[#This Row],[累计净值]]/MAX(INDIRECT("B21:B" &amp; ROW()))-1&lt;E321,表2_3671626293034[[#This Row],[累计净值]]/MAX(INDIRECT("B21:B" &amp; ROW()))-1,E321)</f>
        <v>-9.7560975609756184E-3</v>
      </c>
      <c r="F322" s="110">
        <f>表2_3671626293034[[#This Row],[累计净值]]-0.168</f>
        <v>1.149</v>
      </c>
      <c r="G322" s="20">
        <f>表2_3671626293034[[#This Row],[累计净值]]/$B$21-1</f>
        <v>0.31699999999999995</v>
      </c>
    </row>
    <row r="323" spans="1:7">
      <c r="A323" s="15">
        <v>44155</v>
      </c>
      <c r="B323" s="112">
        <v>1.3160000000000001</v>
      </c>
      <c r="C323" s="108">
        <f t="shared" si="92"/>
        <v>-9.9999999999988987E-4</v>
      </c>
      <c r="D323" s="109">
        <f t="shared" si="93"/>
        <v>-9.9999999999988987E-4</v>
      </c>
      <c r="E323" s="109">
        <f ca="1">IF(表2_3671626293034[[#This Row],[累计净值]]/MAX(INDIRECT("B21:B" &amp; ROW()))-1&lt;E322,表2_3671626293034[[#This Row],[累计净值]]/MAX(INDIRECT("B21:B" &amp; ROW()))-1,E322)</f>
        <v>-9.7560975609756184E-3</v>
      </c>
      <c r="F323" s="110">
        <f>表2_3671626293034[[#This Row],[累计净值]]-0.168</f>
        <v>1.1480000000000001</v>
      </c>
      <c r="G323" s="20">
        <f>表2_3671626293034[[#This Row],[累计净值]]/$B$21-1</f>
        <v>0.31600000000000006</v>
      </c>
    </row>
    <row r="324" spans="1:7">
      <c r="A324" s="15">
        <v>44158</v>
      </c>
      <c r="B324" s="112">
        <v>1.3120000000000001</v>
      </c>
      <c r="C324" s="108">
        <f t="shared" ref="C324:C329" si="94">IFERROR(B324-B323,0)</f>
        <v>-4.0000000000000036E-3</v>
      </c>
      <c r="D324" s="109">
        <f t="shared" ref="D324:D329" si="95">IF(C324&lt;0,C324,"/")</f>
        <v>-4.0000000000000036E-3</v>
      </c>
      <c r="E324" s="109">
        <f ca="1">IF(表2_3671626293034[[#This Row],[累计净值]]/MAX(INDIRECT("B21:B" &amp; ROW()))-1&lt;E323,表2_3671626293034[[#This Row],[累计净值]]/MAX(INDIRECT("B21:B" &amp; ROW()))-1,E323)</f>
        <v>-9.7560975609756184E-3</v>
      </c>
      <c r="F324" s="110">
        <f>表2_3671626293034[[#This Row],[累计净值]]-0.168</f>
        <v>1.1440000000000001</v>
      </c>
      <c r="G324" s="20">
        <f>表2_3671626293034[[#This Row],[累计净值]]/$B$21-1</f>
        <v>0.31200000000000006</v>
      </c>
    </row>
    <row r="325" spans="1:7">
      <c r="A325" s="15">
        <v>44159</v>
      </c>
      <c r="B325" s="112">
        <v>1.306</v>
      </c>
      <c r="C325" s="108">
        <f t="shared" si="94"/>
        <v>-6.0000000000000053E-3</v>
      </c>
      <c r="D325" s="109">
        <f t="shared" si="95"/>
        <v>-6.0000000000000053E-3</v>
      </c>
      <c r="E325" s="109">
        <f ca="1">IF(表2_3671626293034[[#This Row],[累计净值]]/MAX(INDIRECT("B21:B" &amp; ROW()))-1&lt;E324,表2_3671626293034[[#This Row],[累计净值]]/MAX(INDIRECT("B21:B" &amp; ROW()))-1,E324)</f>
        <v>-9.7560975609756184E-3</v>
      </c>
      <c r="F325" s="110">
        <f>表2_3671626293034[[#This Row],[累计净值]]-0.168</f>
        <v>1.1380000000000001</v>
      </c>
      <c r="G325" s="20">
        <f>表2_3671626293034[[#This Row],[累计净值]]/$B$21-1</f>
        <v>0.30600000000000005</v>
      </c>
    </row>
    <row r="326" spans="1:7">
      <c r="A326" s="15">
        <v>44160</v>
      </c>
      <c r="B326" s="112">
        <v>1.306</v>
      </c>
      <c r="C326" s="108">
        <f t="shared" si="94"/>
        <v>0</v>
      </c>
      <c r="D326" s="109" t="str">
        <f t="shared" si="95"/>
        <v>/</v>
      </c>
      <c r="E326" s="109">
        <f ca="1">IF(表2_3671626293034[[#This Row],[累计净值]]/MAX(INDIRECT("B21:B" &amp; ROW()))-1&lt;E325,表2_3671626293034[[#This Row],[累计净值]]/MAX(INDIRECT("B21:B" &amp; ROW()))-1,E325)</f>
        <v>-9.7560975609756184E-3</v>
      </c>
      <c r="F326" s="110">
        <f>表2_3671626293034[[#This Row],[累计净值]]-0.168</f>
        <v>1.1380000000000001</v>
      </c>
      <c r="G326" s="20">
        <f>表2_3671626293034[[#This Row],[累计净值]]/$B$21-1</f>
        <v>0.30600000000000005</v>
      </c>
    </row>
    <row r="327" spans="1:7">
      <c r="A327" s="15">
        <v>44161</v>
      </c>
      <c r="B327" s="112">
        <v>1.3140000000000001</v>
      </c>
      <c r="C327" s="108">
        <f t="shared" si="94"/>
        <v>8.0000000000000071E-3</v>
      </c>
      <c r="D327" s="109" t="str">
        <f t="shared" si="95"/>
        <v>/</v>
      </c>
      <c r="E327" s="109">
        <f ca="1">IF(表2_3671626293034[[#This Row],[累计净值]]/MAX(INDIRECT("B21:B" &amp; ROW()))-1&lt;E326,表2_3671626293034[[#This Row],[累计净值]]/MAX(INDIRECT("B21:B" &amp; ROW()))-1,E326)</f>
        <v>-9.7560975609756184E-3</v>
      </c>
      <c r="F327" s="110">
        <f>表2_3671626293034[[#This Row],[累计净值]]-0.168</f>
        <v>1.1460000000000001</v>
      </c>
      <c r="G327" s="20">
        <f>表2_3671626293034[[#This Row],[累计净值]]/$B$21-1</f>
        <v>0.31400000000000006</v>
      </c>
    </row>
    <row r="328" spans="1:7">
      <c r="A328" s="15">
        <v>44162</v>
      </c>
      <c r="B328" s="112">
        <v>1.3149999999999999</v>
      </c>
      <c r="C328" s="108">
        <f t="shared" si="94"/>
        <v>9.9999999999988987E-4</v>
      </c>
      <c r="D328" s="109" t="str">
        <f t="shared" si="95"/>
        <v>/</v>
      </c>
      <c r="E328" s="109">
        <f ca="1">IF(表2_3671626293034[[#This Row],[累计净值]]/MAX(INDIRECT("B21:B" &amp; ROW()))-1&lt;E327,表2_3671626293034[[#This Row],[累计净值]]/MAX(INDIRECT("B21:B" &amp; ROW()))-1,E327)</f>
        <v>-9.7560975609756184E-3</v>
      </c>
      <c r="F328" s="110">
        <f>表2_3671626293034[[#This Row],[累计净值]]-0.168</f>
        <v>1.147</v>
      </c>
      <c r="G328" s="20">
        <f>表2_3671626293034[[#This Row],[累计净值]]/$B$21-1</f>
        <v>0.31499999999999995</v>
      </c>
    </row>
    <row r="329" spans="1:7">
      <c r="A329" s="15">
        <v>44165</v>
      </c>
      <c r="B329" s="117">
        <v>1.319</v>
      </c>
      <c r="C329" s="108">
        <f t="shared" si="94"/>
        <v>4.0000000000000036E-3</v>
      </c>
      <c r="D329" s="109" t="str">
        <f t="shared" si="95"/>
        <v>/</v>
      </c>
      <c r="E329" s="109">
        <f ca="1">IF(表2_3671626293034[[#This Row],[累计净值]]/MAX(INDIRECT("B21:B" &amp; ROW()))-1&lt;E328,表2_3671626293034[[#This Row],[累计净值]]/MAX(INDIRECT("B21:B" &amp; ROW()))-1,E328)</f>
        <v>-9.7560975609756184E-3</v>
      </c>
      <c r="F329" s="110">
        <f>表2_3671626293034[[#This Row],[累计净值]]-0.168</f>
        <v>1.151</v>
      </c>
      <c r="G329" s="20">
        <f>表2_3671626293034[[#This Row],[累计净值]]/$B$21-1</f>
        <v>0.31899999999999995</v>
      </c>
    </row>
    <row r="330" spans="1:7">
      <c r="A330" s="15">
        <v>44166</v>
      </c>
      <c r="B330" s="112">
        <v>1.3129999999999999</v>
      </c>
      <c r="C330" s="108">
        <f t="shared" ref="C330:C335" si="96">IFERROR(B330-B329,0)</f>
        <v>-6.0000000000000053E-3</v>
      </c>
      <c r="D330" s="109">
        <f t="shared" ref="D330:D335" si="97">IF(C330&lt;0,C330,"/")</f>
        <v>-6.0000000000000053E-3</v>
      </c>
      <c r="E330" s="109">
        <f ca="1">IF(表2_3671626293034[[#This Row],[累计净值]]/MAX(INDIRECT("B21:B" &amp; ROW()))-1&lt;E329,表2_3671626293034[[#This Row],[累计净值]]/MAX(INDIRECT("B21:B" &amp; ROW()))-1,E329)</f>
        <v>-9.7560975609756184E-3</v>
      </c>
      <c r="F330" s="110">
        <f>表2_3671626293034[[#This Row],[累计净值]]-0.168</f>
        <v>1.145</v>
      </c>
      <c r="G330" s="20">
        <f>表2_3671626293034[[#This Row],[累计净值]]/$B$21-1</f>
        <v>0.31299999999999994</v>
      </c>
    </row>
    <row r="331" spans="1:7">
      <c r="A331" s="15">
        <v>44167</v>
      </c>
      <c r="B331" s="112">
        <v>1.302</v>
      </c>
      <c r="C331" s="108">
        <f t="shared" si="96"/>
        <v>-1.0999999999999899E-2</v>
      </c>
      <c r="D331" s="109">
        <f t="shared" si="97"/>
        <v>-1.0999999999999899E-2</v>
      </c>
      <c r="E331" s="109">
        <f ca="1">IF(表2_3671626293034[[#This Row],[累计净值]]/MAX(INDIRECT("B21:B" &amp; ROW()))-1&lt;E330,表2_3671626293034[[#This Row],[累计净值]]/MAX(INDIRECT("B21:B" &amp; ROW()))-1,E330)</f>
        <v>-1.2888551933282755E-2</v>
      </c>
      <c r="F331" s="110">
        <f>表2_3671626293034[[#This Row],[累计净值]]-0.168</f>
        <v>1.1340000000000001</v>
      </c>
      <c r="G331" s="20">
        <f>表2_3671626293034[[#This Row],[累计净值]]/$B$21-1</f>
        <v>0.30200000000000005</v>
      </c>
    </row>
    <row r="332" spans="1:7">
      <c r="A332" s="15">
        <v>44168</v>
      </c>
      <c r="B332" s="112">
        <v>1.3009999999999999</v>
      </c>
      <c r="C332" s="108">
        <f t="shared" si="96"/>
        <v>-1.0000000000001119E-3</v>
      </c>
      <c r="D332" s="109">
        <f t="shared" si="97"/>
        <v>-1.0000000000001119E-3</v>
      </c>
      <c r="E332" s="109">
        <f ca="1">IF(表2_3671626293034[[#This Row],[累计净值]]/MAX(INDIRECT("B21:B" &amp; ROW()))-1&lt;E331,表2_3671626293034[[#This Row],[累计净值]]/MAX(INDIRECT("B21:B" &amp; ROW()))-1,E331)</f>
        <v>-1.3646702047005355E-2</v>
      </c>
      <c r="F332" s="110">
        <f>表2_3671626293034[[#This Row],[累计净值]]-0.168</f>
        <v>1.133</v>
      </c>
      <c r="G332" s="20">
        <f>表2_3671626293034[[#This Row],[累计净值]]/$B$21-1</f>
        <v>0.30099999999999993</v>
      </c>
    </row>
    <row r="333" spans="1:7">
      <c r="A333" s="15">
        <v>44169</v>
      </c>
      <c r="B333" s="112">
        <v>1.3009999999999999</v>
      </c>
      <c r="C333" s="108">
        <f t="shared" si="96"/>
        <v>0</v>
      </c>
      <c r="D333" s="109" t="str">
        <f t="shared" si="97"/>
        <v>/</v>
      </c>
      <c r="E333" s="109">
        <f ca="1">IF(表2_3671626293034[[#This Row],[累计净值]]/MAX(INDIRECT("B21:B" &amp; ROW()))-1&lt;E332,表2_3671626293034[[#This Row],[累计净值]]/MAX(INDIRECT("B21:B" &amp; ROW()))-1,E332)</f>
        <v>-1.3646702047005355E-2</v>
      </c>
      <c r="F333" s="110">
        <f>表2_3671626293034[[#This Row],[累计净值]]-0.168</f>
        <v>1.133</v>
      </c>
      <c r="G333" s="20">
        <f>表2_3671626293034[[#This Row],[累计净值]]/$B$21-1</f>
        <v>0.30099999999999993</v>
      </c>
    </row>
    <row r="334" spans="1:7">
      <c r="A334" s="15">
        <v>44172</v>
      </c>
      <c r="B334" s="112">
        <v>1.3009999999999999</v>
      </c>
      <c r="C334" s="108">
        <f t="shared" si="96"/>
        <v>0</v>
      </c>
      <c r="D334" s="109" t="str">
        <f t="shared" si="97"/>
        <v>/</v>
      </c>
      <c r="E334" s="109">
        <f ca="1">IF(表2_3671626293034[[#This Row],[累计净值]]/MAX(INDIRECT("B21:B" &amp; ROW()))-1&lt;E333,表2_3671626293034[[#This Row],[累计净值]]/MAX(INDIRECT("B21:B" &amp; ROW()))-1,E333)</f>
        <v>-1.3646702047005355E-2</v>
      </c>
      <c r="F334" s="110">
        <f>表2_3671626293034[[#This Row],[累计净值]]-0.168</f>
        <v>1.133</v>
      </c>
      <c r="G334" s="20">
        <f>表2_3671626293034[[#This Row],[累计净值]]/$B$21-1</f>
        <v>0.30099999999999993</v>
      </c>
    </row>
    <row r="335" spans="1:7">
      <c r="A335" s="15">
        <v>44173</v>
      </c>
      <c r="B335" s="112">
        <v>1.304</v>
      </c>
      <c r="C335" s="108">
        <f t="shared" si="96"/>
        <v>3.0000000000001137E-3</v>
      </c>
      <c r="D335" s="109" t="str">
        <f t="shared" si="97"/>
        <v>/</v>
      </c>
      <c r="E335" s="109">
        <f ca="1">IF(表2_3671626293034[[#This Row],[累计净值]]/MAX(INDIRECT("B21:B" &amp; ROW()))-1&lt;E334,表2_3671626293034[[#This Row],[累计净值]]/MAX(INDIRECT("B21:B" &amp; ROW()))-1,E334)</f>
        <v>-1.3646702047005355E-2</v>
      </c>
      <c r="F335" s="110">
        <f>表2_3671626293034[[#This Row],[累计净值]]-0.168</f>
        <v>1.1360000000000001</v>
      </c>
      <c r="G335" s="20">
        <f>表2_3671626293034[[#This Row],[累计净值]]/$B$21-1</f>
        <v>0.30400000000000005</v>
      </c>
    </row>
    <row r="336" spans="1:7">
      <c r="A336" s="15">
        <v>44174</v>
      </c>
      <c r="B336" s="112">
        <v>1.3069999999999999</v>
      </c>
      <c r="C336" s="108">
        <f t="shared" ref="C336:C341" si="98">IFERROR(B336-B335,0)</f>
        <v>2.9999999999998916E-3</v>
      </c>
      <c r="D336" s="109" t="str">
        <f t="shared" ref="D336:D341" si="99">IF(C336&lt;0,C336,"/")</f>
        <v>/</v>
      </c>
      <c r="E336" s="109">
        <f ca="1">IF(表2_3671626293034[[#This Row],[累计净值]]/MAX(INDIRECT("B21:B" &amp; ROW()))-1&lt;E335,表2_3671626293034[[#This Row],[累计净值]]/MAX(INDIRECT("B21:B" &amp; ROW()))-1,E335)</f>
        <v>-1.3646702047005355E-2</v>
      </c>
      <c r="F336" s="110">
        <f>表2_3671626293034[[#This Row],[累计净值]]-0.168</f>
        <v>1.139</v>
      </c>
      <c r="G336" s="20">
        <f>表2_3671626293034[[#This Row],[累计净值]]/$B$21-1</f>
        <v>0.30699999999999994</v>
      </c>
    </row>
    <row r="337" spans="1:7">
      <c r="A337" s="15">
        <v>44175</v>
      </c>
      <c r="B337" s="112">
        <v>1.3080000000000001</v>
      </c>
      <c r="C337" s="108">
        <f t="shared" si="98"/>
        <v>1.0000000000001119E-3</v>
      </c>
      <c r="D337" s="109" t="str">
        <f t="shared" si="99"/>
        <v>/</v>
      </c>
      <c r="E337" s="109">
        <f ca="1">IF(表2_3671626293034[[#This Row],[累计净值]]/MAX(INDIRECT("B21:B" &amp; ROW()))-1&lt;E336,表2_3671626293034[[#This Row],[累计净值]]/MAX(INDIRECT("B21:B" &amp; ROW()))-1,E336)</f>
        <v>-1.3646702047005355E-2</v>
      </c>
      <c r="F337" s="110">
        <f>表2_3671626293034[[#This Row],[累计净值]]-0.168</f>
        <v>1.1400000000000001</v>
      </c>
      <c r="G337" s="20">
        <f>表2_3671626293034[[#This Row],[累计净值]]/$B$21-1</f>
        <v>0.30800000000000005</v>
      </c>
    </row>
    <row r="338" spans="1:7">
      <c r="A338" s="15">
        <v>44176</v>
      </c>
      <c r="B338" s="112">
        <v>1.3120000000000001</v>
      </c>
      <c r="C338" s="108">
        <f t="shared" si="98"/>
        <v>4.0000000000000036E-3</v>
      </c>
      <c r="D338" s="109" t="str">
        <f t="shared" si="99"/>
        <v>/</v>
      </c>
      <c r="E338" s="109">
        <f ca="1">IF(表2_3671626293034[[#This Row],[累计净值]]/MAX(INDIRECT("B21:B" &amp; ROW()))-1&lt;E337,表2_3671626293034[[#This Row],[累计净值]]/MAX(INDIRECT("B21:B" &amp; ROW()))-1,E337)</f>
        <v>-1.3646702047005355E-2</v>
      </c>
      <c r="F338" s="110">
        <f>表2_3671626293034[[#This Row],[累计净值]]-0.168</f>
        <v>1.1440000000000001</v>
      </c>
      <c r="G338" s="20">
        <f>表2_3671626293034[[#This Row],[累计净值]]/$B$21-1</f>
        <v>0.31200000000000006</v>
      </c>
    </row>
    <row r="339" spans="1:7">
      <c r="A339" s="15">
        <v>44179</v>
      </c>
      <c r="B339" s="112">
        <v>1.3120000000000001</v>
      </c>
      <c r="C339" s="108">
        <f t="shared" si="98"/>
        <v>0</v>
      </c>
      <c r="D339" s="109" t="str">
        <f t="shared" si="99"/>
        <v>/</v>
      </c>
      <c r="E339" s="109">
        <f ca="1">IF(表2_3671626293034[[#This Row],[累计净值]]/MAX(INDIRECT("B21:B" &amp; ROW()))-1&lt;E338,表2_3671626293034[[#This Row],[累计净值]]/MAX(INDIRECT("B21:B" &amp; ROW()))-1,E338)</f>
        <v>-1.3646702047005355E-2</v>
      </c>
      <c r="F339" s="110">
        <f>表2_3671626293034[[#This Row],[累计净值]]-0.168</f>
        <v>1.1440000000000001</v>
      </c>
      <c r="G339" s="20">
        <f>表2_3671626293034[[#This Row],[累计净值]]/$B$21-1</f>
        <v>0.31200000000000006</v>
      </c>
    </row>
    <row r="340" spans="1:7">
      <c r="A340" s="15">
        <v>44180</v>
      </c>
      <c r="B340" s="112">
        <v>1.3140000000000001</v>
      </c>
      <c r="C340" s="108">
        <f t="shared" si="98"/>
        <v>2.0000000000000018E-3</v>
      </c>
      <c r="D340" s="109" t="str">
        <f t="shared" si="99"/>
        <v>/</v>
      </c>
      <c r="E340" s="109">
        <f ca="1">IF(表2_3671626293034[[#This Row],[累计净值]]/MAX(INDIRECT("B21:B" &amp; ROW()))-1&lt;E339,表2_3671626293034[[#This Row],[累计净值]]/MAX(INDIRECT("B21:B" &amp; ROW()))-1,E339)</f>
        <v>-1.3646702047005355E-2</v>
      </c>
      <c r="F340" s="110">
        <f>表2_3671626293034[[#This Row],[累计净值]]-0.168</f>
        <v>1.1460000000000001</v>
      </c>
      <c r="G340" s="20">
        <f>表2_3671626293034[[#This Row],[累计净值]]/$B$21-1</f>
        <v>0.31400000000000006</v>
      </c>
    </row>
    <row r="341" spans="1:7">
      <c r="A341" s="15">
        <v>44181</v>
      </c>
      <c r="B341" s="112">
        <v>1.3149999999999999</v>
      </c>
      <c r="C341" s="108">
        <f t="shared" si="98"/>
        <v>9.9999999999988987E-4</v>
      </c>
      <c r="D341" s="109" t="str">
        <f t="shared" si="99"/>
        <v>/</v>
      </c>
      <c r="E341" s="109">
        <f ca="1">IF(表2_3671626293034[[#This Row],[累计净值]]/MAX(INDIRECT("B21:B" &amp; ROW()))-1&lt;E340,表2_3671626293034[[#This Row],[累计净值]]/MAX(INDIRECT("B21:B" &amp; ROW()))-1,E340)</f>
        <v>-1.3646702047005355E-2</v>
      </c>
      <c r="F341" s="110">
        <f>表2_3671626293034[[#This Row],[累计净值]]-0.168</f>
        <v>1.147</v>
      </c>
      <c r="G341" s="20">
        <f>表2_3671626293034[[#This Row],[累计净值]]/$B$21-1</f>
        <v>0.31499999999999995</v>
      </c>
    </row>
    <row r="342" spans="1:7">
      <c r="A342" s="15">
        <v>44182</v>
      </c>
      <c r="B342" s="112">
        <v>1.3160000000000001</v>
      </c>
      <c r="C342" s="108">
        <f t="shared" ref="C342:C347" si="100">IFERROR(B342-B341,0)</f>
        <v>1.0000000000001119E-3</v>
      </c>
      <c r="D342" s="109" t="str">
        <f t="shared" ref="D342:D347" si="101">IF(C342&lt;0,C342,"/")</f>
        <v>/</v>
      </c>
      <c r="E342" s="109">
        <f ca="1">IF(表2_3671626293034[[#This Row],[累计净值]]/MAX(INDIRECT("B21:B" &amp; ROW()))-1&lt;E341,表2_3671626293034[[#This Row],[累计净值]]/MAX(INDIRECT("B21:B" &amp; ROW()))-1,E341)</f>
        <v>-1.3646702047005355E-2</v>
      </c>
      <c r="F342" s="110">
        <f>表2_3671626293034[[#This Row],[累计净值]]-0.168</f>
        <v>1.1480000000000001</v>
      </c>
      <c r="G342" s="20">
        <f>表2_3671626293034[[#This Row],[累计净值]]/$B$21-1</f>
        <v>0.31600000000000006</v>
      </c>
    </row>
    <row r="343" spans="1:7">
      <c r="A343" s="15">
        <v>44183</v>
      </c>
      <c r="B343" s="112">
        <v>1.3169999999999999</v>
      </c>
      <c r="C343" s="108">
        <f t="shared" si="100"/>
        <v>9.9999999999988987E-4</v>
      </c>
      <c r="D343" s="109" t="str">
        <f t="shared" si="101"/>
        <v>/</v>
      </c>
      <c r="E343" s="109">
        <f ca="1">IF(表2_3671626293034[[#This Row],[累计净值]]/MAX(INDIRECT("B21:B" &amp; ROW()))-1&lt;E342,表2_3671626293034[[#This Row],[累计净值]]/MAX(INDIRECT("B21:B" &amp; ROW()))-1,E342)</f>
        <v>-1.3646702047005355E-2</v>
      </c>
      <c r="F343" s="110">
        <f>表2_3671626293034[[#This Row],[累计净值]]-0.168</f>
        <v>1.149</v>
      </c>
      <c r="G343" s="20">
        <f>表2_3671626293034[[#This Row],[累计净值]]/$B$21-1</f>
        <v>0.31699999999999995</v>
      </c>
    </row>
    <row r="344" spans="1:7">
      <c r="A344" s="15">
        <v>44186</v>
      </c>
      <c r="B344" s="112">
        <v>1.3140000000000001</v>
      </c>
      <c r="C344" s="108">
        <f t="shared" si="100"/>
        <v>-2.9999999999998916E-3</v>
      </c>
      <c r="D344" s="109">
        <f t="shared" si="101"/>
        <v>-2.9999999999998916E-3</v>
      </c>
      <c r="E344" s="109">
        <f ca="1">IF(表2_3671626293034[[#This Row],[累计净值]]/MAX(INDIRECT("B21:B" &amp; ROW()))-1&lt;E343,表2_3671626293034[[#This Row],[累计净值]]/MAX(INDIRECT("B21:B" &amp; ROW()))-1,E343)</f>
        <v>-1.3646702047005355E-2</v>
      </c>
      <c r="F344" s="110">
        <f>表2_3671626293034[[#This Row],[累计净值]]-0.168</f>
        <v>1.1460000000000001</v>
      </c>
      <c r="G344" s="20">
        <f>0.7*(表2_3671626293034[[#This Row],[累计净值]]/$B$21-1)</f>
        <v>0.21980000000000002</v>
      </c>
    </row>
    <row r="345" spans="1:7">
      <c r="A345" s="15">
        <v>44187</v>
      </c>
      <c r="B345" s="112">
        <v>1.3169999999999999</v>
      </c>
      <c r="C345" s="108">
        <f t="shared" si="100"/>
        <v>2.9999999999998916E-3</v>
      </c>
      <c r="D345" s="109" t="str">
        <f t="shared" si="101"/>
        <v>/</v>
      </c>
      <c r="E345" s="109">
        <f ca="1">IF(表2_3671626293034[[#This Row],[累计净值]]/MAX(INDIRECT("B21:B" &amp; ROW()))-1&lt;E344,表2_3671626293034[[#This Row],[累计净值]]/MAX(INDIRECT("B21:B" &amp; ROW()))-1,E344)</f>
        <v>-1.3646702047005355E-2</v>
      </c>
      <c r="F345" s="110">
        <f>表2_3671626293034[[#This Row],[累计净值]]-0.168</f>
        <v>1.149</v>
      </c>
      <c r="G345" s="20">
        <f>0.7*(表2_3671626293034[[#This Row],[累计净值]]/$B$21-1)</f>
        <v>0.22189999999999996</v>
      </c>
    </row>
    <row r="346" spans="1:7">
      <c r="A346" s="15">
        <v>44188</v>
      </c>
      <c r="B346" s="117">
        <v>1.327</v>
      </c>
      <c r="C346" s="108">
        <f t="shared" si="100"/>
        <v>1.0000000000000009E-2</v>
      </c>
      <c r="D346" s="109" t="str">
        <f t="shared" si="101"/>
        <v>/</v>
      </c>
      <c r="E346" s="109">
        <f ca="1">IF(表2_3671626293034[[#This Row],[累计净值]]/MAX(INDIRECT("B21:B" &amp; ROW()))-1&lt;E345,表2_3671626293034[[#This Row],[累计净值]]/MAX(INDIRECT("B21:B" &amp; ROW()))-1,E345)</f>
        <v>-1.3646702047005355E-2</v>
      </c>
      <c r="F346" s="110">
        <f>表2_3671626293034[[#This Row],[累计净值]]-0.168</f>
        <v>1.159</v>
      </c>
      <c r="G346" s="20">
        <f>0.7*(表2_3671626293034[[#This Row],[累计净值]]/$B$21-1)</f>
        <v>0.22889999999999996</v>
      </c>
    </row>
    <row r="347" spans="1:7">
      <c r="A347" s="15">
        <v>44189</v>
      </c>
      <c r="B347" s="112">
        <v>1.325</v>
      </c>
      <c r="C347" s="108">
        <f t="shared" si="100"/>
        <v>-2.0000000000000018E-3</v>
      </c>
      <c r="D347" s="109">
        <f t="shared" si="101"/>
        <v>-2.0000000000000018E-3</v>
      </c>
      <c r="E347" s="109">
        <f ca="1">IF(表2_3671626293034[[#This Row],[累计净值]]/MAX(INDIRECT("B21:B" &amp; ROW()))-1&lt;E346,表2_3671626293034[[#This Row],[累计净值]]/MAX(INDIRECT("B21:B" &amp; ROW()))-1,E346)</f>
        <v>-1.3646702047005355E-2</v>
      </c>
      <c r="F347" s="110">
        <f>表2_3671626293034[[#This Row],[累计净值]]-0.168</f>
        <v>1.157</v>
      </c>
      <c r="G347" s="20">
        <f>0.7*(表2_3671626293034[[#This Row],[累计净值]]/$B$21-1)</f>
        <v>0.22749999999999995</v>
      </c>
    </row>
    <row r="348" spans="1:7">
      <c r="A348" s="15">
        <v>44190</v>
      </c>
      <c r="B348" s="112">
        <v>1.3149999999999999</v>
      </c>
      <c r="C348" s="108">
        <f t="shared" ref="C348:C353" si="102">IFERROR(B348-B347,0)</f>
        <v>-1.0000000000000009E-2</v>
      </c>
      <c r="D348" s="109">
        <f t="shared" ref="D348:D353" si="103">IF(C348&lt;0,C348,"/")</f>
        <v>-1.0000000000000009E-2</v>
      </c>
      <c r="E348" s="109">
        <f ca="1">IF(表2_3671626293034[[#This Row],[累计净值]]/MAX(INDIRECT("B21:B" &amp; ROW()))-1&lt;E347,表2_3671626293034[[#This Row],[累计净值]]/MAX(INDIRECT("B21:B" &amp; ROW()))-1,E347)</f>
        <v>-1.3646702047005355E-2</v>
      </c>
      <c r="F348" s="110">
        <f>表2_3671626293034[[#This Row],[累计净值]]-0.308</f>
        <v>1.0069999999999999</v>
      </c>
      <c r="G348" s="20">
        <f>0.7*(表2_3671626293034[[#This Row],[累计净值]]/$B$21-1)</f>
        <v>0.22049999999999995</v>
      </c>
    </row>
    <row r="349" spans="1:7">
      <c r="A349" s="15">
        <v>44193</v>
      </c>
      <c r="B349" s="112">
        <v>1.3140000000000001</v>
      </c>
      <c r="C349" s="108">
        <f t="shared" si="102"/>
        <v>-9.9999999999988987E-4</v>
      </c>
      <c r="D349" s="109">
        <f t="shared" si="103"/>
        <v>-9.9999999999988987E-4</v>
      </c>
      <c r="E349" s="109">
        <f ca="1">IF(表2_3671626293034[[#This Row],[累计净值]]/MAX(INDIRECT("B21:B" &amp; ROW()))-1&lt;E348,表2_3671626293034[[#This Row],[累计净值]]/MAX(INDIRECT("B21:B" &amp; ROW()))-1,E348)</f>
        <v>-1.3646702047005355E-2</v>
      </c>
      <c r="F349" s="110">
        <f>表2_3671626293034[[#This Row],[累计净值]]-0.308</f>
        <v>1.006</v>
      </c>
      <c r="G349" s="20">
        <f>0.7*(表2_3671626293034[[#This Row],[累计净值]]/$B$21-1)</f>
        <v>0.21980000000000002</v>
      </c>
    </row>
    <row r="350" spans="1:7">
      <c r="A350" s="15">
        <v>44194</v>
      </c>
      <c r="B350" s="112">
        <v>1.3129999999999999</v>
      </c>
      <c r="C350" s="108">
        <f t="shared" si="102"/>
        <v>-1.0000000000001119E-3</v>
      </c>
      <c r="D350" s="109">
        <f t="shared" si="103"/>
        <v>-1.0000000000001119E-3</v>
      </c>
      <c r="E350" s="109">
        <f ca="1">IF(表2_3671626293034[[#This Row],[累计净值]]/MAX(INDIRECT("B21:B" &amp; ROW()))-1&lt;E349,表2_3671626293034[[#This Row],[累计净值]]/MAX(INDIRECT("B21:B" &amp; ROW()))-1,E349)</f>
        <v>-1.3646702047005355E-2</v>
      </c>
      <c r="F350" s="110">
        <f>表2_3671626293034[[#This Row],[累计净值]]-0.308</f>
        <v>1.0049999999999999</v>
      </c>
      <c r="G350" s="20">
        <f>0.7*(表2_3671626293034[[#This Row],[累计净值]]/$B$21-1)</f>
        <v>0.21909999999999993</v>
      </c>
    </row>
    <row r="351" spans="1:7">
      <c r="A351" s="15">
        <v>44195</v>
      </c>
      <c r="B351" s="112">
        <v>1.3169999999999999</v>
      </c>
      <c r="C351" s="108">
        <f t="shared" si="102"/>
        <v>4.0000000000000036E-3</v>
      </c>
      <c r="D351" s="109" t="str">
        <f t="shared" si="103"/>
        <v>/</v>
      </c>
      <c r="E351" s="109">
        <f ca="1">IF(表2_3671626293034[[#This Row],[累计净值]]/MAX(INDIRECT("B21:B" &amp; ROW()))-1&lt;E350,表2_3671626293034[[#This Row],[累计净值]]/MAX(INDIRECT("B21:B" &amp; ROW()))-1,E350)</f>
        <v>-1.3646702047005355E-2</v>
      </c>
      <c r="F351" s="110">
        <f>表2_3671626293034[[#This Row],[累计净值]]-0.308</f>
        <v>1.0089999999999999</v>
      </c>
      <c r="G351" s="20">
        <f>0.7*(表2_3671626293034[[#This Row],[累计净值]]/$B$21-1)</f>
        <v>0.22189999999999996</v>
      </c>
    </row>
    <row r="352" spans="1:7">
      <c r="A352" s="15">
        <v>44196</v>
      </c>
      <c r="B352" s="112">
        <v>1.3149999999999999</v>
      </c>
      <c r="C352" s="108">
        <f t="shared" si="102"/>
        <v>-2.0000000000000018E-3</v>
      </c>
      <c r="D352" s="109">
        <f t="shared" si="103"/>
        <v>-2.0000000000000018E-3</v>
      </c>
      <c r="E352" s="109">
        <f ca="1">IF(表2_3671626293034[[#This Row],[累计净值]]/MAX(INDIRECT("B21:B" &amp; ROW()))-1&lt;E351,表2_3671626293034[[#This Row],[累计净值]]/MAX(INDIRECT("B21:B" &amp; ROW()))-1,E351)</f>
        <v>-1.3646702047005355E-2</v>
      </c>
      <c r="F352" s="110">
        <f>表2_3671626293034[[#This Row],[累计净值]]-0.308</f>
        <v>1.0069999999999999</v>
      </c>
      <c r="G352" s="20">
        <f>0.7*(表2_3671626293034[[#This Row],[累计净值]]/$B$21-1)</f>
        <v>0.22049999999999995</v>
      </c>
    </row>
    <row r="353" spans="1:7">
      <c r="A353" s="15">
        <v>44200</v>
      </c>
      <c r="B353" s="112">
        <v>1.3129999999999999</v>
      </c>
      <c r="C353" s="108">
        <f t="shared" si="102"/>
        <v>-2.0000000000000018E-3</v>
      </c>
      <c r="D353" s="109">
        <f t="shared" si="103"/>
        <v>-2.0000000000000018E-3</v>
      </c>
      <c r="E353" s="109">
        <f ca="1">IF(表2_3671626293034[[#This Row],[累计净值]]/MAX(INDIRECT("B21:B" &amp; ROW()))-1&lt;E352,表2_3671626293034[[#This Row],[累计净值]]/MAX(INDIRECT("B21:B" &amp; ROW()))-1,E352)</f>
        <v>-1.3646702047005355E-2</v>
      </c>
      <c r="F353" s="110">
        <f>表2_3671626293034[[#This Row],[累计净值]]-0.308</f>
        <v>1.0049999999999999</v>
      </c>
      <c r="G353" s="20">
        <f>0.7*(表2_3671626293034[[#This Row],[累计净值]]/$B$21-1)</f>
        <v>0.21909999999999993</v>
      </c>
    </row>
    <row r="354" spans="1:7">
      <c r="A354" s="15">
        <v>44201</v>
      </c>
      <c r="B354" s="112">
        <v>1.3120000000000001</v>
      </c>
      <c r="C354" s="108">
        <f>IFERROR(B354-B353,0)</f>
        <v>-9.9999999999988987E-4</v>
      </c>
      <c r="D354" s="109">
        <f>IF(C354&lt;0,C354,"/")</f>
        <v>-9.9999999999988987E-4</v>
      </c>
      <c r="E354" s="109">
        <f ca="1">IF(表2_3671626293034[[#This Row],[累计净值]]/MAX(INDIRECT("B21:B" &amp; ROW()))-1&lt;E353,表2_3671626293034[[#This Row],[累计净值]]/MAX(INDIRECT("B21:B" &amp; ROW()))-1,E353)</f>
        <v>-1.3646702047005355E-2</v>
      </c>
      <c r="F354" s="110">
        <f>表2_3671626293034[[#This Row],[累计净值]]-0.308</f>
        <v>1.004</v>
      </c>
      <c r="G354" s="20">
        <f>0.7*(表2_3671626293034[[#This Row],[累计净值]]/$B$21-1)</f>
        <v>0.21840000000000004</v>
      </c>
    </row>
    <row r="355" spans="1:7">
      <c r="A355" s="15">
        <v>44202</v>
      </c>
      <c r="B355" s="112">
        <v>1.3140000000000001</v>
      </c>
      <c r="C355" s="108">
        <f>IFERROR(B355-B354,0)</f>
        <v>2.0000000000000018E-3</v>
      </c>
      <c r="D355" s="109" t="str">
        <f>IF(C355&lt;0,C355,"/")</f>
        <v>/</v>
      </c>
      <c r="E355" s="109">
        <f ca="1">IF(表2_3671626293034[[#This Row],[累计净值]]/MAX(INDIRECT("B21:B" &amp; ROW()))-1&lt;E354,表2_3671626293034[[#This Row],[累计净值]]/MAX(INDIRECT("B21:B" &amp; ROW()))-1,E354)</f>
        <v>-1.3646702047005355E-2</v>
      </c>
      <c r="F355" s="110">
        <f>表2_3671626293034[[#This Row],[累计净值]]-0.308</f>
        <v>1.006</v>
      </c>
      <c r="G355" s="20">
        <f>0.7*(表2_3671626293034[[#This Row],[累计净值]]/$B$21-1)</f>
        <v>0.21980000000000002</v>
      </c>
    </row>
    <row r="356" spans="1:7">
      <c r="A356" s="15">
        <v>44203</v>
      </c>
      <c r="B356" s="112">
        <v>1.3089999999999999</v>
      </c>
      <c r="C356" s="108">
        <f>IFERROR(B356-B355,0)</f>
        <v>-5.0000000000001155E-3</v>
      </c>
      <c r="D356" s="109">
        <f>IF(C356&lt;0,C356,"/")</f>
        <v>-5.0000000000001155E-3</v>
      </c>
      <c r="E356" s="109">
        <f ca="1">IF(表2_3671626293034[[#This Row],[累计净值]]/MAX(INDIRECT("B21:B" &amp; ROW()))-1&lt;E355,表2_3671626293034[[#This Row],[累计净值]]/MAX(INDIRECT("B21:B" &amp; ROW()))-1,E355)</f>
        <v>-1.3646702047005355E-2</v>
      </c>
      <c r="F356" s="110">
        <f>表2_3671626293034[[#This Row],[累计净值]]-0.308</f>
        <v>1.0009999999999999</v>
      </c>
      <c r="G356" s="20">
        <f>0.7*(表2_3671626293034[[#This Row],[累计净值]]/$B$21-1)</f>
        <v>0.21629999999999994</v>
      </c>
    </row>
    <row r="357" spans="1:7">
      <c r="A357" s="15">
        <v>44204</v>
      </c>
      <c r="B357" s="112">
        <v>1.3009999999999999</v>
      </c>
      <c r="C357" s="108">
        <f t="shared" ref="C357:C358" si="104">IFERROR(B357-B356,0)</f>
        <v>-8.0000000000000071E-3</v>
      </c>
      <c r="D357" s="109">
        <f t="shared" ref="D357:D358" si="105">IF(C357&lt;0,C357,"/")</f>
        <v>-8.0000000000000071E-3</v>
      </c>
      <c r="E357" s="109">
        <f ca="1">IF(表2_3671626293034[[#This Row],[累计净值]]/MAX(INDIRECT("B21:B" &amp; ROW()))-1&lt;E356,表2_3671626293034[[#This Row],[累计净值]]/MAX(INDIRECT("B21:B" &amp; ROW()))-1,E356)</f>
        <v>-1.9593067068575776E-2</v>
      </c>
      <c r="F357" s="110">
        <f>表2_3671626293034[[#This Row],[累计净值]]-0.308</f>
        <v>0.99299999999999988</v>
      </c>
      <c r="G357" s="20">
        <f>0.7*(表2_3671626293034[[#This Row],[累计净值]]/$B$21-1)</f>
        <v>0.21069999999999994</v>
      </c>
    </row>
    <row r="358" spans="1:7">
      <c r="A358" s="15">
        <v>44207</v>
      </c>
      <c r="B358" s="112">
        <v>1.3089999999999999</v>
      </c>
      <c r="C358" s="108">
        <f t="shared" si="104"/>
        <v>8.0000000000000071E-3</v>
      </c>
      <c r="D358" s="109" t="str">
        <f t="shared" si="105"/>
        <v>/</v>
      </c>
      <c r="E358" s="109">
        <f ca="1">IF(表2_3671626293034[[#This Row],[累计净值]]/MAX(INDIRECT("B21:B" &amp; ROW()))-1&lt;E357,表2_3671626293034[[#This Row],[累计净值]]/MAX(INDIRECT("B21:B" &amp; ROW()))-1,E357)</f>
        <v>-1.9593067068575776E-2</v>
      </c>
      <c r="F358" s="110">
        <f>表2_3671626293034[[#This Row],[累计净值]]-0.308</f>
        <v>1.0009999999999999</v>
      </c>
      <c r="G358" s="20">
        <f>0.7*(表2_3671626293034[[#This Row],[累计净值]]/$B$21-1)</f>
        <v>0.21629999999999994</v>
      </c>
    </row>
    <row r="359" spans="1:7">
      <c r="A359" s="15">
        <v>44208</v>
      </c>
      <c r="B359" s="112">
        <v>1.3120000000000001</v>
      </c>
      <c r="C359" s="108">
        <f t="shared" ref="C359:C365" si="106">IFERROR(B359-B358,0)</f>
        <v>3.0000000000001137E-3</v>
      </c>
      <c r="D359" s="109" t="str">
        <f t="shared" ref="D359:D365" si="107">IF(C359&lt;0,C359,"/")</f>
        <v>/</v>
      </c>
      <c r="E359" s="109">
        <f ca="1">IF(表2_3671626293034[[#This Row],[累计净值]]/MAX(INDIRECT("B21:B" &amp; ROW()))-1&lt;E358,表2_3671626293034[[#This Row],[累计净值]]/MAX(INDIRECT("B21:B" &amp; ROW()))-1,E358)</f>
        <v>-1.9593067068575776E-2</v>
      </c>
      <c r="F359" s="110">
        <f>表2_3671626293034[[#This Row],[累计净值]]-0.308</f>
        <v>1.004</v>
      </c>
      <c r="G359" s="20">
        <f>0.7*(表2_3671626293034[[#This Row],[累计净值]]/$B$21-1)</f>
        <v>0.21840000000000004</v>
      </c>
    </row>
    <row r="360" spans="1:7">
      <c r="A360" s="15">
        <v>44209</v>
      </c>
      <c r="B360" s="112">
        <v>1.3120000000000001</v>
      </c>
      <c r="C360" s="108">
        <f t="shared" si="106"/>
        <v>0</v>
      </c>
      <c r="D360" s="109" t="str">
        <f t="shared" si="107"/>
        <v>/</v>
      </c>
      <c r="E360" s="109">
        <f ca="1">IF(表2_3671626293034[[#This Row],[累计净值]]/MAX(INDIRECT("B21:B" &amp; ROW()))-1&lt;E359,表2_3671626293034[[#This Row],[累计净值]]/MAX(INDIRECT("B21:B" &amp; ROW()))-1,E359)</f>
        <v>-1.9593067068575776E-2</v>
      </c>
      <c r="F360" s="110">
        <f>表2_3671626293034[[#This Row],[累计净值]]-0.308</f>
        <v>1.004</v>
      </c>
      <c r="G360" s="20">
        <f>0.7*(表2_3671626293034[[#This Row],[累计净值]]/$B$21-1)</f>
        <v>0.21840000000000004</v>
      </c>
    </row>
    <row r="361" spans="1:7">
      <c r="A361" s="15">
        <v>44210</v>
      </c>
      <c r="B361" s="112">
        <v>1.3160000000000001</v>
      </c>
      <c r="C361" s="108">
        <f t="shared" si="106"/>
        <v>4.0000000000000036E-3</v>
      </c>
      <c r="D361" s="109" t="str">
        <f t="shared" si="107"/>
        <v>/</v>
      </c>
      <c r="E361" s="109">
        <f ca="1">IF(表2_3671626293034[[#This Row],[累计净值]]/MAX(INDIRECT("B21:B" &amp; ROW()))-1&lt;E360,表2_3671626293034[[#This Row],[累计净值]]/MAX(INDIRECT("B21:B" &amp; ROW()))-1,E360)</f>
        <v>-1.9593067068575776E-2</v>
      </c>
      <c r="F361" s="110">
        <f>表2_3671626293034[[#This Row],[累计净值]]-0.308</f>
        <v>1.008</v>
      </c>
      <c r="G361" s="20">
        <f>0.7*(表2_3671626293034[[#This Row],[累计净值]]/$B$21-1)</f>
        <v>0.22120000000000004</v>
      </c>
    </row>
    <row r="362" spans="1:7">
      <c r="A362" s="15">
        <v>44211</v>
      </c>
      <c r="B362" s="112">
        <v>1.325</v>
      </c>
      <c r="C362" s="108">
        <f t="shared" si="106"/>
        <v>8.999999999999897E-3</v>
      </c>
      <c r="D362" s="109" t="str">
        <f t="shared" si="107"/>
        <v>/</v>
      </c>
      <c r="E362" s="109">
        <f ca="1">IF(表2_3671626293034[[#This Row],[累计净值]]/MAX(INDIRECT("B21:B" &amp; ROW()))-1&lt;E361,表2_3671626293034[[#This Row],[累计净值]]/MAX(INDIRECT("B21:B" &amp; ROW()))-1,E361)</f>
        <v>-1.9593067068575776E-2</v>
      </c>
      <c r="F362" s="110">
        <f>表2_3671626293034[[#This Row],[累计净值]]-0.308</f>
        <v>1.0169999999999999</v>
      </c>
      <c r="G362" s="20">
        <f>0.7*(表2_3671626293034[[#This Row],[累计净值]]/$B$21-1)</f>
        <v>0.22749999999999995</v>
      </c>
    </row>
    <row r="363" spans="1:7">
      <c r="A363" s="15">
        <v>44214</v>
      </c>
      <c r="B363" s="112">
        <v>1.32</v>
      </c>
      <c r="C363" s="108">
        <f t="shared" si="106"/>
        <v>-4.9999999999998934E-3</v>
      </c>
      <c r="D363" s="109">
        <f t="shared" si="107"/>
        <v>-4.9999999999998934E-3</v>
      </c>
      <c r="E363" s="109">
        <f ca="1">IF(表2_3671626293034[[#This Row],[累计净值]]/MAX(INDIRECT("B21:B" &amp; ROW()))-1&lt;E362,表2_3671626293034[[#This Row],[累计净值]]/MAX(INDIRECT("B21:B" &amp; ROW()))-1,E362)</f>
        <v>-1.9593067068575776E-2</v>
      </c>
      <c r="F363" s="110">
        <f>表2_3671626293034[[#This Row],[累计净值]]-0.308</f>
        <v>1.012</v>
      </c>
      <c r="G363" s="20">
        <f>0.7*(表2_3671626293034[[#This Row],[累计净值]]/$B$21-1)</f>
        <v>0.22400000000000003</v>
      </c>
    </row>
    <row r="364" spans="1:7">
      <c r="A364" s="15">
        <v>44215</v>
      </c>
      <c r="B364" s="112">
        <v>1.319</v>
      </c>
      <c r="C364" s="108">
        <f t="shared" si="106"/>
        <v>-1.0000000000001119E-3</v>
      </c>
      <c r="D364" s="109">
        <f t="shared" si="107"/>
        <v>-1.0000000000001119E-3</v>
      </c>
      <c r="E364" s="109">
        <f ca="1">IF(表2_3671626293034[[#This Row],[累计净值]]/MAX(INDIRECT("B21:B" &amp; ROW()))-1&lt;E363,表2_3671626293034[[#This Row],[累计净值]]/MAX(INDIRECT("B21:B" &amp; ROW()))-1,E363)</f>
        <v>-1.9593067068575776E-2</v>
      </c>
      <c r="F364" s="110">
        <f>表2_3671626293034[[#This Row],[累计净值]]-0.308</f>
        <v>1.0109999999999999</v>
      </c>
      <c r="G364" s="20">
        <f>0.7*(表2_3671626293034[[#This Row],[累计净值]]/$B$21-1)</f>
        <v>0.22329999999999994</v>
      </c>
    </row>
    <row r="365" spans="1:7">
      <c r="A365" s="15">
        <v>44216</v>
      </c>
      <c r="B365" s="112">
        <v>1.3180000000000001</v>
      </c>
      <c r="C365" s="108">
        <f t="shared" si="106"/>
        <v>-9.9999999999988987E-4</v>
      </c>
      <c r="D365" s="109">
        <f t="shared" si="107"/>
        <v>-9.9999999999988987E-4</v>
      </c>
      <c r="E365" s="109">
        <f ca="1">IF(表2_3671626293034[[#This Row],[累计净值]]/MAX(INDIRECT("B21:B" &amp; ROW()))-1&lt;E364,表2_3671626293034[[#This Row],[累计净值]]/MAX(INDIRECT("B21:B" &amp; ROW()))-1,E364)</f>
        <v>-1.9593067068575776E-2</v>
      </c>
      <c r="F365" s="110">
        <f>表2_3671626293034[[#This Row],[累计净值]]-0.308</f>
        <v>1.01</v>
      </c>
      <c r="G365" s="20">
        <f>0.7*(表2_3671626293034[[#This Row],[累计净值]]/$B$21-1)</f>
        <v>0.22260000000000002</v>
      </c>
    </row>
    <row r="366" spans="1:7">
      <c r="A366" s="15">
        <v>44217</v>
      </c>
      <c r="B366" s="112">
        <v>1.32</v>
      </c>
      <c r="C366" s="108">
        <f t="shared" ref="C366:C371" si="108">IFERROR(B366-B365,0)</f>
        <v>2.0000000000000018E-3</v>
      </c>
      <c r="D366" s="109" t="str">
        <f t="shared" ref="D366:D371" si="109">IF(C366&lt;0,C366,"/")</f>
        <v>/</v>
      </c>
      <c r="E366" s="109">
        <f ca="1">IF(表2_3671626293034[[#This Row],[累计净值]]/MAX(INDIRECT("B21:B" &amp; ROW()))-1&lt;E365,表2_3671626293034[[#This Row],[累计净值]]/MAX(INDIRECT("B21:B" &amp; ROW()))-1,E365)</f>
        <v>-1.9593067068575776E-2</v>
      </c>
      <c r="F366" s="110">
        <f>表2_3671626293034[[#This Row],[累计净值]]-0.308</f>
        <v>1.012</v>
      </c>
      <c r="G366" s="20">
        <f>0.7*(表2_3671626293034[[#This Row],[累计净值]]/$B$21-1)</f>
        <v>0.22400000000000003</v>
      </c>
    </row>
    <row r="367" spans="1:7">
      <c r="A367" s="15">
        <v>44218</v>
      </c>
      <c r="B367" s="112">
        <v>1.319</v>
      </c>
      <c r="C367" s="108">
        <f t="shared" si="108"/>
        <v>-1.0000000000001119E-3</v>
      </c>
      <c r="D367" s="109">
        <f t="shared" si="109"/>
        <v>-1.0000000000001119E-3</v>
      </c>
      <c r="E367" s="109">
        <f ca="1">IF(表2_3671626293034[[#This Row],[累计净值]]/MAX(INDIRECT("B21:B" &amp; ROW()))-1&lt;E366,表2_3671626293034[[#This Row],[累计净值]]/MAX(INDIRECT("B21:B" &amp; ROW()))-1,E366)</f>
        <v>-1.9593067068575776E-2</v>
      </c>
      <c r="F367" s="110">
        <f>表2_3671626293034[[#This Row],[累计净值]]-0.308</f>
        <v>1.0109999999999999</v>
      </c>
      <c r="G367" s="20">
        <f>0.7*(表2_3671626293034[[#This Row],[累计净值]]/$B$21-1)</f>
        <v>0.22329999999999994</v>
      </c>
    </row>
    <row r="368" spans="1:7">
      <c r="A368" s="15">
        <v>44221</v>
      </c>
      <c r="B368" s="112">
        <v>1.3260000000000001</v>
      </c>
      <c r="C368" s="108">
        <f t="shared" si="108"/>
        <v>7.0000000000001172E-3</v>
      </c>
      <c r="D368" s="109" t="str">
        <f t="shared" si="109"/>
        <v>/</v>
      </c>
      <c r="E368" s="109">
        <f ca="1">IF(表2_3671626293034[[#This Row],[累计净值]]/MAX(INDIRECT("B21:B" &amp; ROW()))-1&lt;E367,表2_3671626293034[[#This Row],[累计净值]]/MAX(INDIRECT("B21:B" &amp; ROW()))-1,E367)</f>
        <v>-1.9593067068575776E-2</v>
      </c>
      <c r="F368" s="110">
        <f>表2_3671626293034[[#This Row],[累计净值]]-0.308</f>
        <v>1.018</v>
      </c>
      <c r="G368" s="20">
        <f>0.7*(表2_3671626293034[[#This Row],[累计净值]]/$B$21-1)</f>
        <v>0.22820000000000004</v>
      </c>
    </row>
    <row r="369" spans="1:7">
      <c r="A369" s="15">
        <v>44222</v>
      </c>
      <c r="B369" s="112">
        <v>1.327</v>
      </c>
      <c r="C369" s="108">
        <f t="shared" si="108"/>
        <v>9.9999999999988987E-4</v>
      </c>
      <c r="D369" s="109" t="str">
        <f t="shared" si="109"/>
        <v>/</v>
      </c>
      <c r="E369" s="109">
        <f ca="1">IF(表2_3671626293034[[#This Row],[累计净值]]/MAX(INDIRECT("B21:B" &amp; ROW()))-1&lt;E368,表2_3671626293034[[#This Row],[累计净值]]/MAX(INDIRECT("B21:B" &amp; ROW()))-1,E368)</f>
        <v>-1.9593067068575776E-2</v>
      </c>
      <c r="F369" s="110">
        <f>表2_3671626293034[[#This Row],[累计净值]]-0.308</f>
        <v>1.0189999999999999</v>
      </c>
      <c r="G369" s="20">
        <f>0.7*(表2_3671626293034[[#This Row],[累计净值]]/$B$21-1)</f>
        <v>0.22889999999999996</v>
      </c>
    </row>
    <row r="370" spans="1:7">
      <c r="A370" s="15">
        <v>44223</v>
      </c>
      <c r="B370" s="112">
        <v>1.329</v>
      </c>
      <c r="C370" s="108">
        <f t="shared" si="108"/>
        <v>2.0000000000000018E-3</v>
      </c>
      <c r="D370" s="109" t="str">
        <f t="shared" si="109"/>
        <v>/</v>
      </c>
      <c r="E370" s="109">
        <f ca="1">IF(表2_3671626293034[[#This Row],[累计净值]]/MAX(INDIRECT("B21:B" &amp; ROW()))-1&lt;E369,表2_3671626293034[[#This Row],[累计净值]]/MAX(INDIRECT("B21:B" &amp; ROW()))-1,E369)</f>
        <v>-1.9593067068575776E-2</v>
      </c>
      <c r="F370" s="110">
        <f>表2_3671626293034[[#This Row],[累计净值]]-0.308</f>
        <v>1.0209999999999999</v>
      </c>
      <c r="G370" s="20">
        <f>0.7*(表2_3671626293034[[#This Row],[累计净值]]/$B$21-1)</f>
        <v>0.23029999999999995</v>
      </c>
    </row>
    <row r="371" spans="1:7">
      <c r="A371" s="15">
        <v>44224</v>
      </c>
      <c r="B371" s="112">
        <v>1.329</v>
      </c>
      <c r="C371" s="108">
        <f t="shared" si="108"/>
        <v>0</v>
      </c>
      <c r="D371" s="109" t="str">
        <f t="shared" si="109"/>
        <v>/</v>
      </c>
      <c r="E371" s="109">
        <f ca="1">IF(表2_3671626293034[[#This Row],[累计净值]]/MAX(INDIRECT("B21:B" &amp; ROW()))-1&lt;E370,表2_3671626293034[[#This Row],[累计净值]]/MAX(INDIRECT("B21:B" &amp; ROW()))-1,E370)</f>
        <v>-1.9593067068575776E-2</v>
      </c>
      <c r="F371" s="110">
        <f>表2_3671626293034[[#This Row],[累计净值]]-0.308</f>
        <v>1.0209999999999999</v>
      </c>
      <c r="G371" s="20">
        <f>0.7*(表2_3671626293034[[#This Row],[累计净值]]/$B$21-1)</f>
        <v>0.23029999999999995</v>
      </c>
    </row>
    <row r="372" spans="1:7">
      <c r="A372" s="15">
        <v>44225</v>
      </c>
      <c r="B372" s="112">
        <v>1.331</v>
      </c>
      <c r="C372" s="108">
        <f t="shared" ref="C372:C377" si="110">IFERROR(B372-B371,0)</f>
        <v>2.0000000000000018E-3</v>
      </c>
      <c r="D372" s="109" t="str">
        <f t="shared" ref="D372:D377" si="111">IF(C372&lt;0,C372,"/")</f>
        <v>/</v>
      </c>
      <c r="E372" s="109">
        <f ca="1">IF(表2_3671626293034[[#This Row],[累计净值]]/MAX(INDIRECT("B21:B" &amp; ROW()))-1&lt;E371,表2_3671626293034[[#This Row],[累计净值]]/MAX(INDIRECT("B21:B" &amp; ROW()))-1,E371)</f>
        <v>-1.9593067068575776E-2</v>
      </c>
      <c r="F372" s="110">
        <f>表2_3671626293034[[#This Row],[累计净值]]-0.308</f>
        <v>1.0229999999999999</v>
      </c>
      <c r="G372" s="20">
        <f>0.7*(表2_3671626293034[[#This Row],[累计净值]]/$B$21-1)</f>
        <v>0.23169999999999996</v>
      </c>
    </row>
    <row r="373" spans="1:7">
      <c r="A373" s="15">
        <v>44228</v>
      </c>
      <c r="B373" s="112">
        <v>1.3320000000000001</v>
      </c>
      <c r="C373" s="108">
        <f t="shared" si="110"/>
        <v>1.0000000000001119E-3</v>
      </c>
      <c r="D373" s="109" t="str">
        <f t="shared" si="111"/>
        <v>/</v>
      </c>
      <c r="E373" s="109">
        <f ca="1">IF(表2_3671626293034[[#This Row],[累计净值]]/MAX(INDIRECT("B21:B" &amp; ROW()))-1&lt;E372,表2_3671626293034[[#This Row],[累计净值]]/MAX(INDIRECT("B21:B" &amp; ROW()))-1,E372)</f>
        <v>-1.9593067068575776E-2</v>
      </c>
      <c r="F373" s="110">
        <f>表2_3671626293034[[#This Row],[累计净值]]-0.308</f>
        <v>1.024</v>
      </c>
      <c r="G373" s="20">
        <f>0.7*(表2_3671626293034[[#This Row],[累计净值]]/$B$21-1)</f>
        <v>0.23240000000000002</v>
      </c>
    </row>
    <row r="374" spans="1:7">
      <c r="A374" s="15">
        <v>44229</v>
      </c>
      <c r="B374" s="112">
        <v>1.3360000000000001</v>
      </c>
      <c r="C374" s="108">
        <f t="shared" si="110"/>
        <v>4.0000000000000036E-3</v>
      </c>
      <c r="D374" s="109" t="str">
        <f t="shared" si="111"/>
        <v>/</v>
      </c>
      <c r="E374" s="109">
        <f ca="1">IF(表2_3671626293034[[#This Row],[累计净值]]/MAX(INDIRECT("B21:B" &amp; ROW()))-1&lt;E373,表2_3671626293034[[#This Row],[累计净值]]/MAX(INDIRECT("B21:B" &amp; ROW()))-1,E373)</f>
        <v>-1.9593067068575776E-2</v>
      </c>
      <c r="F374" s="110">
        <f>表2_3671626293034[[#This Row],[累计净值]]-0.308</f>
        <v>1.028</v>
      </c>
      <c r="G374" s="20">
        <f>0.7*(表2_3671626293034[[#This Row],[累计净值]]/$B$21-1)</f>
        <v>0.23520000000000005</v>
      </c>
    </row>
    <row r="375" spans="1:7">
      <c r="A375" s="15">
        <v>44230</v>
      </c>
      <c r="B375" s="112">
        <v>1.335</v>
      </c>
      <c r="C375" s="108">
        <f t="shared" si="110"/>
        <v>-1.0000000000001119E-3</v>
      </c>
      <c r="D375" s="109">
        <f t="shared" si="111"/>
        <v>-1.0000000000001119E-3</v>
      </c>
      <c r="E375" s="109">
        <f ca="1">IF(表2_3671626293034[[#This Row],[累计净值]]/MAX(INDIRECT("B21:B" &amp; ROW()))-1&lt;E374,表2_3671626293034[[#This Row],[累计净值]]/MAX(INDIRECT("B21:B" &amp; ROW()))-1,E374)</f>
        <v>-1.9593067068575776E-2</v>
      </c>
      <c r="F375" s="110">
        <f>表2_3671626293034[[#This Row],[累计净值]]-0.308</f>
        <v>1.0269999999999999</v>
      </c>
      <c r="G375" s="20">
        <f>0.7*(表2_3671626293034[[#This Row],[累计净值]]/$B$21-1)</f>
        <v>0.23449999999999996</v>
      </c>
    </row>
    <row r="376" spans="1:7">
      <c r="A376" s="15">
        <v>44231</v>
      </c>
      <c r="B376" s="112">
        <v>1.3360000000000001</v>
      </c>
      <c r="C376" s="108">
        <f t="shared" si="110"/>
        <v>1.0000000000001119E-3</v>
      </c>
      <c r="D376" s="109" t="str">
        <f t="shared" si="111"/>
        <v>/</v>
      </c>
      <c r="E376" s="109">
        <f ca="1">IF(表2_3671626293034[[#This Row],[累计净值]]/MAX(INDIRECT("B21:B" &amp; ROW()))-1&lt;E375,表2_3671626293034[[#This Row],[累计净值]]/MAX(INDIRECT("B21:B" &amp; ROW()))-1,E375)</f>
        <v>-1.9593067068575776E-2</v>
      </c>
      <c r="F376" s="110">
        <f>表2_3671626293034[[#This Row],[累计净值]]-0.308</f>
        <v>1.028</v>
      </c>
      <c r="G376" s="20">
        <f>0.7*(表2_3671626293034[[#This Row],[累计净值]]/$B$21-1)</f>
        <v>0.23520000000000005</v>
      </c>
    </row>
    <row r="377" spans="1:7">
      <c r="A377" s="15">
        <v>44232</v>
      </c>
      <c r="B377" s="112">
        <v>1.3340000000000001</v>
      </c>
      <c r="C377" s="108">
        <f t="shared" si="110"/>
        <v>-2.0000000000000018E-3</v>
      </c>
      <c r="D377" s="109">
        <f t="shared" si="111"/>
        <v>-2.0000000000000018E-3</v>
      </c>
      <c r="E377" s="109">
        <f ca="1">IF(表2_3671626293034[[#This Row],[累计净值]]/MAX(INDIRECT("B21:B" &amp; ROW()))-1&lt;E376,表2_3671626293034[[#This Row],[累计净值]]/MAX(INDIRECT("B21:B" &amp; ROW()))-1,E376)</f>
        <v>-1.9593067068575776E-2</v>
      </c>
      <c r="F377" s="110">
        <f>表2_3671626293034[[#This Row],[累计净值]]-0.308</f>
        <v>1.026</v>
      </c>
      <c r="G377" s="20">
        <f>0.7*(表2_3671626293034[[#This Row],[累计净值]]/$B$21-1)</f>
        <v>0.23380000000000004</v>
      </c>
    </row>
    <row r="378" spans="1:7">
      <c r="A378" s="15">
        <v>44235</v>
      </c>
      <c r="B378" s="112">
        <v>1.335</v>
      </c>
      <c r="C378" s="108">
        <f>IFERROR(B378-B377,0)</f>
        <v>9.9999999999988987E-4</v>
      </c>
      <c r="D378" s="109" t="str">
        <f>IF(C378&lt;0,C378,"/")</f>
        <v>/</v>
      </c>
      <c r="E378" s="109">
        <f ca="1">IF(表2_3671626293034[[#This Row],[累计净值]]/MAX(INDIRECT("B21:B" &amp; ROW()))-1&lt;E377,表2_3671626293034[[#This Row],[累计净值]]/MAX(INDIRECT("B21:B" &amp; ROW()))-1,E377)</f>
        <v>-1.9593067068575776E-2</v>
      </c>
      <c r="F378" s="110">
        <f>表2_3671626293034[[#This Row],[累计净值]]-0.308</f>
        <v>1.0269999999999999</v>
      </c>
      <c r="G378" s="20">
        <f>0.7*(表2_3671626293034[[#This Row],[累计净值]]/$B$21-1)</f>
        <v>0.23449999999999996</v>
      </c>
    </row>
    <row r="379" spans="1:7">
      <c r="A379" s="15">
        <v>44236</v>
      </c>
      <c r="B379" s="112">
        <v>1.337</v>
      </c>
      <c r="C379" s="108">
        <f>IFERROR(B379-B378,0)</f>
        <v>2.0000000000000018E-3</v>
      </c>
      <c r="D379" s="109" t="str">
        <f>IF(C379&lt;0,C379,"/")</f>
        <v>/</v>
      </c>
      <c r="E379" s="109">
        <f ca="1">IF(表2_3671626293034[[#This Row],[累计净值]]/MAX(INDIRECT("B21:B" &amp; ROW()))-1&lt;E378,表2_3671626293034[[#This Row],[累计净值]]/MAX(INDIRECT("B21:B" &amp; ROW()))-1,E378)</f>
        <v>-1.9593067068575776E-2</v>
      </c>
      <c r="F379" s="110">
        <f>表2_3671626293034[[#This Row],[累计净值]]-0.308</f>
        <v>1.0289999999999999</v>
      </c>
      <c r="G379" s="20">
        <f>0.7*(表2_3671626293034[[#This Row],[累计净值]]/$B$21-1)</f>
        <v>0.23589999999999997</v>
      </c>
    </row>
    <row r="380" spans="1:7">
      <c r="A380" s="15">
        <v>44237</v>
      </c>
      <c r="B380" s="112">
        <v>1.3360000000000001</v>
      </c>
      <c r="C380" s="108">
        <f t="shared" ref="C380:C381" si="112">IFERROR(B380-B379,0)</f>
        <v>-9.9999999999988987E-4</v>
      </c>
      <c r="D380" s="109">
        <f t="shared" ref="D380:D381" si="113">IF(C380&lt;0,C380,"/")</f>
        <v>-9.9999999999988987E-4</v>
      </c>
      <c r="E380" s="109">
        <f ca="1">IF(表2_3671626293034[[#This Row],[累计净值]]/MAX(INDIRECT("B21:B" &amp; ROW()))-1&lt;E379,表2_3671626293034[[#This Row],[累计净值]]/MAX(INDIRECT("B21:B" &amp; ROW()))-1,E379)</f>
        <v>-1.9593067068575776E-2</v>
      </c>
      <c r="F380" s="110">
        <f>表2_3671626293034[[#This Row],[累计净值]]-0.308</f>
        <v>1.028</v>
      </c>
      <c r="G380" s="20">
        <f>0.7*(表2_3671626293034[[#This Row],[累计净值]]/$B$21-1)</f>
        <v>0.23520000000000005</v>
      </c>
    </row>
    <row r="381" spans="1:7">
      <c r="A381" s="15">
        <v>44245</v>
      </c>
      <c r="B381" s="112">
        <v>1.337</v>
      </c>
      <c r="C381" s="108">
        <f t="shared" si="112"/>
        <v>9.9999999999988987E-4</v>
      </c>
      <c r="D381" s="109" t="str">
        <f t="shared" si="113"/>
        <v>/</v>
      </c>
      <c r="E381" s="109">
        <f ca="1">IF(表2_3671626293034[[#This Row],[累计净值]]/MAX(INDIRECT("B21:B" &amp; ROW()))-1&lt;E380,表2_3671626293034[[#This Row],[累计净值]]/MAX(INDIRECT("B21:B" &amp; ROW()))-1,E380)</f>
        <v>-1.9593067068575776E-2</v>
      </c>
      <c r="F381" s="110">
        <f>表2_3671626293034[[#This Row],[累计净值]]-0.308</f>
        <v>1.0289999999999999</v>
      </c>
      <c r="G381" s="20">
        <f>0.7*(表2_3671626293034[[#This Row],[累计净值]]/$B$21-1)</f>
        <v>0.23589999999999997</v>
      </c>
    </row>
    <row r="382" spans="1:7">
      <c r="A382" s="15">
        <v>44246</v>
      </c>
      <c r="B382" s="112">
        <v>1.34</v>
      </c>
      <c r="C382" s="108">
        <f>IFERROR(B382-B381,0)</f>
        <v>3.0000000000001137E-3</v>
      </c>
      <c r="D382" s="109" t="str">
        <f>IF(C382&lt;0,C382,"/")</f>
        <v>/</v>
      </c>
      <c r="E382" s="109">
        <f ca="1">IF(表2_3671626293034[[#This Row],[累计净值]]/MAX(INDIRECT("B21:B" &amp; ROW()))-1&lt;E381,表2_3671626293034[[#This Row],[累计净值]]/MAX(INDIRECT("B21:B" &amp; ROW()))-1,E381)</f>
        <v>-1.9593067068575776E-2</v>
      </c>
      <c r="F382" s="110">
        <f>表2_3671626293034[[#This Row],[累计净值]]-0.308</f>
        <v>1.032</v>
      </c>
      <c r="G382" s="20">
        <f>0.7*(表2_3671626293034[[#This Row],[累计净值]]/$B$21-1)</f>
        <v>0.23800000000000004</v>
      </c>
    </row>
    <row r="383" spans="1:7">
      <c r="A383" s="15">
        <v>44249</v>
      </c>
      <c r="B383" s="112">
        <v>1.341</v>
      </c>
      <c r="C383" s="108">
        <f>IFERROR(B383-B382,0)</f>
        <v>9.9999999999988987E-4</v>
      </c>
      <c r="D383" s="109" t="str">
        <f>IF(C383&lt;0,C383,"/")</f>
        <v>/</v>
      </c>
      <c r="E383" s="109">
        <f ca="1">IF(表2_3671626293034[[#This Row],[累计净值]]/MAX(INDIRECT("B21:B" &amp; ROW()))-1&lt;E382,表2_3671626293034[[#This Row],[累计净值]]/MAX(INDIRECT("B21:B" &amp; ROW()))-1,E382)</f>
        <v>-1.9593067068575776E-2</v>
      </c>
      <c r="F383" s="110">
        <f>表2_3671626293034[[#This Row],[累计净值]]-0.308</f>
        <v>1.0329999999999999</v>
      </c>
      <c r="G383" s="20">
        <f>0.7*(表2_3671626293034[[#This Row],[累计净值]]/$B$21-1)</f>
        <v>0.23869999999999997</v>
      </c>
    </row>
    <row r="384" spans="1:7">
      <c r="A384" s="15">
        <v>44250</v>
      </c>
      <c r="B384" s="112">
        <v>1.341</v>
      </c>
      <c r="C384" s="108">
        <f t="shared" ref="C384:C387" si="114">IFERROR(B384-B383,0)</f>
        <v>0</v>
      </c>
      <c r="D384" s="109" t="str">
        <f t="shared" ref="D384:D387" si="115">IF(C384&lt;0,C384,"/")</f>
        <v>/</v>
      </c>
      <c r="E384" s="109">
        <f ca="1">IF(表2_3671626293034[[#This Row],[累计净值]]/MAX(INDIRECT("B21:B" &amp; ROW()))-1&lt;E383,表2_3671626293034[[#This Row],[累计净值]]/MAX(INDIRECT("B21:B" &amp; ROW()))-1,E383)</f>
        <v>-1.9593067068575776E-2</v>
      </c>
      <c r="F384" s="110">
        <f>表2_3671626293034[[#This Row],[累计净值]]-0.308</f>
        <v>1.0329999999999999</v>
      </c>
      <c r="G384" s="20">
        <f>0.7*(表2_3671626293034[[#This Row],[累计净值]]/$B$21-1)</f>
        <v>0.23869999999999997</v>
      </c>
    </row>
    <row r="385" spans="1:7">
      <c r="A385" s="15">
        <v>44251</v>
      </c>
      <c r="B385" s="112">
        <v>1.3420000000000001</v>
      </c>
      <c r="C385" s="108">
        <f t="shared" si="114"/>
        <v>1.0000000000001119E-3</v>
      </c>
      <c r="D385" s="109" t="str">
        <f t="shared" si="115"/>
        <v>/</v>
      </c>
      <c r="E385" s="109">
        <f ca="1">IF(表2_3671626293034[[#This Row],[累计净值]]/MAX(INDIRECT("B21:B" &amp; ROW()))-1&lt;E384,表2_3671626293034[[#This Row],[累计净值]]/MAX(INDIRECT("B21:B" &amp; ROW()))-1,E384)</f>
        <v>-1.9593067068575776E-2</v>
      </c>
      <c r="F385" s="110">
        <f>表2_3671626293034[[#This Row],[累计净值]]-0.308</f>
        <v>1.034</v>
      </c>
      <c r="G385" s="20">
        <f>0.7*(表2_3671626293034[[#This Row],[累计净值]]/$B$21-1)</f>
        <v>0.23940000000000003</v>
      </c>
    </row>
    <row r="386" spans="1:7">
      <c r="A386" s="15">
        <v>44252</v>
      </c>
      <c r="B386" s="112">
        <v>1.341</v>
      </c>
      <c r="C386" s="108">
        <f t="shared" si="114"/>
        <v>-1.0000000000001119E-3</v>
      </c>
      <c r="D386" s="109">
        <f t="shared" si="115"/>
        <v>-1.0000000000001119E-3</v>
      </c>
      <c r="E386" s="109">
        <f ca="1">IF(表2_3671626293034[[#This Row],[累计净值]]/MAX(INDIRECT("B21:B" &amp; ROW()))-1&lt;E385,表2_3671626293034[[#This Row],[累计净值]]/MAX(INDIRECT("B21:B" &amp; ROW()))-1,E385)</f>
        <v>-1.9593067068575776E-2</v>
      </c>
      <c r="F386" s="110">
        <f>表2_3671626293034[[#This Row],[累计净值]]-0.308</f>
        <v>1.0329999999999999</v>
      </c>
      <c r="G386" s="20">
        <f>0.7*(表2_3671626293034[[#This Row],[累计净值]]/$B$21-1)</f>
        <v>0.23869999999999997</v>
      </c>
    </row>
    <row r="387" spans="1:7">
      <c r="A387" s="15">
        <v>44253</v>
      </c>
      <c r="B387" s="112">
        <v>1.345</v>
      </c>
      <c r="C387" s="108">
        <f t="shared" si="114"/>
        <v>4.0000000000000036E-3</v>
      </c>
      <c r="D387" s="109" t="str">
        <f t="shared" si="115"/>
        <v>/</v>
      </c>
      <c r="E387" s="109">
        <f ca="1">IF(表2_3671626293034[[#This Row],[累计净值]]/MAX(INDIRECT("B21:B" &amp; ROW()))-1&lt;E386,表2_3671626293034[[#This Row],[累计净值]]/MAX(INDIRECT("B21:B" &amp; ROW()))-1,E386)</f>
        <v>-1.9593067068575776E-2</v>
      </c>
      <c r="F387" s="110">
        <f>表2_3671626293034[[#This Row],[累计净值]]-0.308</f>
        <v>1.0369999999999999</v>
      </c>
      <c r="G387" s="20">
        <f>0.7*(表2_3671626293034[[#This Row],[累计净值]]/$B$21-1)</f>
        <v>0.24149999999999996</v>
      </c>
    </row>
    <row r="388" spans="1:7">
      <c r="A388" s="15">
        <v>44256</v>
      </c>
      <c r="B388" s="112">
        <v>1.3460000000000001</v>
      </c>
      <c r="C388" s="108">
        <f t="shared" ref="C388:C389" si="116">IFERROR(B388-B387,0)</f>
        <v>1.0000000000001119E-3</v>
      </c>
      <c r="D388" s="109" t="str">
        <f t="shared" ref="D388:D389" si="117">IF(C388&lt;0,C388,"/")</f>
        <v>/</v>
      </c>
      <c r="E388" s="109">
        <f ca="1">IF(表2_3671626293034[[#This Row],[累计净值]]/MAX(INDIRECT("B21:B" &amp; ROW()))-1&lt;E387,表2_3671626293034[[#This Row],[累计净值]]/MAX(INDIRECT("B21:B" &amp; ROW()))-1,E387)</f>
        <v>-1.9593067068575776E-2</v>
      </c>
      <c r="F388" s="110">
        <f>表2_3671626293034[[#This Row],[累计净值]]-0.308</f>
        <v>1.038</v>
      </c>
      <c r="G388" s="20">
        <f>0.7*(表2_3671626293034[[#This Row],[累计净值]]/$B$21-1)</f>
        <v>0.24220000000000005</v>
      </c>
    </row>
    <row r="389" spans="1:7">
      <c r="A389" s="15">
        <v>44257</v>
      </c>
      <c r="B389" s="112">
        <v>1.347</v>
      </c>
      <c r="C389" s="108">
        <f t="shared" si="116"/>
        <v>9.9999999999988987E-4</v>
      </c>
      <c r="D389" s="109" t="str">
        <f t="shared" si="117"/>
        <v>/</v>
      </c>
      <c r="E389" s="109">
        <f ca="1">IF(表2_3671626293034[[#This Row],[累计净值]]/MAX(INDIRECT("B21:B" &amp; ROW()))-1&lt;E388,表2_3671626293034[[#This Row],[累计净值]]/MAX(INDIRECT("B21:B" &amp; ROW()))-1,E388)</f>
        <v>-1.9593067068575776E-2</v>
      </c>
      <c r="F389" s="110">
        <f>表2_3671626293034[[#This Row],[累计净值]]-0.308</f>
        <v>1.0389999999999999</v>
      </c>
      <c r="G389" s="20">
        <f>0.7*(表2_3671626293034[[#This Row],[累计净值]]/$B$21-1)</f>
        <v>0.24289999999999998</v>
      </c>
    </row>
    <row r="390" spans="1:7">
      <c r="A390" s="15">
        <v>44258</v>
      </c>
      <c r="B390" s="112">
        <v>1.347</v>
      </c>
      <c r="C390" s="108">
        <f t="shared" ref="C390" si="118">IFERROR(B390-B389,0)</f>
        <v>0</v>
      </c>
      <c r="D390" s="109" t="str">
        <f t="shared" ref="D390" si="119">IF(C390&lt;0,C390,"/")</f>
        <v>/</v>
      </c>
      <c r="E390" s="109">
        <f ca="1">IF(表2_3671626293034[[#This Row],[累计净值]]/MAX(INDIRECT("B21:B" &amp; ROW()))-1&lt;E389,表2_3671626293034[[#This Row],[累计净值]]/MAX(INDIRECT("B21:B" &amp; ROW()))-1,E389)</f>
        <v>-1.9593067068575776E-2</v>
      </c>
      <c r="F390" s="110">
        <f>表2_3671626293034[[#This Row],[累计净值]]-0.308</f>
        <v>1.0389999999999999</v>
      </c>
      <c r="G390" s="20">
        <f>0.7*(表2_3671626293034[[#This Row],[累计净值]]/$B$21-1)</f>
        <v>0.24289999999999998</v>
      </c>
    </row>
    <row r="391" spans="1:7">
      <c r="A391" s="15">
        <v>44259</v>
      </c>
      <c r="B391" s="112">
        <v>1.35</v>
      </c>
      <c r="C391" s="108">
        <f t="shared" ref="C391:C396" si="120">IFERROR(B391-B390,0)</f>
        <v>3.0000000000001137E-3</v>
      </c>
      <c r="D391" s="109" t="str">
        <f t="shared" ref="D391:D396" si="121">IF(C391&lt;0,C391,"/")</f>
        <v>/</v>
      </c>
      <c r="E391" s="109">
        <f ca="1">IF(表2_3671626293034[[#This Row],[累计净值]]/MAX(INDIRECT("B21:B" &amp; ROW()))-1&lt;E390,表2_3671626293034[[#This Row],[累计净值]]/MAX(INDIRECT("B21:B" &amp; ROW()))-1,E390)</f>
        <v>-1.9593067068575776E-2</v>
      </c>
      <c r="F391" s="110">
        <f>表2_3671626293034[[#This Row],[累计净值]]-0.308</f>
        <v>1.042</v>
      </c>
      <c r="G391" s="20">
        <f>0.7*(表2_3671626293034[[#This Row],[累计净值]]/$B$21-1)</f>
        <v>0.24500000000000005</v>
      </c>
    </row>
    <row r="392" spans="1:7">
      <c r="A392" s="15">
        <v>44260</v>
      </c>
      <c r="B392" s="112">
        <v>1.347</v>
      </c>
      <c r="C392" s="108">
        <f t="shared" si="120"/>
        <v>-3.0000000000001137E-3</v>
      </c>
      <c r="D392" s="109">
        <f t="shared" si="121"/>
        <v>-3.0000000000001137E-3</v>
      </c>
      <c r="E392" s="109">
        <f ca="1">IF(表2_3671626293034[[#This Row],[累计净值]]/MAX(INDIRECT("B21:B" &amp; ROW()))-1&lt;E391,表2_3671626293034[[#This Row],[累计净值]]/MAX(INDIRECT("B21:B" &amp; ROW()))-1,E391)</f>
        <v>-1.9593067068575776E-2</v>
      </c>
      <c r="F392" s="110">
        <f>表2_3671626293034[[#This Row],[累计净值]]-0.308</f>
        <v>1.0389999999999999</v>
      </c>
      <c r="G392" s="20">
        <f>0.7*(表2_3671626293034[[#This Row],[累计净值]]/$B$21-1)</f>
        <v>0.24289999999999998</v>
      </c>
    </row>
    <row r="393" spans="1:7">
      <c r="A393" s="15">
        <v>44263</v>
      </c>
      <c r="B393" s="112">
        <v>1.3520000000000001</v>
      </c>
      <c r="C393" s="108">
        <f t="shared" si="120"/>
        <v>5.0000000000001155E-3</v>
      </c>
      <c r="D393" s="109" t="str">
        <f t="shared" si="121"/>
        <v>/</v>
      </c>
      <c r="E393" s="109">
        <f ca="1">IF(表2_3671626293034[[#This Row],[累计净值]]/MAX(INDIRECT("B21:B" &amp; ROW()))-1&lt;E392,表2_3671626293034[[#This Row],[累计净值]]/MAX(INDIRECT("B21:B" &amp; ROW()))-1,E392)</f>
        <v>-1.9593067068575776E-2</v>
      </c>
      <c r="F393" s="110">
        <f>表2_3671626293034[[#This Row],[累计净值]]-0.308</f>
        <v>1.044</v>
      </c>
      <c r="G393" s="20">
        <f>0.7*(表2_3671626293034[[#This Row],[累计净值]]/$B$21-1)</f>
        <v>0.24640000000000004</v>
      </c>
    </row>
    <row r="394" spans="1:7">
      <c r="A394" s="15">
        <v>44264</v>
      </c>
      <c r="B394" s="112">
        <v>1.355</v>
      </c>
      <c r="C394" s="108">
        <f t="shared" si="120"/>
        <v>2.9999999999998916E-3</v>
      </c>
      <c r="D394" s="109" t="str">
        <f t="shared" si="121"/>
        <v>/</v>
      </c>
      <c r="E394" s="109">
        <f ca="1">IF(表2_3671626293034[[#This Row],[累计净值]]/MAX(INDIRECT("B21:B" &amp; ROW()))-1&lt;E393,表2_3671626293034[[#This Row],[累计净值]]/MAX(INDIRECT("B21:B" &amp; ROW()))-1,E393)</f>
        <v>-1.9593067068575776E-2</v>
      </c>
      <c r="F394" s="110">
        <f>表2_3671626293034[[#This Row],[累计净值]]-0.308</f>
        <v>1.0469999999999999</v>
      </c>
      <c r="G394" s="20">
        <f>0.7*(表2_3671626293034[[#This Row],[累计净值]]/$B$21-1)</f>
        <v>0.24849999999999997</v>
      </c>
    </row>
    <row r="395" spans="1:7">
      <c r="A395" s="15">
        <v>44265</v>
      </c>
      <c r="B395" s="112">
        <v>1.357</v>
      </c>
      <c r="C395" s="108">
        <f t="shared" si="120"/>
        <v>2.0000000000000018E-3</v>
      </c>
      <c r="D395" s="109" t="str">
        <f t="shared" si="121"/>
        <v>/</v>
      </c>
      <c r="E395" s="109">
        <f ca="1">IF(表2_3671626293034[[#This Row],[累计净值]]/MAX(INDIRECT("B21:B" &amp; ROW()))-1&lt;E394,表2_3671626293034[[#This Row],[累计净值]]/MAX(INDIRECT("B21:B" &amp; ROW()))-1,E394)</f>
        <v>-1.9593067068575776E-2</v>
      </c>
      <c r="F395" s="110">
        <f>表2_3671626293034[[#This Row],[累计净值]]-0.308</f>
        <v>1.0489999999999999</v>
      </c>
      <c r="G395" s="20">
        <f>0.7*(表2_3671626293034[[#This Row],[累计净值]]/$B$21-1)</f>
        <v>0.24989999999999998</v>
      </c>
    </row>
    <row r="396" spans="1:7">
      <c r="A396" s="15">
        <v>44266</v>
      </c>
      <c r="B396" s="112">
        <v>1.3580000000000001</v>
      </c>
      <c r="C396" s="108">
        <f t="shared" si="120"/>
        <v>1.0000000000001119E-3</v>
      </c>
      <c r="D396" s="109" t="str">
        <f t="shared" si="121"/>
        <v>/</v>
      </c>
      <c r="E396" s="109">
        <f ca="1">IF(表2_3671626293034[[#This Row],[累计净值]]/MAX(INDIRECT("B21:B" &amp; ROW()))-1&lt;E395,表2_3671626293034[[#This Row],[累计净值]]/MAX(INDIRECT("B21:B" &amp; ROW()))-1,E395)</f>
        <v>-1.9593067068575776E-2</v>
      </c>
      <c r="F396" s="110">
        <f>表2_3671626293034[[#This Row],[累计净值]]-0.308</f>
        <v>1.05</v>
      </c>
      <c r="G396" s="20">
        <f>0.7*(表2_3671626293034[[#This Row],[累计净值]]/$B$21-1)</f>
        <v>0.25060000000000004</v>
      </c>
    </row>
    <row r="397" spans="1:7">
      <c r="A397" s="15">
        <v>44267</v>
      </c>
      <c r="B397" s="112">
        <v>1.36</v>
      </c>
      <c r="C397" s="108">
        <f t="shared" ref="C397:C402" si="122">IFERROR(B397-B396,0)</f>
        <v>2.0000000000000018E-3</v>
      </c>
      <c r="D397" s="109" t="str">
        <f t="shared" ref="D397:D402" si="123">IF(C397&lt;0,C397,"/")</f>
        <v>/</v>
      </c>
      <c r="E397" s="109">
        <f ca="1">IF(表2_3671626293034[[#This Row],[累计净值]]/MAX(INDIRECT("B21:B" &amp; ROW()))-1&lt;E396,表2_3671626293034[[#This Row],[累计净值]]/MAX(INDIRECT("B21:B" &amp; ROW()))-1,E396)</f>
        <v>-1.9593067068575776E-2</v>
      </c>
      <c r="F397" s="110">
        <f>表2_3671626293034[[#This Row],[累计净值]]-0.308</f>
        <v>1.052</v>
      </c>
      <c r="G397" s="20">
        <f>0.7*(表2_3671626293034[[#This Row],[累计净值]]/$B$21-1)</f>
        <v>0.25200000000000006</v>
      </c>
    </row>
    <row r="398" spans="1:7">
      <c r="A398" s="15">
        <v>44270</v>
      </c>
      <c r="B398" s="112">
        <v>1.3660000000000001</v>
      </c>
      <c r="C398" s="108">
        <f t="shared" si="122"/>
        <v>6.0000000000000053E-3</v>
      </c>
      <c r="D398" s="109" t="str">
        <f t="shared" si="123"/>
        <v>/</v>
      </c>
      <c r="E398" s="109">
        <f ca="1">IF(表2_3671626293034[[#This Row],[累计净值]]/MAX(INDIRECT("B21:B" &amp; ROW()))-1&lt;E397,表2_3671626293034[[#This Row],[累计净值]]/MAX(INDIRECT("B21:B" &amp; ROW()))-1,E397)</f>
        <v>-1.9593067068575776E-2</v>
      </c>
      <c r="F398" s="110">
        <f>表2_3671626293034[[#This Row],[累计净值]]-0.308</f>
        <v>1.0580000000000001</v>
      </c>
      <c r="G398" s="20">
        <f>0.7*(表2_3671626293034[[#This Row],[累计净值]]/$B$21-1)</f>
        <v>0.25620000000000004</v>
      </c>
    </row>
    <row r="399" spans="1:7">
      <c r="A399" s="15">
        <v>44271</v>
      </c>
      <c r="B399" s="112">
        <v>1.3660000000000001</v>
      </c>
      <c r="C399" s="108">
        <f t="shared" si="122"/>
        <v>0</v>
      </c>
      <c r="D399" s="109" t="str">
        <f t="shared" si="123"/>
        <v>/</v>
      </c>
      <c r="E399" s="109">
        <f ca="1">IF(表2_3671626293034[[#This Row],[累计净值]]/MAX(INDIRECT("B21:B" &amp; ROW()))-1&lt;E398,表2_3671626293034[[#This Row],[累计净值]]/MAX(INDIRECT("B21:B" &amp; ROW()))-1,E398)</f>
        <v>-1.9593067068575776E-2</v>
      </c>
      <c r="F399" s="110">
        <f>表2_3671626293034[[#This Row],[累计净值]]-0.308</f>
        <v>1.0580000000000001</v>
      </c>
      <c r="G399" s="20">
        <f>0.7*(表2_3671626293034[[#This Row],[累计净值]]/$B$21-1)</f>
        <v>0.25620000000000004</v>
      </c>
    </row>
    <row r="400" spans="1:7">
      <c r="A400" s="15">
        <v>44272</v>
      </c>
      <c r="B400" s="112">
        <v>1.3680000000000001</v>
      </c>
      <c r="C400" s="108">
        <f t="shared" si="122"/>
        <v>2.0000000000000018E-3</v>
      </c>
      <c r="D400" s="109" t="str">
        <f t="shared" si="123"/>
        <v>/</v>
      </c>
      <c r="E400" s="109">
        <f ca="1">IF(表2_3671626293034[[#This Row],[累计净值]]/MAX(INDIRECT("B21:B" &amp; ROW()))-1&lt;E399,表2_3671626293034[[#This Row],[累计净值]]/MAX(INDIRECT("B21:B" &amp; ROW()))-1,E399)</f>
        <v>-1.9593067068575776E-2</v>
      </c>
      <c r="F400" s="110">
        <f>表2_3671626293034[[#This Row],[累计净值]]-0.308</f>
        <v>1.06</v>
      </c>
      <c r="G400" s="20">
        <f>0.7*(表2_3671626293034[[#This Row],[累计净值]]/$B$21-1)</f>
        <v>0.25760000000000005</v>
      </c>
    </row>
    <row r="401" spans="1:7">
      <c r="A401" s="15">
        <v>44273</v>
      </c>
      <c r="B401" s="112">
        <v>1.367</v>
      </c>
      <c r="C401" s="108">
        <f t="shared" si="122"/>
        <v>-1.0000000000001119E-3</v>
      </c>
      <c r="D401" s="109">
        <f t="shared" si="123"/>
        <v>-1.0000000000001119E-3</v>
      </c>
      <c r="E401" s="109">
        <f ca="1">IF(表2_3671626293034[[#This Row],[累计净值]]/MAX(INDIRECT("B21:B" &amp; ROW()))-1&lt;E400,表2_3671626293034[[#This Row],[累计净值]]/MAX(INDIRECT("B21:B" &amp; ROW()))-1,E400)</f>
        <v>-1.9593067068575776E-2</v>
      </c>
      <c r="F401" s="110">
        <f>表2_3671626293034[[#This Row],[累计净值]]-0.308</f>
        <v>1.0589999999999999</v>
      </c>
      <c r="G401" s="20">
        <f>0.7*(表2_3671626293034[[#This Row],[累计净值]]/$B$21-1)</f>
        <v>0.25689999999999996</v>
      </c>
    </row>
    <row r="402" spans="1:7">
      <c r="A402" s="15">
        <v>44274</v>
      </c>
      <c r="B402" s="112">
        <v>1.371</v>
      </c>
      <c r="C402" s="108">
        <f t="shared" si="122"/>
        <v>4.0000000000000036E-3</v>
      </c>
      <c r="D402" s="109" t="str">
        <f t="shared" si="123"/>
        <v>/</v>
      </c>
      <c r="E402" s="109">
        <f ca="1">IF(表2_3671626293034[[#This Row],[累计净值]]/MAX(INDIRECT("B21:B" &amp; ROW()))-1&lt;E401,表2_3671626293034[[#This Row],[累计净值]]/MAX(INDIRECT("B21:B" &amp; ROW()))-1,E401)</f>
        <v>-1.9593067068575776E-2</v>
      </c>
      <c r="F402" s="110">
        <f>表2_3671626293034[[#This Row],[累计净值]]-0.308</f>
        <v>1.0629999999999999</v>
      </c>
      <c r="G402" s="20">
        <f>0.7*(表2_3671626293034[[#This Row],[累计净值]]/$B$21-1)</f>
        <v>0.25969999999999999</v>
      </c>
    </row>
    <row r="403" spans="1:7">
      <c r="A403" s="15">
        <v>44277</v>
      </c>
      <c r="B403" s="112">
        <v>1.3720000000000001</v>
      </c>
      <c r="C403" s="108">
        <f>IFERROR(B403-B402,0)</f>
        <v>1.0000000000001119E-3</v>
      </c>
      <c r="D403" s="109" t="str">
        <f>IF(C403&lt;0,C403,"/")</f>
        <v>/</v>
      </c>
      <c r="E403" s="109">
        <f ca="1">IF(表2_3671626293034[[#This Row],[累计净值]]/MAX(INDIRECT("B21:B" &amp; ROW()))-1&lt;E402,表2_3671626293034[[#This Row],[累计净值]]/MAX(INDIRECT("B21:B" &amp; ROW()))-1,E402)</f>
        <v>-1.9593067068575776E-2</v>
      </c>
      <c r="F403" s="110">
        <f>表2_3671626293034[[#This Row],[累计净值]]-0.308</f>
        <v>1.0640000000000001</v>
      </c>
      <c r="G403" s="20">
        <f>0.7*(表2_3671626293034[[#This Row],[累计净值]]/$B$21-1)</f>
        <v>0.26040000000000008</v>
      </c>
    </row>
    <row r="404" spans="1:7">
      <c r="A404" s="15">
        <v>44278</v>
      </c>
      <c r="B404" s="112">
        <v>1.369</v>
      </c>
      <c r="C404" s="108">
        <f t="shared" ref="C404:C407" si="124">IFERROR(B404-B403,0)</f>
        <v>-3.0000000000001137E-3</v>
      </c>
      <c r="D404" s="109">
        <f t="shared" ref="D404:D407" si="125">IF(C404&lt;0,C404,"/")</f>
        <v>-3.0000000000001137E-3</v>
      </c>
      <c r="E404" s="109">
        <f ca="1">IF(表2_3671626293034[[#This Row],[累计净值]]/MAX(INDIRECT("B21:B" &amp; ROW()))-1&lt;E403,表2_3671626293034[[#This Row],[累计净值]]/MAX(INDIRECT("B21:B" &amp; ROW()))-1,E403)</f>
        <v>-1.9593067068575776E-2</v>
      </c>
      <c r="F404" s="110">
        <f>表2_3671626293034[[#This Row],[累计净值]]-0.308</f>
        <v>1.0609999999999999</v>
      </c>
      <c r="G404" s="20">
        <f>0.7*(表2_3671626293034[[#This Row],[累计净值]]/$B$21-1)</f>
        <v>0.25829999999999997</v>
      </c>
    </row>
    <row r="405" spans="1:7">
      <c r="A405" s="15">
        <v>44279</v>
      </c>
      <c r="B405" s="112">
        <v>1.37</v>
      </c>
      <c r="C405" s="108">
        <f t="shared" si="124"/>
        <v>1.0000000000001119E-3</v>
      </c>
      <c r="D405" s="109" t="str">
        <f t="shared" si="125"/>
        <v>/</v>
      </c>
      <c r="E405" s="109">
        <f ca="1">IF(表2_3671626293034[[#This Row],[累计净值]]/MAX(INDIRECT("B21:B" &amp; ROW()))-1&lt;E404,表2_3671626293034[[#This Row],[累计净值]]/MAX(INDIRECT("B21:B" &amp; ROW()))-1,E404)</f>
        <v>-1.9593067068575776E-2</v>
      </c>
      <c r="F405" s="110">
        <f>表2_3671626293034[[#This Row],[累计净值]]-0.308</f>
        <v>1.0620000000000001</v>
      </c>
      <c r="G405" s="20">
        <f>0.7*(表2_3671626293034[[#This Row],[累计净值]]/$B$21-1)</f>
        <v>0.25900000000000006</v>
      </c>
    </row>
    <row r="406" spans="1:7">
      <c r="A406" s="15">
        <v>44280</v>
      </c>
      <c r="B406" s="112">
        <v>1.3740000000000001</v>
      </c>
      <c r="C406" s="108">
        <f t="shared" si="124"/>
        <v>4.0000000000000036E-3</v>
      </c>
      <c r="D406" s="109" t="str">
        <f t="shared" si="125"/>
        <v>/</v>
      </c>
      <c r="E406" s="109">
        <f ca="1">IF(表2_3671626293034[[#This Row],[累计净值]]/MAX(INDIRECT("B21:B" &amp; ROW()))-1&lt;E405,表2_3671626293034[[#This Row],[累计净值]]/MAX(INDIRECT("B21:B" &amp; ROW()))-1,E405)</f>
        <v>-1.9593067068575776E-2</v>
      </c>
      <c r="F406" s="110">
        <f>表2_3671626293034[[#This Row],[累计净值]]-0.308</f>
        <v>1.0660000000000001</v>
      </c>
      <c r="G406" s="20">
        <f>0.7*(表2_3671626293034[[#This Row],[累计净值]]/$B$21-1)</f>
        <v>0.26180000000000009</v>
      </c>
    </row>
    <row r="407" spans="1:7">
      <c r="A407" s="15">
        <v>44281</v>
      </c>
      <c r="B407" s="112">
        <v>1.3759999999999999</v>
      </c>
      <c r="C407" s="108">
        <f t="shared" si="124"/>
        <v>1.9999999999997797E-3</v>
      </c>
      <c r="D407" s="109" t="str">
        <f t="shared" si="125"/>
        <v>/</v>
      </c>
      <c r="E407" s="109">
        <f ca="1">IF(表2_3671626293034[[#This Row],[累计净值]]/MAX(INDIRECT("B21:B" &amp; ROW()))-1&lt;E406,表2_3671626293034[[#This Row],[累计净值]]/MAX(INDIRECT("B21:B" &amp; ROW()))-1,E406)</f>
        <v>-1.9593067068575776E-2</v>
      </c>
      <c r="F407" s="110">
        <f>表2_3671626293034[[#This Row],[累计净值]]-0.308</f>
        <v>1.0679999999999998</v>
      </c>
      <c r="G407" s="20">
        <f>0.7*(表2_3671626293034[[#This Row],[累计净值]]/$B$21-1)</f>
        <v>0.26319999999999988</v>
      </c>
    </row>
    <row r="408" spans="1:7">
      <c r="A408" s="15">
        <v>44284</v>
      </c>
      <c r="B408" s="112">
        <v>1.379</v>
      </c>
      <c r="C408" s="108">
        <f>IFERROR(B408-B407,0)</f>
        <v>3.0000000000001137E-3</v>
      </c>
      <c r="D408" s="109" t="str">
        <f>IF(C408&lt;0,C408,"/")</f>
        <v>/</v>
      </c>
      <c r="E408" s="109">
        <f ca="1">IF(表2_3671626293034[[#This Row],[累计净值]]/MAX(INDIRECT("B21:B" &amp; ROW()))-1&lt;E407,表2_3671626293034[[#This Row],[累计净值]]/MAX(INDIRECT("B21:B" &amp; ROW()))-1,E407)</f>
        <v>-1.9593067068575776E-2</v>
      </c>
      <c r="F408" s="110">
        <f>表2_3671626293034[[#This Row],[累计净值]]-0.308</f>
        <v>1.071</v>
      </c>
      <c r="G408" s="20">
        <f>0.7*(表2_3671626293034[[#This Row],[累计净值]]/$B$21-1)</f>
        <v>0.26529999999999998</v>
      </c>
    </row>
    <row r="409" spans="1:7">
      <c r="A409" s="15">
        <v>44285</v>
      </c>
      <c r="B409" s="112">
        <v>1.3819999999999999</v>
      </c>
      <c r="C409" s="108">
        <f>IFERROR(B409-B408,0)</f>
        <v>2.9999999999998916E-3</v>
      </c>
      <c r="D409" s="109" t="str">
        <f>IF(C409&lt;0,C409,"/")</f>
        <v>/</v>
      </c>
      <c r="E409" s="109">
        <f ca="1">IF(表2_3671626293034[[#This Row],[累计净值]]/MAX(INDIRECT("B21:B" &amp; ROW()))-1&lt;E408,表2_3671626293034[[#This Row],[累计净值]]/MAX(INDIRECT("B21:B" &amp; ROW()))-1,E408)</f>
        <v>-1.9593067068575776E-2</v>
      </c>
      <c r="F409" s="110">
        <f>表2_3671626293034[[#This Row],[累计净值]]-0.308</f>
        <v>1.0739999999999998</v>
      </c>
      <c r="G409" s="20">
        <f>0.7*(表2_3671626293034[[#This Row],[累计净值]]/$B$21-1)</f>
        <v>0.26739999999999992</v>
      </c>
    </row>
    <row r="410" spans="1:7">
      <c r="A410" s="15">
        <v>44286</v>
      </c>
      <c r="B410" s="112">
        <v>1.379</v>
      </c>
      <c r="C410" s="108">
        <f>IFERROR(B410-B409,0)</f>
        <v>-2.9999999999998916E-3</v>
      </c>
      <c r="D410" s="109">
        <f>IF(C410&lt;0,C410,"/")</f>
        <v>-2.9999999999998916E-3</v>
      </c>
      <c r="E410" s="109">
        <f ca="1">IF(表2_3671626293034[[#This Row],[累计净值]]/MAX(INDIRECT("B21:B" &amp; ROW()))-1&lt;E409,表2_3671626293034[[#This Row],[累计净值]]/MAX(INDIRECT("B21:B" &amp; ROW()))-1,E409)</f>
        <v>-1.9593067068575776E-2</v>
      </c>
      <c r="F410" s="110">
        <f>表2_3671626293034[[#This Row],[累计净值]]-0.308</f>
        <v>1.071</v>
      </c>
      <c r="G410" s="20">
        <f>0.7*(表2_3671626293034[[#This Row],[累计净值]]/$B$21-1)</f>
        <v>0.26529999999999998</v>
      </c>
    </row>
    <row r="411" spans="1:7">
      <c r="A411" s="15">
        <v>44287</v>
      </c>
      <c r="B411" s="112">
        <v>1.38</v>
      </c>
      <c r="C411" s="108">
        <f>IFERROR(B411-B410,0)</f>
        <v>9.9999999999988987E-4</v>
      </c>
      <c r="D411" s="109" t="str">
        <f>IF(C411&lt;0,C411,"/")</f>
        <v>/</v>
      </c>
      <c r="E411" s="109">
        <f ca="1">IF(表2_3671626293034[[#This Row],[累计净值]]/MAX(INDIRECT("B21:B" &amp; ROW()))-1&lt;E410,表2_3671626293034[[#This Row],[累计净值]]/MAX(INDIRECT("B21:B" &amp; ROW()))-1,E410)</f>
        <v>-1.9593067068575776E-2</v>
      </c>
      <c r="F411" s="110">
        <f>表2_3671626293034[[#This Row],[累计净值]]-0.308</f>
        <v>1.0719999999999998</v>
      </c>
      <c r="G411" s="20">
        <f>0.7*(表2_3671626293034[[#This Row],[累计净值]]/$B$21-1)</f>
        <v>0.2659999999999999</v>
      </c>
    </row>
    <row r="412" spans="1:7">
      <c r="A412" s="15">
        <v>44288</v>
      </c>
      <c r="B412" s="117">
        <v>1.3839999999999999</v>
      </c>
      <c r="C412" s="108">
        <f t="shared" ref="C412:C413" si="126">IFERROR(B412-B411,0)</f>
        <v>4.0000000000000036E-3</v>
      </c>
      <c r="D412" s="109" t="str">
        <f t="shared" ref="D412:D413" si="127">IF(C412&lt;0,C412,"/")</f>
        <v>/</v>
      </c>
      <c r="E412" s="109">
        <f ca="1">IF(表2_3671626293034[[#This Row],[累计净值]]/MAX(INDIRECT("B21:B" &amp; ROW()))-1&lt;E411,表2_3671626293034[[#This Row],[累计净值]]/MAX(INDIRECT("B21:B" &amp; ROW()))-1,E411)</f>
        <v>-1.9593067068575776E-2</v>
      </c>
      <c r="F412" s="110">
        <f>表2_3671626293034[[#This Row],[累计净值]]-0.308</f>
        <v>1.0759999999999998</v>
      </c>
      <c r="G412" s="20">
        <f>0.7*(表2_3671626293034[[#This Row],[累计净值]]/$B$21-1)</f>
        <v>0.26879999999999993</v>
      </c>
    </row>
    <row r="413" spans="1:7">
      <c r="A413" s="15">
        <v>44292</v>
      </c>
      <c r="B413" s="112">
        <v>1.383</v>
      </c>
      <c r="C413" s="108">
        <f t="shared" si="126"/>
        <v>-9.9999999999988987E-4</v>
      </c>
      <c r="D413" s="109">
        <f t="shared" si="127"/>
        <v>-9.9999999999988987E-4</v>
      </c>
      <c r="E413" s="109">
        <f ca="1">IF(表2_3671626293034[[#This Row],[累计净值]]/MAX(INDIRECT("B21:B" &amp; ROW()))-1&lt;E412,表2_3671626293034[[#This Row],[累计净值]]/MAX(INDIRECT("B21:B" &amp; ROW()))-1,E412)</f>
        <v>-1.9593067068575776E-2</v>
      </c>
      <c r="F413" s="110">
        <f>表2_3671626293034[[#This Row],[累计净值]]-0.308</f>
        <v>1.075</v>
      </c>
      <c r="G413" s="20">
        <f>0.7*(表2_3671626293034[[#This Row],[累计净值]]/$B$21-1)</f>
        <v>0.2681</v>
      </c>
    </row>
    <row r="414" spans="1:7">
      <c r="A414" s="15">
        <v>44293</v>
      </c>
      <c r="B414" s="112">
        <v>1.381</v>
      </c>
      <c r="C414" s="108">
        <f t="shared" ref="C414:C420" si="128">IFERROR(B414-B413,0)</f>
        <v>-2.0000000000000018E-3</v>
      </c>
      <c r="D414" s="109">
        <f t="shared" ref="D414:D420" si="129">IF(C414&lt;0,C414,"/")</f>
        <v>-2.0000000000000018E-3</v>
      </c>
      <c r="E414" s="109">
        <f ca="1">IF(表2_3671626293034[[#This Row],[累计净值]]/MAX(INDIRECT("B21:B" &amp; ROW()))-1&lt;E413,表2_3671626293034[[#This Row],[累计净值]]/MAX(INDIRECT("B21:B" &amp; ROW()))-1,E413)</f>
        <v>-1.9593067068575776E-2</v>
      </c>
      <c r="F414" s="110">
        <f>表2_3671626293034[[#This Row],[累计净值]]-0.308</f>
        <v>1.073</v>
      </c>
      <c r="G414" s="20">
        <f>0.7*(表2_3671626293034[[#This Row],[累计净值]]/$B$21-1)</f>
        <v>0.26669999999999999</v>
      </c>
    </row>
    <row r="415" spans="1:7">
      <c r="A415" s="15">
        <v>44294</v>
      </c>
      <c r="B415" s="112">
        <v>1.3819999999999999</v>
      </c>
      <c r="C415" s="108">
        <f t="shared" si="128"/>
        <v>9.9999999999988987E-4</v>
      </c>
      <c r="D415" s="109" t="str">
        <f t="shared" si="129"/>
        <v>/</v>
      </c>
      <c r="E415" s="109">
        <f ca="1">IF(表2_3671626293034[[#This Row],[累计净值]]/MAX(INDIRECT("B21:B" &amp; ROW()))-1&lt;E414,表2_3671626293034[[#This Row],[累计净值]]/MAX(INDIRECT("B21:B" &amp; ROW()))-1,E414)</f>
        <v>-1.9593067068575776E-2</v>
      </c>
      <c r="F415" s="110">
        <f>表2_3671626293034[[#This Row],[累计净值]]-0.308</f>
        <v>1.0739999999999998</v>
      </c>
      <c r="G415" s="20">
        <f>0.7*(表2_3671626293034[[#This Row],[累计净值]]/$B$21-1)</f>
        <v>0.26739999999999992</v>
      </c>
    </row>
    <row r="416" spans="1:7">
      <c r="A416" s="15">
        <v>44295</v>
      </c>
      <c r="B416" s="112">
        <v>1.3819999999999999</v>
      </c>
      <c r="C416" s="108">
        <f t="shared" si="128"/>
        <v>0</v>
      </c>
      <c r="D416" s="109" t="str">
        <f t="shared" si="129"/>
        <v>/</v>
      </c>
      <c r="E416" s="109">
        <f ca="1">IF(表2_3671626293034[[#This Row],[累计净值]]/MAX(INDIRECT("B21:B" &amp; ROW()))-1&lt;E415,表2_3671626293034[[#This Row],[累计净值]]/MAX(INDIRECT("B21:B" &amp; ROW()))-1,E415)</f>
        <v>-1.9593067068575776E-2</v>
      </c>
      <c r="F416" s="110">
        <f>表2_3671626293034[[#This Row],[累计净值]]-0.308</f>
        <v>1.0739999999999998</v>
      </c>
      <c r="G416" s="20">
        <f>0.7*(表2_3671626293034[[#This Row],[累计净值]]/$B$21-1)</f>
        <v>0.26739999999999992</v>
      </c>
    </row>
    <row r="417" spans="1:7">
      <c r="A417" s="15">
        <v>44298</v>
      </c>
      <c r="B417" s="112">
        <v>1.381</v>
      </c>
      <c r="C417" s="108">
        <f t="shared" si="128"/>
        <v>-9.9999999999988987E-4</v>
      </c>
      <c r="D417" s="109">
        <f t="shared" si="129"/>
        <v>-9.9999999999988987E-4</v>
      </c>
      <c r="E417" s="109">
        <f ca="1">IF(表2_3671626293034[[#This Row],[累计净值]]/MAX(INDIRECT("B21:B" &amp; ROW()))-1&lt;E416,表2_3671626293034[[#This Row],[累计净值]]/MAX(INDIRECT("B21:B" &amp; ROW()))-1,E416)</f>
        <v>-1.9593067068575776E-2</v>
      </c>
      <c r="F417" s="110">
        <f>表2_3671626293034[[#This Row],[累计净值]]-0.308</f>
        <v>1.073</v>
      </c>
      <c r="G417" s="20">
        <f>0.7*(表2_3671626293034[[#This Row],[累计净值]]/$B$21-1)</f>
        <v>0.26669999999999999</v>
      </c>
    </row>
    <row r="418" spans="1:7">
      <c r="A418" s="15">
        <v>44299</v>
      </c>
      <c r="B418" s="112">
        <v>1.3819999999999999</v>
      </c>
      <c r="C418" s="108">
        <f t="shared" si="128"/>
        <v>9.9999999999988987E-4</v>
      </c>
      <c r="D418" s="109" t="str">
        <f t="shared" si="129"/>
        <v>/</v>
      </c>
      <c r="E418" s="109">
        <f ca="1">IF(表2_3671626293034[[#This Row],[累计净值]]/MAX(INDIRECT("B21:B" &amp; ROW()))-1&lt;E417,表2_3671626293034[[#This Row],[累计净值]]/MAX(INDIRECT("B21:B" &amp; ROW()))-1,E417)</f>
        <v>-1.9593067068575776E-2</v>
      </c>
      <c r="F418" s="110">
        <f>表2_3671626293034[[#This Row],[累计净值]]-0.308</f>
        <v>1.0739999999999998</v>
      </c>
      <c r="G418" s="20">
        <f>0.7*(表2_3671626293034[[#This Row],[累计净值]]/$B$21-1)</f>
        <v>0.26739999999999992</v>
      </c>
    </row>
    <row r="419" spans="1:7">
      <c r="A419" s="15">
        <v>44300</v>
      </c>
      <c r="B419" s="112">
        <v>1.3759999999999999</v>
      </c>
      <c r="C419" s="108">
        <f t="shared" si="128"/>
        <v>-6.0000000000000053E-3</v>
      </c>
      <c r="D419" s="109">
        <f t="shared" si="129"/>
        <v>-6.0000000000000053E-3</v>
      </c>
      <c r="E419" s="109">
        <f ca="1">IF(表2_3671626293034[[#This Row],[累计净值]]/MAX(INDIRECT("B21:B" &amp; ROW()))-1&lt;E418,表2_3671626293034[[#This Row],[累计净值]]/MAX(INDIRECT("B21:B" &amp; ROW()))-1,E418)</f>
        <v>-1.9593067068575776E-2</v>
      </c>
      <c r="F419" s="110">
        <f>表2_3671626293034[[#This Row],[累计净值]]-0.308</f>
        <v>1.0679999999999998</v>
      </c>
      <c r="G419" s="20">
        <f>0.7*(表2_3671626293034[[#This Row],[累计净值]]/$B$21-1)</f>
        <v>0.26319999999999988</v>
      </c>
    </row>
    <row r="420" spans="1:7">
      <c r="A420" s="15">
        <v>44301</v>
      </c>
      <c r="B420" s="112">
        <v>1.385</v>
      </c>
      <c r="C420" s="108">
        <f t="shared" si="128"/>
        <v>9.000000000000119E-3</v>
      </c>
      <c r="D420" s="109" t="str">
        <f t="shared" si="129"/>
        <v>/</v>
      </c>
      <c r="E420" s="109">
        <f ca="1">IF(表2_3671626293034[[#This Row],[累计净值]]/MAX(INDIRECT("B21:B" &amp; ROW()))-1&lt;E419,表2_3671626293034[[#This Row],[累计净值]]/MAX(INDIRECT("B21:B" &amp; ROW()))-1,E419)</f>
        <v>-1.9593067068575776E-2</v>
      </c>
      <c r="F420" s="110">
        <f>表2_3671626293034[[#This Row],[累计净值]]-0.308</f>
        <v>1.077</v>
      </c>
      <c r="G420" s="20">
        <f>0.7*(表2_3671626293034[[#This Row],[累计净值]]/$B$21-1)</f>
        <v>0.26949999999999996</v>
      </c>
    </row>
    <row r="421" spans="1:7">
      <c r="A421" s="15">
        <v>44302</v>
      </c>
      <c r="B421" s="112">
        <v>1.3859999999999999</v>
      </c>
      <c r="C421" s="108">
        <f>IFERROR(B421-B420,0)</f>
        <v>9.9999999999988987E-4</v>
      </c>
      <c r="D421" s="109" t="str">
        <f>IF(C421&lt;0,C421,"/")</f>
        <v>/</v>
      </c>
      <c r="E421" s="109">
        <f ca="1">IF(表2_3671626293034[[#This Row],[累计净值]]/MAX(INDIRECT("B21:B" &amp; ROW()))-1&lt;E420,表2_3671626293034[[#This Row],[累计净值]]/MAX(INDIRECT("B21:B" &amp; ROW()))-1,E420)</f>
        <v>-1.9593067068575776E-2</v>
      </c>
      <c r="F421" s="110">
        <f>表2_3671626293034[[#This Row],[累计净值]]-0.308</f>
        <v>1.0779999999999998</v>
      </c>
      <c r="G421" s="20">
        <f>0.7*(表2_3671626293034[[#This Row],[累计净值]]/$B$21-1)</f>
        <v>0.27019999999999988</v>
      </c>
    </row>
    <row r="422" spans="1:7">
      <c r="A422" s="15">
        <v>44305</v>
      </c>
      <c r="B422" s="112">
        <v>1.39</v>
      </c>
      <c r="C422" s="108">
        <f>IFERROR(B422-B421,0)</f>
        <v>4.0000000000000036E-3</v>
      </c>
      <c r="D422" s="109" t="str">
        <f>IF(C422&lt;0,C422,"/")</f>
        <v>/</v>
      </c>
      <c r="E422" s="109">
        <f ca="1">IF(表2_3671626293034[[#This Row],[累计净值]]/MAX(INDIRECT("B21:B" &amp; ROW()))-1&lt;E421,表2_3671626293034[[#This Row],[累计净值]]/MAX(INDIRECT("B21:B" &amp; ROW()))-1,E421)</f>
        <v>-1.9593067068575776E-2</v>
      </c>
      <c r="F422" s="110">
        <f>表2_3671626293034[[#This Row],[累计净值]]-0.308</f>
        <v>1.0819999999999999</v>
      </c>
      <c r="G422" s="20">
        <f>0.7*(表2_3671626293034[[#This Row],[累计净值]]/$B$21-1)</f>
        <v>0.27299999999999991</v>
      </c>
    </row>
    <row r="423" spans="1:7">
      <c r="A423" s="15">
        <v>44306</v>
      </c>
      <c r="B423" s="112">
        <v>1.39</v>
      </c>
      <c r="C423" s="108">
        <f>IFERROR(B423-B422,0)</f>
        <v>0</v>
      </c>
      <c r="D423" s="109" t="str">
        <f>IF(C423&lt;0,C423,"/")</f>
        <v>/</v>
      </c>
      <c r="E423" s="109">
        <f ca="1">IF(表2_3671626293034[[#This Row],[累计净值]]/MAX(INDIRECT("B21:B" &amp; ROW()))-1&lt;E422,表2_3671626293034[[#This Row],[累计净值]]/MAX(INDIRECT("B21:B" &amp; ROW()))-1,E422)</f>
        <v>-1.9593067068575776E-2</v>
      </c>
      <c r="F423" s="110">
        <f>表2_3671626293034[[#This Row],[累计净值]]-0.308</f>
        <v>1.0819999999999999</v>
      </c>
      <c r="G423" s="20">
        <f>0.7*(表2_3671626293034[[#This Row],[累计净值]]/$B$21-1)</f>
        <v>0.27299999999999991</v>
      </c>
    </row>
    <row r="424" spans="1:7">
      <c r="A424" s="15">
        <v>44307</v>
      </c>
      <c r="B424" s="112">
        <v>1.389</v>
      </c>
      <c r="C424" s="108">
        <f>IFERROR(B424-B423,0)</f>
        <v>-9.9999999999988987E-4</v>
      </c>
      <c r="D424" s="109">
        <f>IF(C424&lt;0,C424,"/")</f>
        <v>-9.9999999999988987E-4</v>
      </c>
      <c r="E424" s="109">
        <f ca="1">IF(表2_3671626293034[[#This Row],[累计净值]]/MAX(INDIRECT("B21:B" &amp; ROW()))-1&lt;E423,表2_3671626293034[[#This Row],[累计净值]]/MAX(INDIRECT("B21:B" &amp; ROW()))-1,E423)</f>
        <v>-1.9593067068575776E-2</v>
      </c>
      <c r="F424" s="110">
        <f>表2_3671626293034[[#This Row],[累计净值]]-0.308</f>
        <v>1.081</v>
      </c>
      <c r="G424" s="20">
        <f>0.7*(表2_3671626293034[[#This Row],[累计净值]]/$B$21-1)</f>
        <v>0.27229999999999999</v>
      </c>
    </row>
    <row r="425" spans="1:7">
      <c r="A425" s="15">
        <v>44308</v>
      </c>
      <c r="B425" s="112">
        <v>1.3879999999999999</v>
      </c>
      <c r="C425" s="108">
        <f>IFERROR(B425-B424,0)</f>
        <v>-1.0000000000001119E-3</v>
      </c>
      <c r="D425" s="109">
        <f>IF(C425&lt;0,C425,"/")</f>
        <v>-1.0000000000001119E-3</v>
      </c>
      <c r="E425" s="109">
        <f ca="1">IF(表2_3671626293034[[#This Row],[累计净值]]/MAX(INDIRECT("B21:B" &amp; ROW()))-1&lt;E424,表2_3671626293034[[#This Row],[累计净值]]/MAX(INDIRECT("B21:B" &amp; ROW()))-1,E424)</f>
        <v>-1.9593067068575776E-2</v>
      </c>
      <c r="F425" s="110">
        <f>表2_3671626293034[[#This Row],[累计净值]]-0.308</f>
        <v>1.0799999999999998</v>
      </c>
      <c r="G425" s="20">
        <f>0.7*(表2_3671626293034[[#This Row],[累计净值]]/$B$21-1)</f>
        <v>0.2715999999999999</v>
      </c>
    </row>
    <row r="426" spans="1:7">
      <c r="A426" s="15">
        <v>44309</v>
      </c>
      <c r="B426" s="112">
        <v>1.389</v>
      </c>
      <c r="C426" s="108">
        <f t="shared" ref="C426:C427" si="130">IFERROR(B426-B425,0)</f>
        <v>1.0000000000001119E-3</v>
      </c>
      <c r="D426" s="109" t="str">
        <f t="shared" ref="D426:D427" si="131">IF(C426&lt;0,C426,"/")</f>
        <v>/</v>
      </c>
      <c r="E426" s="109">
        <f ca="1">IF(表2_3671626293034[[#This Row],[累计净值]]/MAX(INDIRECT("B21:B" &amp; ROW()))-1&lt;E425,表2_3671626293034[[#This Row],[累计净值]]/MAX(INDIRECT("B21:B" &amp; ROW()))-1,E425)</f>
        <v>-1.9593067068575776E-2</v>
      </c>
      <c r="F426" s="110">
        <f>表2_3671626293034[[#This Row],[累计净值]]-0.308</f>
        <v>1.081</v>
      </c>
      <c r="G426" s="20">
        <f>0.7*(表2_3671626293034[[#This Row],[累计净值]]/$B$21-1)</f>
        <v>0.27229999999999999</v>
      </c>
    </row>
    <row r="427" spans="1:7">
      <c r="A427" s="15">
        <v>44312</v>
      </c>
      <c r="B427" s="112">
        <v>1.391</v>
      </c>
      <c r="C427" s="108">
        <f t="shared" si="130"/>
        <v>2.0000000000000018E-3</v>
      </c>
      <c r="D427" s="109" t="str">
        <f t="shared" si="131"/>
        <v>/</v>
      </c>
      <c r="E427" s="109">
        <f ca="1">IF(表2_3671626293034[[#This Row],[累计净值]]/MAX(INDIRECT("B21:B" &amp; ROW()))-1&lt;E426,表2_3671626293034[[#This Row],[累计净值]]/MAX(INDIRECT("B21:B" &amp; ROW()))-1,E426)</f>
        <v>-1.9593067068575776E-2</v>
      </c>
      <c r="F427" s="110">
        <f>表2_3671626293034[[#This Row],[累计净值]]-0.308</f>
        <v>1.083</v>
      </c>
      <c r="G427" s="20">
        <f>0.7*(表2_3671626293034[[#This Row],[累计净值]]/$B$21-1)</f>
        <v>0.2737</v>
      </c>
    </row>
    <row r="428" spans="1:7">
      <c r="A428" s="15">
        <v>44313</v>
      </c>
      <c r="B428" s="112">
        <v>1.39</v>
      </c>
      <c r="C428" s="108">
        <f>IFERROR(B428-B427,0)</f>
        <v>-1.0000000000001119E-3</v>
      </c>
      <c r="D428" s="109">
        <f>IF(C428&lt;0,C428,"/")</f>
        <v>-1.0000000000001119E-3</v>
      </c>
      <c r="E428" s="109">
        <f ca="1">IF(表2_3671626293034[[#This Row],[累计净值]]/MAX(INDIRECT("B21:B" &amp; ROW()))-1&lt;E427,表2_3671626293034[[#This Row],[累计净值]]/MAX(INDIRECT("B21:B" &amp; ROW()))-1,E427)</f>
        <v>-1.9593067068575776E-2</v>
      </c>
      <c r="F428" s="110">
        <f>表2_3671626293034[[#This Row],[累计净值]]-0.308</f>
        <v>1.0819999999999999</v>
      </c>
      <c r="G428" s="20">
        <f>0.7*(表2_3671626293034[[#This Row],[累计净值]]/$B$21-1)</f>
        <v>0.27299999999999991</v>
      </c>
    </row>
    <row r="429" spans="1:7">
      <c r="A429" s="15">
        <v>44314</v>
      </c>
      <c r="B429" s="112">
        <v>1.391</v>
      </c>
      <c r="C429" s="108">
        <f>IFERROR(B429-B428,0)</f>
        <v>1.0000000000001119E-3</v>
      </c>
      <c r="D429" s="109" t="str">
        <f>IF(C429&lt;0,C429,"/")</f>
        <v>/</v>
      </c>
      <c r="E429" s="109">
        <f ca="1">IF(表2_3671626293034[[#This Row],[累计净值]]/MAX(INDIRECT("B21:B" &amp; ROW()))-1&lt;E428,表2_3671626293034[[#This Row],[累计净值]]/MAX(INDIRECT("B21:B" &amp; ROW()))-1,E428)</f>
        <v>-1.9593067068575776E-2</v>
      </c>
      <c r="F429" s="110">
        <f>表2_3671626293034[[#This Row],[累计净值]]-0.308</f>
        <v>1.083</v>
      </c>
      <c r="G429" s="20">
        <f>0.7*(表2_3671626293034[[#This Row],[累计净值]]/$B$21-1)</f>
        <v>0.2737</v>
      </c>
    </row>
    <row r="430" spans="1:7">
      <c r="A430" s="15">
        <v>44315</v>
      </c>
      <c r="B430" s="112">
        <v>1.3919999999999999</v>
      </c>
      <c r="C430" s="108">
        <f>IFERROR(B430-B429,0)</f>
        <v>9.9999999999988987E-4</v>
      </c>
      <c r="D430" s="109" t="str">
        <f>IF(C430&lt;0,C430,"/")</f>
        <v>/</v>
      </c>
      <c r="E430" s="109">
        <f ca="1">IF(表2_3671626293034[[#This Row],[累计净值]]/MAX(INDIRECT("B21:B" &amp; ROW()))-1&lt;E429,表2_3671626293034[[#This Row],[累计净值]]/MAX(INDIRECT("B21:B" &amp; ROW()))-1,E429)</f>
        <v>-1.9593067068575776E-2</v>
      </c>
      <c r="F430" s="110">
        <f>表2_3671626293034[[#This Row],[累计净值]]-0.308</f>
        <v>1.0839999999999999</v>
      </c>
      <c r="G430" s="20">
        <f>0.7*(表2_3671626293034[[#This Row],[累计净值]]/$B$21-1)</f>
        <v>0.27439999999999992</v>
      </c>
    </row>
    <row r="431" spans="1:7">
      <c r="A431" s="15">
        <v>44316</v>
      </c>
      <c r="B431" s="112">
        <v>1.389</v>
      </c>
      <c r="C431" s="108">
        <f t="shared" ref="C431:C432" si="132">IFERROR(B431-B430,0)</f>
        <v>-2.9999999999998916E-3</v>
      </c>
      <c r="D431" s="109">
        <f t="shared" ref="D431:D432" si="133">IF(C431&lt;0,C431,"/")</f>
        <v>-2.9999999999998916E-3</v>
      </c>
      <c r="E431" s="109">
        <f ca="1">IF(表2_3671626293034[[#This Row],[累计净值]]/MAX(INDIRECT("B21:B" &amp; ROW()))-1&lt;E430,表2_3671626293034[[#This Row],[累计净值]]/MAX(INDIRECT("B21:B" &amp; ROW()))-1,E430)</f>
        <v>-1.9593067068575776E-2</v>
      </c>
      <c r="F431" s="110">
        <f>表2_3671626293034[[#This Row],[累计净值]]-0.308</f>
        <v>1.081</v>
      </c>
      <c r="G431" s="20">
        <f>0.7*(表2_3671626293034[[#This Row],[累计净值]]/$B$21-1)</f>
        <v>0.27229999999999999</v>
      </c>
    </row>
    <row r="432" spans="1:7">
      <c r="A432" s="15">
        <v>44322</v>
      </c>
      <c r="B432" s="112">
        <v>1.3879999999999999</v>
      </c>
      <c r="C432" s="108">
        <f t="shared" si="132"/>
        <v>-1.0000000000001119E-3</v>
      </c>
      <c r="D432" s="109">
        <f t="shared" si="133"/>
        <v>-1.0000000000001119E-3</v>
      </c>
      <c r="E432" s="109">
        <f ca="1">IF(表2_3671626293034[[#This Row],[累计净值]]/MAX(INDIRECT("B21:B" &amp; ROW()))-1&lt;E431,表2_3671626293034[[#This Row],[累计净值]]/MAX(INDIRECT("B21:B" &amp; ROW()))-1,E431)</f>
        <v>-1.9593067068575776E-2</v>
      </c>
      <c r="F432" s="110">
        <f>表2_3671626293034[[#This Row],[累计净值]]-0.308</f>
        <v>1.0799999999999998</v>
      </c>
      <c r="G432" s="20">
        <f>0.7*(表2_3671626293034[[#This Row],[累计净值]]/$B$21-1)</f>
        <v>0.2715999999999999</v>
      </c>
    </row>
    <row r="433" spans="1:7">
      <c r="A433" s="15">
        <v>44323</v>
      </c>
      <c r="B433" s="112">
        <v>1.3879999999999999</v>
      </c>
      <c r="C433" s="108">
        <f>IFERROR(B433-B432,0)</f>
        <v>0</v>
      </c>
      <c r="D433" s="109" t="str">
        <f>IF(C433&lt;0,C433,"/")</f>
        <v>/</v>
      </c>
      <c r="E433" s="109">
        <f ca="1">IF(表2_3671626293034[[#This Row],[累计净值]]/MAX(INDIRECT("B21:B" &amp; ROW()))-1&lt;E432,表2_3671626293034[[#This Row],[累计净值]]/MAX(INDIRECT("B21:B" &amp; ROW()))-1,E432)</f>
        <v>-1.9593067068575776E-2</v>
      </c>
      <c r="F433" s="110">
        <f>表2_3671626293034[[#This Row],[累计净值]]-0.308</f>
        <v>1.0799999999999998</v>
      </c>
      <c r="G433" s="20">
        <f>0.7*(表2_3671626293034[[#This Row],[累计净值]]/$B$21-1)</f>
        <v>0.2715999999999999</v>
      </c>
    </row>
    <row r="434" spans="1:7">
      <c r="A434" s="15">
        <v>44326</v>
      </c>
      <c r="B434" s="112">
        <v>1.389</v>
      </c>
      <c r="C434" s="108">
        <f>IFERROR(B434-B433,0)</f>
        <v>1.0000000000001119E-3</v>
      </c>
      <c r="D434" s="109" t="str">
        <f>IF(C434&lt;0,C434,"/")</f>
        <v>/</v>
      </c>
      <c r="E434" s="109">
        <f ca="1">IF(表2_3671626293034[[#This Row],[累计净值]]/MAX(INDIRECT("B21:B" &amp; ROW()))-1&lt;E433,表2_3671626293034[[#This Row],[累计净值]]/MAX(INDIRECT("B21:B" &amp; ROW()))-1,E433)</f>
        <v>-1.9593067068575776E-2</v>
      </c>
      <c r="F434" s="110">
        <f>表2_3671626293034[[#This Row],[累计净值]]-0.308</f>
        <v>1.081</v>
      </c>
      <c r="G434" s="20">
        <f>0.7*(表2_3671626293034[[#This Row],[累计净值]]/$B$21-1)</f>
        <v>0.27229999999999999</v>
      </c>
    </row>
    <row r="435" spans="1:7">
      <c r="A435" s="15">
        <v>44327</v>
      </c>
      <c r="B435" s="112">
        <v>1.389</v>
      </c>
      <c r="C435" s="108">
        <f>IFERROR(B435-B434,0)</f>
        <v>0</v>
      </c>
      <c r="D435" s="109" t="str">
        <f>IF(C435&lt;0,C435,"/")</f>
        <v>/</v>
      </c>
      <c r="E435" s="109">
        <f ca="1">IF(表2_3671626293034[[#This Row],[累计净值]]/MAX(INDIRECT("B21:B" &amp; ROW()))-1&lt;E434,表2_3671626293034[[#This Row],[累计净值]]/MAX(INDIRECT("B21:B" &amp; ROW()))-1,E434)</f>
        <v>-1.9593067068575776E-2</v>
      </c>
      <c r="F435" s="110">
        <f>表2_3671626293034[[#This Row],[累计净值]]-0.308</f>
        <v>1.081</v>
      </c>
      <c r="G435" s="20">
        <f>0.7*(表2_3671626293034[[#This Row],[累计净值]]/$B$21-1)</f>
        <v>0.27229999999999999</v>
      </c>
    </row>
    <row r="436" spans="1:7">
      <c r="A436" s="15">
        <v>44328</v>
      </c>
      <c r="B436" s="112">
        <v>1.3919999999999999</v>
      </c>
      <c r="C436" s="108">
        <f>IFERROR(B436-B435,0)</f>
        <v>2.9999999999998916E-3</v>
      </c>
      <c r="D436" s="109" t="str">
        <f>IF(C436&lt;0,C436,"/")</f>
        <v>/</v>
      </c>
      <c r="E436" s="109">
        <f ca="1">IF(表2_3671626293034[[#This Row],[累计净值]]/MAX(INDIRECT("B21:B" &amp; ROW()))-1&lt;E435,表2_3671626293034[[#This Row],[累计净值]]/MAX(INDIRECT("B21:B" &amp; ROW()))-1,E435)</f>
        <v>-1.9593067068575776E-2</v>
      </c>
      <c r="F436" s="110">
        <f>表2_3671626293034[[#This Row],[累计净值]]-0.308</f>
        <v>1.0839999999999999</v>
      </c>
      <c r="G436" s="20">
        <f>0.7*(表2_3671626293034[[#This Row],[累计净值]]/$B$21-1)</f>
        <v>0.27439999999999992</v>
      </c>
    </row>
    <row r="437" spans="1:7">
      <c r="A437" s="15">
        <v>44329</v>
      </c>
      <c r="B437" s="112">
        <v>1.3939999999999999</v>
      </c>
      <c r="C437" s="108">
        <f>IFERROR(B437-B436,0)</f>
        <v>2.0000000000000018E-3</v>
      </c>
      <c r="D437" s="109" t="str">
        <f>IF(C437&lt;0,C437,"/")</f>
        <v>/</v>
      </c>
      <c r="E437" s="109">
        <f ca="1">IF(表2_3671626293034[[#This Row],[累计净值]]/MAX(INDIRECT("B21:B" &amp; ROW()))-1&lt;E436,表2_3671626293034[[#This Row],[累计净值]]/MAX(INDIRECT("B21:B" &amp; ROW()))-1,E436)</f>
        <v>-1.9593067068575776E-2</v>
      </c>
      <c r="F437" s="110">
        <f>表2_3671626293034[[#This Row],[累计净值]]-0.308</f>
        <v>1.0859999999999999</v>
      </c>
      <c r="G437" s="20">
        <f>0.7*(表2_3671626293034[[#This Row],[累计净值]]/$B$21-1)</f>
        <v>0.27579999999999993</v>
      </c>
    </row>
    <row r="438" spans="1:7">
      <c r="A438" s="15">
        <v>44330</v>
      </c>
      <c r="B438" s="112">
        <v>1.397</v>
      </c>
      <c r="C438" s="108">
        <f t="shared" ref="C438:C439" si="134">IFERROR(B438-B437,0)</f>
        <v>3.0000000000001137E-3</v>
      </c>
      <c r="D438" s="109" t="str">
        <f t="shared" ref="D438:D439" si="135">IF(C438&lt;0,C438,"/")</f>
        <v>/</v>
      </c>
      <c r="E438" s="109">
        <f ca="1">IF(表2_3671626293034[[#This Row],[累计净值]]/MAX(INDIRECT("B21:B" &amp; ROW()))-1&lt;E437,表2_3671626293034[[#This Row],[累计净值]]/MAX(INDIRECT("B21:B" &amp; ROW()))-1,E437)</f>
        <v>-1.9593067068575776E-2</v>
      </c>
      <c r="F438" s="110">
        <f>表2_3671626293034[[#This Row],[累计净值]]-0.308</f>
        <v>1.089</v>
      </c>
      <c r="G438" s="20">
        <f>0.7*(表2_3671626293034[[#This Row],[累计净值]]/$B$21-1)</f>
        <v>0.27789999999999998</v>
      </c>
    </row>
    <row r="439" spans="1:7">
      <c r="A439" s="15">
        <v>44333</v>
      </c>
      <c r="B439" s="112">
        <v>1.3979999999999999</v>
      </c>
      <c r="C439" s="108">
        <f t="shared" si="134"/>
        <v>9.9999999999988987E-4</v>
      </c>
      <c r="D439" s="109" t="str">
        <f t="shared" si="135"/>
        <v>/</v>
      </c>
      <c r="E439" s="109">
        <f ca="1">IF(表2_3671626293034[[#This Row],[累计净值]]/MAX(INDIRECT("B21:B" &amp; ROW()))-1&lt;E438,表2_3671626293034[[#This Row],[累计净值]]/MAX(INDIRECT("B21:B" &amp; ROW()))-1,E438)</f>
        <v>-1.9593067068575776E-2</v>
      </c>
      <c r="F439" s="110">
        <f>表2_3671626293034[[#This Row],[累计净值]]-0.308</f>
        <v>1.0899999999999999</v>
      </c>
      <c r="G439" s="20">
        <f>0.7*(表2_3671626293034[[#This Row],[累计净值]]/$B$21-1)</f>
        <v>0.2785999999999999</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340"/>
  <sheetViews>
    <sheetView workbookViewId="0">
      <pane xSplit="1" ySplit="20" topLeftCell="B326" activePane="bottomRight" state="frozen"/>
      <selection pane="topRight" activeCell="B1" sqref="B1"/>
      <selection pane="bottomLeft" activeCell="A21" sqref="A21"/>
      <selection pane="bottomRight" activeCell="I339" sqref="I33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COUNT(表2_36716262930389121314[每日盈亏])</f>
        <v>320</v>
      </c>
      <c r="C2" s="27"/>
      <c r="D2" s="3" t="s">
        <v>1</v>
      </c>
      <c r="E2" s="28"/>
      <c r="F2" s="1" t="s">
        <v>2</v>
      </c>
      <c r="G2" s="400" t="s">
        <v>3</v>
      </c>
    </row>
    <row r="3" spans="1:7">
      <c r="A3" s="25" t="s">
        <v>4</v>
      </c>
      <c r="B3" s="26">
        <f>COUNTIF(表2_36716262930389121314[每日盈亏],"&gt;0")</f>
        <v>163</v>
      </c>
      <c r="C3" s="29"/>
      <c r="D3" s="30" t="s">
        <v>5</v>
      </c>
      <c r="E3" s="31">
        <f>245^0.5*(B10-0.025/365)/E10</f>
        <v>1.5483592460287459</v>
      </c>
      <c r="G3" s="400"/>
    </row>
    <row r="4" spans="1:7">
      <c r="A4" s="25" t="s">
        <v>6</v>
      </c>
      <c r="B4" s="26">
        <f>COUNTIF(表2_36716262930389121314[每日盈亏],"&lt;0")</f>
        <v>129</v>
      </c>
      <c r="C4" s="29"/>
      <c r="D4" s="32" t="s">
        <v>7</v>
      </c>
      <c r="E4" s="31">
        <f ca="1">-B9/E8</f>
        <v>5.6092915488532809</v>
      </c>
      <c r="G4" s="2">
        <f>LOOKUP(999^10,表2_36716262930389121314[累计净值])</f>
        <v>1.2210000000000001</v>
      </c>
    </row>
    <row r="5" spans="1:7">
      <c r="A5" s="25" t="s">
        <v>8</v>
      </c>
      <c r="B5" s="26">
        <f>B2-B3-B4</f>
        <v>28</v>
      </c>
      <c r="C5" s="29"/>
      <c r="D5" s="33" t="s">
        <v>9</v>
      </c>
      <c r="E5" s="4">
        <f>245^0.5*(B10-0.025/365)/E9</f>
        <v>2.4481664690727074</v>
      </c>
    </row>
    <row r="6" spans="1:7" ht="16" thickBot="1">
      <c r="A6" s="34"/>
      <c r="B6" s="35"/>
      <c r="C6" s="35"/>
      <c r="D6" s="35"/>
      <c r="E6" s="36"/>
    </row>
    <row r="7" spans="1:7" ht="16" thickBot="1">
      <c r="A7" s="5" t="s">
        <v>10</v>
      </c>
      <c r="B7" s="35"/>
      <c r="C7" s="35"/>
      <c r="D7" s="3" t="s">
        <v>11</v>
      </c>
      <c r="E7" s="37"/>
    </row>
    <row r="8" spans="1:7">
      <c r="A8" s="38" t="s">
        <v>12</v>
      </c>
      <c r="B8" s="39">
        <f>LOOKUP(999^10,表2_36716262930389121314[累计净值])/$B$21-1</f>
        <v>0.15080113100848269</v>
      </c>
      <c r="C8" s="40"/>
      <c r="D8" s="30" t="s">
        <v>13</v>
      </c>
      <c r="E8" s="41">
        <f ca="1">MIN(表2_36716262930389121314[最大回撤])</f>
        <v>-2.0583190394511175E-2</v>
      </c>
    </row>
    <row r="9" spans="1:7">
      <c r="A9" s="25" t="s">
        <v>14</v>
      </c>
      <c r="B9" s="32">
        <f>B8*245/B2</f>
        <v>0.11545711592836956</v>
      </c>
      <c r="C9" s="40"/>
      <c r="D9" s="33" t="s">
        <v>15</v>
      </c>
      <c r="E9" s="6">
        <f>STDEV(表2_36716262930389121314[下跌幅度])</f>
        <v>2.7588608128168018E-3</v>
      </c>
    </row>
    <row r="10" spans="1:7">
      <c r="A10" s="42" t="s">
        <v>16</v>
      </c>
      <c r="B10" s="43">
        <f>AVERAGE(表2_36716262930389121314[每日盈亏])</f>
        <v>5.0000000000000044E-4</v>
      </c>
      <c r="C10" s="44"/>
      <c r="D10" s="33" t="s">
        <v>17</v>
      </c>
      <c r="E10" s="6">
        <f>STDEV(表2_36716262930389121314[每日盈亏])</f>
        <v>4.3621340151517888E-3</v>
      </c>
    </row>
    <row r="11" spans="1:7">
      <c r="A11" s="7" t="s">
        <v>18</v>
      </c>
      <c r="B11" s="32">
        <f>B3/B2</f>
        <v>0.50937500000000002</v>
      </c>
      <c r="C11" s="40"/>
      <c r="D11" s="32" t="s">
        <v>19</v>
      </c>
      <c r="E11" s="41">
        <f>245^0.5*E10</f>
        <v>6.8278197293904483E-2</v>
      </c>
    </row>
    <row r="12" spans="1:7" ht="16" thickBot="1">
      <c r="A12" s="45" t="s">
        <v>20</v>
      </c>
      <c r="B12" s="46">
        <f>-(SUMIF(表2_36716262930389121314[每日盈亏],"&gt;=0")/B3)/(SUMIF(表2_36716262930389121314[每日盈亏],"&lt;0")/B4)</f>
        <v>1.0715565448721429</v>
      </c>
      <c r="C12" s="47"/>
      <c r="D12" s="48"/>
      <c r="E12" s="49"/>
    </row>
    <row r="14" spans="1:7" ht="32">
      <c r="A14" s="50" t="s">
        <v>21</v>
      </c>
      <c r="B14" s="50" t="s">
        <v>14</v>
      </c>
      <c r="C14" s="51" t="s">
        <v>19</v>
      </c>
      <c r="D14" s="51" t="s">
        <v>13</v>
      </c>
      <c r="E14" s="51" t="s">
        <v>5</v>
      </c>
      <c r="F14" s="51" t="s">
        <v>7</v>
      </c>
    </row>
    <row r="15" spans="1:7">
      <c r="A15" s="78">
        <f>B2</f>
        <v>320</v>
      </c>
      <c r="B15" s="53">
        <f>B9</f>
        <v>0.11545711592836956</v>
      </c>
      <c r="C15" s="53">
        <f>E11</f>
        <v>6.8278197293904483E-2</v>
      </c>
      <c r="D15" s="53">
        <f ca="1">E8</f>
        <v>-2.0583190394511175E-2</v>
      </c>
      <c r="E15" s="54">
        <f>E3</f>
        <v>1.5483592460287459</v>
      </c>
      <c r="F15" s="54">
        <f ca="1">E4</f>
        <v>5.6092915488532809</v>
      </c>
    </row>
    <row r="19" spans="1:8">
      <c r="A19" s="8"/>
      <c r="B19" s="1" t="s">
        <v>22</v>
      </c>
    </row>
    <row r="20" spans="1:8" ht="16">
      <c r="A20" s="22" t="s">
        <v>23</v>
      </c>
      <c r="B20" s="22" t="s">
        <v>24</v>
      </c>
      <c r="C20" s="22" t="s">
        <v>25</v>
      </c>
      <c r="D20" s="22" t="s">
        <v>26</v>
      </c>
      <c r="E20" s="22" t="s">
        <v>27</v>
      </c>
      <c r="F20" s="22" t="s">
        <v>28</v>
      </c>
      <c r="G20" s="22" t="s">
        <v>29</v>
      </c>
      <c r="H20" s="22" t="s">
        <v>35</v>
      </c>
    </row>
    <row r="21" spans="1:8">
      <c r="A21" s="15">
        <v>43846</v>
      </c>
      <c r="B21" s="16">
        <v>1.0609999999999999</v>
      </c>
      <c r="C21" s="11">
        <f t="shared" ref="C21:C31" si="0">IFERROR(B21-B20,0)</f>
        <v>0</v>
      </c>
      <c r="D21" s="12" t="str">
        <f t="shared" ref="D21:D31" si="1">IF(C21&lt;0,C21,"/")</f>
        <v>/</v>
      </c>
      <c r="E21" s="12">
        <f ca="1">IF(表2_36716262930389121314[[#This Row],[累计净值]]/MAX(INDIRECT("B21:B" &amp; ROW()))-1&lt;E20,表2_36716262930389121314[[#This Row],[累计净值]]/MAX(INDIRECT("B21:B" &amp; ROW()))-1,E20)</f>
        <v>0</v>
      </c>
      <c r="F21" s="13">
        <f>表2_36716262930389121314[[#This Row],[累计净值]]</f>
        <v>1.0609999999999999</v>
      </c>
      <c r="G21" s="14" t="s">
        <v>30</v>
      </c>
    </row>
    <row r="22" spans="1:8">
      <c r="A22" s="15">
        <v>43847</v>
      </c>
      <c r="B22" s="16">
        <v>1.0609999999999999</v>
      </c>
      <c r="C22" s="17">
        <f t="shared" si="0"/>
        <v>0</v>
      </c>
      <c r="D22" s="18" t="str">
        <f t="shared" si="1"/>
        <v>/</v>
      </c>
      <c r="E22" s="18">
        <f ca="1">IF(表2_36716262930389121314[[#This Row],[累计净值]]/MAX(INDIRECT("B21:B" &amp; ROW()))-1&lt;E21,表2_36716262930389121314[[#This Row],[累计净值]]/MAX(INDIRECT("B21:B" &amp; ROW()))-1,E21)</f>
        <v>0</v>
      </c>
      <c r="F22" s="19">
        <f>表2_36716262930389121314[[#This Row],[累计净值]]</f>
        <v>1.0609999999999999</v>
      </c>
      <c r="G22" s="20">
        <f>表2_36716262930389121314[[#This Row],[累计净值]]/$B$21-1</f>
        <v>0</v>
      </c>
    </row>
    <row r="23" spans="1:8">
      <c r="A23" s="15">
        <v>43850</v>
      </c>
      <c r="B23" s="16">
        <v>1.0609999999999999</v>
      </c>
      <c r="C23" s="73">
        <f t="shared" si="0"/>
        <v>0</v>
      </c>
      <c r="D23" s="18" t="str">
        <f t="shared" si="1"/>
        <v>/</v>
      </c>
      <c r="E23" s="18">
        <f ca="1">IF(表2_36716262930389121314[[#This Row],[累计净值]]/MAX(INDIRECT("B21:B" &amp; ROW()))-1&lt;E22,表2_36716262930389121314[[#This Row],[累计净值]]/MAX(INDIRECT("B21:B" &amp; ROW()))-1,E22)</f>
        <v>0</v>
      </c>
      <c r="F23" s="62">
        <f>表2_36716262930389121314[[#This Row],[累计净值]]</f>
        <v>1.0609999999999999</v>
      </c>
      <c r="G23" s="20">
        <f>表2_36716262930389121314[[#This Row],[累计净值]]/$B$21-1</f>
        <v>0</v>
      </c>
    </row>
    <row r="24" spans="1:8">
      <c r="A24" s="15">
        <v>43851</v>
      </c>
      <c r="B24" s="16">
        <v>1.06</v>
      </c>
      <c r="C24" s="73">
        <f t="shared" si="0"/>
        <v>-9.9999999999988987E-4</v>
      </c>
      <c r="D24" s="18">
        <f t="shared" si="1"/>
        <v>-9.9999999999988987E-4</v>
      </c>
      <c r="E24" s="18">
        <f ca="1">IF(表2_36716262930389121314[[#This Row],[累计净值]]/MAX(INDIRECT("B21:B" &amp; ROW()))-1&lt;E23,表2_36716262930389121314[[#This Row],[累计净值]]/MAX(INDIRECT("B21:B" &amp; ROW()))-1,E23)</f>
        <v>-9.4250706880294466E-4</v>
      </c>
      <c r="F24" s="62">
        <f>表2_36716262930389121314[[#This Row],[累计净值]]</f>
        <v>1.06</v>
      </c>
      <c r="G24" s="20">
        <f>表2_36716262930389121314[[#This Row],[累计净值]]/$B$21-1</f>
        <v>-9.4250706880294466E-4</v>
      </c>
    </row>
    <row r="25" spans="1:8">
      <c r="A25" s="15">
        <v>43852</v>
      </c>
      <c r="B25" s="16">
        <v>1.0640000000000001</v>
      </c>
      <c r="C25" s="73">
        <f t="shared" si="0"/>
        <v>4.0000000000000036E-3</v>
      </c>
      <c r="D25" s="18" t="str">
        <f t="shared" si="1"/>
        <v>/</v>
      </c>
      <c r="E25" s="18">
        <f ca="1">IF(表2_36716262930389121314[[#This Row],[累计净值]]/MAX(INDIRECT("B21:B" &amp; ROW()))-1&lt;E24,表2_36716262930389121314[[#This Row],[累计净值]]/MAX(INDIRECT("B21:B" &amp; ROW()))-1,E24)</f>
        <v>-9.4250706880294466E-4</v>
      </c>
      <c r="F25" s="62">
        <f>表2_36716262930389121314[[#This Row],[累计净值]]</f>
        <v>1.0640000000000001</v>
      </c>
      <c r="G25" s="20">
        <f>表2_36716262930389121314[[#This Row],[累计净值]]/$B$21-1</f>
        <v>2.827521206409056E-3</v>
      </c>
    </row>
    <row r="26" spans="1:8">
      <c r="A26" s="15">
        <v>43853</v>
      </c>
      <c r="B26" s="16">
        <v>1.0660000000000001</v>
      </c>
      <c r="C26" s="73">
        <f t="shared" si="0"/>
        <v>2.0000000000000018E-3</v>
      </c>
      <c r="D26" s="18" t="str">
        <f t="shared" si="1"/>
        <v>/</v>
      </c>
      <c r="E26" s="18">
        <f ca="1">IF(表2_36716262930389121314[[#This Row],[累计净值]]/MAX(INDIRECT("B21:B" &amp; ROW()))-1&lt;E25,表2_36716262930389121314[[#This Row],[累计净值]]/MAX(INDIRECT("B21:B" &amp; ROW()))-1,E25)</f>
        <v>-9.4250706880294466E-4</v>
      </c>
      <c r="F26" s="62">
        <f>表2_36716262930389121314[[#This Row],[累计净值]]</f>
        <v>1.0660000000000001</v>
      </c>
      <c r="G26" s="20">
        <f>表2_36716262930389121314[[#This Row],[累计净值]]/$B$21-1</f>
        <v>4.7125353440151674E-3</v>
      </c>
    </row>
    <row r="27" spans="1:8">
      <c r="A27" s="15">
        <v>43864</v>
      </c>
      <c r="B27" s="16">
        <v>1.0740000000000001</v>
      </c>
      <c r="C27" s="73">
        <f t="shared" si="0"/>
        <v>8.0000000000000071E-3</v>
      </c>
      <c r="D27" s="18" t="str">
        <f t="shared" si="1"/>
        <v>/</v>
      </c>
      <c r="E27" s="18">
        <f ca="1">IF(表2_36716262930389121314[[#This Row],[累计净值]]/MAX(INDIRECT("B21:B" &amp; ROW()))-1&lt;E26,表2_36716262930389121314[[#This Row],[累计净值]]/MAX(INDIRECT("B21:B" &amp; ROW()))-1,E26)</f>
        <v>-9.4250706880294466E-4</v>
      </c>
      <c r="F27" s="62">
        <f>表2_36716262930389121314[[#This Row],[累计净值]]</f>
        <v>1.0740000000000001</v>
      </c>
      <c r="G27" s="20">
        <f>表2_36716262930389121314[[#This Row],[累计净值]]/$B$21-1</f>
        <v>1.2252591894439391E-2</v>
      </c>
    </row>
    <row r="28" spans="1:8">
      <c r="A28" s="15">
        <v>43865</v>
      </c>
      <c r="B28" s="16">
        <v>1.075</v>
      </c>
      <c r="C28" s="73">
        <f t="shared" si="0"/>
        <v>9.9999999999988987E-4</v>
      </c>
      <c r="D28" s="18" t="str">
        <f t="shared" si="1"/>
        <v>/</v>
      </c>
      <c r="E28" s="18">
        <f ca="1">IF(表2_36716262930389121314[[#This Row],[累计净值]]/MAX(INDIRECT("B21:B" &amp; ROW()))-1&lt;E27,表2_36716262930389121314[[#This Row],[累计净值]]/MAX(INDIRECT("B21:B" &amp; ROW()))-1,E27)</f>
        <v>-9.4250706880294466E-4</v>
      </c>
      <c r="F28" s="62">
        <f>表2_36716262930389121314[[#This Row],[累计净值]]</f>
        <v>1.075</v>
      </c>
      <c r="G28" s="20">
        <f>表2_36716262930389121314[[#This Row],[累计净值]]/$B$21-1</f>
        <v>1.3195098963242335E-2</v>
      </c>
    </row>
    <row r="29" spans="1:8">
      <c r="A29" s="15">
        <v>43866</v>
      </c>
      <c r="B29" s="16">
        <v>1.0780000000000001</v>
      </c>
      <c r="C29" s="73">
        <f t="shared" si="0"/>
        <v>3.0000000000001137E-3</v>
      </c>
      <c r="D29" s="18" t="str">
        <f t="shared" si="1"/>
        <v>/</v>
      </c>
      <c r="E29" s="18">
        <f ca="1">IF(表2_36716262930389121314[[#This Row],[累计净值]]/MAX(INDIRECT("B21:B" &amp; ROW()))-1&lt;E28,表2_36716262930389121314[[#This Row],[累计净值]]/MAX(INDIRECT("B21:B" &amp; ROW()))-1,E28)</f>
        <v>-9.4250706880294466E-4</v>
      </c>
      <c r="F29" s="62">
        <f>表2_36716262930389121314[[#This Row],[累计净值]]</f>
        <v>1.0780000000000001</v>
      </c>
      <c r="G29" s="20">
        <f>表2_36716262930389121314[[#This Row],[累计净值]]/$B$21-1</f>
        <v>1.6022620169651391E-2</v>
      </c>
    </row>
    <row r="30" spans="1:8">
      <c r="A30" s="15">
        <v>43867</v>
      </c>
      <c r="B30" s="16">
        <v>1.079</v>
      </c>
      <c r="C30" s="73">
        <f t="shared" si="0"/>
        <v>9.9999999999988987E-4</v>
      </c>
      <c r="D30" s="18" t="str">
        <f t="shared" si="1"/>
        <v>/</v>
      </c>
      <c r="E30" s="18">
        <f ca="1">IF(表2_36716262930389121314[[#This Row],[累计净值]]/MAX(INDIRECT("B21:B" &amp; ROW()))-1&lt;E29,表2_36716262930389121314[[#This Row],[累计净值]]/MAX(INDIRECT("B21:B" &amp; ROW()))-1,E29)</f>
        <v>-9.4250706880294466E-4</v>
      </c>
      <c r="F30" s="62">
        <f>表2_36716262930389121314[[#This Row],[累计净值]]</f>
        <v>1.079</v>
      </c>
      <c r="G30" s="20">
        <f>表2_36716262930389121314[[#This Row],[累计净值]]/$B$21-1</f>
        <v>1.6965127238454336E-2</v>
      </c>
    </row>
    <row r="31" spans="1:8">
      <c r="A31" s="15">
        <v>43868</v>
      </c>
      <c r="B31" s="16">
        <v>1.081</v>
      </c>
      <c r="C31" s="73">
        <f t="shared" si="0"/>
        <v>2.0000000000000018E-3</v>
      </c>
      <c r="D31" s="18" t="str">
        <f t="shared" si="1"/>
        <v>/</v>
      </c>
      <c r="E31" s="18">
        <f ca="1">IF(表2_36716262930389121314[[#This Row],[累计净值]]/MAX(INDIRECT("B21:B" &amp; ROW()))-1&lt;E30,表2_36716262930389121314[[#This Row],[累计净值]]/MAX(INDIRECT("B21:B" &amp; ROW()))-1,E30)</f>
        <v>-9.4250706880294466E-4</v>
      </c>
      <c r="F31" s="62">
        <f>表2_36716262930389121314[[#This Row],[累计净值]]</f>
        <v>1.081</v>
      </c>
      <c r="G31" s="20">
        <f>表2_36716262930389121314[[#This Row],[累计净值]]/$B$21-1</f>
        <v>1.8850141376060447E-2</v>
      </c>
    </row>
    <row r="32" spans="1:8">
      <c r="A32" s="15">
        <v>43871</v>
      </c>
      <c r="B32" s="16">
        <v>1.081</v>
      </c>
      <c r="C32" s="73">
        <f t="shared" ref="C32:C37" si="2">IFERROR(B32-B31,0)</f>
        <v>0</v>
      </c>
      <c r="D32" s="18" t="str">
        <f t="shared" ref="D32:D37" si="3">IF(C32&lt;0,C32,"/")</f>
        <v>/</v>
      </c>
      <c r="E32" s="18">
        <f ca="1">IF(表2_36716262930389121314[[#This Row],[累计净值]]/MAX(INDIRECT("B21:B" &amp; ROW()))-1&lt;E31,表2_36716262930389121314[[#This Row],[累计净值]]/MAX(INDIRECT("B21:B" &amp; ROW()))-1,E31)</f>
        <v>-9.4250706880294466E-4</v>
      </c>
      <c r="F32" s="62">
        <f>表2_36716262930389121314[[#This Row],[累计净值]]</f>
        <v>1.081</v>
      </c>
      <c r="G32" s="20">
        <f>表2_36716262930389121314[[#This Row],[累计净值]]/$B$21-1</f>
        <v>1.8850141376060447E-2</v>
      </c>
    </row>
    <row r="33" spans="1:7">
      <c r="A33" s="15">
        <v>43872</v>
      </c>
      <c r="B33" s="16">
        <v>1.0820000000000001</v>
      </c>
      <c r="C33" s="73">
        <f t="shared" si="2"/>
        <v>1.0000000000001119E-3</v>
      </c>
      <c r="D33" s="18" t="str">
        <f t="shared" si="3"/>
        <v>/</v>
      </c>
      <c r="E33" s="18">
        <f ca="1">IF(表2_36716262930389121314[[#This Row],[累计净值]]/MAX(INDIRECT("B21:B" &amp; ROW()))-1&lt;E32,表2_36716262930389121314[[#This Row],[累计净值]]/MAX(INDIRECT("B21:B" &amp; ROW()))-1,E32)</f>
        <v>-9.4250706880294466E-4</v>
      </c>
      <c r="F33" s="62">
        <f>表2_36716262930389121314[[#This Row],[累计净值]]</f>
        <v>1.0820000000000001</v>
      </c>
      <c r="G33" s="20">
        <f>表2_36716262930389121314[[#This Row],[累计净值]]/$B$21-1</f>
        <v>1.9792648444863392E-2</v>
      </c>
    </row>
    <row r="34" spans="1:7">
      <c r="A34" s="15">
        <v>43873</v>
      </c>
      <c r="B34" s="16">
        <v>1.085</v>
      </c>
      <c r="C34" s="73">
        <f t="shared" si="2"/>
        <v>2.9999999999998916E-3</v>
      </c>
      <c r="D34" s="18" t="str">
        <f t="shared" si="3"/>
        <v>/</v>
      </c>
      <c r="E34" s="18">
        <f ca="1">IF(表2_36716262930389121314[[#This Row],[累计净值]]/MAX(INDIRECT("B21:B" &amp; ROW()))-1&lt;E33,表2_36716262930389121314[[#This Row],[累计净值]]/MAX(INDIRECT("B21:B" &amp; ROW()))-1,E33)</f>
        <v>-9.4250706880294466E-4</v>
      </c>
      <c r="F34" s="62">
        <f>表2_36716262930389121314[[#This Row],[累计净值]]</f>
        <v>1.085</v>
      </c>
      <c r="G34" s="20">
        <f>表2_36716262930389121314[[#This Row],[累计净值]]/$B$21-1</f>
        <v>2.2620169651272448E-2</v>
      </c>
    </row>
    <row r="35" spans="1:7">
      <c r="A35" s="15">
        <v>43874</v>
      </c>
      <c r="B35" s="16">
        <v>1.0840000000000001</v>
      </c>
      <c r="C35" s="73">
        <f t="shared" si="2"/>
        <v>-9.9999999999988987E-4</v>
      </c>
      <c r="D35" s="18">
        <f t="shared" si="3"/>
        <v>-9.9999999999988987E-4</v>
      </c>
      <c r="E35" s="18">
        <f ca="1">IF(表2_36716262930389121314[[#This Row],[累计净值]]/MAX(INDIRECT("B21:B" &amp; ROW()))-1&lt;E34,表2_36716262930389121314[[#This Row],[累计净值]]/MAX(INDIRECT("B21:B" &amp; ROW()))-1,E34)</f>
        <v>-9.4250706880294466E-4</v>
      </c>
      <c r="F35" s="62">
        <f>表2_36716262930389121314[[#This Row],[累计净值]]</f>
        <v>1.0840000000000001</v>
      </c>
      <c r="G35" s="20">
        <f>表2_36716262930389121314[[#This Row],[累计净值]]/$B$21-1</f>
        <v>2.1677662582469504E-2</v>
      </c>
    </row>
    <row r="36" spans="1:7">
      <c r="A36" s="15">
        <v>43875</v>
      </c>
      <c r="B36" s="16">
        <v>1.085</v>
      </c>
      <c r="C36" s="73">
        <f t="shared" si="2"/>
        <v>9.9999999999988987E-4</v>
      </c>
      <c r="D36" s="18" t="str">
        <f t="shared" si="3"/>
        <v>/</v>
      </c>
      <c r="E36" s="18">
        <f ca="1">IF(表2_36716262930389121314[[#This Row],[累计净值]]/MAX(INDIRECT("B21:B" &amp; ROW()))-1&lt;E35,表2_36716262930389121314[[#This Row],[累计净值]]/MAX(INDIRECT("B21:B" &amp; ROW()))-1,E35)</f>
        <v>-9.4250706880294466E-4</v>
      </c>
      <c r="F36" s="62">
        <f>表2_36716262930389121314[[#This Row],[累计净值]]</f>
        <v>1.085</v>
      </c>
      <c r="G36" s="20">
        <f>表2_36716262930389121314[[#This Row],[累计净值]]/$B$21-1</f>
        <v>2.2620169651272448E-2</v>
      </c>
    </row>
    <row r="37" spans="1:7">
      <c r="A37" s="15">
        <v>43878</v>
      </c>
      <c r="B37" s="16">
        <v>1.085</v>
      </c>
      <c r="C37" s="73">
        <f t="shared" si="2"/>
        <v>0</v>
      </c>
      <c r="D37" s="18" t="str">
        <f t="shared" si="3"/>
        <v>/</v>
      </c>
      <c r="E37" s="18">
        <f ca="1">IF(表2_36716262930389121314[[#This Row],[累计净值]]/MAX(INDIRECT("B21:B" &amp; ROW()))-1&lt;E36,表2_36716262930389121314[[#This Row],[累计净值]]/MAX(INDIRECT("B21:B" &amp; ROW()))-1,E36)</f>
        <v>-9.4250706880294466E-4</v>
      </c>
      <c r="F37" s="62">
        <f>表2_36716262930389121314[[#This Row],[累计净值]]</f>
        <v>1.085</v>
      </c>
      <c r="G37" s="20">
        <f>表2_36716262930389121314[[#This Row],[累计净值]]/$B$21-1</f>
        <v>2.2620169651272448E-2</v>
      </c>
    </row>
    <row r="38" spans="1:7">
      <c r="A38" s="15">
        <v>43879</v>
      </c>
      <c r="B38" s="16">
        <v>1.0880000000000001</v>
      </c>
      <c r="C38" s="73">
        <f t="shared" ref="C38:C43" si="4">IFERROR(B38-B37,0)</f>
        <v>3.0000000000001137E-3</v>
      </c>
      <c r="D38" s="18" t="str">
        <f t="shared" ref="D38:D43" si="5">IF(C38&lt;0,C38,"/")</f>
        <v>/</v>
      </c>
      <c r="E38" s="18">
        <f ca="1">IF(表2_36716262930389121314[[#This Row],[累计净值]]/MAX(INDIRECT("B21:B" &amp; ROW()))-1&lt;E37,表2_36716262930389121314[[#This Row],[累计净值]]/MAX(INDIRECT("B21:B" &amp; ROW()))-1,E37)</f>
        <v>-9.4250706880294466E-4</v>
      </c>
      <c r="F38" s="62">
        <f>表2_36716262930389121314[[#This Row],[累计净值]]</f>
        <v>1.0880000000000001</v>
      </c>
      <c r="G38" s="20">
        <f>表2_36716262930389121314[[#This Row],[累计净值]]/$B$21-1</f>
        <v>2.5447690857681504E-2</v>
      </c>
    </row>
    <row r="39" spans="1:7">
      <c r="A39" s="15">
        <v>43880</v>
      </c>
      <c r="B39" s="16">
        <v>1.0860000000000001</v>
      </c>
      <c r="C39" s="73">
        <f t="shared" si="4"/>
        <v>-2.0000000000000018E-3</v>
      </c>
      <c r="D39" s="18">
        <f t="shared" si="5"/>
        <v>-2.0000000000000018E-3</v>
      </c>
      <c r="E39" s="18">
        <f ca="1">IF(表2_36716262930389121314[[#This Row],[累计净值]]/MAX(INDIRECT("B21:B" &amp; ROW()))-1&lt;E38,表2_36716262930389121314[[#This Row],[累计净值]]/MAX(INDIRECT("B21:B" &amp; ROW()))-1,E38)</f>
        <v>-1.8382352941176405E-3</v>
      </c>
      <c r="F39" s="62">
        <f>表2_36716262930389121314[[#This Row],[累计净值]]</f>
        <v>1.0860000000000001</v>
      </c>
      <c r="G39" s="20">
        <f>表2_36716262930389121314[[#This Row],[累计净值]]/$B$21-1</f>
        <v>2.3562676720075615E-2</v>
      </c>
    </row>
    <row r="40" spans="1:7">
      <c r="A40" s="15">
        <v>43881</v>
      </c>
      <c r="B40" s="16">
        <v>1.0860000000000001</v>
      </c>
      <c r="C40" s="73">
        <f t="shared" si="4"/>
        <v>0</v>
      </c>
      <c r="D40" s="18" t="str">
        <f t="shared" si="5"/>
        <v>/</v>
      </c>
      <c r="E40" s="18">
        <f ca="1">IF(表2_36716262930389121314[[#This Row],[累计净值]]/MAX(INDIRECT("B21:B" &amp; ROW()))-1&lt;E39,表2_36716262930389121314[[#This Row],[累计净值]]/MAX(INDIRECT("B21:B" &amp; ROW()))-1,E39)</f>
        <v>-1.8382352941176405E-3</v>
      </c>
      <c r="F40" s="62">
        <f>表2_36716262930389121314[[#This Row],[累计净值]]</f>
        <v>1.0860000000000001</v>
      </c>
      <c r="G40" s="20">
        <f>表2_36716262930389121314[[#This Row],[累计净值]]/$B$21-1</f>
        <v>2.3562676720075615E-2</v>
      </c>
    </row>
    <row r="41" spans="1:7">
      <c r="A41" s="15">
        <v>43882</v>
      </c>
      <c r="B41" s="16">
        <v>1.087</v>
      </c>
      <c r="C41" s="73">
        <f t="shared" si="4"/>
        <v>9.9999999999988987E-4</v>
      </c>
      <c r="D41" s="18" t="str">
        <f t="shared" si="5"/>
        <v>/</v>
      </c>
      <c r="E41" s="18">
        <f ca="1">IF(表2_36716262930389121314[[#This Row],[累计净值]]/MAX(INDIRECT("B21:B" &amp; ROW()))-1&lt;E40,表2_36716262930389121314[[#This Row],[累计净值]]/MAX(INDIRECT("B21:B" &amp; ROW()))-1,E40)</f>
        <v>-1.8382352941176405E-3</v>
      </c>
      <c r="F41" s="62">
        <f>表2_36716262930389121314[[#This Row],[累计净值]]</f>
        <v>1.087</v>
      </c>
      <c r="G41" s="20">
        <f>表2_36716262930389121314[[#This Row],[累计净值]]/$B$21-1</f>
        <v>2.4505183788878337E-2</v>
      </c>
    </row>
    <row r="42" spans="1:7">
      <c r="A42" s="15">
        <v>43885</v>
      </c>
      <c r="B42" s="16">
        <v>1.091</v>
      </c>
      <c r="C42" s="73">
        <f t="shared" si="4"/>
        <v>4.0000000000000036E-3</v>
      </c>
      <c r="D42" s="18" t="str">
        <f t="shared" si="5"/>
        <v>/</v>
      </c>
      <c r="E42" s="18">
        <f ca="1">IF(表2_36716262930389121314[[#This Row],[累计净值]]/MAX(INDIRECT("B21:B" &amp; ROW()))-1&lt;E41,表2_36716262930389121314[[#This Row],[累计净值]]/MAX(INDIRECT("B21:B" &amp; ROW()))-1,E41)</f>
        <v>-1.8382352941176405E-3</v>
      </c>
      <c r="F42" s="62">
        <f>表2_36716262930389121314[[#This Row],[累计净值]]</f>
        <v>1.091</v>
      </c>
      <c r="G42" s="20">
        <f>表2_36716262930389121314[[#This Row],[累计净值]]/$B$21-1</f>
        <v>2.827521206409056E-2</v>
      </c>
    </row>
    <row r="43" spans="1:7">
      <c r="A43" s="15">
        <v>43886</v>
      </c>
      <c r="B43" s="76">
        <v>1.0920000000000001</v>
      </c>
      <c r="C43" s="73">
        <f t="shared" si="4"/>
        <v>1.0000000000001119E-3</v>
      </c>
      <c r="D43" s="18" t="str">
        <f t="shared" si="5"/>
        <v>/</v>
      </c>
      <c r="E43" s="18">
        <f ca="1">IF(表2_36716262930389121314[[#This Row],[累计净值]]/MAX(INDIRECT("B21:B" &amp; ROW()))-1&lt;E42,表2_36716262930389121314[[#This Row],[累计净值]]/MAX(INDIRECT("B21:B" &amp; ROW()))-1,E42)</f>
        <v>-1.8382352941176405E-3</v>
      </c>
      <c r="F43" s="62">
        <f>表2_36716262930389121314[[#This Row],[累计净值]]</f>
        <v>1.0920000000000001</v>
      </c>
      <c r="G43" s="20">
        <f>表2_36716262930389121314[[#This Row],[累计净值]]/$B$21-1</f>
        <v>2.9217719132893727E-2</v>
      </c>
    </row>
    <row r="44" spans="1:7">
      <c r="A44" s="15">
        <v>43887</v>
      </c>
      <c r="B44" s="16">
        <v>1.087</v>
      </c>
      <c r="C44" s="73">
        <f t="shared" ref="C44:C49" si="6">IFERROR(B44-B43,0)</f>
        <v>-5.0000000000001155E-3</v>
      </c>
      <c r="D44" s="18">
        <f t="shared" ref="D44:D49" si="7">IF(C44&lt;0,C44,"/")</f>
        <v>-5.0000000000001155E-3</v>
      </c>
      <c r="E44" s="18">
        <f ca="1">IF(表2_36716262930389121314[[#This Row],[累计净值]]/MAX(INDIRECT("B21:B" &amp; ROW()))-1&lt;E43,表2_36716262930389121314[[#This Row],[累计净值]]/MAX(INDIRECT("B21:B" &amp; ROW()))-1,E43)</f>
        <v>-4.5787545787546735E-3</v>
      </c>
      <c r="F44" s="62">
        <f>表2_36716262930389121314[[#This Row],[累计净值]]</f>
        <v>1.087</v>
      </c>
      <c r="G44" s="20">
        <f>表2_36716262930389121314[[#This Row],[累计净值]]/$B$21-1</f>
        <v>2.4505183788878337E-2</v>
      </c>
    </row>
    <row r="45" spans="1:7">
      <c r="A45" s="15">
        <v>43888</v>
      </c>
      <c r="B45" s="16">
        <v>1.0900000000000001</v>
      </c>
      <c r="C45" s="73">
        <f t="shared" si="6"/>
        <v>3.0000000000001137E-3</v>
      </c>
      <c r="D45" s="18" t="str">
        <f t="shared" si="7"/>
        <v>/</v>
      </c>
      <c r="E45" s="18">
        <f ca="1">IF(表2_36716262930389121314[[#This Row],[累计净值]]/MAX(INDIRECT("B21:B" &amp; ROW()))-1&lt;E44,表2_36716262930389121314[[#This Row],[累计净值]]/MAX(INDIRECT("B21:B" &amp; ROW()))-1,E44)</f>
        <v>-4.5787545787546735E-3</v>
      </c>
      <c r="F45" s="62">
        <f>表2_36716262930389121314[[#This Row],[累计净值]]</f>
        <v>1.0900000000000001</v>
      </c>
      <c r="G45" s="20">
        <f>表2_36716262930389121314[[#This Row],[累计净值]]/$B$21-1</f>
        <v>2.7332704995287616E-2</v>
      </c>
    </row>
    <row r="46" spans="1:7">
      <c r="A46" s="15">
        <v>43889</v>
      </c>
      <c r="B46" s="16">
        <v>1.089</v>
      </c>
      <c r="C46" s="73">
        <f t="shared" si="6"/>
        <v>-1.0000000000001119E-3</v>
      </c>
      <c r="D46" s="18">
        <f t="shared" si="7"/>
        <v>-1.0000000000001119E-3</v>
      </c>
      <c r="E46" s="18">
        <f ca="1">IF(表2_36716262930389121314[[#This Row],[累计净值]]/MAX(INDIRECT("B21:B" &amp; ROW()))-1&lt;E45,表2_36716262930389121314[[#This Row],[累计净值]]/MAX(INDIRECT("B21:B" &amp; ROW()))-1,E45)</f>
        <v>-4.5787545787546735E-3</v>
      </c>
      <c r="F46" s="62">
        <f>表2_36716262930389121314[[#This Row],[累计净值]]</f>
        <v>1.089</v>
      </c>
      <c r="G46" s="20">
        <f>表2_36716262930389121314[[#This Row],[累计净值]]/$B$21-1</f>
        <v>2.6390197926484449E-2</v>
      </c>
    </row>
    <row r="47" spans="1:7">
      <c r="A47" s="15">
        <v>43892</v>
      </c>
      <c r="B47" s="16">
        <v>1.089</v>
      </c>
      <c r="C47" s="73">
        <f t="shared" si="6"/>
        <v>0</v>
      </c>
      <c r="D47" s="18" t="str">
        <f t="shared" si="7"/>
        <v>/</v>
      </c>
      <c r="E47" s="18">
        <f ca="1">IF(表2_36716262930389121314[[#This Row],[累计净值]]/MAX(INDIRECT("B21:B" &amp; ROW()))-1&lt;E46,表2_36716262930389121314[[#This Row],[累计净值]]/MAX(INDIRECT("B21:B" &amp; ROW()))-1,E46)</f>
        <v>-4.5787545787546735E-3</v>
      </c>
      <c r="F47" s="62">
        <f>表2_36716262930389121314[[#This Row],[累计净值]]</f>
        <v>1.089</v>
      </c>
      <c r="G47" s="20">
        <f>表2_36716262930389121314[[#This Row],[累计净值]]/$B$21-1</f>
        <v>2.6390197926484449E-2</v>
      </c>
    </row>
    <row r="48" spans="1:7">
      <c r="A48" s="15">
        <v>43893</v>
      </c>
      <c r="B48" s="16">
        <v>1.093</v>
      </c>
      <c r="C48" s="73">
        <f t="shared" si="6"/>
        <v>4.0000000000000036E-3</v>
      </c>
      <c r="D48" s="18" t="str">
        <f t="shared" si="7"/>
        <v>/</v>
      </c>
      <c r="E48" s="18">
        <f ca="1">IF(表2_36716262930389121314[[#This Row],[累计净值]]/MAX(INDIRECT("B21:B" &amp; ROW()))-1&lt;E47,表2_36716262930389121314[[#This Row],[累计净值]]/MAX(INDIRECT("B21:B" &amp; ROW()))-1,E47)</f>
        <v>-4.5787545787546735E-3</v>
      </c>
      <c r="F48" s="62">
        <f>表2_36716262930389121314[[#This Row],[累计净值]]</f>
        <v>1.093</v>
      </c>
      <c r="G48" s="20">
        <f>表2_36716262930389121314[[#This Row],[累计净值]]/$B$21-1</f>
        <v>3.016022620169645E-2</v>
      </c>
    </row>
    <row r="49" spans="1:8">
      <c r="A49" s="15">
        <v>43894</v>
      </c>
      <c r="B49" s="16">
        <v>1.0940000000000001</v>
      </c>
      <c r="C49" s="73">
        <f t="shared" si="6"/>
        <v>1.0000000000001119E-3</v>
      </c>
      <c r="D49" s="18" t="str">
        <f t="shared" si="7"/>
        <v>/</v>
      </c>
      <c r="E49" s="18">
        <f ca="1">IF(表2_36716262930389121314[[#This Row],[累计净值]]/MAX(INDIRECT("B21:B" &amp; ROW()))-1&lt;E48,表2_36716262930389121314[[#This Row],[累计净值]]/MAX(INDIRECT("B21:B" &amp; ROW()))-1,E48)</f>
        <v>-4.5787545787546735E-3</v>
      </c>
      <c r="F49" s="62">
        <f>表2_36716262930389121314[[#This Row],[累计净值]]</f>
        <v>1.0940000000000001</v>
      </c>
      <c r="G49" s="20">
        <f>表2_36716262930389121314[[#This Row],[累计净值]]/$B$21-1</f>
        <v>3.1102733270499616E-2</v>
      </c>
    </row>
    <row r="50" spans="1:8">
      <c r="A50" s="15">
        <v>43895</v>
      </c>
      <c r="B50" s="16">
        <v>1.095</v>
      </c>
      <c r="C50" s="73">
        <f t="shared" ref="C50:C55" si="8">IFERROR(B50-B49,0)</f>
        <v>9.9999999999988987E-4</v>
      </c>
      <c r="D50" s="18" t="str">
        <f t="shared" ref="D50:D55" si="9">IF(C50&lt;0,C50,"/")</f>
        <v>/</v>
      </c>
      <c r="E50" s="18">
        <f ca="1">IF(表2_36716262930389121314[[#This Row],[累计净值]]/MAX(INDIRECT("B21:B" &amp; ROW()))-1&lt;E49,表2_36716262930389121314[[#This Row],[累计净值]]/MAX(INDIRECT("B21:B" &amp; ROW()))-1,E49)</f>
        <v>-4.5787545787546735E-3</v>
      </c>
      <c r="F50" s="62">
        <f>表2_36716262930389121314[[#This Row],[累计净值]]</f>
        <v>1.095</v>
      </c>
      <c r="G50" s="20">
        <f>表2_36716262930389121314[[#This Row],[累计净值]]/$B$21-1</f>
        <v>3.2045240339302561E-2</v>
      </c>
    </row>
    <row r="51" spans="1:8">
      <c r="A51" s="9">
        <v>43896</v>
      </c>
      <c r="B51" s="10">
        <v>1.095</v>
      </c>
      <c r="C51" s="80">
        <f t="shared" si="8"/>
        <v>0</v>
      </c>
      <c r="D51" s="12" t="str">
        <f t="shared" si="9"/>
        <v>/</v>
      </c>
      <c r="E51" s="12">
        <f ca="1">IF(表2_36716262930389121314[[#This Row],[累计净值]]/MAX(INDIRECT("B21:B" &amp; ROW()))-1&lt;E50,表2_36716262930389121314[[#This Row],[累计净值]]/MAX(INDIRECT("B21:B" &amp; ROW()))-1,E50)</f>
        <v>-4.5787545787546735E-3</v>
      </c>
      <c r="F51" s="81">
        <f>表2_36716262930389121314[[#This Row],[累计净值]]</f>
        <v>1.095</v>
      </c>
      <c r="G51" s="20">
        <f>表2_36716262930389121314[[#This Row],[累计净值]]/$B$21-1</f>
        <v>3.2045240339302561E-2</v>
      </c>
      <c r="H51" s="92" t="s">
        <v>34</v>
      </c>
    </row>
    <row r="52" spans="1:8">
      <c r="A52" s="15">
        <v>43899</v>
      </c>
      <c r="B52" s="16">
        <v>1.089</v>
      </c>
      <c r="C52" s="73">
        <f t="shared" si="8"/>
        <v>-6.0000000000000053E-3</v>
      </c>
      <c r="D52" s="18">
        <f t="shared" si="9"/>
        <v>-6.0000000000000053E-3</v>
      </c>
      <c r="E52" s="18">
        <f ca="1">IF(表2_36716262930389121314[[#This Row],[累计净值]]/MAX(INDIRECT("B21:B" &amp; ROW()))-1&lt;E51,表2_36716262930389121314[[#This Row],[累计净值]]/MAX(INDIRECT("B21:B" &amp; ROW()))-1,E51)</f>
        <v>-5.479452054794498E-3</v>
      </c>
      <c r="F52" s="62">
        <f>表2_36716262930389121314[[#This Row],[累计净值]]</f>
        <v>1.089</v>
      </c>
      <c r="G52" s="20">
        <f>表2_36716262930389121314[[#This Row],[累计净值]]/$B$21-1</f>
        <v>2.6390197926484449E-2</v>
      </c>
      <c r="H52" s="20">
        <f>表2_36716262930389121314[[#This Row],[累计净值]]/$B$51-1</f>
        <v>-5.479452054794498E-3</v>
      </c>
    </row>
    <row r="53" spans="1:8">
      <c r="A53" s="15">
        <v>43900</v>
      </c>
      <c r="B53" s="16">
        <v>1.0880000000000001</v>
      </c>
      <c r="C53" s="73">
        <f t="shared" si="8"/>
        <v>-9.9999999999988987E-4</v>
      </c>
      <c r="D53" s="18">
        <f t="shared" si="9"/>
        <v>-9.9999999999988987E-4</v>
      </c>
      <c r="E53" s="18">
        <f ca="1">IF(表2_36716262930389121314[[#This Row],[累计净值]]/MAX(INDIRECT("B21:B" &amp; ROW()))-1&lt;E52,表2_36716262930389121314[[#This Row],[累计净值]]/MAX(INDIRECT("B21:B" &amp; ROW()))-1,E52)</f>
        <v>-6.3926940639268404E-3</v>
      </c>
      <c r="F53" s="62">
        <f>表2_36716262930389121314[[#This Row],[累计净值]]</f>
        <v>1.0880000000000001</v>
      </c>
      <c r="G53" s="20">
        <f>表2_36716262930389121314[[#This Row],[累计净值]]/$B$21-1</f>
        <v>2.5447690857681504E-2</v>
      </c>
      <c r="H53" s="20">
        <f>表2_36716262930389121314[[#This Row],[累计净值]]/$B$51-1</f>
        <v>-6.3926940639268404E-3</v>
      </c>
    </row>
    <row r="54" spans="1:8">
      <c r="A54" s="15">
        <v>43901</v>
      </c>
      <c r="B54" s="16">
        <v>1.0900000000000001</v>
      </c>
      <c r="C54" s="73">
        <f t="shared" si="8"/>
        <v>2.0000000000000018E-3</v>
      </c>
      <c r="D54" s="18" t="str">
        <f t="shared" si="9"/>
        <v>/</v>
      </c>
      <c r="E54" s="18">
        <f ca="1">IF(表2_36716262930389121314[[#This Row],[累计净值]]/MAX(INDIRECT("B21:B" &amp; ROW()))-1&lt;E53,表2_36716262930389121314[[#This Row],[累计净值]]/MAX(INDIRECT("B21:B" &amp; ROW()))-1,E53)</f>
        <v>-6.3926940639268404E-3</v>
      </c>
      <c r="F54" s="62">
        <f>表2_36716262930389121314[[#This Row],[累计净值]]</f>
        <v>1.0900000000000001</v>
      </c>
      <c r="G54" s="20">
        <f>表2_36716262930389121314[[#This Row],[累计净值]]/$B$21-1</f>
        <v>2.7332704995287616E-2</v>
      </c>
      <c r="H54" s="20">
        <f>表2_36716262930389121314[[#This Row],[累计净值]]/$B$51-1</f>
        <v>-4.5662100456620447E-3</v>
      </c>
    </row>
    <row r="55" spans="1:8">
      <c r="A55" s="15">
        <v>43902</v>
      </c>
      <c r="B55" s="16">
        <v>1.085</v>
      </c>
      <c r="C55" s="73">
        <f t="shared" si="8"/>
        <v>-5.0000000000001155E-3</v>
      </c>
      <c r="D55" s="18">
        <f t="shared" si="9"/>
        <v>-5.0000000000001155E-3</v>
      </c>
      <c r="E55" s="18">
        <f ca="1">IF(表2_36716262930389121314[[#This Row],[累计净值]]/MAX(INDIRECT("B21:B" &amp; ROW()))-1&lt;E54,表2_36716262930389121314[[#This Row],[累计净值]]/MAX(INDIRECT("B21:B" &amp; ROW()))-1,E54)</f>
        <v>-9.1324200913242004E-3</v>
      </c>
      <c r="F55" s="62">
        <f>表2_36716262930389121314[[#This Row],[累计净值]]</f>
        <v>1.085</v>
      </c>
      <c r="G55" s="20">
        <f>表2_36716262930389121314[[#This Row],[累计净值]]/$B$21-1</f>
        <v>2.2620169651272448E-2</v>
      </c>
      <c r="H55" s="20">
        <f>表2_36716262930389121314[[#This Row],[累计净值]]/$B$51-1</f>
        <v>-9.1324200913242004E-3</v>
      </c>
    </row>
    <row r="56" spans="1:8">
      <c r="A56" s="15">
        <v>43903</v>
      </c>
      <c r="B56" s="16">
        <v>1.0860000000000001</v>
      </c>
      <c r="C56" s="73">
        <f t="shared" ref="C56:C61" si="10">IFERROR(B56-B55,0)</f>
        <v>1.0000000000001119E-3</v>
      </c>
      <c r="D56" s="18" t="str">
        <f t="shared" ref="D56:D61" si="11">IF(C56&lt;0,C56,"/")</f>
        <v>/</v>
      </c>
      <c r="E56" s="18">
        <f ca="1">IF(表2_36716262930389121314[[#This Row],[累计净值]]/MAX(INDIRECT("B21:B" &amp; ROW()))-1&lt;E55,表2_36716262930389121314[[#This Row],[累计净值]]/MAX(INDIRECT("B21:B" &amp; ROW()))-1,E55)</f>
        <v>-9.1324200913242004E-3</v>
      </c>
      <c r="F56" s="62">
        <f>表2_36716262930389121314[[#This Row],[累计净值]]</f>
        <v>1.0860000000000001</v>
      </c>
      <c r="G56" s="20">
        <f>表2_36716262930389121314[[#This Row],[累计净值]]/$B$21-1</f>
        <v>2.3562676720075615E-2</v>
      </c>
      <c r="H56" s="20">
        <f>表2_36716262930389121314[[#This Row],[累计净值]]/$B$51-1</f>
        <v>-8.219178082191636E-3</v>
      </c>
    </row>
    <row r="57" spans="1:8">
      <c r="A57" s="15">
        <v>43906</v>
      </c>
      <c r="B57" s="16">
        <v>1.08</v>
      </c>
      <c r="C57" s="73">
        <f t="shared" si="10"/>
        <v>-6.0000000000000053E-3</v>
      </c>
      <c r="D57" s="18">
        <f t="shared" si="11"/>
        <v>-6.0000000000000053E-3</v>
      </c>
      <c r="E57" s="18">
        <f ca="1">IF(表2_36716262930389121314[[#This Row],[累计净值]]/MAX(INDIRECT("B21:B" &amp; ROW()))-1&lt;E56,表2_36716262930389121314[[#This Row],[累计净值]]/MAX(INDIRECT("B21:B" &amp; ROW()))-1,E56)</f>
        <v>-1.3698630136986245E-2</v>
      </c>
      <c r="F57" s="62">
        <f>表2_36716262930389121314[[#This Row],[累计净值]]</f>
        <v>1.08</v>
      </c>
      <c r="G57" s="20">
        <f>表2_36716262930389121314[[#This Row],[累计净值]]/$B$21-1</f>
        <v>1.7907634307257503E-2</v>
      </c>
      <c r="H57" s="20">
        <f>表2_36716262930389121314[[#This Row],[累计净值]]/$B$51-1</f>
        <v>-1.3698630136986245E-2</v>
      </c>
    </row>
    <row r="58" spans="1:8">
      <c r="A58" s="15">
        <v>43907</v>
      </c>
      <c r="B58" s="16">
        <v>1.0840000000000001</v>
      </c>
      <c r="C58" s="73">
        <f t="shared" si="10"/>
        <v>4.0000000000000036E-3</v>
      </c>
      <c r="D58" s="18" t="str">
        <f t="shared" si="11"/>
        <v>/</v>
      </c>
      <c r="E58" s="18">
        <f ca="1">IF(表2_36716262930389121314[[#This Row],[累计净值]]/MAX(INDIRECT("B21:B" &amp; ROW()))-1&lt;E57,表2_36716262930389121314[[#This Row],[累计净值]]/MAX(INDIRECT("B21:B" &amp; ROW()))-1,E57)</f>
        <v>-1.3698630136986245E-2</v>
      </c>
      <c r="F58" s="62">
        <f>表2_36716262930389121314[[#This Row],[累计净值]]</f>
        <v>1.0840000000000001</v>
      </c>
      <c r="G58" s="20">
        <f>表2_36716262930389121314[[#This Row],[累计净值]]/$B$21-1</f>
        <v>2.1677662582469504E-2</v>
      </c>
      <c r="H58" s="20">
        <f>表2_36716262930389121314[[#This Row],[累计净值]]/$B$51-1</f>
        <v>-1.0045662100456543E-2</v>
      </c>
    </row>
    <row r="59" spans="1:8">
      <c r="A59" s="15">
        <v>43908</v>
      </c>
      <c r="B59" s="16">
        <v>1.0780000000000001</v>
      </c>
      <c r="C59" s="73">
        <f t="shared" si="10"/>
        <v>-6.0000000000000053E-3</v>
      </c>
      <c r="D59" s="18">
        <f t="shared" si="11"/>
        <v>-6.0000000000000053E-3</v>
      </c>
      <c r="E59" s="18">
        <f ca="1">IF(表2_36716262930389121314[[#This Row],[累计净值]]/MAX(INDIRECT("B21:B" &amp; ROW()))-1&lt;E58,表2_36716262930389121314[[#This Row],[累计净值]]/MAX(INDIRECT("B21:B" &amp; ROW()))-1,E58)</f>
        <v>-1.5525114155251041E-2</v>
      </c>
      <c r="F59" s="62">
        <f>表2_36716262930389121314[[#This Row],[累计净值]]</f>
        <v>1.0780000000000001</v>
      </c>
      <c r="G59" s="20">
        <f>表2_36716262930389121314[[#This Row],[累计净值]]/$B$21-1</f>
        <v>1.6022620169651391E-2</v>
      </c>
      <c r="H59" s="20">
        <f>表2_36716262930389121314[[#This Row],[累计净值]]/$B$51-1</f>
        <v>-1.5525114155251041E-2</v>
      </c>
    </row>
    <row r="60" spans="1:8">
      <c r="A60" s="15">
        <v>43909</v>
      </c>
      <c r="B60" s="16">
        <v>1.081</v>
      </c>
      <c r="C60" s="73">
        <f t="shared" si="10"/>
        <v>2.9999999999998916E-3</v>
      </c>
      <c r="D60" s="18" t="str">
        <f t="shared" si="11"/>
        <v>/</v>
      </c>
      <c r="E60" s="18">
        <f ca="1">IF(表2_36716262930389121314[[#This Row],[累计净值]]/MAX(INDIRECT("B21:B" &amp; ROW()))-1&lt;E59,表2_36716262930389121314[[#This Row],[累计净值]]/MAX(INDIRECT("B21:B" &amp; ROW()))-1,E59)</f>
        <v>-1.5525114155251041E-2</v>
      </c>
      <c r="F60" s="62">
        <f>表2_36716262930389121314[[#This Row],[累计净值]]</f>
        <v>1.081</v>
      </c>
      <c r="G60" s="20">
        <f>表2_36716262930389121314[[#This Row],[累计净值]]/$B$21-1</f>
        <v>1.8850141376060447E-2</v>
      </c>
      <c r="H60" s="20">
        <f>表2_36716262930389121314[[#This Row],[累计净值]]/$B$51-1</f>
        <v>-1.2785388127853903E-2</v>
      </c>
    </row>
    <row r="61" spans="1:8">
      <c r="A61" s="15">
        <v>43910</v>
      </c>
      <c r="B61" s="16">
        <v>1.0900000000000001</v>
      </c>
      <c r="C61" s="73">
        <f t="shared" si="10"/>
        <v>9.000000000000119E-3</v>
      </c>
      <c r="D61" s="18" t="str">
        <f t="shared" si="11"/>
        <v>/</v>
      </c>
      <c r="E61" s="18">
        <f ca="1">IF(表2_36716262930389121314[[#This Row],[累计净值]]/MAX(INDIRECT("B21:B" &amp; ROW()))-1&lt;E60,表2_36716262930389121314[[#This Row],[累计净值]]/MAX(INDIRECT("B21:B" &amp; ROW()))-1,E60)</f>
        <v>-1.5525114155251041E-2</v>
      </c>
      <c r="F61" s="62">
        <f>表2_36716262930389121314[[#This Row],[累计净值]]</f>
        <v>1.0900000000000001</v>
      </c>
      <c r="G61" s="20">
        <f>表2_36716262930389121314[[#This Row],[累计净值]]/$B$21-1</f>
        <v>2.7332704995287616E-2</v>
      </c>
      <c r="H61" s="20">
        <f>表2_36716262930389121314[[#This Row],[累计净值]]/$B$51-1</f>
        <v>-4.5662100456620447E-3</v>
      </c>
    </row>
    <row r="62" spans="1:8">
      <c r="A62" s="15">
        <v>43913</v>
      </c>
      <c r="B62" s="16">
        <v>1.083</v>
      </c>
      <c r="C62" s="73">
        <f t="shared" ref="C62:C68" si="12">IFERROR(B62-B61,0)</f>
        <v>-7.0000000000001172E-3</v>
      </c>
      <c r="D62" s="18">
        <f t="shared" ref="D62:D68" si="13">IF(C62&lt;0,C62,"/")</f>
        <v>-7.0000000000001172E-3</v>
      </c>
      <c r="E62" s="18">
        <f ca="1">IF(表2_36716262930389121314[[#This Row],[累计净值]]/MAX(INDIRECT("B21:B" &amp; ROW()))-1&lt;E61,表2_36716262930389121314[[#This Row],[累计净值]]/MAX(INDIRECT("B21:B" &amp; ROW()))-1,E61)</f>
        <v>-1.5525114155251041E-2</v>
      </c>
      <c r="F62" s="62">
        <f>表2_36716262930389121314[[#This Row],[累计净值]]</f>
        <v>1.083</v>
      </c>
      <c r="G62" s="20">
        <f>表2_36716262930389121314[[#This Row],[累计净值]]/$B$21-1</f>
        <v>2.0735155513666337E-2</v>
      </c>
      <c r="H62" s="20">
        <f>表2_36716262930389121314[[#This Row],[累计净值]]/$B$51-1</f>
        <v>-1.0958904109588996E-2</v>
      </c>
    </row>
    <row r="63" spans="1:8">
      <c r="A63" s="15">
        <v>43914</v>
      </c>
      <c r="B63" s="16">
        <v>1.0900000000000001</v>
      </c>
      <c r="C63" s="73">
        <f t="shared" si="12"/>
        <v>7.0000000000001172E-3</v>
      </c>
      <c r="D63" s="18" t="str">
        <f t="shared" si="13"/>
        <v>/</v>
      </c>
      <c r="E63" s="18">
        <f ca="1">IF(表2_36716262930389121314[[#This Row],[累计净值]]/MAX(INDIRECT("B21:B" &amp; ROW()))-1&lt;E62,表2_36716262930389121314[[#This Row],[累计净值]]/MAX(INDIRECT("B21:B" &amp; ROW()))-1,E62)</f>
        <v>-1.5525114155251041E-2</v>
      </c>
      <c r="F63" s="62">
        <f>表2_36716262930389121314[[#This Row],[累计净值]]</f>
        <v>1.0900000000000001</v>
      </c>
      <c r="G63" s="20">
        <f>表2_36716262930389121314[[#This Row],[累计净值]]/$B$21-1</f>
        <v>2.7332704995287616E-2</v>
      </c>
      <c r="H63" s="20">
        <f>表2_36716262930389121314[[#This Row],[累计净值]]/$B$51-1</f>
        <v>-4.5662100456620447E-3</v>
      </c>
    </row>
    <row r="64" spans="1:8">
      <c r="A64" s="15">
        <v>43915</v>
      </c>
      <c r="B64" s="16">
        <v>1.0960000000000001</v>
      </c>
      <c r="C64" s="73">
        <f t="shared" si="12"/>
        <v>6.0000000000000053E-3</v>
      </c>
      <c r="D64" s="18" t="str">
        <f t="shared" si="13"/>
        <v>/</v>
      </c>
      <c r="E64" s="18">
        <f ca="1">IF(表2_36716262930389121314[[#This Row],[累计净值]]/MAX(INDIRECT("B21:B" &amp; ROW()))-1&lt;E63,表2_36716262930389121314[[#This Row],[累计净值]]/MAX(INDIRECT("B21:B" &amp; ROW()))-1,E63)</f>
        <v>-1.5525114155251041E-2</v>
      </c>
      <c r="F64" s="62">
        <f>表2_36716262930389121314[[#This Row],[累计净值]]</f>
        <v>1.0960000000000001</v>
      </c>
      <c r="G64" s="20">
        <f>表2_36716262930389121314[[#This Row],[累计净值]]/$B$21-1</f>
        <v>3.2987747408105728E-2</v>
      </c>
      <c r="H64" s="20">
        <f>表2_36716262930389121314[[#This Row],[累计净值]]/$B$51-1</f>
        <v>9.1324200913245335E-4</v>
      </c>
    </row>
    <row r="65" spans="1:8">
      <c r="A65" s="15">
        <v>43916</v>
      </c>
      <c r="B65" s="76">
        <v>1.099</v>
      </c>
      <c r="C65" s="73">
        <f t="shared" si="12"/>
        <v>2.9999999999998916E-3</v>
      </c>
      <c r="D65" s="18" t="str">
        <f t="shared" si="13"/>
        <v>/</v>
      </c>
      <c r="E65" s="18">
        <f ca="1">IF(表2_36716262930389121314[[#This Row],[累计净值]]/MAX(INDIRECT("B21:B" &amp; ROW()))-1&lt;E64,表2_36716262930389121314[[#This Row],[累计净值]]/MAX(INDIRECT("B21:B" &amp; ROW()))-1,E64)</f>
        <v>-1.5525114155251041E-2</v>
      </c>
      <c r="F65" s="62">
        <f>表2_36716262930389121314[[#This Row],[累计净值]]</f>
        <v>1.099</v>
      </c>
      <c r="G65" s="20">
        <f>表2_36716262930389121314[[#This Row],[累计净值]]/$B$21-1</f>
        <v>3.5815268614514562E-2</v>
      </c>
      <c r="H65" s="20">
        <f>表2_36716262930389121314[[#This Row],[累计净值]]/$B$51-1</f>
        <v>3.6529680365295913E-3</v>
      </c>
    </row>
    <row r="66" spans="1:8">
      <c r="A66" s="15">
        <v>43917</v>
      </c>
      <c r="B66" s="16">
        <v>1.097</v>
      </c>
      <c r="C66" s="73">
        <f t="shared" si="12"/>
        <v>-2.0000000000000018E-3</v>
      </c>
      <c r="D66" s="18">
        <f t="shared" si="13"/>
        <v>-2.0000000000000018E-3</v>
      </c>
      <c r="E66" s="18">
        <f ca="1">IF(表2_36716262930389121314[[#This Row],[累计净值]]/MAX(INDIRECT("B21:B" &amp; ROW()))-1&lt;E65,表2_36716262930389121314[[#This Row],[累计净值]]/MAX(INDIRECT("B21:B" &amp; ROW()))-1,E65)</f>
        <v>-1.5525114155251041E-2</v>
      </c>
      <c r="F66" s="62">
        <f>表2_36716262930389121314[[#This Row],[累计净值]]</f>
        <v>1.097</v>
      </c>
      <c r="G66" s="20">
        <f>表2_36716262930389121314[[#This Row],[累计净值]]/$B$21-1</f>
        <v>3.3930254476908672E-2</v>
      </c>
      <c r="H66" s="20">
        <f>表2_36716262930389121314[[#This Row],[累计净值]]/$B$51-1</f>
        <v>1.8264840182649067E-3</v>
      </c>
    </row>
    <row r="67" spans="1:8">
      <c r="A67" s="15">
        <v>43920</v>
      </c>
      <c r="B67" s="16">
        <v>1.093</v>
      </c>
      <c r="C67" s="73">
        <f t="shared" si="12"/>
        <v>-4.0000000000000036E-3</v>
      </c>
      <c r="D67" s="18">
        <f t="shared" si="13"/>
        <v>-4.0000000000000036E-3</v>
      </c>
      <c r="E67" s="18">
        <f ca="1">IF(表2_36716262930389121314[[#This Row],[累计净值]]/MAX(INDIRECT("B21:B" &amp; ROW()))-1&lt;E66,表2_36716262930389121314[[#This Row],[累计净值]]/MAX(INDIRECT("B21:B" &amp; ROW()))-1,E66)</f>
        <v>-1.5525114155251041E-2</v>
      </c>
      <c r="F67" s="62">
        <f>表2_36716262930389121314[[#This Row],[累计净值]]</f>
        <v>1.093</v>
      </c>
      <c r="G67" s="20">
        <f>表2_36716262930389121314[[#This Row],[累计净值]]/$B$21-1</f>
        <v>3.016022620169645E-2</v>
      </c>
      <c r="H67" s="20">
        <f>表2_36716262930389121314[[#This Row],[累计净值]]/$B$51-1</f>
        <v>-1.8264840182647957E-3</v>
      </c>
    </row>
    <row r="68" spans="1:8">
      <c r="A68" s="15">
        <v>43921</v>
      </c>
      <c r="B68" s="16">
        <v>1.097</v>
      </c>
      <c r="C68" s="73">
        <f t="shared" si="12"/>
        <v>4.0000000000000036E-3</v>
      </c>
      <c r="D68" s="18" t="str">
        <f t="shared" si="13"/>
        <v>/</v>
      </c>
      <c r="E68" s="18">
        <f ca="1">IF(表2_36716262930389121314[[#This Row],[累计净值]]/MAX(INDIRECT("B21:B" &amp; ROW()))-1&lt;E67,表2_36716262930389121314[[#This Row],[累计净值]]/MAX(INDIRECT("B21:B" &amp; ROW()))-1,E67)</f>
        <v>-1.5525114155251041E-2</v>
      </c>
      <c r="F68" s="62">
        <f>表2_36716262930389121314[[#This Row],[累计净值]]</f>
        <v>1.097</v>
      </c>
      <c r="G68" s="20">
        <f>表2_36716262930389121314[[#This Row],[累计净值]]/$B$21-1</f>
        <v>3.3930254476908672E-2</v>
      </c>
      <c r="H68" s="20">
        <f>表2_36716262930389121314[[#This Row],[累计净值]]/$B$51-1</f>
        <v>1.8264840182649067E-3</v>
      </c>
    </row>
    <row r="69" spans="1:8">
      <c r="A69" s="15">
        <v>43922</v>
      </c>
      <c r="B69" s="16">
        <v>1.095</v>
      </c>
      <c r="C69" s="73">
        <f t="shared" ref="C69:C74" si="14">IFERROR(B69-B68,0)</f>
        <v>-2.0000000000000018E-3</v>
      </c>
      <c r="D69" s="18">
        <f t="shared" ref="D69:D74" si="15">IF(C69&lt;0,C69,"/")</f>
        <v>-2.0000000000000018E-3</v>
      </c>
      <c r="E69" s="18">
        <f ca="1">IF(表2_36716262930389121314[[#This Row],[累计净值]]/MAX(INDIRECT("B21:B" &amp; ROW()))-1&lt;E68,表2_36716262930389121314[[#This Row],[累计净值]]/MAX(INDIRECT("B21:B" &amp; ROW()))-1,E68)</f>
        <v>-1.5525114155251041E-2</v>
      </c>
      <c r="F69" s="62">
        <f>表2_36716262930389121314[[#This Row],[累计净值]]</f>
        <v>1.095</v>
      </c>
      <c r="G69" s="20">
        <f>表2_36716262930389121314[[#This Row],[累计净值]]/$B$21-1</f>
        <v>3.2045240339302561E-2</v>
      </c>
      <c r="H69" s="20">
        <f>表2_36716262930389121314[[#This Row],[累计净值]]/$B$51-1</f>
        <v>0</v>
      </c>
    </row>
    <row r="70" spans="1:8">
      <c r="A70" s="15">
        <v>43923</v>
      </c>
      <c r="B70" s="16">
        <v>1.0980000000000001</v>
      </c>
      <c r="C70" s="73">
        <f t="shared" si="14"/>
        <v>3.0000000000001137E-3</v>
      </c>
      <c r="D70" s="18" t="str">
        <f t="shared" si="15"/>
        <v>/</v>
      </c>
      <c r="E70" s="18">
        <f ca="1">IF(表2_36716262930389121314[[#This Row],[累计净值]]/MAX(INDIRECT("B21:B" &amp; ROW()))-1&lt;E69,表2_36716262930389121314[[#This Row],[累计净值]]/MAX(INDIRECT("B21:B" &amp; ROW()))-1,E69)</f>
        <v>-1.5525114155251041E-2</v>
      </c>
      <c r="F70" s="62">
        <f>表2_36716262930389121314[[#This Row],[累计净值]]</f>
        <v>1.0980000000000001</v>
      </c>
      <c r="G70" s="20">
        <f>表2_36716262930389121314[[#This Row],[累计净值]]/$B$21-1</f>
        <v>3.4872761545711839E-2</v>
      </c>
      <c r="H70" s="20">
        <f>表2_36716262930389121314[[#This Row],[累计净值]]/$B$51-1</f>
        <v>2.73972602739736E-3</v>
      </c>
    </row>
    <row r="71" spans="1:8">
      <c r="A71" s="15">
        <v>43924</v>
      </c>
      <c r="B71" s="16">
        <v>1.0960000000000001</v>
      </c>
      <c r="C71" s="73">
        <f t="shared" si="14"/>
        <v>-2.0000000000000018E-3</v>
      </c>
      <c r="D71" s="18">
        <f t="shared" si="15"/>
        <v>-2.0000000000000018E-3</v>
      </c>
      <c r="E71" s="18">
        <f ca="1">IF(表2_36716262930389121314[[#This Row],[累计净值]]/MAX(INDIRECT("B21:B" &amp; ROW()))-1&lt;E70,表2_36716262930389121314[[#This Row],[累计净值]]/MAX(INDIRECT("B21:B" &amp; ROW()))-1,E70)</f>
        <v>-1.5525114155251041E-2</v>
      </c>
      <c r="F71" s="62">
        <f>表2_36716262930389121314[[#This Row],[累计净值]]</f>
        <v>1.0960000000000001</v>
      </c>
      <c r="G71" s="20">
        <f>表2_36716262930389121314[[#This Row],[累计净值]]/$B$21-1</f>
        <v>3.2987747408105728E-2</v>
      </c>
      <c r="H71" s="20">
        <f>表2_36716262930389121314[[#This Row],[累计净值]]/$B$51-1</f>
        <v>9.1324200913245335E-4</v>
      </c>
    </row>
    <row r="72" spans="1:8">
      <c r="A72" s="15">
        <v>43928</v>
      </c>
      <c r="B72" s="16">
        <v>1.099</v>
      </c>
      <c r="C72" s="73">
        <f t="shared" si="14"/>
        <v>2.9999999999998916E-3</v>
      </c>
      <c r="D72" s="18" t="str">
        <f t="shared" si="15"/>
        <v>/</v>
      </c>
      <c r="E72" s="18">
        <f ca="1">IF(表2_36716262930389121314[[#This Row],[累计净值]]/MAX(INDIRECT("B21:B" &amp; ROW()))-1&lt;E71,表2_36716262930389121314[[#This Row],[累计净值]]/MAX(INDIRECT("B21:B" &amp; ROW()))-1,E71)</f>
        <v>-1.5525114155251041E-2</v>
      </c>
      <c r="F72" s="62">
        <f>表2_36716262930389121314[[#This Row],[累计净值]]</f>
        <v>1.099</v>
      </c>
      <c r="G72" s="20">
        <f>表2_36716262930389121314[[#This Row],[累计净值]]/$B$21-1</f>
        <v>3.5815268614514562E-2</v>
      </c>
      <c r="H72" s="20">
        <f>表2_36716262930389121314[[#This Row],[累计净值]]/$B$51-1</f>
        <v>3.6529680365295913E-3</v>
      </c>
    </row>
    <row r="73" spans="1:8">
      <c r="A73" s="15">
        <v>43929</v>
      </c>
      <c r="B73" s="16">
        <v>1.0980000000000001</v>
      </c>
      <c r="C73" s="73">
        <f t="shared" si="14"/>
        <v>-9.9999999999988987E-4</v>
      </c>
      <c r="D73" s="18">
        <f t="shared" si="15"/>
        <v>-9.9999999999988987E-4</v>
      </c>
      <c r="E73" s="18">
        <f ca="1">IF(表2_36716262930389121314[[#This Row],[累计净值]]/MAX(INDIRECT("B21:B" &amp; ROW()))-1&lt;E72,表2_36716262930389121314[[#This Row],[累计净值]]/MAX(INDIRECT("B21:B" &amp; ROW()))-1,E72)</f>
        <v>-1.5525114155251041E-2</v>
      </c>
      <c r="F73" s="62">
        <f>表2_36716262930389121314[[#This Row],[累计净值]]</f>
        <v>1.0980000000000001</v>
      </c>
      <c r="G73" s="20">
        <f>表2_36716262930389121314[[#This Row],[累计净值]]/$B$21-1</f>
        <v>3.4872761545711839E-2</v>
      </c>
      <c r="H73" s="20">
        <f>表2_36716262930389121314[[#This Row],[累计净值]]/$B$51-1</f>
        <v>2.73972602739736E-3</v>
      </c>
    </row>
    <row r="74" spans="1:8">
      <c r="A74" s="15">
        <v>43930</v>
      </c>
      <c r="B74" s="16">
        <v>1.103</v>
      </c>
      <c r="C74" s="73">
        <f t="shared" si="14"/>
        <v>4.9999999999998934E-3</v>
      </c>
      <c r="D74" s="18" t="str">
        <f t="shared" si="15"/>
        <v>/</v>
      </c>
      <c r="E74" s="18">
        <f ca="1">IF(表2_36716262930389121314[[#This Row],[累计净值]]/MAX(INDIRECT("B21:B" &amp; ROW()))-1&lt;E73,表2_36716262930389121314[[#This Row],[累计净值]]/MAX(INDIRECT("B21:B" &amp; ROW()))-1,E73)</f>
        <v>-1.5525114155251041E-2</v>
      </c>
      <c r="F74" s="62">
        <f>表2_36716262930389121314[[#This Row],[累计净值]]</f>
        <v>1.103</v>
      </c>
      <c r="G74" s="20">
        <f>表2_36716262930389121314[[#This Row],[累计净值]]/$B$21-1</f>
        <v>3.9585296889726784E-2</v>
      </c>
      <c r="H74" s="20">
        <f>表2_36716262930389121314[[#This Row],[累计净值]]/$B$51-1</f>
        <v>7.3059360730594047E-3</v>
      </c>
    </row>
    <row r="75" spans="1:8">
      <c r="A75" s="15">
        <v>43931</v>
      </c>
      <c r="B75" s="16">
        <v>1.1040000000000001</v>
      </c>
      <c r="C75" s="73">
        <f t="shared" ref="C75:C80" si="16">IFERROR(B75-B74,0)</f>
        <v>1.0000000000001119E-3</v>
      </c>
      <c r="D75" s="18" t="str">
        <f t="shared" ref="D75:D80" si="17">IF(C75&lt;0,C75,"/")</f>
        <v>/</v>
      </c>
      <c r="E75" s="18">
        <f ca="1">IF(表2_36716262930389121314[[#This Row],[累计净值]]/MAX(INDIRECT("B21:B" &amp; ROW()))-1&lt;E74,表2_36716262930389121314[[#This Row],[累计净值]]/MAX(INDIRECT("B21:B" &amp; ROW()))-1,E74)</f>
        <v>-1.5525114155251041E-2</v>
      </c>
      <c r="F75" s="62">
        <f>表2_36716262930389121314[[#This Row],[累计净值]]</f>
        <v>1.1040000000000001</v>
      </c>
      <c r="G75" s="20">
        <f>表2_36716262930389121314[[#This Row],[累计净值]]/$B$21-1</f>
        <v>4.0527803958529729E-2</v>
      </c>
      <c r="H75" s="20">
        <f>表2_36716262930389121314[[#This Row],[累计净值]]/$B$51-1</f>
        <v>8.2191780821918581E-3</v>
      </c>
    </row>
    <row r="76" spans="1:8">
      <c r="A76" s="15">
        <v>43934</v>
      </c>
      <c r="B76" s="16">
        <v>1.105</v>
      </c>
      <c r="C76" s="73">
        <f t="shared" si="16"/>
        <v>9.9999999999988987E-4</v>
      </c>
      <c r="D76" s="18" t="str">
        <f t="shared" si="17"/>
        <v>/</v>
      </c>
      <c r="E76" s="18">
        <f ca="1">IF(表2_36716262930389121314[[#This Row],[累计净值]]/MAX(INDIRECT("B21:B" &amp; ROW()))-1&lt;E75,表2_36716262930389121314[[#This Row],[累计净值]]/MAX(INDIRECT("B21:B" &amp; ROW()))-1,E75)</f>
        <v>-1.5525114155251041E-2</v>
      </c>
      <c r="F76" s="62">
        <f>表2_36716262930389121314[[#This Row],[累计净值]]</f>
        <v>1.105</v>
      </c>
      <c r="G76" s="20">
        <f>表2_36716262930389121314[[#This Row],[累计净值]]/$B$21-1</f>
        <v>4.1470311027332674E-2</v>
      </c>
      <c r="H76" s="20">
        <f>表2_36716262930389121314[[#This Row],[累计净值]]/$B$51-1</f>
        <v>9.1324200913243114E-3</v>
      </c>
    </row>
    <row r="77" spans="1:8">
      <c r="A77" s="15">
        <v>43935</v>
      </c>
      <c r="B77" s="16">
        <v>1.107</v>
      </c>
      <c r="C77" s="73">
        <f t="shared" si="16"/>
        <v>2.0000000000000018E-3</v>
      </c>
      <c r="D77" s="18" t="str">
        <f t="shared" si="17"/>
        <v>/</v>
      </c>
      <c r="E77" s="18">
        <f ca="1">IF(表2_36716262930389121314[[#This Row],[累计净值]]/MAX(INDIRECT("B21:B" &amp; ROW()))-1&lt;E76,表2_36716262930389121314[[#This Row],[累计净值]]/MAX(INDIRECT("B21:B" &amp; ROW()))-1,E76)</f>
        <v>-1.5525114155251041E-2</v>
      </c>
      <c r="F77" s="62">
        <f>表2_36716262930389121314[[#This Row],[累计净值]]</f>
        <v>1.107</v>
      </c>
      <c r="G77" s="20">
        <f>表2_36716262930389121314[[#This Row],[累计净值]]/$B$21-1</f>
        <v>4.3355325164938785E-2</v>
      </c>
      <c r="H77" s="20">
        <f>表2_36716262930389121314[[#This Row],[累计净值]]/$B$51-1</f>
        <v>1.0958904109588996E-2</v>
      </c>
    </row>
    <row r="78" spans="1:8">
      <c r="A78" s="15">
        <v>43936</v>
      </c>
      <c r="B78" s="16">
        <v>1.1080000000000001</v>
      </c>
      <c r="C78" s="73">
        <f t="shared" si="16"/>
        <v>1.0000000000001119E-3</v>
      </c>
      <c r="D78" s="18" t="str">
        <f t="shared" si="17"/>
        <v>/</v>
      </c>
      <c r="E78" s="18">
        <f ca="1">IF(表2_36716262930389121314[[#This Row],[累计净值]]/MAX(INDIRECT("B21:B" &amp; ROW()))-1&lt;E77,表2_36716262930389121314[[#This Row],[累计净值]]/MAX(INDIRECT("B21:B" &amp; ROW()))-1,E77)</f>
        <v>-1.5525114155251041E-2</v>
      </c>
      <c r="F78" s="62">
        <f>表2_36716262930389121314[[#This Row],[累计净值]]</f>
        <v>1.1080000000000001</v>
      </c>
      <c r="G78" s="20">
        <f>表2_36716262930389121314[[#This Row],[累计净值]]/$B$21-1</f>
        <v>4.4297832233741952E-2</v>
      </c>
      <c r="H78" s="20">
        <f>表2_36716262930389121314[[#This Row],[累计净值]]/$B$51-1</f>
        <v>1.1872146118721671E-2</v>
      </c>
    </row>
    <row r="79" spans="1:8">
      <c r="A79" s="15">
        <v>43937</v>
      </c>
      <c r="B79" s="96">
        <v>1.111</v>
      </c>
      <c r="C79" s="94">
        <f t="shared" si="16"/>
        <v>2.9999999999998916E-3</v>
      </c>
      <c r="D79" s="95" t="str">
        <f t="shared" si="17"/>
        <v>/</v>
      </c>
      <c r="E79" s="95">
        <f ca="1">IF(表2_36716262930389121314[[#This Row],[累计净值]]/MAX(INDIRECT("B21:B" &amp; ROW()))-1&lt;E78,表2_36716262930389121314[[#This Row],[累计净值]]/MAX(INDIRECT("B21:B" &amp; ROW()))-1,E78)</f>
        <v>-1.5525114155251041E-2</v>
      </c>
      <c r="F79" s="97">
        <f>表2_36716262930389121314[[#This Row],[累计净值]]</f>
        <v>1.111</v>
      </c>
      <c r="G79" s="20">
        <f>表2_36716262930389121314[[#This Row],[累计净值]]/$B$21-1</f>
        <v>4.7125353440150786E-2</v>
      </c>
      <c r="H79" s="20">
        <f>表2_36716262930389121314[[#This Row],[累计净值]]/$B$51-1</f>
        <v>1.4611872146118809E-2</v>
      </c>
    </row>
    <row r="80" spans="1:8">
      <c r="A80" s="15">
        <v>43938</v>
      </c>
      <c r="B80" s="96">
        <v>1.1140000000000001</v>
      </c>
      <c r="C80" s="94">
        <f t="shared" si="16"/>
        <v>3.0000000000001137E-3</v>
      </c>
      <c r="D80" s="95" t="str">
        <f t="shared" si="17"/>
        <v>/</v>
      </c>
      <c r="E80" s="95">
        <f ca="1">IF(表2_36716262930389121314[[#This Row],[累计净值]]/MAX(INDIRECT("B21:B" &amp; ROW()))-1&lt;E79,表2_36716262930389121314[[#This Row],[累计净值]]/MAX(INDIRECT("B21:B" &amp; ROW()))-1,E79)</f>
        <v>-1.5525114155251041E-2</v>
      </c>
      <c r="F80" s="97">
        <f>表2_36716262930389121314[[#This Row],[累计净值]]</f>
        <v>1.1140000000000001</v>
      </c>
      <c r="G80" s="20">
        <f>表2_36716262930389121314[[#This Row],[累计净值]]/$B$21-1</f>
        <v>4.9952874646560064E-2</v>
      </c>
      <c r="H80" s="20">
        <f>表2_36716262930389121314[[#This Row],[累计净值]]/$B$51-1</f>
        <v>1.735159817351617E-2</v>
      </c>
    </row>
    <row r="81" spans="1:8">
      <c r="A81" s="15">
        <v>43941</v>
      </c>
      <c r="B81" s="76">
        <v>1.119</v>
      </c>
      <c r="C81" s="94">
        <f t="shared" ref="C81:C86" si="18">IFERROR(B81-B80,0)</f>
        <v>4.9999999999998934E-3</v>
      </c>
      <c r="D81" s="95" t="str">
        <f t="shared" ref="D81:D86" si="19">IF(C81&lt;0,C81,"/")</f>
        <v>/</v>
      </c>
      <c r="E81" s="95">
        <f ca="1">IF(表2_36716262930389121314[[#This Row],[累计净值]]/MAX(INDIRECT("B21:B" &amp; ROW()))-1&lt;E80,表2_36716262930389121314[[#This Row],[累计净值]]/MAX(INDIRECT("B21:B" &amp; ROW()))-1,E80)</f>
        <v>-1.5525114155251041E-2</v>
      </c>
      <c r="F81" s="97">
        <f>表2_36716262930389121314[[#This Row],[累计净值]]</f>
        <v>1.119</v>
      </c>
      <c r="G81" s="20">
        <f>表2_36716262930389121314[[#This Row],[累计净值]]/$B$21-1</f>
        <v>5.4665409990575009E-2</v>
      </c>
      <c r="H81" s="20">
        <f>表2_36716262930389121314[[#This Row],[累计净值]]/$B$51-1</f>
        <v>2.1917808219177992E-2</v>
      </c>
    </row>
    <row r="82" spans="1:8">
      <c r="A82" s="15">
        <v>43942</v>
      </c>
      <c r="B82" s="96">
        <v>1.1160000000000001</v>
      </c>
      <c r="C82" s="94">
        <f t="shared" si="18"/>
        <v>-2.9999999999998916E-3</v>
      </c>
      <c r="D82" s="95">
        <f t="shared" si="19"/>
        <v>-2.9999999999998916E-3</v>
      </c>
      <c r="E82" s="95">
        <f ca="1">IF(表2_36716262930389121314[[#This Row],[累计净值]]/MAX(INDIRECT("B21:B" &amp; ROW()))-1&lt;E81,表2_36716262930389121314[[#This Row],[累计净值]]/MAX(INDIRECT("B21:B" &amp; ROW()))-1,E81)</f>
        <v>-1.5525114155251041E-2</v>
      </c>
      <c r="F82" s="97">
        <f>表2_36716262930389121314[[#This Row],[累计净值]]</f>
        <v>1.1160000000000001</v>
      </c>
      <c r="G82" s="20">
        <f>表2_36716262930389121314[[#This Row],[累计净值]]/$B$21-1</f>
        <v>5.1837888784165953E-2</v>
      </c>
      <c r="H82" s="20">
        <f>表2_36716262930389121314[[#This Row],[累计净值]]/$B$51-1</f>
        <v>1.9178082191780854E-2</v>
      </c>
    </row>
    <row r="83" spans="1:8">
      <c r="A83" s="15">
        <v>43943</v>
      </c>
      <c r="B83" s="76">
        <v>1.1220000000000001</v>
      </c>
      <c r="C83" s="94">
        <f t="shared" si="18"/>
        <v>6.0000000000000053E-3</v>
      </c>
      <c r="D83" s="95" t="str">
        <f t="shared" si="19"/>
        <v>/</v>
      </c>
      <c r="E83" s="95">
        <f ca="1">IF(表2_36716262930389121314[[#This Row],[累计净值]]/MAX(INDIRECT("B21:B" &amp; ROW()))-1&lt;E82,表2_36716262930389121314[[#This Row],[累计净值]]/MAX(INDIRECT("B21:B" &amp; ROW()))-1,E82)</f>
        <v>-1.5525114155251041E-2</v>
      </c>
      <c r="F83" s="97">
        <f>表2_36716262930389121314[[#This Row],[累计净值]]</f>
        <v>1.1220000000000001</v>
      </c>
      <c r="G83" s="20">
        <f>表2_36716262930389121314[[#This Row],[累计净值]]/$B$21-1</f>
        <v>5.7492931196984065E-2</v>
      </c>
      <c r="H83" s="20">
        <f>表2_36716262930389121314[[#This Row],[累计净值]]/$B$51-1</f>
        <v>2.4657534246575574E-2</v>
      </c>
    </row>
    <row r="84" spans="1:8">
      <c r="A84" s="15">
        <v>43944</v>
      </c>
      <c r="B84" s="96">
        <v>1.1200000000000001</v>
      </c>
      <c r="C84" s="94">
        <f t="shared" si="18"/>
        <v>-2.0000000000000018E-3</v>
      </c>
      <c r="D84" s="95">
        <f t="shared" si="19"/>
        <v>-2.0000000000000018E-3</v>
      </c>
      <c r="E84" s="95">
        <f ca="1">IF(表2_36716262930389121314[[#This Row],[累计净值]]/MAX(INDIRECT("B21:B" &amp; ROW()))-1&lt;E83,表2_36716262930389121314[[#This Row],[累计净值]]/MAX(INDIRECT("B21:B" &amp; ROW()))-1,E83)</f>
        <v>-1.5525114155251041E-2</v>
      </c>
      <c r="F84" s="97">
        <f>表2_36716262930389121314[[#This Row],[累计净值]]</f>
        <v>1.1200000000000001</v>
      </c>
      <c r="G84" s="20">
        <f>表2_36716262930389121314[[#This Row],[累计净值]]/$B$21-1</f>
        <v>5.5607917059378176E-2</v>
      </c>
      <c r="H84" s="20">
        <f>表2_36716262930389121314[[#This Row],[累计净值]]/$B$51-1</f>
        <v>2.2831050228310668E-2</v>
      </c>
    </row>
    <row r="85" spans="1:8">
      <c r="A85" s="15">
        <v>43945</v>
      </c>
      <c r="B85" s="96">
        <v>1.1160000000000001</v>
      </c>
      <c r="C85" s="94">
        <f t="shared" si="18"/>
        <v>-4.0000000000000036E-3</v>
      </c>
      <c r="D85" s="95">
        <f t="shared" si="19"/>
        <v>-4.0000000000000036E-3</v>
      </c>
      <c r="E85" s="95">
        <f ca="1">IF(表2_36716262930389121314[[#This Row],[累计净值]]/MAX(INDIRECT("B21:B" &amp; ROW()))-1&lt;E84,表2_36716262930389121314[[#This Row],[累计净值]]/MAX(INDIRECT("B21:B" &amp; ROW()))-1,E84)</f>
        <v>-1.5525114155251041E-2</v>
      </c>
      <c r="F85" s="97">
        <f>表2_36716262930389121314[[#This Row],[累计净值]]</f>
        <v>1.1160000000000001</v>
      </c>
      <c r="G85" s="20">
        <f>表2_36716262930389121314[[#This Row],[累计净值]]/$B$21-1</f>
        <v>5.1837888784165953E-2</v>
      </c>
      <c r="H85" s="20">
        <f>表2_36716262930389121314[[#This Row],[累计净值]]/$B$51-1</f>
        <v>1.9178082191780854E-2</v>
      </c>
    </row>
    <row r="86" spans="1:8">
      <c r="A86" s="15">
        <v>43948</v>
      </c>
      <c r="B86" s="96">
        <v>1.1160000000000001</v>
      </c>
      <c r="C86" s="94">
        <f t="shared" si="18"/>
        <v>0</v>
      </c>
      <c r="D86" s="95" t="str">
        <f t="shared" si="19"/>
        <v>/</v>
      </c>
      <c r="E86" s="95">
        <f ca="1">IF(表2_36716262930389121314[[#This Row],[累计净值]]/MAX(INDIRECT("B21:B" &amp; ROW()))-1&lt;E85,表2_36716262930389121314[[#This Row],[累计净值]]/MAX(INDIRECT("B21:B" &amp; ROW()))-1,E85)</f>
        <v>-1.5525114155251041E-2</v>
      </c>
      <c r="F86" s="97">
        <f>表2_36716262930389121314[[#This Row],[累计净值]]</f>
        <v>1.1160000000000001</v>
      </c>
      <c r="G86" s="20">
        <f>表2_36716262930389121314[[#This Row],[累计净值]]/$B$21-1</f>
        <v>5.1837888784165953E-2</v>
      </c>
      <c r="H86" s="20">
        <f>表2_36716262930389121314[[#This Row],[累计净值]]/$B$51-1</f>
        <v>1.9178082191780854E-2</v>
      </c>
    </row>
    <row r="87" spans="1:8">
      <c r="A87" s="15">
        <v>43949</v>
      </c>
      <c r="B87" s="96">
        <v>1.119</v>
      </c>
      <c r="C87" s="94">
        <f t="shared" ref="C87:C93" si="20">IFERROR(B87-B86,0)</f>
        <v>2.9999999999998916E-3</v>
      </c>
      <c r="D87" s="95" t="str">
        <f t="shared" ref="D87:D93" si="21">IF(C87&lt;0,C87,"/")</f>
        <v>/</v>
      </c>
      <c r="E87" s="95">
        <f ca="1">IF(表2_36716262930389121314[[#This Row],[累计净值]]/MAX(INDIRECT("B21:B" &amp; ROW()))-1&lt;E86,表2_36716262930389121314[[#This Row],[累计净值]]/MAX(INDIRECT("B21:B" &amp; ROW()))-1,E86)</f>
        <v>-1.5525114155251041E-2</v>
      </c>
      <c r="F87" s="97">
        <f>表2_36716262930389121314[[#This Row],[累计净值]]</f>
        <v>1.119</v>
      </c>
      <c r="G87" s="20">
        <f>表2_36716262930389121314[[#This Row],[累计净值]]/$B$21-1</f>
        <v>5.4665409990575009E-2</v>
      </c>
      <c r="H87" s="20">
        <f>表2_36716262930389121314[[#This Row],[累计净值]]/$B$51-1</f>
        <v>2.1917808219177992E-2</v>
      </c>
    </row>
    <row r="88" spans="1:8">
      <c r="A88" s="15">
        <v>43950</v>
      </c>
      <c r="B88" s="96">
        <v>1.1180000000000001</v>
      </c>
      <c r="C88" s="94">
        <f t="shared" si="20"/>
        <v>-9.9999999999988987E-4</v>
      </c>
      <c r="D88" s="95">
        <f t="shared" si="21"/>
        <v>-9.9999999999988987E-4</v>
      </c>
      <c r="E88" s="95">
        <f ca="1">IF(表2_36716262930389121314[[#This Row],[累计净值]]/MAX(INDIRECT("B21:B" &amp; ROW()))-1&lt;E87,表2_36716262930389121314[[#This Row],[累计净值]]/MAX(INDIRECT("B21:B" &amp; ROW()))-1,E87)</f>
        <v>-1.5525114155251041E-2</v>
      </c>
      <c r="F88" s="97">
        <f>表2_36716262930389121314[[#This Row],[累计净值]]</f>
        <v>1.1180000000000001</v>
      </c>
      <c r="G88" s="20">
        <f>表2_36716262930389121314[[#This Row],[累计净值]]/$B$21-1</f>
        <v>5.3722902921772064E-2</v>
      </c>
      <c r="H88" s="20">
        <f>表2_36716262930389121314[[#This Row],[累计净值]]/$B$51-1</f>
        <v>2.1004566210045761E-2</v>
      </c>
    </row>
    <row r="89" spans="1:8">
      <c r="A89" s="15">
        <v>43951</v>
      </c>
      <c r="B89" s="96">
        <v>1.1120000000000001</v>
      </c>
      <c r="C89" s="94">
        <f t="shared" si="20"/>
        <v>-6.0000000000000053E-3</v>
      </c>
      <c r="D89" s="95">
        <f t="shared" si="21"/>
        <v>-6.0000000000000053E-3</v>
      </c>
      <c r="E89" s="95">
        <f ca="1">IF(表2_36716262930389121314[[#This Row],[累计净值]]/MAX(INDIRECT("B21:B" &amp; ROW()))-1&lt;E88,表2_36716262930389121314[[#This Row],[累计净值]]/MAX(INDIRECT("B21:B" &amp; ROW()))-1,E88)</f>
        <v>-1.5525114155251041E-2</v>
      </c>
      <c r="F89" s="97">
        <f>表2_36716262930389121314[[#This Row],[累计净值]]</f>
        <v>1.1120000000000001</v>
      </c>
      <c r="G89" s="20">
        <f>表2_36716262930389121314[[#This Row],[累计净值]]/$B$21-1</f>
        <v>4.8067860508953952E-2</v>
      </c>
      <c r="H89" s="20">
        <f>表2_36716262930389121314[[#This Row],[累计净值]]/$B$51-1</f>
        <v>1.5525114155251263E-2</v>
      </c>
    </row>
    <row r="90" spans="1:8">
      <c r="A90" s="15">
        <v>43957</v>
      </c>
      <c r="B90" s="96">
        <v>1.115</v>
      </c>
      <c r="C90" s="94">
        <f t="shared" si="20"/>
        <v>2.9999999999998916E-3</v>
      </c>
      <c r="D90" s="95" t="str">
        <f t="shared" si="21"/>
        <v>/</v>
      </c>
      <c r="E90" s="95">
        <f ca="1">IF(表2_36716262930389121314[[#This Row],[累计净值]]/MAX(INDIRECT("B21:B" &amp; ROW()))-1&lt;E89,表2_36716262930389121314[[#This Row],[累计净值]]/MAX(INDIRECT("B21:B" &amp; ROW()))-1,E89)</f>
        <v>-1.5525114155251041E-2</v>
      </c>
      <c r="F90" s="97">
        <f>表2_36716262930389121314[[#This Row],[累计净值]]</f>
        <v>1.115</v>
      </c>
      <c r="G90" s="20">
        <f>表2_36716262930389121314[[#This Row],[累计净值]]/$B$21-1</f>
        <v>5.0895381715363008E-2</v>
      </c>
      <c r="H90" s="20">
        <f>表2_36716262930389121314[[#This Row],[累计净值]]/$B$51-1</f>
        <v>1.8264840182648401E-2</v>
      </c>
    </row>
    <row r="91" spans="1:8">
      <c r="A91" s="15">
        <v>43958</v>
      </c>
      <c r="B91" s="104">
        <v>1.115</v>
      </c>
      <c r="C91" s="101">
        <f t="shared" si="20"/>
        <v>0</v>
      </c>
      <c r="D91" s="102" t="str">
        <f t="shared" si="21"/>
        <v>/</v>
      </c>
      <c r="E91" s="102">
        <f ca="1">IF(表2_36716262930389121314[[#This Row],[累计净值]]/MAX(INDIRECT("B21:B" &amp; ROW()))-1&lt;E90,表2_36716262930389121314[[#This Row],[累计净值]]/MAX(INDIRECT("B21:B" &amp; ROW()))-1,E90)</f>
        <v>-1.5525114155251041E-2</v>
      </c>
      <c r="F91" s="103">
        <f>表2_36716262930389121314[[#This Row],[累计净值]]</f>
        <v>1.115</v>
      </c>
      <c r="G91" s="20">
        <f>表2_36716262930389121314[[#This Row],[累计净值]]/$B$21-1</f>
        <v>5.0895381715363008E-2</v>
      </c>
      <c r="H91" s="20">
        <f>表2_36716262930389121314[[#This Row],[累计净值]]/$B$51-1</f>
        <v>1.8264840182648401E-2</v>
      </c>
    </row>
    <row r="92" spans="1:8">
      <c r="A92" s="15">
        <v>43959</v>
      </c>
      <c r="B92" s="104">
        <v>1.1200000000000001</v>
      </c>
      <c r="C92" s="101">
        <f t="shared" si="20"/>
        <v>5.0000000000001155E-3</v>
      </c>
      <c r="D92" s="102" t="str">
        <f t="shared" si="21"/>
        <v>/</v>
      </c>
      <c r="E92" s="102">
        <f ca="1">IF(表2_36716262930389121314[[#This Row],[累计净值]]/MAX(INDIRECT("B21:B" &amp; ROW()))-1&lt;E91,表2_36716262930389121314[[#This Row],[累计净值]]/MAX(INDIRECT("B21:B" &amp; ROW()))-1,E91)</f>
        <v>-1.5525114155251041E-2</v>
      </c>
      <c r="F92" s="103">
        <f>表2_36716262930389121314[[#This Row],[累计净值]]</f>
        <v>1.1200000000000001</v>
      </c>
      <c r="G92" s="20">
        <f>表2_36716262930389121314[[#This Row],[累计净值]]/$B$21-1</f>
        <v>5.5607917059378176E-2</v>
      </c>
      <c r="H92" s="20">
        <f>表2_36716262930389121314[[#This Row],[累计净值]]/$B$51-1</f>
        <v>2.2831050228310668E-2</v>
      </c>
    </row>
    <row r="93" spans="1:8">
      <c r="A93" s="15">
        <v>43962</v>
      </c>
      <c r="B93" s="104">
        <v>1.1240000000000001</v>
      </c>
      <c r="C93" s="101">
        <f t="shared" si="20"/>
        <v>4.0000000000000036E-3</v>
      </c>
      <c r="D93" s="102" t="str">
        <f t="shared" si="21"/>
        <v>/</v>
      </c>
      <c r="E93" s="102">
        <f ca="1">IF(表2_36716262930389121314[[#This Row],[累计净值]]/MAX(INDIRECT("B21:B" &amp; ROW()))-1&lt;E92,表2_36716262930389121314[[#This Row],[累计净值]]/MAX(INDIRECT("B21:B" &amp; ROW()))-1,E92)</f>
        <v>-1.5525114155251041E-2</v>
      </c>
      <c r="F93" s="103">
        <f>表2_36716262930389121314[[#This Row],[累计净值]]</f>
        <v>1.1240000000000001</v>
      </c>
      <c r="G93" s="20">
        <f>表2_36716262930389121314[[#This Row],[累计净值]]/$B$21-1</f>
        <v>5.9377945334590176E-2</v>
      </c>
      <c r="H93" s="20">
        <f>表2_36716262930389121314[[#This Row],[累计净值]]/$B$51-1</f>
        <v>2.6484018264840259E-2</v>
      </c>
    </row>
    <row r="94" spans="1:8">
      <c r="A94" s="15">
        <v>43963</v>
      </c>
      <c r="B94" s="104">
        <v>1.1279999999999999</v>
      </c>
      <c r="C94" s="101">
        <f t="shared" ref="C94:C99" si="22">IFERROR(B94-B93,0)</f>
        <v>3.9999999999997815E-3</v>
      </c>
      <c r="D94" s="102" t="str">
        <f t="shared" ref="D94:D99" si="23">IF(C94&lt;0,C94,"/")</f>
        <v>/</v>
      </c>
      <c r="E94" s="102">
        <f ca="1">IF(表2_36716262930389121314[[#This Row],[累计净值]]/MAX(INDIRECT("B21:B" &amp; ROW()))-1&lt;E93,表2_36716262930389121314[[#This Row],[累计净值]]/MAX(INDIRECT("B21:B" &amp; ROW()))-1,E93)</f>
        <v>-1.5525114155251041E-2</v>
      </c>
      <c r="F94" s="103">
        <f>表2_36716262930389121314[[#This Row],[累计净值]]</f>
        <v>1.1279999999999999</v>
      </c>
      <c r="G94" s="20">
        <f>表2_36716262930389121314[[#This Row],[累计净值]]/$B$21-1</f>
        <v>6.3147973609801955E-2</v>
      </c>
      <c r="H94" s="20">
        <f>表2_36716262930389121314[[#This Row],[累计净值]]/$B$51-1</f>
        <v>3.013698630136985E-2</v>
      </c>
    </row>
    <row r="95" spans="1:8">
      <c r="A95" s="15">
        <v>43964</v>
      </c>
      <c r="B95" s="104">
        <v>1.1319999999999999</v>
      </c>
      <c r="C95" s="101">
        <f t="shared" si="22"/>
        <v>4.0000000000000036E-3</v>
      </c>
      <c r="D95" s="102" t="str">
        <f t="shared" si="23"/>
        <v>/</v>
      </c>
      <c r="E95" s="102">
        <f ca="1">IF(表2_36716262930389121314[[#This Row],[累计净值]]/MAX(INDIRECT("B21:B" &amp; ROW()))-1&lt;E94,表2_36716262930389121314[[#This Row],[累计净值]]/MAX(INDIRECT("B21:B" &amp; ROW()))-1,E94)</f>
        <v>-1.5525114155251041E-2</v>
      </c>
      <c r="F95" s="103">
        <f>表2_36716262930389121314[[#This Row],[累计净值]]</f>
        <v>1.1319999999999999</v>
      </c>
      <c r="G95" s="20">
        <f>表2_36716262930389121314[[#This Row],[累计净值]]/$B$21-1</f>
        <v>6.6918001885014178E-2</v>
      </c>
      <c r="H95" s="20">
        <f>表2_36716262930389121314[[#This Row],[累计净值]]/$B$51-1</f>
        <v>3.3789954337899442E-2</v>
      </c>
    </row>
    <row r="96" spans="1:8">
      <c r="A96" s="15">
        <v>43965</v>
      </c>
      <c r="B96" s="104">
        <v>1.135</v>
      </c>
      <c r="C96" s="101">
        <f t="shared" si="22"/>
        <v>3.0000000000001137E-3</v>
      </c>
      <c r="D96" s="102" t="str">
        <f t="shared" si="23"/>
        <v>/</v>
      </c>
      <c r="E96" s="102">
        <f ca="1">IF(表2_36716262930389121314[[#This Row],[累计净值]]/MAX(INDIRECT("B21:B" &amp; ROW()))-1&lt;E95,表2_36716262930389121314[[#This Row],[累计净值]]/MAX(INDIRECT("B21:B" &amp; ROW()))-1,E95)</f>
        <v>-1.5525114155251041E-2</v>
      </c>
      <c r="F96" s="103">
        <f>表2_36716262930389121314[[#This Row],[累计净值]]</f>
        <v>1.135</v>
      </c>
      <c r="G96" s="20">
        <f>表2_36716262930389121314[[#This Row],[累计净值]]/$B$21-1</f>
        <v>6.9745523091423234E-2</v>
      </c>
      <c r="H96" s="20">
        <f>表2_36716262930389121314[[#This Row],[累计净值]]/$B$51-1</f>
        <v>3.6529680365296802E-2</v>
      </c>
    </row>
    <row r="97" spans="1:8">
      <c r="A97" s="15">
        <v>43966</v>
      </c>
      <c r="B97" s="104">
        <v>1.1319999999999999</v>
      </c>
      <c r="C97" s="101">
        <f t="shared" si="22"/>
        <v>-3.0000000000001137E-3</v>
      </c>
      <c r="D97" s="102">
        <f t="shared" si="23"/>
        <v>-3.0000000000001137E-3</v>
      </c>
      <c r="E97" s="102">
        <f ca="1">IF(表2_36716262930389121314[[#This Row],[累计净值]]/MAX(INDIRECT("B21:B" &amp; ROW()))-1&lt;E96,表2_36716262930389121314[[#This Row],[累计净值]]/MAX(INDIRECT("B21:B" &amp; ROW()))-1,E96)</f>
        <v>-1.5525114155251041E-2</v>
      </c>
      <c r="F97" s="103">
        <f>表2_36716262930389121314[[#This Row],[累计净值]]</f>
        <v>1.1319999999999999</v>
      </c>
      <c r="G97" s="20">
        <f>表2_36716262930389121314[[#This Row],[累计净值]]/$B$21-1</f>
        <v>6.6918001885014178E-2</v>
      </c>
      <c r="H97" s="20">
        <f>表2_36716262930389121314[[#This Row],[累计净值]]/$B$51-1</f>
        <v>3.3789954337899442E-2</v>
      </c>
    </row>
    <row r="98" spans="1:8">
      <c r="A98" s="15">
        <v>43969</v>
      </c>
      <c r="B98" s="104">
        <v>1.135</v>
      </c>
      <c r="C98" s="101">
        <f t="shared" si="22"/>
        <v>3.0000000000001137E-3</v>
      </c>
      <c r="D98" s="102" t="str">
        <f t="shared" si="23"/>
        <v>/</v>
      </c>
      <c r="E98" s="102">
        <f ca="1">IF(表2_36716262930389121314[[#This Row],[累计净值]]/MAX(INDIRECT("B21:B" &amp; ROW()))-1&lt;E97,表2_36716262930389121314[[#This Row],[累计净值]]/MAX(INDIRECT("B21:B" &amp; ROW()))-1,E97)</f>
        <v>-1.5525114155251041E-2</v>
      </c>
      <c r="F98" s="103">
        <f>表2_36716262930389121314[[#This Row],[累计净值]]</f>
        <v>1.135</v>
      </c>
      <c r="G98" s="20">
        <f>表2_36716262930389121314[[#This Row],[累计净值]]/$B$21-1</f>
        <v>6.9745523091423234E-2</v>
      </c>
      <c r="H98" s="20">
        <f>表2_36716262930389121314[[#This Row],[累计净值]]/$B$51-1</f>
        <v>3.6529680365296802E-2</v>
      </c>
    </row>
    <row r="99" spans="1:8">
      <c r="A99" s="15">
        <v>43970</v>
      </c>
      <c r="B99" s="104">
        <v>1.1399999999999999</v>
      </c>
      <c r="C99" s="101">
        <f t="shared" si="22"/>
        <v>4.9999999999998934E-3</v>
      </c>
      <c r="D99" s="102" t="str">
        <f t="shared" si="23"/>
        <v>/</v>
      </c>
      <c r="E99" s="102">
        <f ca="1">IF(表2_36716262930389121314[[#This Row],[累计净值]]/MAX(INDIRECT("B21:B" &amp; ROW()))-1&lt;E98,表2_36716262930389121314[[#This Row],[累计净值]]/MAX(INDIRECT("B21:B" &amp; ROW()))-1,E98)</f>
        <v>-1.5525114155251041E-2</v>
      </c>
      <c r="F99" s="103">
        <f>表2_36716262930389121314[[#This Row],[累计净值]]</f>
        <v>1.1399999999999999</v>
      </c>
      <c r="G99" s="20">
        <f>表2_36716262930389121314[[#This Row],[累计净值]]/$B$21-1</f>
        <v>7.4458058435438179E-2</v>
      </c>
      <c r="H99" s="20">
        <f>表2_36716262930389121314[[#This Row],[累计净值]]/$B$51-1</f>
        <v>4.1095890410958846E-2</v>
      </c>
    </row>
    <row r="100" spans="1:8">
      <c r="A100" s="15">
        <v>43971</v>
      </c>
      <c r="B100" s="111">
        <v>1.1419999999999999</v>
      </c>
      <c r="C100" s="101">
        <f t="shared" ref="C100:C105" si="24">IFERROR(B100-B99,0)</f>
        <v>2.0000000000000018E-3</v>
      </c>
      <c r="D100" s="102" t="str">
        <f t="shared" ref="D100:D105" si="25">IF(C100&lt;0,C100,"/")</f>
        <v>/</v>
      </c>
      <c r="E100" s="102">
        <f ca="1">IF(表2_36716262930389121314[[#This Row],[累计净值]]/MAX(INDIRECT("B21:B" &amp; ROW()))-1&lt;E99,表2_36716262930389121314[[#This Row],[累计净值]]/MAX(INDIRECT("B21:B" &amp; ROW()))-1,E99)</f>
        <v>-1.5525114155251041E-2</v>
      </c>
      <c r="F100" s="103">
        <f>表2_36716262930389121314[[#This Row],[累计净值]]</f>
        <v>1.1419999999999999</v>
      </c>
      <c r="G100" s="20">
        <f>表2_36716262930389121314[[#This Row],[累计净值]]/$B$21-1</f>
        <v>7.6343072573044291E-2</v>
      </c>
      <c r="H100" s="20">
        <f>表2_36716262930389121314[[#This Row],[累计净值]]/$B$51-1</f>
        <v>4.2922374429223753E-2</v>
      </c>
    </row>
    <row r="101" spans="1:8">
      <c r="A101" s="15">
        <v>43972</v>
      </c>
      <c r="B101" s="104">
        <v>1.1379999999999999</v>
      </c>
      <c r="C101" s="101">
        <f t="shared" si="24"/>
        <v>-4.0000000000000036E-3</v>
      </c>
      <c r="D101" s="102">
        <f t="shared" si="25"/>
        <v>-4.0000000000000036E-3</v>
      </c>
      <c r="E101" s="102">
        <f ca="1">IF(表2_36716262930389121314[[#This Row],[累计净值]]/MAX(INDIRECT("B21:B" &amp; ROW()))-1&lt;E100,表2_36716262930389121314[[#This Row],[累计净值]]/MAX(INDIRECT("B21:B" &amp; ROW()))-1,E100)</f>
        <v>-1.5525114155251041E-2</v>
      </c>
      <c r="F101" s="103">
        <f>表2_36716262930389121314[[#This Row],[累计净值]]</f>
        <v>1.1379999999999999</v>
      </c>
      <c r="G101" s="20">
        <f>表2_36716262930389121314[[#This Row],[累计净值]]/$B$21-1</f>
        <v>7.257304429783229E-2</v>
      </c>
      <c r="H101" s="20">
        <f>表2_36716262930389121314[[#This Row],[累计净值]]/$B$51-1</f>
        <v>3.926940639269394E-2</v>
      </c>
    </row>
    <row r="102" spans="1:8">
      <c r="A102" s="15">
        <v>43973</v>
      </c>
      <c r="B102" s="112">
        <v>1.1279999999999999</v>
      </c>
      <c r="C102" s="108">
        <f t="shared" si="24"/>
        <v>-1.0000000000000009E-2</v>
      </c>
      <c r="D102" s="109">
        <f t="shared" si="25"/>
        <v>-1.0000000000000009E-2</v>
      </c>
      <c r="E102" s="109">
        <f ca="1">IF(表2_36716262930389121314[[#This Row],[累计净值]]/MAX(INDIRECT("B21:B" &amp; ROW()))-1&lt;E101,表2_36716262930389121314[[#This Row],[累计净值]]/MAX(INDIRECT("B21:B" &amp; ROW()))-1,E101)</f>
        <v>-1.5525114155251041E-2</v>
      </c>
      <c r="F102" s="110">
        <f>表2_36716262930389121314[[#This Row],[累计净值]]</f>
        <v>1.1279999999999999</v>
      </c>
      <c r="G102" s="20">
        <f>表2_36716262930389121314[[#This Row],[累计净值]]/$B$21-1</f>
        <v>6.3147973609801955E-2</v>
      </c>
      <c r="H102" s="20">
        <f>表2_36716262930389121314[[#This Row],[累计净值]]/$B$51-1</f>
        <v>3.013698630136985E-2</v>
      </c>
    </row>
    <row r="103" spans="1:8">
      <c r="A103" s="15">
        <v>43976</v>
      </c>
      <c r="B103" s="112">
        <v>1.1359999999999999</v>
      </c>
      <c r="C103" s="108">
        <f t="shared" si="24"/>
        <v>8.0000000000000071E-3</v>
      </c>
      <c r="D103" s="109" t="str">
        <f t="shared" si="25"/>
        <v>/</v>
      </c>
      <c r="E103" s="109">
        <f ca="1">IF(表2_36716262930389121314[[#This Row],[累计净值]]/MAX(INDIRECT("B21:B" &amp; ROW()))-1&lt;E102,表2_36716262930389121314[[#This Row],[累计净值]]/MAX(INDIRECT("B21:B" &amp; ROW()))-1,E102)</f>
        <v>-1.5525114155251041E-2</v>
      </c>
      <c r="F103" s="110">
        <f>表2_36716262930389121314[[#This Row],[累计净值]]</f>
        <v>1.1359999999999999</v>
      </c>
      <c r="G103" s="20">
        <f>表2_36716262930389121314[[#This Row],[累计净值]]/$B$21-1</f>
        <v>7.0688030160226178E-2</v>
      </c>
      <c r="H103" s="20">
        <f>表2_36716262930389121314[[#This Row],[累计净值]]/$B$51-1</f>
        <v>3.7442922374429255E-2</v>
      </c>
    </row>
    <row r="104" spans="1:8">
      <c r="A104" s="15">
        <v>43977</v>
      </c>
      <c r="B104" s="112">
        <v>1.147</v>
      </c>
      <c r="C104" s="108">
        <f t="shared" si="24"/>
        <v>1.1000000000000121E-2</v>
      </c>
      <c r="D104" s="109" t="str">
        <f t="shared" si="25"/>
        <v>/</v>
      </c>
      <c r="E104" s="109">
        <f ca="1">IF(表2_36716262930389121314[[#This Row],[累计净值]]/MAX(INDIRECT("B21:B" &amp; ROW()))-1&lt;E103,表2_36716262930389121314[[#This Row],[累计净值]]/MAX(INDIRECT("B21:B" &amp; ROW()))-1,E103)</f>
        <v>-1.5525114155251041E-2</v>
      </c>
      <c r="F104" s="110">
        <f>表2_36716262930389121314[[#This Row],[累计净值]]</f>
        <v>1.147</v>
      </c>
      <c r="G104" s="20">
        <f>表2_36716262930389121314[[#This Row],[累计净值]]/$B$21-1</f>
        <v>8.1055607917059458E-2</v>
      </c>
      <c r="H104" s="20">
        <f>表2_36716262930389121314[[#This Row],[累计净值]]/$B$51-1</f>
        <v>4.7488584474885798E-2</v>
      </c>
    </row>
    <row r="105" spans="1:8">
      <c r="A105" s="15">
        <v>43978</v>
      </c>
      <c r="B105" s="112">
        <v>1.145</v>
      </c>
      <c r="C105" s="108">
        <f t="shared" si="24"/>
        <v>-2.0000000000000018E-3</v>
      </c>
      <c r="D105" s="109">
        <f t="shared" si="25"/>
        <v>-2.0000000000000018E-3</v>
      </c>
      <c r="E105" s="109">
        <f ca="1">IF(表2_36716262930389121314[[#This Row],[累计净值]]/MAX(INDIRECT("B21:B" &amp; ROW()))-1&lt;E104,表2_36716262930389121314[[#This Row],[累计净值]]/MAX(INDIRECT("B21:B" &amp; ROW()))-1,E104)</f>
        <v>-1.5525114155251041E-2</v>
      </c>
      <c r="F105" s="110">
        <f>表2_36716262930389121314[[#This Row],[累计净值]]</f>
        <v>1.145</v>
      </c>
      <c r="G105" s="20">
        <f>表2_36716262930389121314[[#This Row],[累计净值]]/$B$21-1</f>
        <v>7.9170593779453347E-2</v>
      </c>
      <c r="H105" s="20">
        <f>表2_36716262930389121314[[#This Row],[累计净值]]/$B$51-1</f>
        <v>4.5662100456621113E-2</v>
      </c>
    </row>
    <row r="106" spans="1:8">
      <c r="A106" s="15">
        <v>43979</v>
      </c>
      <c r="B106" s="112">
        <v>1.1439999999999999</v>
      </c>
      <c r="C106" s="108">
        <f t="shared" ref="C106:C111" si="26">IFERROR(B106-B105,0)</f>
        <v>-1.0000000000001119E-3</v>
      </c>
      <c r="D106" s="109">
        <f t="shared" ref="D106:D111" si="27">IF(C106&lt;0,C106,"/")</f>
        <v>-1.0000000000001119E-3</v>
      </c>
      <c r="E106" s="109">
        <f ca="1">IF(表2_36716262930389121314[[#This Row],[累计净值]]/MAX(INDIRECT("B21:B" &amp; ROW()))-1&lt;E105,表2_36716262930389121314[[#This Row],[累计净值]]/MAX(INDIRECT("B21:B" &amp; ROW()))-1,E105)</f>
        <v>-1.5525114155251041E-2</v>
      </c>
      <c r="F106" s="110">
        <f>表2_36716262930389121314[[#This Row],[累计净值]]</f>
        <v>1.1439999999999999</v>
      </c>
      <c r="G106" s="20">
        <f>表2_36716262930389121314[[#This Row],[累计净值]]/$B$21-1</f>
        <v>7.8228086710650402E-2</v>
      </c>
      <c r="H106" s="20">
        <f>表2_36716262930389121314[[#This Row],[累计净值]]/$B$51-1</f>
        <v>4.4748858447488438E-2</v>
      </c>
    </row>
    <row r="107" spans="1:8">
      <c r="A107" s="15">
        <v>43980</v>
      </c>
      <c r="B107" s="112">
        <v>1.151</v>
      </c>
      <c r="C107" s="108">
        <f t="shared" si="26"/>
        <v>7.0000000000001172E-3</v>
      </c>
      <c r="D107" s="109" t="str">
        <f t="shared" si="27"/>
        <v>/</v>
      </c>
      <c r="E107" s="109">
        <f ca="1">IF(表2_36716262930389121314[[#This Row],[累计净值]]/MAX(INDIRECT("B21:B" &amp; ROW()))-1&lt;E106,表2_36716262930389121314[[#This Row],[累计净值]]/MAX(INDIRECT("B21:B" &amp; ROW()))-1,E106)</f>
        <v>-1.5525114155251041E-2</v>
      </c>
      <c r="F107" s="110">
        <f>表2_36716262930389121314[[#This Row],[累计净值]]</f>
        <v>1.151</v>
      </c>
      <c r="G107" s="20">
        <f>表2_36716262930389121314[[#This Row],[累计净值]]/$B$21-1</f>
        <v>8.4825636192271459E-2</v>
      </c>
      <c r="H107" s="20">
        <f>表2_36716262930389121314[[#This Row],[累计净值]]/$B$51-1</f>
        <v>5.1141552511415611E-2</v>
      </c>
    </row>
    <row r="108" spans="1:8">
      <c r="A108" s="15">
        <v>43983</v>
      </c>
      <c r="B108" s="112">
        <v>1.151</v>
      </c>
      <c r="C108" s="108">
        <f t="shared" si="26"/>
        <v>0</v>
      </c>
      <c r="D108" s="109" t="str">
        <f t="shared" si="27"/>
        <v>/</v>
      </c>
      <c r="E108" s="109">
        <f ca="1">IF(表2_36716262930389121314[[#This Row],[累计净值]]/MAX(INDIRECT("B21:B" &amp; ROW()))-1&lt;E107,表2_36716262930389121314[[#This Row],[累计净值]]/MAX(INDIRECT("B21:B" &amp; ROW()))-1,E107)</f>
        <v>-1.5525114155251041E-2</v>
      </c>
      <c r="F108" s="110">
        <f>表2_36716262930389121314[[#This Row],[累计净值]]</f>
        <v>1.151</v>
      </c>
      <c r="G108" s="20">
        <f>表2_36716262930389121314[[#This Row],[累计净值]]/$B$21-1</f>
        <v>8.4825636192271459E-2</v>
      </c>
      <c r="H108" s="20">
        <f>表2_36716262930389121314[[#This Row],[累计净值]]/$B$51-1</f>
        <v>5.1141552511415611E-2</v>
      </c>
    </row>
    <row r="109" spans="1:8">
      <c r="A109" s="15">
        <v>43984</v>
      </c>
      <c r="B109" s="112">
        <v>1.1459999999999999</v>
      </c>
      <c r="C109" s="108">
        <f t="shared" si="26"/>
        <v>-5.0000000000001155E-3</v>
      </c>
      <c r="D109" s="109">
        <f t="shared" si="27"/>
        <v>-5.0000000000001155E-3</v>
      </c>
      <c r="E109" s="109">
        <f ca="1">IF(表2_36716262930389121314[[#This Row],[累计净值]]/MAX(INDIRECT("B21:B" &amp; ROW()))-1&lt;E108,表2_36716262930389121314[[#This Row],[累计净值]]/MAX(INDIRECT("B21:B" &amp; ROW()))-1,E108)</f>
        <v>-1.5525114155251041E-2</v>
      </c>
      <c r="F109" s="110">
        <f>表2_36716262930389121314[[#This Row],[累计净值]]</f>
        <v>1.1459999999999999</v>
      </c>
      <c r="G109" s="20">
        <f>表2_36716262930389121314[[#This Row],[累计净值]]/$B$21-1</f>
        <v>8.0113100848256291E-2</v>
      </c>
      <c r="H109" s="20">
        <f>表2_36716262930389121314[[#This Row],[累计净值]]/$B$51-1</f>
        <v>4.6575342465753344E-2</v>
      </c>
    </row>
    <row r="110" spans="1:8">
      <c r="A110" s="15">
        <v>43985</v>
      </c>
      <c r="B110" s="112">
        <v>1.1499999999999999</v>
      </c>
      <c r="C110" s="108">
        <f t="shared" si="26"/>
        <v>4.0000000000000036E-3</v>
      </c>
      <c r="D110" s="109" t="str">
        <f t="shared" si="27"/>
        <v>/</v>
      </c>
      <c r="E110" s="109">
        <f ca="1">IF(表2_36716262930389121314[[#This Row],[累计净值]]/MAX(INDIRECT("B21:B" &amp; ROW()))-1&lt;E109,表2_36716262930389121314[[#This Row],[累计净值]]/MAX(INDIRECT("B21:B" &amp; ROW()))-1,E109)</f>
        <v>-1.5525114155251041E-2</v>
      </c>
      <c r="F110" s="110">
        <f>表2_36716262930389121314[[#This Row],[累计净值]]</f>
        <v>1.1499999999999999</v>
      </c>
      <c r="G110" s="20">
        <f>表2_36716262930389121314[[#This Row],[累计净值]]/$B$21-1</f>
        <v>8.3883129123468292E-2</v>
      </c>
      <c r="H110" s="20">
        <f>表2_36716262930389121314[[#This Row],[累计净值]]/$B$51-1</f>
        <v>5.0228310502283158E-2</v>
      </c>
    </row>
    <row r="111" spans="1:8">
      <c r="A111" s="15">
        <v>43986</v>
      </c>
      <c r="B111" s="112">
        <v>1.157</v>
      </c>
      <c r="C111" s="108">
        <f t="shared" si="26"/>
        <v>7.0000000000001172E-3</v>
      </c>
      <c r="D111" s="109" t="str">
        <f t="shared" si="27"/>
        <v>/</v>
      </c>
      <c r="E111" s="109">
        <f ca="1">IF(表2_36716262930389121314[[#This Row],[累计净值]]/MAX(INDIRECT("B21:B" &amp; ROW()))-1&lt;E110,表2_36716262930389121314[[#This Row],[累计净值]]/MAX(INDIRECT("B21:B" &amp; ROW()))-1,E110)</f>
        <v>-1.5525114155251041E-2</v>
      </c>
      <c r="F111" s="110">
        <f>表2_36716262930389121314[[#This Row],[累计净值]]</f>
        <v>1.157</v>
      </c>
      <c r="G111" s="20">
        <f>表2_36716262930389121314[[#This Row],[累计净值]]/$B$21-1</f>
        <v>9.0480678605089571E-2</v>
      </c>
      <c r="H111" s="20">
        <f>表2_36716262930389121314[[#This Row],[累计净值]]/$B$51-1</f>
        <v>5.6621004566210109E-2</v>
      </c>
    </row>
    <row r="112" spans="1:8">
      <c r="A112" s="15">
        <v>43987</v>
      </c>
      <c r="B112" s="112">
        <v>1.1559999999999999</v>
      </c>
      <c r="C112" s="108">
        <f t="shared" ref="C112:C117" si="28">IFERROR(B112-B111,0)</f>
        <v>-1.0000000000001119E-3</v>
      </c>
      <c r="D112" s="109">
        <f t="shared" ref="D112:D117" si="29">IF(C112&lt;0,C112,"/")</f>
        <v>-1.0000000000001119E-3</v>
      </c>
      <c r="E112" s="109">
        <f ca="1">IF(表2_36716262930389121314[[#This Row],[累计净值]]/MAX(INDIRECT("B21:B" &amp; ROW()))-1&lt;E111,表2_36716262930389121314[[#This Row],[累计净值]]/MAX(INDIRECT("B21:B" &amp; ROW()))-1,E111)</f>
        <v>-1.5525114155251041E-2</v>
      </c>
      <c r="F112" s="110">
        <f>表2_36716262930389121314[[#This Row],[累计净值]]</f>
        <v>1.1559999999999999</v>
      </c>
      <c r="G112" s="20">
        <f>表2_36716262930389121314[[#This Row],[累计净值]]/$B$21-1</f>
        <v>8.9538171536286404E-2</v>
      </c>
      <c r="H112" s="20">
        <f>表2_36716262930389121314[[#This Row],[累计净值]]/$B$51-1</f>
        <v>5.5707762557077656E-2</v>
      </c>
    </row>
    <row r="113" spans="1:8">
      <c r="A113" s="15">
        <v>43990</v>
      </c>
      <c r="B113" s="112">
        <v>1.1539999999999999</v>
      </c>
      <c r="C113" s="108">
        <f t="shared" si="28"/>
        <v>-2.0000000000000018E-3</v>
      </c>
      <c r="D113" s="109">
        <f t="shared" si="29"/>
        <v>-2.0000000000000018E-3</v>
      </c>
      <c r="E113" s="109">
        <f ca="1">IF(表2_36716262930389121314[[#This Row],[累计净值]]/MAX(INDIRECT("B21:B" &amp; ROW()))-1&lt;E112,表2_36716262930389121314[[#This Row],[累计净值]]/MAX(INDIRECT("B21:B" &amp; ROW()))-1,E112)</f>
        <v>-1.5525114155251041E-2</v>
      </c>
      <c r="F113" s="110">
        <f>表2_36716262930389121314[[#This Row],[累计净值]]</f>
        <v>1.1539999999999999</v>
      </c>
      <c r="G113" s="20">
        <f>表2_36716262930389121314[[#This Row],[累计净值]]/$B$21-1</f>
        <v>8.7653157398680515E-2</v>
      </c>
      <c r="H113" s="20">
        <f>表2_36716262930389121314[[#This Row],[累计净值]]/$B$51-1</f>
        <v>5.3881278538812749E-2</v>
      </c>
    </row>
    <row r="114" spans="1:8">
      <c r="A114" s="15">
        <v>43991</v>
      </c>
      <c r="B114" s="112">
        <v>1.153</v>
      </c>
      <c r="C114" s="108">
        <f t="shared" si="28"/>
        <v>-9.9999999999988987E-4</v>
      </c>
      <c r="D114" s="109">
        <f t="shared" si="29"/>
        <v>-9.9999999999988987E-4</v>
      </c>
      <c r="E114" s="109">
        <f ca="1">IF(表2_36716262930389121314[[#This Row],[累计净值]]/MAX(INDIRECT("B21:B" &amp; ROW()))-1&lt;E113,表2_36716262930389121314[[#This Row],[累计净值]]/MAX(INDIRECT("B21:B" &amp; ROW()))-1,E113)</f>
        <v>-1.5525114155251041E-2</v>
      </c>
      <c r="F114" s="110">
        <f>表2_36716262930389121314[[#This Row],[累计净值]]</f>
        <v>1.153</v>
      </c>
      <c r="G114" s="20">
        <f>表2_36716262930389121314[[#This Row],[累计净值]]/$B$21-1</f>
        <v>8.671065032987757E-2</v>
      </c>
      <c r="H114" s="20">
        <f>表2_36716262930389121314[[#This Row],[累计净值]]/$B$51-1</f>
        <v>5.2968036529680518E-2</v>
      </c>
    </row>
    <row r="115" spans="1:8">
      <c r="A115" s="15">
        <v>43992</v>
      </c>
      <c r="B115" s="112">
        <v>1.1599999999999999</v>
      </c>
      <c r="C115" s="108">
        <f t="shared" si="28"/>
        <v>6.9999999999998952E-3</v>
      </c>
      <c r="D115" s="109" t="str">
        <f t="shared" si="29"/>
        <v>/</v>
      </c>
      <c r="E115" s="109">
        <f ca="1">IF(表2_36716262930389121314[[#This Row],[累计净值]]/MAX(INDIRECT("B21:B" &amp; ROW()))-1&lt;E114,表2_36716262930389121314[[#This Row],[累计净值]]/MAX(INDIRECT("B21:B" &amp; ROW()))-1,E114)</f>
        <v>-1.5525114155251041E-2</v>
      </c>
      <c r="F115" s="110">
        <f>表2_36716262930389121314[[#This Row],[累计净值]]</f>
        <v>1.1599999999999999</v>
      </c>
      <c r="G115" s="20">
        <f>表2_36716262930389121314[[#This Row],[累计净值]]/$B$21-1</f>
        <v>9.3308199811498627E-2</v>
      </c>
      <c r="H115" s="20">
        <f>表2_36716262930389121314[[#This Row],[累计净值]]/$B$51-1</f>
        <v>5.9360730593607247E-2</v>
      </c>
    </row>
    <row r="116" spans="1:8">
      <c r="A116" s="15">
        <v>43993</v>
      </c>
      <c r="B116" s="112">
        <v>1.159</v>
      </c>
      <c r="C116" s="108">
        <f t="shared" si="28"/>
        <v>-9.9999999999988987E-4</v>
      </c>
      <c r="D116" s="109">
        <f t="shared" si="29"/>
        <v>-9.9999999999988987E-4</v>
      </c>
      <c r="E116" s="109">
        <f ca="1">IF(表2_36716262930389121314[[#This Row],[累计净值]]/MAX(INDIRECT("B21:B" &amp; ROW()))-1&lt;E115,表2_36716262930389121314[[#This Row],[累计净值]]/MAX(INDIRECT("B21:B" &amp; ROW()))-1,E115)</f>
        <v>-1.5525114155251041E-2</v>
      </c>
      <c r="F116" s="110">
        <f>表2_36716262930389121314[[#This Row],[累计净值]]</f>
        <v>1.159</v>
      </c>
      <c r="G116" s="20">
        <f>表2_36716262930389121314[[#This Row],[累计净值]]/$B$21-1</f>
        <v>9.2365692742695682E-2</v>
      </c>
      <c r="H116" s="20">
        <f>表2_36716262930389121314[[#This Row],[累计净值]]/$B$51-1</f>
        <v>5.8447488584475016E-2</v>
      </c>
    </row>
    <row r="117" spans="1:8">
      <c r="A117" s="15">
        <v>43994</v>
      </c>
      <c r="B117" s="112">
        <v>1.163</v>
      </c>
      <c r="C117" s="108">
        <f t="shared" si="28"/>
        <v>4.0000000000000036E-3</v>
      </c>
      <c r="D117" s="109" t="str">
        <f t="shared" si="29"/>
        <v>/</v>
      </c>
      <c r="E117" s="109">
        <f ca="1">IF(表2_36716262930389121314[[#This Row],[累计净值]]/MAX(INDIRECT("B21:B" &amp; ROW()))-1&lt;E116,表2_36716262930389121314[[#This Row],[累计净值]]/MAX(INDIRECT("B21:B" &amp; ROW()))-1,E116)</f>
        <v>-1.5525114155251041E-2</v>
      </c>
      <c r="F117" s="110">
        <f>表2_36716262930389121314[[#This Row],[累计净值]]</f>
        <v>1.163</v>
      </c>
      <c r="G117" s="20">
        <f>表2_36716262930389121314[[#This Row],[累计净值]]/$B$21-1</f>
        <v>9.6135721017907683E-2</v>
      </c>
      <c r="H117" s="20">
        <f>表2_36716262930389121314[[#This Row],[累计净值]]/$B$51-1</f>
        <v>6.2100456621004607E-2</v>
      </c>
    </row>
    <row r="118" spans="1:8">
      <c r="A118" s="15">
        <v>43997</v>
      </c>
      <c r="B118" s="112">
        <v>1.157</v>
      </c>
      <c r="C118" s="108">
        <f t="shared" ref="C118:C124" si="30">IFERROR(B118-B117,0)</f>
        <v>-6.0000000000000053E-3</v>
      </c>
      <c r="D118" s="109">
        <f t="shared" ref="D118:D124" si="31">IF(C118&lt;0,C118,"/")</f>
        <v>-6.0000000000000053E-3</v>
      </c>
      <c r="E118" s="109">
        <f ca="1">IF(表2_36716262930389121314[[#This Row],[累计净值]]/MAX(INDIRECT("B21:B" &amp; ROW()))-1&lt;E117,表2_36716262930389121314[[#This Row],[累计净值]]/MAX(INDIRECT("B21:B" &amp; ROW()))-1,E117)</f>
        <v>-1.5525114155251041E-2</v>
      </c>
      <c r="F118" s="110">
        <f>表2_36716262930389121314[[#This Row],[累计净值]]</f>
        <v>1.157</v>
      </c>
      <c r="G118" s="20">
        <f>表2_36716262930389121314[[#This Row],[累计净值]]/$B$21-1</f>
        <v>9.0480678605089571E-2</v>
      </c>
      <c r="H118" s="20">
        <f>表2_36716262930389121314[[#This Row],[累计净值]]/$B$51-1</f>
        <v>5.6621004566210109E-2</v>
      </c>
    </row>
    <row r="119" spans="1:8">
      <c r="A119" s="15">
        <v>43998</v>
      </c>
      <c r="B119" s="117">
        <v>1.1659999999999999</v>
      </c>
      <c r="C119" s="108">
        <f t="shared" si="30"/>
        <v>8.999999999999897E-3</v>
      </c>
      <c r="D119" s="109" t="str">
        <f t="shared" si="31"/>
        <v>/</v>
      </c>
      <c r="E119" s="109">
        <f ca="1">IF(表2_36716262930389121314[[#This Row],[累计净值]]/MAX(INDIRECT("B21:B" &amp; ROW()))-1&lt;E118,表2_36716262930389121314[[#This Row],[累计净值]]/MAX(INDIRECT("B21:B" &amp; ROW()))-1,E118)</f>
        <v>-1.5525114155251041E-2</v>
      </c>
      <c r="F119" s="110">
        <f>表2_36716262930389121314[[#This Row],[累计净值]]</f>
        <v>1.1659999999999999</v>
      </c>
      <c r="G119" s="20">
        <f>表2_36716262930389121314[[#This Row],[累计净值]]/$B$21-1</f>
        <v>9.8963242224316739E-2</v>
      </c>
      <c r="H119" s="20">
        <f>表2_36716262930389121314[[#This Row],[累计净值]]/$B$51-1</f>
        <v>6.4840182648401745E-2</v>
      </c>
    </row>
    <row r="120" spans="1:8">
      <c r="A120" s="15">
        <v>43999</v>
      </c>
      <c r="B120" s="112">
        <v>1.165</v>
      </c>
      <c r="C120" s="108">
        <f t="shared" si="30"/>
        <v>-9.9999999999988987E-4</v>
      </c>
      <c r="D120" s="109">
        <f t="shared" si="31"/>
        <v>-9.9999999999988987E-4</v>
      </c>
      <c r="E120" s="109">
        <f ca="1">IF(表2_36716262930389121314[[#This Row],[累计净值]]/MAX(INDIRECT("B21:B" &amp; ROW()))-1&lt;E119,表2_36716262930389121314[[#This Row],[累计净值]]/MAX(INDIRECT("B21:B" &amp; ROW()))-1,E119)</f>
        <v>-1.5525114155251041E-2</v>
      </c>
      <c r="F120" s="110">
        <f>表2_36716262930389121314[[#This Row],[累计净值]]</f>
        <v>1.165</v>
      </c>
      <c r="G120" s="20">
        <f>表2_36716262930389121314[[#This Row],[累计净值]]/$B$21-1</f>
        <v>9.8020735155513794E-2</v>
      </c>
      <c r="H120" s="20">
        <f>表2_36716262930389121314[[#This Row],[累计净值]]/$B$51-1</f>
        <v>6.3926940639269514E-2</v>
      </c>
    </row>
    <row r="121" spans="1:8">
      <c r="A121" s="15">
        <v>44000</v>
      </c>
      <c r="B121" s="112">
        <v>1.159</v>
      </c>
      <c r="C121" s="108">
        <f t="shared" si="30"/>
        <v>-6.0000000000000053E-3</v>
      </c>
      <c r="D121" s="109">
        <f t="shared" si="31"/>
        <v>-6.0000000000000053E-3</v>
      </c>
      <c r="E121" s="109">
        <f ca="1">IF(表2_36716262930389121314[[#This Row],[累计净值]]/MAX(INDIRECT("B21:B" &amp; ROW()))-1&lt;E120,表2_36716262930389121314[[#This Row],[累计净值]]/MAX(INDIRECT("B21:B" &amp; ROW()))-1,E120)</f>
        <v>-1.5525114155251041E-2</v>
      </c>
      <c r="F121" s="110">
        <f>表2_36716262930389121314[[#This Row],[累计净值]]</f>
        <v>1.159</v>
      </c>
      <c r="G121" s="20">
        <f>表2_36716262930389121314[[#This Row],[累计净值]]/$B$21-1</f>
        <v>9.2365692742695682E-2</v>
      </c>
      <c r="H121" s="20">
        <f>表2_36716262930389121314[[#This Row],[累计净值]]/$B$51-1</f>
        <v>5.8447488584475016E-2</v>
      </c>
    </row>
    <row r="122" spans="1:8">
      <c r="A122" s="15">
        <v>44001</v>
      </c>
      <c r="B122" s="112">
        <v>1.1539999999999999</v>
      </c>
      <c r="C122" s="108">
        <f t="shared" si="30"/>
        <v>-5.0000000000001155E-3</v>
      </c>
      <c r="D122" s="109">
        <f t="shared" si="31"/>
        <v>-5.0000000000001155E-3</v>
      </c>
      <c r="E122" s="109">
        <f ca="1">IF(表2_36716262930389121314[[#This Row],[累计净值]]/MAX(INDIRECT("B21:B" &amp; ROW()))-1&lt;E121,表2_36716262930389121314[[#This Row],[累计净值]]/MAX(INDIRECT("B21:B" &amp; ROW()))-1,E121)</f>
        <v>-1.5525114155251041E-2</v>
      </c>
      <c r="F122" s="110">
        <f>表2_36716262930389121314[[#This Row],[累计净值]]</f>
        <v>1.1539999999999999</v>
      </c>
      <c r="G122" s="20">
        <f>表2_36716262930389121314[[#This Row],[累计净值]]/$B$21-1</f>
        <v>8.7653157398680515E-2</v>
      </c>
      <c r="H122" s="20">
        <f>表2_36716262930389121314[[#This Row],[累计净值]]/$B$51-1</f>
        <v>5.3881278538812749E-2</v>
      </c>
    </row>
    <row r="123" spans="1:8">
      <c r="A123" s="15">
        <v>44004</v>
      </c>
      <c r="B123" s="112">
        <v>1.151</v>
      </c>
      <c r="C123" s="108">
        <f t="shared" si="30"/>
        <v>-2.9999999999998916E-3</v>
      </c>
      <c r="D123" s="109">
        <f t="shared" si="31"/>
        <v>-2.9999999999998916E-3</v>
      </c>
      <c r="E123" s="109">
        <f ca="1">IF(表2_36716262930389121314[[#This Row],[累计净值]]/MAX(INDIRECT("B21:B" &amp; ROW()))-1&lt;E122,表2_36716262930389121314[[#This Row],[累计净值]]/MAX(INDIRECT("B21:B" &amp; ROW()))-1,E122)</f>
        <v>-1.5525114155251041E-2</v>
      </c>
      <c r="F123" s="110">
        <f>表2_36716262930389121314[[#This Row],[累计净值]]</f>
        <v>1.151</v>
      </c>
      <c r="G123" s="20">
        <f>表2_36716262930389121314[[#This Row],[累计净值]]/$B$21-1</f>
        <v>8.4825636192271459E-2</v>
      </c>
      <c r="H123" s="20">
        <f>表2_36716262930389121314[[#This Row],[累计净值]]/$B$51-1</f>
        <v>5.1141552511415611E-2</v>
      </c>
    </row>
    <row r="124" spans="1:8">
      <c r="A124" s="15">
        <v>44005</v>
      </c>
      <c r="B124" s="112">
        <v>1.163</v>
      </c>
      <c r="C124" s="108">
        <f t="shared" si="30"/>
        <v>1.2000000000000011E-2</v>
      </c>
      <c r="D124" s="109" t="str">
        <f t="shared" si="31"/>
        <v>/</v>
      </c>
      <c r="E124" s="109">
        <f ca="1">IF(表2_36716262930389121314[[#This Row],[累计净值]]/MAX(INDIRECT("B21:B" &amp; ROW()))-1&lt;E123,表2_36716262930389121314[[#This Row],[累计净值]]/MAX(INDIRECT("B21:B" &amp; ROW()))-1,E123)</f>
        <v>-1.5525114155251041E-2</v>
      </c>
      <c r="F124" s="110">
        <f>表2_36716262930389121314[[#This Row],[累计净值]]</f>
        <v>1.163</v>
      </c>
      <c r="G124" s="20">
        <f>表2_36716262930389121314[[#This Row],[累计净值]]/$B$21-1</f>
        <v>9.6135721017907683E-2</v>
      </c>
      <c r="H124" s="20">
        <f>表2_36716262930389121314[[#This Row],[累计净值]]/$B$51-1</f>
        <v>6.2100456621004607E-2</v>
      </c>
    </row>
    <row r="125" spans="1:8">
      <c r="A125" s="9">
        <v>44006</v>
      </c>
      <c r="B125" s="190">
        <v>1.159</v>
      </c>
      <c r="C125" s="191">
        <f t="shared" ref="C125:C131" si="32">IFERROR(B125-B124,0)</f>
        <v>-4.0000000000000036E-3</v>
      </c>
      <c r="D125" s="192">
        <f t="shared" ref="D125:D131" si="33">IF(C125&lt;0,C125,"/")</f>
        <v>-4.0000000000000036E-3</v>
      </c>
      <c r="E125" s="192">
        <f ca="1">IF(表2_36716262930389121314[[#This Row],[累计净值]]/MAX(INDIRECT("B21:B" &amp; ROW()))-1&lt;E124,表2_36716262930389121314[[#This Row],[累计净值]]/MAX(INDIRECT("B21:B" &amp; ROW()))-1,E124)</f>
        <v>-1.5525114155251041E-2</v>
      </c>
      <c r="F125" s="193">
        <f>表2_36716262930389121314[[#This Row],[累计净值]]-0.12</f>
        <v>1.0390000000000001</v>
      </c>
      <c r="G125" s="82">
        <f>表2_36716262930389121314[[#This Row],[累计净值]]/$B$21-1</f>
        <v>9.2365692742695682E-2</v>
      </c>
      <c r="H125" s="82">
        <f>表2_36716262930389121314[[#This Row],[累计净值]]/$B$51-1</f>
        <v>5.8447488584475016E-2</v>
      </c>
    </row>
    <row r="126" spans="1:8">
      <c r="A126" s="15">
        <v>44011</v>
      </c>
      <c r="B126" s="112">
        <v>1.1619999999999999</v>
      </c>
      <c r="C126" s="108">
        <f t="shared" si="32"/>
        <v>2.9999999999998916E-3</v>
      </c>
      <c r="D126" s="109" t="str">
        <f t="shared" si="33"/>
        <v>/</v>
      </c>
      <c r="E126" s="109">
        <f ca="1">IF(表2_36716262930389121314[[#This Row],[累计净值]]/MAX(INDIRECT("B21:B" &amp; ROW()))-1&lt;E125,表2_36716262930389121314[[#This Row],[累计净值]]/MAX(INDIRECT("B21:B" &amp; ROW()))-1,E125)</f>
        <v>-1.5525114155251041E-2</v>
      </c>
      <c r="F126" s="110">
        <f>表2_36716262930389121314[[#This Row],[累计净值]]-0.12</f>
        <v>1.0419999999999998</v>
      </c>
      <c r="G126" s="20">
        <f>表2_36716262930389121314[[#This Row],[累计净值]]/$B$21-1</f>
        <v>9.5193213949104516E-2</v>
      </c>
      <c r="H126" s="20">
        <f>表2_36716262930389121314[[#This Row],[累计净值]]/$B$51-1</f>
        <v>6.1187214611872154E-2</v>
      </c>
    </row>
    <row r="127" spans="1:8">
      <c r="A127" s="15">
        <v>44012</v>
      </c>
      <c r="B127" s="112">
        <v>1.1659999999999999</v>
      </c>
      <c r="C127" s="108">
        <f t="shared" si="32"/>
        <v>4.0000000000000036E-3</v>
      </c>
      <c r="D127" s="109" t="str">
        <f t="shared" si="33"/>
        <v>/</v>
      </c>
      <c r="E127" s="109">
        <f ca="1">IF(表2_36716262930389121314[[#This Row],[累计净值]]/MAX(INDIRECT("B21:B" &amp; ROW()))-1&lt;E126,表2_36716262930389121314[[#This Row],[累计净值]]/MAX(INDIRECT("B21:B" &amp; ROW()))-1,E126)</f>
        <v>-1.5525114155251041E-2</v>
      </c>
      <c r="F127" s="110">
        <f>表2_36716262930389121314[[#This Row],[累计净值]]-0.12</f>
        <v>1.0459999999999998</v>
      </c>
      <c r="G127" s="20">
        <f>表2_36716262930389121314[[#This Row],[累计净值]]/$B$21-1</f>
        <v>9.8963242224316739E-2</v>
      </c>
      <c r="H127" s="20">
        <f>表2_36716262930389121314[[#This Row],[累计净值]]/$B$51-1</f>
        <v>6.4840182648401745E-2</v>
      </c>
    </row>
    <row r="128" spans="1:8">
      <c r="A128" s="15">
        <v>44013</v>
      </c>
      <c r="B128" s="112">
        <v>1.165</v>
      </c>
      <c r="C128" s="108">
        <f t="shared" si="32"/>
        <v>-9.9999999999988987E-4</v>
      </c>
      <c r="D128" s="109">
        <f t="shared" si="33"/>
        <v>-9.9999999999988987E-4</v>
      </c>
      <c r="E128" s="109">
        <f ca="1">IF(表2_36716262930389121314[[#This Row],[累计净值]]/MAX(INDIRECT("B21:B" &amp; ROW()))-1&lt;E127,表2_36716262930389121314[[#This Row],[累计净值]]/MAX(INDIRECT("B21:B" &amp; ROW()))-1,E127)</f>
        <v>-1.5525114155251041E-2</v>
      </c>
      <c r="F128" s="110">
        <f>表2_36716262930389121314[[#This Row],[累计净值]]-0.12</f>
        <v>1.0449999999999999</v>
      </c>
      <c r="G128" s="20">
        <f>表2_36716262930389121314[[#This Row],[累计净值]]/$B$21-1</f>
        <v>9.8020735155513794E-2</v>
      </c>
      <c r="H128" s="20">
        <f>表2_36716262930389121314[[#This Row],[累计净值]]/$B$51-1</f>
        <v>6.3926940639269514E-2</v>
      </c>
    </row>
    <row r="129" spans="1:8">
      <c r="A129" s="15">
        <v>44014</v>
      </c>
      <c r="B129" s="112">
        <v>1.161</v>
      </c>
      <c r="C129" s="108">
        <f t="shared" si="32"/>
        <v>-4.0000000000000036E-3</v>
      </c>
      <c r="D129" s="109">
        <f t="shared" si="33"/>
        <v>-4.0000000000000036E-3</v>
      </c>
      <c r="E129" s="109">
        <f ca="1">IF(表2_36716262930389121314[[#This Row],[累计净值]]/MAX(INDIRECT("B21:B" &amp; ROW()))-1&lt;E128,表2_36716262930389121314[[#This Row],[累计净值]]/MAX(INDIRECT("B21:B" &amp; ROW()))-1,E128)</f>
        <v>-1.5525114155251041E-2</v>
      </c>
      <c r="F129" s="110">
        <f>表2_36716262930389121314[[#This Row],[累计净值]]-0.12</f>
        <v>1.0409999999999999</v>
      </c>
      <c r="G129" s="20">
        <f>表2_36716262930389121314[[#This Row],[累计净值]]/$B$21-1</f>
        <v>9.4250706880301793E-2</v>
      </c>
      <c r="H129" s="20">
        <f>表2_36716262930389121314[[#This Row],[累计净值]]/$B$51-1</f>
        <v>6.02739726027397E-2</v>
      </c>
    </row>
    <row r="130" spans="1:8">
      <c r="A130" s="15">
        <v>44015</v>
      </c>
      <c r="B130" s="112">
        <v>1.1639999999999999</v>
      </c>
      <c r="C130" s="108">
        <f t="shared" si="32"/>
        <v>2.9999999999998916E-3</v>
      </c>
      <c r="D130" s="109" t="str">
        <f t="shared" si="33"/>
        <v>/</v>
      </c>
      <c r="E130" s="109">
        <f ca="1">IF(表2_36716262930389121314[[#This Row],[累计净值]]/MAX(INDIRECT("B21:B" &amp; ROW()))-1&lt;E129,表2_36716262930389121314[[#This Row],[累计净值]]/MAX(INDIRECT("B21:B" &amp; ROW()))-1,E129)</f>
        <v>-1.5525114155251041E-2</v>
      </c>
      <c r="F130" s="110">
        <f>表2_36716262930389121314[[#This Row],[累计净值]]-0.12</f>
        <v>1.044</v>
      </c>
      <c r="G130" s="20">
        <f>表2_36716262930389121314[[#This Row],[累计净值]]/$B$21-1</f>
        <v>9.7078228086710627E-2</v>
      </c>
      <c r="H130" s="20">
        <f>表2_36716262930389121314[[#This Row],[累计净值]]/$B$51-1</f>
        <v>6.3013698630136838E-2</v>
      </c>
    </row>
    <row r="131" spans="1:8">
      <c r="A131" s="15">
        <v>44018</v>
      </c>
      <c r="B131" s="112">
        <v>1.1439999999999999</v>
      </c>
      <c r="C131" s="108">
        <f t="shared" si="32"/>
        <v>-2.0000000000000018E-2</v>
      </c>
      <c r="D131" s="109">
        <f t="shared" si="33"/>
        <v>-2.0000000000000018E-2</v>
      </c>
      <c r="E131" s="109">
        <f ca="1">IF(表2_36716262930389121314[[#This Row],[累计净值]]/MAX(INDIRECT("B21:B" &amp; ROW()))-1&lt;E130,表2_36716262930389121314[[#This Row],[累计净值]]/MAX(INDIRECT("B21:B" &amp; ROW()))-1,E130)</f>
        <v>-1.8867924528301883E-2</v>
      </c>
      <c r="F131" s="110">
        <f>表2_36716262930389121314[[#This Row],[累计净值]]-0.12</f>
        <v>1.024</v>
      </c>
      <c r="G131" s="20">
        <f>表2_36716262930389121314[[#This Row],[累计净值]]/$B$21-1</f>
        <v>7.8228086710650402E-2</v>
      </c>
      <c r="H131" s="20">
        <f>表2_36716262930389121314[[#This Row],[累计净值]]/$B$51-1</f>
        <v>4.4748858447488438E-2</v>
      </c>
    </row>
    <row r="132" spans="1:8">
      <c r="A132" s="15">
        <v>44019</v>
      </c>
      <c r="B132" s="112">
        <v>1.1419999999999999</v>
      </c>
      <c r="C132" s="108">
        <f t="shared" ref="C132:C137" si="34">IFERROR(B132-B131,0)</f>
        <v>-2.0000000000000018E-3</v>
      </c>
      <c r="D132" s="109">
        <f t="shared" ref="D132:D137" si="35">IF(C132&lt;0,C132,"/")</f>
        <v>-2.0000000000000018E-3</v>
      </c>
      <c r="E132" s="109">
        <f ca="1">IF(表2_36716262930389121314[[#This Row],[累计净值]]/MAX(INDIRECT("B21:B" &amp; ROW()))-1&lt;E131,表2_36716262930389121314[[#This Row],[累计净值]]/MAX(INDIRECT("B21:B" &amp; ROW()))-1,E131)</f>
        <v>-2.0583190394511175E-2</v>
      </c>
      <c r="F132" s="110">
        <f>表2_36716262930389121314[[#This Row],[累计净值]]-0.12</f>
        <v>1.0219999999999998</v>
      </c>
      <c r="G132" s="20">
        <f>表2_36716262930389121314[[#This Row],[累计净值]]/$B$21-1</f>
        <v>7.6343072573044291E-2</v>
      </c>
      <c r="H132" s="20">
        <f>表2_36716262930389121314[[#This Row],[累计净值]]/$B$51-1</f>
        <v>4.2922374429223753E-2</v>
      </c>
    </row>
    <row r="133" spans="1:8">
      <c r="A133" s="15">
        <v>44020</v>
      </c>
      <c r="B133" s="112">
        <v>1.1539999999999999</v>
      </c>
      <c r="C133" s="108">
        <f t="shared" si="34"/>
        <v>1.2000000000000011E-2</v>
      </c>
      <c r="D133" s="109" t="str">
        <f t="shared" si="35"/>
        <v>/</v>
      </c>
      <c r="E133" s="109">
        <f ca="1">IF(表2_36716262930389121314[[#This Row],[累计净值]]/MAX(INDIRECT("B21:B" &amp; ROW()))-1&lt;E132,表2_36716262930389121314[[#This Row],[累计净值]]/MAX(INDIRECT("B21:B" &amp; ROW()))-1,E132)</f>
        <v>-2.0583190394511175E-2</v>
      </c>
      <c r="F133" s="110">
        <f>表2_36716262930389121314[[#This Row],[累计净值]]-0.12</f>
        <v>1.0339999999999998</v>
      </c>
      <c r="G133" s="20">
        <f>表2_36716262930389121314[[#This Row],[累计净值]]/$B$21-1</f>
        <v>8.7653157398680515E-2</v>
      </c>
      <c r="H133" s="20">
        <f>表2_36716262930389121314[[#This Row],[累计净值]]/$B$51-1</f>
        <v>5.3881278538812749E-2</v>
      </c>
    </row>
    <row r="134" spans="1:8">
      <c r="A134" s="15">
        <v>44021</v>
      </c>
      <c r="B134" s="112">
        <v>1.161</v>
      </c>
      <c r="C134" s="108">
        <f t="shared" si="34"/>
        <v>7.0000000000001172E-3</v>
      </c>
      <c r="D134" s="109" t="str">
        <f t="shared" si="35"/>
        <v>/</v>
      </c>
      <c r="E134" s="109">
        <f ca="1">IF(表2_36716262930389121314[[#This Row],[累计净值]]/MAX(INDIRECT("B21:B" &amp; ROW()))-1&lt;E133,表2_36716262930389121314[[#This Row],[累计净值]]/MAX(INDIRECT("B21:B" &amp; ROW()))-1,E133)</f>
        <v>-2.0583190394511175E-2</v>
      </c>
      <c r="F134" s="110">
        <f>表2_36716262930389121314[[#This Row],[累计净值]]-0.12</f>
        <v>1.0409999999999999</v>
      </c>
      <c r="G134" s="20">
        <f>表2_36716262930389121314[[#This Row],[累计净值]]/$B$21-1</f>
        <v>9.4250706880301793E-2</v>
      </c>
      <c r="H134" s="20">
        <f>表2_36716262930389121314[[#This Row],[累计净值]]/$B$51-1</f>
        <v>6.02739726027397E-2</v>
      </c>
    </row>
    <row r="135" spans="1:8">
      <c r="A135" s="15">
        <v>44022</v>
      </c>
      <c r="B135" s="112">
        <v>1.157</v>
      </c>
      <c r="C135" s="108">
        <f t="shared" si="34"/>
        <v>-4.0000000000000036E-3</v>
      </c>
      <c r="D135" s="109">
        <f t="shared" si="35"/>
        <v>-4.0000000000000036E-3</v>
      </c>
      <c r="E135" s="109">
        <f ca="1">IF(表2_36716262930389121314[[#This Row],[累计净值]]/MAX(INDIRECT("B21:B" &amp; ROW()))-1&lt;E134,表2_36716262930389121314[[#This Row],[累计净值]]/MAX(INDIRECT("B21:B" &amp; ROW()))-1,E134)</f>
        <v>-2.0583190394511175E-2</v>
      </c>
      <c r="F135" s="110">
        <f>表2_36716262930389121314[[#This Row],[累计净值]]-0.12</f>
        <v>1.0369999999999999</v>
      </c>
      <c r="G135" s="20">
        <f>表2_36716262930389121314[[#This Row],[累计净值]]/$B$21-1</f>
        <v>9.0480678605089571E-2</v>
      </c>
      <c r="H135" s="20">
        <f>表2_36716262930389121314[[#This Row],[累计净值]]/$B$51-1</f>
        <v>5.6621004566210109E-2</v>
      </c>
    </row>
    <row r="136" spans="1:8">
      <c r="A136" s="15">
        <v>44025</v>
      </c>
      <c r="B136" s="112">
        <v>1.159</v>
      </c>
      <c r="C136" s="108">
        <f t="shared" si="34"/>
        <v>2.0000000000000018E-3</v>
      </c>
      <c r="D136" s="109" t="str">
        <f t="shared" si="35"/>
        <v>/</v>
      </c>
      <c r="E136" s="109">
        <f ca="1">IF(表2_36716262930389121314[[#This Row],[累计净值]]/MAX(INDIRECT("B21:B" &amp; ROW()))-1&lt;E135,表2_36716262930389121314[[#This Row],[累计净值]]/MAX(INDIRECT("B21:B" &amp; ROW()))-1,E135)</f>
        <v>-2.0583190394511175E-2</v>
      </c>
      <c r="F136" s="110">
        <f>表2_36716262930389121314[[#This Row],[累计净值]]-0.12</f>
        <v>1.0390000000000001</v>
      </c>
      <c r="G136" s="20">
        <f>表2_36716262930389121314[[#This Row],[累计净值]]/$B$21-1</f>
        <v>9.2365692742695682E-2</v>
      </c>
      <c r="H136" s="20">
        <f>表2_36716262930389121314[[#This Row],[累计净值]]/$B$51-1</f>
        <v>5.8447488584475016E-2</v>
      </c>
    </row>
    <row r="137" spans="1:8">
      <c r="A137" s="15">
        <v>44026</v>
      </c>
      <c r="B137" s="112">
        <v>1.155</v>
      </c>
      <c r="C137" s="108">
        <f t="shared" si="34"/>
        <v>-4.0000000000000036E-3</v>
      </c>
      <c r="D137" s="109">
        <f t="shared" si="35"/>
        <v>-4.0000000000000036E-3</v>
      </c>
      <c r="E137" s="109">
        <f ca="1">IF(表2_36716262930389121314[[#This Row],[累计净值]]/MAX(INDIRECT("B21:B" &amp; ROW()))-1&lt;E136,表2_36716262930389121314[[#This Row],[累计净值]]/MAX(INDIRECT("B21:B" &amp; ROW()))-1,E136)</f>
        <v>-2.0583190394511175E-2</v>
      </c>
      <c r="F137" s="110">
        <f>表2_36716262930389121314[[#This Row],[累计净值]]-0.12</f>
        <v>1.0350000000000001</v>
      </c>
      <c r="G137" s="20">
        <f>表2_36716262930389121314[[#This Row],[累计净值]]/$B$21-1</f>
        <v>8.8595664467483681E-2</v>
      </c>
      <c r="H137" s="20">
        <f>表2_36716262930389121314[[#This Row],[累计净值]]/$B$51-1</f>
        <v>5.4794520547945202E-2</v>
      </c>
    </row>
    <row r="138" spans="1:8">
      <c r="A138" s="15">
        <v>44027</v>
      </c>
      <c r="B138" s="112">
        <v>1.157</v>
      </c>
      <c r="C138" s="108">
        <f t="shared" ref="C138:C145" si="36">IFERROR(B138-B137,0)</f>
        <v>2.0000000000000018E-3</v>
      </c>
      <c r="D138" s="109" t="str">
        <f t="shared" ref="D138:D145" si="37">IF(C138&lt;0,C138,"/")</f>
        <v>/</v>
      </c>
      <c r="E138" s="109">
        <f ca="1">IF(表2_36716262930389121314[[#This Row],[累计净值]]/MAX(INDIRECT("B21:B" &amp; ROW()))-1&lt;E137,表2_36716262930389121314[[#This Row],[累计净值]]/MAX(INDIRECT("B21:B" &amp; ROW()))-1,E137)</f>
        <v>-2.0583190394511175E-2</v>
      </c>
      <c r="F138" s="110">
        <f>表2_36716262930389121314[[#This Row],[累计净值]]-0.12</f>
        <v>1.0369999999999999</v>
      </c>
      <c r="G138" s="20">
        <f>表2_36716262930389121314[[#This Row],[累计净值]]/$B$21-1</f>
        <v>9.0480678605089571E-2</v>
      </c>
      <c r="H138" s="20">
        <f>表2_36716262930389121314[[#This Row],[累计净值]]/$B$51-1</f>
        <v>5.6621004566210109E-2</v>
      </c>
    </row>
    <row r="139" spans="1:8">
      <c r="A139" s="15">
        <v>44028</v>
      </c>
      <c r="B139" s="112">
        <v>1.145</v>
      </c>
      <c r="C139" s="108">
        <f t="shared" si="36"/>
        <v>-1.2000000000000011E-2</v>
      </c>
      <c r="D139" s="109">
        <f t="shared" si="37"/>
        <v>-1.2000000000000011E-2</v>
      </c>
      <c r="E139" s="109">
        <f ca="1">IF(表2_36716262930389121314[[#This Row],[累计净值]]/MAX(INDIRECT("B21:B" &amp; ROW()))-1&lt;E138,表2_36716262930389121314[[#This Row],[累计净值]]/MAX(INDIRECT("B21:B" &amp; ROW()))-1,E138)</f>
        <v>-2.0583190394511175E-2</v>
      </c>
      <c r="F139" s="110">
        <f>表2_36716262930389121314[[#This Row],[累计净值]]-0.12</f>
        <v>1.0249999999999999</v>
      </c>
      <c r="G139" s="20">
        <f>表2_36716262930389121314[[#This Row],[累计净值]]/$B$21-1</f>
        <v>7.9170593779453347E-2</v>
      </c>
      <c r="H139" s="20">
        <f>表2_36716262930389121314[[#This Row],[累计净值]]/$B$51-1</f>
        <v>4.5662100456621113E-2</v>
      </c>
    </row>
    <row r="140" spans="1:8">
      <c r="A140" s="15">
        <v>44029</v>
      </c>
      <c r="B140" s="112">
        <v>1.155</v>
      </c>
      <c r="C140" s="108">
        <f t="shared" si="36"/>
        <v>1.0000000000000009E-2</v>
      </c>
      <c r="D140" s="109" t="str">
        <f t="shared" si="37"/>
        <v>/</v>
      </c>
      <c r="E140" s="109">
        <f ca="1">IF(表2_36716262930389121314[[#This Row],[累计净值]]/MAX(INDIRECT("B21:B" &amp; ROW()))-1&lt;E139,表2_36716262930389121314[[#This Row],[累计净值]]/MAX(INDIRECT("B21:B" &amp; ROW()))-1,E139)</f>
        <v>-2.0583190394511175E-2</v>
      </c>
      <c r="F140" s="110">
        <f>表2_36716262930389121314[[#This Row],[累计净值]]-0.12</f>
        <v>1.0350000000000001</v>
      </c>
      <c r="G140" s="20">
        <f>表2_36716262930389121314[[#This Row],[累计净值]]/$B$21-1</f>
        <v>8.8595664467483681E-2</v>
      </c>
      <c r="H140" s="20">
        <f>表2_36716262930389121314[[#This Row],[累计净值]]/$B$51-1</f>
        <v>5.4794520547945202E-2</v>
      </c>
    </row>
    <row r="141" spans="1:8">
      <c r="A141" s="15">
        <v>44032</v>
      </c>
      <c r="B141" s="112">
        <v>1.1579999999999999</v>
      </c>
      <c r="C141" s="108">
        <f t="shared" si="36"/>
        <v>2.9999999999998916E-3</v>
      </c>
      <c r="D141" s="109" t="str">
        <f t="shared" si="37"/>
        <v>/</v>
      </c>
      <c r="E141" s="109">
        <f ca="1">IF(表2_36716262930389121314[[#This Row],[累计净值]]/MAX(INDIRECT("B21:B" &amp; ROW()))-1&lt;E140,表2_36716262930389121314[[#This Row],[累计净值]]/MAX(INDIRECT("B21:B" &amp; ROW()))-1,E140)</f>
        <v>-2.0583190394511175E-2</v>
      </c>
      <c r="F141" s="110">
        <f>表2_36716262930389121314[[#This Row],[累计净值]]-0.12</f>
        <v>1.0379999999999998</v>
      </c>
      <c r="G141" s="20">
        <f>表2_36716262930389121314[[#This Row],[累计净值]]/$B$21-1</f>
        <v>9.1423185673892515E-2</v>
      </c>
      <c r="H141" s="20">
        <f>表2_36716262930389121314[[#This Row],[累计净值]]/$B$51-1</f>
        <v>5.753424657534234E-2</v>
      </c>
    </row>
    <row r="142" spans="1:8">
      <c r="A142" s="9">
        <v>44033</v>
      </c>
      <c r="B142" s="190">
        <v>1.1659999999999999</v>
      </c>
      <c r="C142" s="191">
        <f t="shared" si="36"/>
        <v>8.0000000000000071E-3</v>
      </c>
      <c r="D142" s="192" t="str">
        <f t="shared" si="37"/>
        <v>/</v>
      </c>
      <c r="E142" s="192">
        <f ca="1">IF(表2_36716262930389121314[[#This Row],[累计净值]]/MAX(INDIRECT("B21:B" &amp; ROW()))-1&lt;E141,表2_36716262930389121314[[#This Row],[累计净值]]/MAX(INDIRECT("B21:B" &amp; ROW()))-1,E141)</f>
        <v>-2.0583190394511175E-2</v>
      </c>
      <c r="F142" s="193">
        <f>表2_36716262930389121314[[#This Row],[累计净值]]-0.12</f>
        <v>1.0459999999999998</v>
      </c>
      <c r="G142" s="82">
        <f>表2_36716262930389121314[[#This Row],[累计净值]]/$B$21-1</f>
        <v>9.8963242224316739E-2</v>
      </c>
      <c r="H142" s="82">
        <f>表2_36716262930389121314[[#This Row],[累计净值]]/$B$51-1</f>
        <v>6.4840182648401745E-2</v>
      </c>
    </row>
    <row r="143" spans="1:8">
      <c r="A143" s="15">
        <v>44034</v>
      </c>
      <c r="B143" s="112">
        <v>1.163</v>
      </c>
      <c r="C143" s="108">
        <f t="shared" si="36"/>
        <v>-2.9999999999998916E-3</v>
      </c>
      <c r="D143" s="109">
        <f t="shared" si="37"/>
        <v>-2.9999999999998916E-3</v>
      </c>
      <c r="E143" s="109">
        <f ca="1">IF(表2_36716262930389121314[[#This Row],[累计净值]]/MAX(INDIRECT("B21:B" &amp; ROW()))-1&lt;E142,表2_36716262930389121314[[#This Row],[累计净值]]/MAX(INDIRECT("B21:B" &amp; ROW()))-1,E142)</f>
        <v>-2.0583190394511175E-2</v>
      </c>
      <c r="F143" s="110">
        <f>表2_36716262930389121314[[#This Row],[累计净值]]-0.12</f>
        <v>1.0430000000000001</v>
      </c>
      <c r="G143" s="20">
        <f>表2_36716262930389121314[[#This Row],[累计净值]]/$B$21-1</f>
        <v>9.6135721017907683E-2</v>
      </c>
      <c r="H143" s="20">
        <f>表2_36716262930389121314[[#This Row],[累计净值]]/$B$51-1</f>
        <v>6.2100456621004607E-2</v>
      </c>
    </row>
    <row r="144" spans="1:8">
      <c r="A144" s="15">
        <v>44035</v>
      </c>
      <c r="B144" s="117">
        <v>1.167</v>
      </c>
      <c r="C144" s="108">
        <f t="shared" si="36"/>
        <v>4.0000000000000036E-3</v>
      </c>
      <c r="D144" s="109" t="str">
        <f t="shared" si="37"/>
        <v>/</v>
      </c>
      <c r="E144" s="109">
        <f ca="1">IF(表2_36716262930389121314[[#This Row],[累计净值]]/MAX(INDIRECT("B21:B" &amp; ROW()))-1&lt;E143,表2_36716262930389121314[[#This Row],[累计净值]]/MAX(INDIRECT("B21:B" &amp; ROW()))-1,E143)</f>
        <v>-2.0583190394511175E-2</v>
      </c>
      <c r="F144" s="110">
        <f>表2_36716262930389121314[[#This Row],[累计净值]]-0.12</f>
        <v>1.0470000000000002</v>
      </c>
      <c r="G144" s="20">
        <f>表2_36716262930389121314[[#This Row],[累计净值]]/$B$21-1</f>
        <v>9.9905749293119683E-2</v>
      </c>
      <c r="H144" s="20">
        <f>表2_36716262930389121314[[#This Row],[累计净值]]/$B$51-1</f>
        <v>6.5753424657534199E-2</v>
      </c>
    </row>
    <row r="145" spans="1:8">
      <c r="A145" s="15">
        <v>44036</v>
      </c>
      <c r="B145" s="112">
        <v>1.1619999999999999</v>
      </c>
      <c r="C145" s="108">
        <f t="shared" si="36"/>
        <v>-5.0000000000001155E-3</v>
      </c>
      <c r="D145" s="109">
        <f t="shared" si="37"/>
        <v>-5.0000000000001155E-3</v>
      </c>
      <c r="E145" s="109">
        <f ca="1">IF(表2_36716262930389121314[[#This Row],[累计净值]]/MAX(INDIRECT("B21:B" &amp; ROW()))-1&lt;E144,表2_36716262930389121314[[#This Row],[累计净值]]/MAX(INDIRECT("B21:B" &amp; ROW()))-1,E144)</f>
        <v>-2.0583190394511175E-2</v>
      </c>
      <c r="F145" s="110">
        <f>表2_36716262930389121314[[#This Row],[累计净值]]-0.12</f>
        <v>1.0419999999999998</v>
      </c>
      <c r="G145" s="20">
        <f>表2_36716262930389121314[[#This Row],[累计净值]]/$B$21-1</f>
        <v>9.5193213949104516E-2</v>
      </c>
      <c r="H145" s="20">
        <f>表2_36716262930389121314[[#This Row],[累计净值]]/$B$51-1</f>
        <v>6.1187214611872154E-2</v>
      </c>
    </row>
    <row r="146" spans="1:8">
      <c r="A146" s="15">
        <v>44039</v>
      </c>
      <c r="B146" s="112">
        <v>1.1599999999999999</v>
      </c>
      <c r="C146" s="108">
        <f t="shared" ref="C146:C151" si="38">IFERROR(B146-B145,0)</f>
        <v>-2.0000000000000018E-3</v>
      </c>
      <c r="D146" s="109">
        <f t="shared" ref="D146:D151" si="39">IF(C146&lt;0,C146,"/")</f>
        <v>-2.0000000000000018E-3</v>
      </c>
      <c r="E146" s="109">
        <f ca="1">IF(表2_36716262930389121314[[#This Row],[累计净值]]/MAX(INDIRECT("B21:B" &amp; ROW()))-1&lt;E145,表2_36716262930389121314[[#This Row],[累计净值]]/MAX(INDIRECT("B21:B" &amp; ROW()))-1,E145)</f>
        <v>-2.0583190394511175E-2</v>
      </c>
      <c r="F146" s="110">
        <f>表2_36716262930389121314[[#This Row],[累计净值]]-0.12</f>
        <v>1.04</v>
      </c>
      <c r="G146" s="20">
        <f>表2_36716262930389121314[[#This Row],[累计净值]]/$B$21-1</f>
        <v>9.3308199811498627E-2</v>
      </c>
      <c r="H146" s="20">
        <f>表2_36716262930389121314[[#This Row],[累计净值]]/$B$51-1</f>
        <v>5.9360730593607247E-2</v>
      </c>
    </row>
    <row r="147" spans="1:8">
      <c r="A147" s="15">
        <v>44040</v>
      </c>
      <c r="B147" s="112">
        <v>1.1659999999999999</v>
      </c>
      <c r="C147" s="108">
        <f t="shared" si="38"/>
        <v>6.0000000000000053E-3</v>
      </c>
      <c r="D147" s="109" t="str">
        <f t="shared" si="39"/>
        <v>/</v>
      </c>
      <c r="E147" s="109">
        <f ca="1">IF(表2_36716262930389121314[[#This Row],[累计净值]]/MAX(INDIRECT("B21:B" &amp; ROW()))-1&lt;E146,表2_36716262930389121314[[#This Row],[累计净值]]/MAX(INDIRECT("B21:B" &amp; ROW()))-1,E146)</f>
        <v>-2.0583190394511175E-2</v>
      </c>
      <c r="F147" s="110">
        <f>表2_36716262930389121314[[#This Row],[累计净值]]-0.12</f>
        <v>1.0459999999999998</v>
      </c>
      <c r="G147" s="20">
        <f>表2_36716262930389121314[[#This Row],[累计净值]]/$B$21-1</f>
        <v>9.8963242224316739E-2</v>
      </c>
      <c r="H147" s="20">
        <f>表2_36716262930389121314[[#This Row],[累计净值]]/$B$51-1</f>
        <v>6.4840182648401745E-2</v>
      </c>
    </row>
    <row r="148" spans="1:8">
      <c r="A148" s="15">
        <v>44041</v>
      </c>
      <c r="B148" s="112">
        <v>1.161</v>
      </c>
      <c r="C148" s="108">
        <f t="shared" si="38"/>
        <v>-4.9999999999998934E-3</v>
      </c>
      <c r="D148" s="109">
        <f t="shared" si="39"/>
        <v>-4.9999999999998934E-3</v>
      </c>
      <c r="E148" s="109">
        <f ca="1">IF(表2_36716262930389121314[[#This Row],[累计净值]]/MAX(INDIRECT("B21:B" &amp; ROW()))-1&lt;E147,表2_36716262930389121314[[#This Row],[累计净值]]/MAX(INDIRECT("B21:B" &amp; ROW()))-1,E147)</f>
        <v>-2.0583190394511175E-2</v>
      </c>
      <c r="F148" s="110">
        <f>表2_36716262930389121314[[#This Row],[累计净值]]-0.12</f>
        <v>1.0409999999999999</v>
      </c>
      <c r="G148" s="20">
        <f>表2_36716262930389121314[[#This Row],[累计净值]]/$B$21-1</f>
        <v>9.4250706880301793E-2</v>
      </c>
      <c r="H148" s="20">
        <f>表2_36716262930389121314[[#This Row],[累计净值]]/$B$51-1</f>
        <v>6.02739726027397E-2</v>
      </c>
    </row>
    <row r="149" spans="1:8">
      <c r="A149" s="15">
        <v>44042</v>
      </c>
      <c r="B149" s="112">
        <v>1.161</v>
      </c>
      <c r="C149" s="108">
        <f t="shared" si="38"/>
        <v>0</v>
      </c>
      <c r="D149" s="109" t="str">
        <f t="shared" si="39"/>
        <v>/</v>
      </c>
      <c r="E149" s="109">
        <f ca="1">IF(表2_36716262930389121314[[#This Row],[累计净值]]/MAX(INDIRECT("B21:B" &amp; ROW()))-1&lt;E148,表2_36716262930389121314[[#This Row],[累计净值]]/MAX(INDIRECT("B21:B" &amp; ROW()))-1,E148)</f>
        <v>-2.0583190394511175E-2</v>
      </c>
      <c r="F149" s="110">
        <f>表2_36716262930389121314[[#This Row],[累计净值]]-0.12</f>
        <v>1.0409999999999999</v>
      </c>
      <c r="G149" s="20">
        <f>表2_36716262930389121314[[#This Row],[累计净值]]/$B$21-1</f>
        <v>9.4250706880301793E-2</v>
      </c>
      <c r="H149" s="20">
        <f>表2_36716262930389121314[[#This Row],[累计净值]]/$B$51-1</f>
        <v>6.02739726027397E-2</v>
      </c>
    </row>
    <row r="150" spans="1:8">
      <c r="A150" s="15">
        <v>44043</v>
      </c>
      <c r="B150" s="112">
        <v>1.163</v>
      </c>
      <c r="C150" s="108">
        <f t="shared" si="38"/>
        <v>2.0000000000000018E-3</v>
      </c>
      <c r="D150" s="109" t="str">
        <f t="shared" si="39"/>
        <v>/</v>
      </c>
      <c r="E150" s="109">
        <f ca="1">IF(表2_36716262930389121314[[#This Row],[累计净值]]/MAX(INDIRECT("B21:B" &amp; ROW()))-1&lt;E149,表2_36716262930389121314[[#This Row],[累计净值]]/MAX(INDIRECT("B21:B" &amp; ROW()))-1,E149)</f>
        <v>-2.0583190394511175E-2</v>
      </c>
      <c r="F150" s="110">
        <f>表2_36716262930389121314[[#This Row],[累计净值]]-0.12</f>
        <v>1.0430000000000001</v>
      </c>
      <c r="G150" s="20">
        <f>表2_36716262930389121314[[#This Row],[累计净值]]/$B$21-1</f>
        <v>9.6135721017907683E-2</v>
      </c>
      <c r="H150" s="20">
        <f>表2_36716262930389121314[[#This Row],[累计净值]]/$B$51-1</f>
        <v>6.2100456621004607E-2</v>
      </c>
    </row>
    <row r="151" spans="1:8">
      <c r="A151" s="15">
        <v>44046</v>
      </c>
      <c r="B151" s="112">
        <v>1.1659999999999999</v>
      </c>
      <c r="C151" s="108">
        <f t="shared" si="38"/>
        <v>2.9999999999998916E-3</v>
      </c>
      <c r="D151" s="109" t="str">
        <f t="shared" si="39"/>
        <v>/</v>
      </c>
      <c r="E151" s="109">
        <f ca="1">IF(表2_36716262930389121314[[#This Row],[累计净值]]/MAX(INDIRECT("B21:B" &amp; ROW()))-1&lt;E150,表2_36716262930389121314[[#This Row],[累计净值]]/MAX(INDIRECT("B21:B" &amp; ROW()))-1,E150)</f>
        <v>-2.0583190394511175E-2</v>
      </c>
      <c r="F151" s="110">
        <f>表2_36716262930389121314[[#This Row],[累计净值]]-0.12</f>
        <v>1.0459999999999998</v>
      </c>
      <c r="G151" s="20">
        <f>表2_36716262930389121314[[#This Row],[累计净值]]/$B$21-1</f>
        <v>9.8963242224316739E-2</v>
      </c>
      <c r="H151" s="20">
        <f>表2_36716262930389121314[[#This Row],[累计净值]]/$B$51-1</f>
        <v>6.4840182648401745E-2</v>
      </c>
    </row>
    <row r="152" spans="1:8">
      <c r="A152" s="15">
        <v>44047</v>
      </c>
      <c r="B152" s="112">
        <v>1.1659999999999999</v>
      </c>
      <c r="C152" s="108">
        <f t="shared" ref="C152:C157" si="40">IFERROR(B152-B151,0)</f>
        <v>0</v>
      </c>
      <c r="D152" s="109" t="str">
        <f t="shared" ref="D152:D157" si="41">IF(C152&lt;0,C152,"/")</f>
        <v>/</v>
      </c>
      <c r="E152" s="109">
        <f ca="1">IF(表2_36716262930389121314[[#This Row],[累计净值]]/MAX(INDIRECT("B21:B" &amp; ROW()))-1&lt;E151,表2_36716262930389121314[[#This Row],[累计净值]]/MAX(INDIRECT("B21:B" &amp; ROW()))-1,E151)</f>
        <v>-2.0583190394511175E-2</v>
      </c>
      <c r="F152" s="110">
        <f>表2_36716262930389121314[[#This Row],[累计净值]]-0.12</f>
        <v>1.0459999999999998</v>
      </c>
      <c r="G152" s="20">
        <f>表2_36716262930389121314[[#This Row],[累计净值]]/$B$21-1</f>
        <v>9.8963242224316739E-2</v>
      </c>
      <c r="H152" s="20">
        <f>表2_36716262930389121314[[#This Row],[累计净值]]/$B$51-1</f>
        <v>6.4840182648401745E-2</v>
      </c>
    </row>
    <row r="153" spans="1:8">
      <c r="A153" s="15">
        <v>44048</v>
      </c>
      <c r="B153" s="112">
        <v>1.1659999999999999</v>
      </c>
      <c r="C153" s="108">
        <f t="shared" si="40"/>
        <v>0</v>
      </c>
      <c r="D153" s="109" t="str">
        <f t="shared" si="41"/>
        <v>/</v>
      </c>
      <c r="E153" s="109">
        <f ca="1">IF(表2_36716262930389121314[[#This Row],[累计净值]]/MAX(INDIRECT("B21:B" &amp; ROW()))-1&lt;E152,表2_36716262930389121314[[#This Row],[累计净值]]/MAX(INDIRECT("B21:B" &amp; ROW()))-1,E152)</f>
        <v>-2.0583190394511175E-2</v>
      </c>
      <c r="F153" s="110">
        <f>表2_36716262930389121314[[#This Row],[累计净值]]-0.12</f>
        <v>1.0459999999999998</v>
      </c>
      <c r="G153" s="20">
        <f>表2_36716262930389121314[[#This Row],[累计净值]]/$B$21-1</f>
        <v>9.8963242224316739E-2</v>
      </c>
      <c r="H153" s="20">
        <f>表2_36716262930389121314[[#This Row],[累计净值]]/$B$51-1</f>
        <v>6.4840182648401745E-2</v>
      </c>
    </row>
    <row r="154" spans="1:8">
      <c r="A154" s="15">
        <v>44049</v>
      </c>
      <c r="B154" s="112">
        <v>1.1619999999999999</v>
      </c>
      <c r="C154" s="108">
        <f t="shared" si="40"/>
        <v>-4.0000000000000036E-3</v>
      </c>
      <c r="D154" s="109">
        <f t="shared" si="41"/>
        <v>-4.0000000000000036E-3</v>
      </c>
      <c r="E154" s="109">
        <f ca="1">IF(表2_36716262930389121314[[#This Row],[累计净值]]/MAX(INDIRECT("B21:B" &amp; ROW()))-1&lt;E153,表2_36716262930389121314[[#This Row],[累计净值]]/MAX(INDIRECT("B21:B" &amp; ROW()))-1,E153)</f>
        <v>-2.0583190394511175E-2</v>
      </c>
      <c r="F154" s="110">
        <f>表2_36716262930389121314[[#This Row],[累计净值]]-0.12</f>
        <v>1.0419999999999998</v>
      </c>
      <c r="G154" s="20">
        <f>表2_36716262930389121314[[#This Row],[累计净值]]/$B$21-1</f>
        <v>9.5193213949104516E-2</v>
      </c>
      <c r="H154" s="20">
        <f>表2_36716262930389121314[[#This Row],[累计净值]]/$B$51-1</f>
        <v>6.1187214611872154E-2</v>
      </c>
    </row>
    <row r="155" spans="1:8">
      <c r="A155" s="15">
        <v>44050</v>
      </c>
      <c r="B155" s="112">
        <v>1.1599999999999999</v>
      </c>
      <c r="C155" s="108">
        <f t="shared" si="40"/>
        <v>-2.0000000000000018E-3</v>
      </c>
      <c r="D155" s="109">
        <f t="shared" si="41"/>
        <v>-2.0000000000000018E-3</v>
      </c>
      <c r="E155" s="109">
        <f ca="1">IF(表2_36716262930389121314[[#This Row],[累计净值]]/MAX(INDIRECT("B21:B" &amp; ROW()))-1&lt;E154,表2_36716262930389121314[[#This Row],[累计净值]]/MAX(INDIRECT("B21:B" &amp; ROW()))-1,E154)</f>
        <v>-2.0583190394511175E-2</v>
      </c>
      <c r="F155" s="110">
        <f>表2_36716262930389121314[[#This Row],[累计净值]]-0.12</f>
        <v>1.04</v>
      </c>
      <c r="G155" s="20">
        <f>表2_36716262930389121314[[#This Row],[累计净值]]/$B$21-1</f>
        <v>9.3308199811498627E-2</v>
      </c>
      <c r="H155" s="20">
        <f>表2_36716262930389121314[[#This Row],[累计净值]]/$B$51-1</f>
        <v>5.9360730593607247E-2</v>
      </c>
    </row>
    <row r="156" spans="1:8">
      <c r="A156" s="15">
        <v>44053</v>
      </c>
      <c r="B156" s="112">
        <v>1.1579999999999999</v>
      </c>
      <c r="C156" s="108">
        <f t="shared" si="40"/>
        <v>-2.0000000000000018E-3</v>
      </c>
      <c r="D156" s="109">
        <f t="shared" si="41"/>
        <v>-2.0000000000000018E-3</v>
      </c>
      <c r="E156" s="109">
        <f ca="1">IF(表2_36716262930389121314[[#This Row],[累计净值]]/MAX(INDIRECT("B21:B" &amp; ROW()))-1&lt;E155,表2_36716262930389121314[[#This Row],[累计净值]]/MAX(INDIRECT("B21:B" &amp; ROW()))-1,E155)</f>
        <v>-2.0583190394511175E-2</v>
      </c>
      <c r="F156" s="110">
        <f>表2_36716262930389121314[[#This Row],[累计净值]]-0.12</f>
        <v>1.0379999999999998</v>
      </c>
      <c r="G156" s="20">
        <f>表2_36716262930389121314[[#This Row],[累计净值]]/$B$21-1</f>
        <v>9.1423185673892515E-2</v>
      </c>
      <c r="H156" s="20">
        <f>表2_36716262930389121314[[#This Row],[累计净值]]/$B$51-1</f>
        <v>5.753424657534234E-2</v>
      </c>
    </row>
    <row r="157" spans="1:8">
      <c r="A157" s="15">
        <v>44054</v>
      </c>
      <c r="B157" s="112">
        <v>1.159</v>
      </c>
      <c r="C157" s="108">
        <f t="shared" si="40"/>
        <v>1.0000000000001119E-3</v>
      </c>
      <c r="D157" s="109" t="str">
        <f t="shared" si="41"/>
        <v>/</v>
      </c>
      <c r="E157" s="109">
        <f ca="1">IF(表2_36716262930389121314[[#This Row],[累计净值]]/MAX(INDIRECT("B21:B" &amp; ROW()))-1&lt;E156,表2_36716262930389121314[[#This Row],[累计净值]]/MAX(INDIRECT("B21:B" &amp; ROW()))-1,E156)</f>
        <v>-2.0583190394511175E-2</v>
      </c>
      <c r="F157" s="110">
        <f>表2_36716262930389121314[[#This Row],[累计净值]]-0.12</f>
        <v>1.0390000000000001</v>
      </c>
      <c r="G157" s="20">
        <f>表2_36716262930389121314[[#This Row],[累计净值]]/$B$21-1</f>
        <v>9.2365692742695682E-2</v>
      </c>
      <c r="H157" s="20">
        <f>表2_36716262930389121314[[#This Row],[累计净值]]/$B$51-1</f>
        <v>5.8447488584475016E-2</v>
      </c>
    </row>
    <row r="158" spans="1:8">
      <c r="A158" s="15">
        <v>44055</v>
      </c>
      <c r="B158" s="112">
        <v>1.157</v>
      </c>
      <c r="C158" s="108">
        <f t="shared" ref="C158:C163" si="42">IFERROR(B158-B157,0)</f>
        <v>-2.0000000000000018E-3</v>
      </c>
      <c r="D158" s="109">
        <f t="shared" ref="D158:D163" si="43">IF(C158&lt;0,C158,"/")</f>
        <v>-2.0000000000000018E-3</v>
      </c>
      <c r="E158" s="109">
        <f ca="1">IF(表2_36716262930389121314[[#This Row],[累计净值]]/MAX(INDIRECT("B21:B" &amp; ROW()))-1&lt;E157,表2_36716262930389121314[[#This Row],[累计净值]]/MAX(INDIRECT("B21:B" &amp; ROW()))-1,E157)</f>
        <v>-2.0583190394511175E-2</v>
      </c>
      <c r="F158" s="110">
        <f>表2_36716262930389121314[[#This Row],[累计净值]]-0.12</f>
        <v>1.0369999999999999</v>
      </c>
      <c r="G158" s="20">
        <f>表2_36716262930389121314[[#This Row],[累计净值]]/$B$21-1</f>
        <v>9.0480678605089571E-2</v>
      </c>
      <c r="H158" s="20">
        <f>表2_36716262930389121314[[#This Row],[累计净值]]/$B$51-1</f>
        <v>5.6621004566210109E-2</v>
      </c>
    </row>
    <row r="159" spans="1:8">
      <c r="A159" s="15">
        <v>44056</v>
      </c>
      <c r="B159" s="112">
        <v>1.157</v>
      </c>
      <c r="C159" s="108">
        <f t="shared" si="42"/>
        <v>0</v>
      </c>
      <c r="D159" s="109" t="str">
        <f t="shared" si="43"/>
        <v>/</v>
      </c>
      <c r="E159" s="109">
        <f ca="1">IF(表2_36716262930389121314[[#This Row],[累计净值]]/MAX(INDIRECT("B21:B" &amp; ROW()))-1&lt;E158,表2_36716262930389121314[[#This Row],[累计净值]]/MAX(INDIRECT("B21:B" &amp; ROW()))-1,E158)</f>
        <v>-2.0583190394511175E-2</v>
      </c>
      <c r="F159" s="110">
        <f>表2_36716262930389121314[[#This Row],[累计净值]]-0.12</f>
        <v>1.0369999999999999</v>
      </c>
      <c r="G159" s="20">
        <f>表2_36716262930389121314[[#This Row],[累计净值]]/$B$21-1</f>
        <v>9.0480678605089571E-2</v>
      </c>
      <c r="H159" s="20">
        <f>表2_36716262930389121314[[#This Row],[累计净值]]/$B$51-1</f>
        <v>5.6621004566210109E-2</v>
      </c>
    </row>
    <row r="160" spans="1:8">
      <c r="A160" s="15">
        <v>44057</v>
      </c>
      <c r="B160" s="112">
        <v>1.159</v>
      </c>
      <c r="C160" s="108">
        <f t="shared" si="42"/>
        <v>2.0000000000000018E-3</v>
      </c>
      <c r="D160" s="109" t="str">
        <f t="shared" si="43"/>
        <v>/</v>
      </c>
      <c r="E160" s="109">
        <f ca="1">IF(表2_36716262930389121314[[#This Row],[累计净值]]/MAX(INDIRECT("B21:B" &amp; ROW()))-1&lt;E159,表2_36716262930389121314[[#This Row],[累计净值]]/MAX(INDIRECT("B21:B" &amp; ROW()))-1,E159)</f>
        <v>-2.0583190394511175E-2</v>
      </c>
      <c r="F160" s="110">
        <f>表2_36716262930389121314[[#This Row],[累计净值]]-0.12</f>
        <v>1.0390000000000001</v>
      </c>
      <c r="G160" s="20">
        <f>表2_36716262930389121314[[#This Row],[累计净值]]/$B$21-1</f>
        <v>9.2365692742695682E-2</v>
      </c>
      <c r="H160" s="20">
        <f>表2_36716262930389121314[[#This Row],[累计净值]]/$B$51-1</f>
        <v>5.8447488584475016E-2</v>
      </c>
    </row>
    <row r="161" spans="1:8">
      <c r="A161" s="15">
        <v>44060</v>
      </c>
      <c r="B161" s="112">
        <v>1.1559999999999999</v>
      </c>
      <c r="C161" s="108">
        <f t="shared" si="42"/>
        <v>-3.0000000000001137E-3</v>
      </c>
      <c r="D161" s="109">
        <f t="shared" si="43"/>
        <v>-3.0000000000001137E-3</v>
      </c>
      <c r="E161" s="109">
        <f ca="1">IF(表2_36716262930389121314[[#This Row],[累计净值]]/MAX(INDIRECT("B21:B" &amp; ROW()))-1&lt;E160,表2_36716262930389121314[[#This Row],[累计净值]]/MAX(INDIRECT("B21:B" &amp; ROW()))-1,E160)</f>
        <v>-2.0583190394511175E-2</v>
      </c>
      <c r="F161" s="110">
        <f>表2_36716262930389121314[[#This Row],[累计净值]]-0.12</f>
        <v>1.036</v>
      </c>
      <c r="G161" s="20">
        <f>表2_36716262930389121314[[#This Row],[累计净值]]/$B$21-1</f>
        <v>8.9538171536286404E-2</v>
      </c>
      <c r="H161" s="20">
        <f>表2_36716262930389121314[[#This Row],[累计净值]]/$B$51-1</f>
        <v>5.5707762557077656E-2</v>
      </c>
    </row>
    <row r="162" spans="1:8">
      <c r="A162" s="15">
        <v>44061</v>
      </c>
      <c r="B162" s="112">
        <v>1.159</v>
      </c>
      <c r="C162" s="108">
        <f t="shared" si="42"/>
        <v>3.0000000000001137E-3</v>
      </c>
      <c r="D162" s="109" t="str">
        <f t="shared" si="43"/>
        <v>/</v>
      </c>
      <c r="E162" s="109">
        <f ca="1">IF(表2_36716262930389121314[[#This Row],[累计净值]]/MAX(INDIRECT("B21:B" &amp; ROW()))-1&lt;E161,表2_36716262930389121314[[#This Row],[累计净值]]/MAX(INDIRECT("B21:B" &amp; ROW()))-1,E161)</f>
        <v>-2.0583190394511175E-2</v>
      </c>
      <c r="F162" s="110">
        <f>表2_36716262930389121314[[#This Row],[累计净值]]-0.12</f>
        <v>1.0390000000000001</v>
      </c>
      <c r="G162" s="20">
        <f>表2_36716262930389121314[[#This Row],[累计净值]]/$B$21-1</f>
        <v>9.2365692742695682E-2</v>
      </c>
      <c r="H162" s="20">
        <f>表2_36716262930389121314[[#This Row],[累计净值]]/$B$51-1</f>
        <v>5.8447488584475016E-2</v>
      </c>
    </row>
    <row r="163" spans="1:8">
      <c r="A163" s="15">
        <v>44062</v>
      </c>
      <c r="B163" s="112">
        <v>1.157</v>
      </c>
      <c r="C163" s="108">
        <f t="shared" si="42"/>
        <v>-2.0000000000000018E-3</v>
      </c>
      <c r="D163" s="109">
        <f t="shared" si="43"/>
        <v>-2.0000000000000018E-3</v>
      </c>
      <c r="E163" s="109">
        <f ca="1">IF(表2_36716262930389121314[[#This Row],[累计净值]]/MAX(INDIRECT("B21:B" &amp; ROW()))-1&lt;E162,表2_36716262930389121314[[#This Row],[累计净值]]/MAX(INDIRECT("B21:B" &amp; ROW()))-1,E162)</f>
        <v>-2.0583190394511175E-2</v>
      </c>
      <c r="F163" s="110">
        <f>表2_36716262930389121314[[#This Row],[累计净值]]-0.12</f>
        <v>1.0369999999999999</v>
      </c>
      <c r="G163" s="20">
        <f>表2_36716262930389121314[[#This Row],[累计净值]]/$B$21-1</f>
        <v>9.0480678605089571E-2</v>
      </c>
      <c r="H163" s="20">
        <f>表2_36716262930389121314[[#This Row],[累计净值]]/$B$51-1</f>
        <v>5.6621004566210109E-2</v>
      </c>
    </row>
    <row r="164" spans="1:8">
      <c r="A164" s="15">
        <v>44063</v>
      </c>
      <c r="B164" s="112">
        <v>1.155</v>
      </c>
      <c r="C164" s="108">
        <f t="shared" ref="C164:C169" si="44">IFERROR(B164-B163,0)</f>
        <v>-2.0000000000000018E-3</v>
      </c>
      <c r="D164" s="109">
        <f t="shared" ref="D164:D169" si="45">IF(C164&lt;0,C164,"/")</f>
        <v>-2.0000000000000018E-3</v>
      </c>
      <c r="E164" s="109">
        <f ca="1">IF(表2_36716262930389121314[[#This Row],[累计净值]]/MAX(INDIRECT("B21:B" &amp; ROW()))-1&lt;E163,表2_36716262930389121314[[#This Row],[累计净值]]/MAX(INDIRECT("B21:B" &amp; ROW()))-1,E163)</f>
        <v>-2.0583190394511175E-2</v>
      </c>
      <c r="F164" s="110">
        <f>表2_36716262930389121314[[#This Row],[累计净值]]-0.12</f>
        <v>1.0350000000000001</v>
      </c>
      <c r="G164" s="20">
        <f>表2_36716262930389121314[[#This Row],[累计净值]]/$B$21-1</f>
        <v>8.8595664467483681E-2</v>
      </c>
      <c r="H164" s="20">
        <f>表2_36716262930389121314[[#This Row],[累计净值]]/$B$51-1</f>
        <v>5.4794520547945202E-2</v>
      </c>
    </row>
    <row r="165" spans="1:8">
      <c r="A165" s="15">
        <v>44064</v>
      </c>
      <c r="B165" s="112">
        <v>1.1579999999999999</v>
      </c>
      <c r="C165" s="108">
        <f t="shared" si="44"/>
        <v>2.9999999999998916E-3</v>
      </c>
      <c r="D165" s="109" t="str">
        <f t="shared" si="45"/>
        <v>/</v>
      </c>
      <c r="E165" s="109">
        <f ca="1">IF(表2_36716262930389121314[[#This Row],[累计净值]]/MAX(INDIRECT("B21:B" &amp; ROW()))-1&lt;E164,表2_36716262930389121314[[#This Row],[累计净值]]/MAX(INDIRECT("B21:B" &amp; ROW()))-1,E164)</f>
        <v>-2.0583190394511175E-2</v>
      </c>
      <c r="F165" s="110">
        <f>表2_36716262930389121314[[#This Row],[累计净值]]-0.12</f>
        <v>1.0379999999999998</v>
      </c>
      <c r="G165" s="20">
        <f>表2_36716262930389121314[[#This Row],[累计净值]]/$B$21-1</f>
        <v>9.1423185673892515E-2</v>
      </c>
      <c r="H165" s="20">
        <f>表2_36716262930389121314[[#This Row],[累计净值]]/$B$51-1</f>
        <v>5.753424657534234E-2</v>
      </c>
    </row>
    <row r="166" spans="1:8">
      <c r="A166" s="15">
        <v>44067</v>
      </c>
      <c r="B166" s="112">
        <v>1.1619999999999999</v>
      </c>
      <c r="C166" s="108">
        <f t="shared" si="44"/>
        <v>4.0000000000000036E-3</v>
      </c>
      <c r="D166" s="109" t="str">
        <f t="shared" si="45"/>
        <v>/</v>
      </c>
      <c r="E166" s="109">
        <f ca="1">IF(表2_36716262930389121314[[#This Row],[累计净值]]/MAX(INDIRECT("B21:B" &amp; ROW()))-1&lt;E165,表2_36716262930389121314[[#This Row],[累计净值]]/MAX(INDIRECT("B21:B" &amp; ROW()))-1,E165)</f>
        <v>-2.0583190394511175E-2</v>
      </c>
      <c r="F166" s="110">
        <f>表2_36716262930389121314[[#This Row],[累计净值]]-0.12</f>
        <v>1.0419999999999998</v>
      </c>
      <c r="G166" s="20">
        <f>表2_36716262930389121314[[#This Row],[累计净值]]/$B$21-1</f>
        <v>9.5193213949104516E-2</v>
      </c>
      <c r="H166" s="20">
        <f>表2_36716262930389121314[[#This Row],[累计净值]]/$B$51-1</f>
        <v>6.1187214611872154E-2</v>
      </c>
    </row>
    <row r="167" spans="1:8">
      <c r="A167" s="15">
        <v>44068</v>
      </c>
      <c r="B167" s="112">
        <v>1.1639999999999999</v>
      </c>
      <c r="C167" s="108">
        <f t="shared" si="44"/>
        <v>2.0000000000000018E-3</v>
      </c>
      <c r="D167" s="109" t="str">
        <f t="shared" si="45"/>
        <v>/</v>
      </c>
      <c r="E167" s="109">
        <f ca="1">IF(表2_36716262930389121314[[#This Row],[累计净值]]/MAX(INDIRECT("B21:B" &amp; ROW()))-1&lt;E166,表2_36716262930389121314[[#This Row],[累计净值]]/MAX(INDIRECT("B21:B" &amp; ROW()))-1,E166)</f>
        <v>-2.0583190394511175E-2</v>
      </c>
      <c r="F167" s="110">
        <f>表2_36716262930389121314[[#This Row],[累计净值]]-0.12</f>
        <v>1.044</v>
      </c>
      <c r="G167" s="20">
        <f>表2_36716262930389121314[[#This Row],[累计净值]]/$B$21-1</f>
        <v>9.7078228086710627E-2</v>
      </c>
      <c r="H167" s="20">
        <f>表2_36716262930389121314[[#This Row],[累计净值]]/$B$51-1</f>
        <v>6.3013698630136838E-2</v>
      </c>
    </row>
    <row r="168" spans="1:8">
      <c r="A168" s="15">
        <v>44069</v>
      </c>
      <c r="B168" s="112">
        <v>1.1639999999999999</v>
      </c>
      <c r="C168" s="108">
        <f t="shared" si="44"/>
        <v>0</v>
      </c>
      <c r="D168" s="109" t="str">
        <f t="shared" si="45"/>
        <v>/</v>
      </c>
      <c r="E168" s="109">
        <f ca="1">IF(表2_36716262930389121314[[#This Row],[累计净值]]/MAX(INDIRECT("B21:B" &amp; ROW()))-1&lt;E167,表2_36716262930389121314[[#This Row],[累计净值]]/MAX(INDIRECT("B21:B" &amp; ROW()))-1,E167)</f>
        <v>-2.0583190394511175E-2</v>
      </c>
      <c r="F168" s="110">
        <f>表2_36716262930389121314[[#This Row],[累计净值]]-0.12</f>
        <v>1.044</v>
      </c>
      <c r="G168" s="20">
        <f>表2_36716262930389121314[[#This Row],[累计净值]]/$B$21-1</f>
        <v>9.7078228086710627E-2</v>
      </c>
      <c r="H168" s="20">
        <f>表2_36716262930389121314[[#This Row],[累计净值]]/$B$51-1</f>
        <v>6.3013698630136838E-2</v>
      </c>
    </row>
    <row r="169" spans="1:8">
      <c r="A169" s="15">
        <v>44070</v>
      </c>
      <c r="B169" s="112">
        <v>1.1659999999999999</v>
      </c>
      <c r="C169" s="108">
        <f t="shared" si="44"/>
        <v>2.0000000000000018E-3</v>
      </c>
      <c r="D169" s="109" t="str">
        <f t="shared" si="45"/>
        <v>/</v>
      </c>
      <c r="E169" s="109">
        <f ca="1">IF(表2_36716262930389121314[[#This Row],[累计净值]]/MAX(INDIRECT("B21:B" &amp; ROW()))-1&lt;E168,表2_36716262930389121314[[#This Row],[累计净值]]/MAX(INDIRECT("B21:B" &amp; ROW()))-1,E168)</f>
        <v>-2.0583190394511175E-2</v>
      </c>
      <c r="F169" s="110">
        <f>表2_36716262930389121314[[#This Row],[累计净值]]-0.12</f>
        <v>1.0459999999999998</v>
      </c>
      <c r="G169" s="20">
        <f>表2_36716262930389121314[[#This Row],[累计净值]]/$B$21-1</f>
        <v>9.8963242224316739E-2</v>
      </c>
      <c r="H169" s="20">
        <f>表2_36716262930389121314[[#This Row],[累计净值]]/$B$51-1</f>
        <v>6.4840182648401745E-2</v>
      </c>
    </row>
    <row r="170" spans="1:8">
      <c r="A170" s="15">
        <v>44071</v>
      </c>
      <c r="B170" s="112">
        <v>1.163</v>
      </c>
      <c r="C170" s="108">
        <f t="shared" ref="C170:C175" si="46">IFERROR(B170-B169,0)</f>
        <v>-2.9999999999998916E-3</v>
      </c>
      <c r="D170" s="109">
        <f t="shared" ref="D170:D175" si="47">IF(C170&lt;0,C170,"/")</f>
        <v>-2.9999999999998916E-3</v>
      </c>
      <c r="E170" s="109">
        <f ca="1">IF(表2_36716262930389121314[[#This Row],[累计净值]]/MAX(INDIRECT("B21:B" &amp; ROW()))-1&lt;E169,表2_36716262930389121314[[#This Row],[累计净值]]/MAX(INDIRECT("B21:B" &amp; ROW()))-1,E169)</f>
        <v>-2.0583190394511175E-2</v>
      </c>
      <c r="F170" s="110">
        <f>表2_36716262930389121314[[#This Row],[累计净值]]-0.12</f>
        <v>1.0430000000000001</v>
      </c>
      <c r="G170" s="20">
        <f>表2_36716262930389121314[[#This Row],[累计净值]]/$B$21-1</f>
        <v>9.6135721017907683E-2</v>
      </c>
      <c r="H170" s="20">
        <f>表2_36716262930389121314[[#This Row],[累计净值]]/$B$51-1</f>
        <v>6.2100456621004607E-2</v>
      </c>
    </row>
    <row r="171" spans="1:8">
      <c r="A171" s="15">
        <v>44074</v>
      </c>
      <c r="B171" s="112">
        <v>1.1619999999999999</v>
      </c>
      <c r="C171" s="108">
        <f t="shared" si="46"/>
        <v>-1.0000000000001119E-3</v>
      </c>
      <c r="D171" s="109">
        <f t="shared" si="47"/>
        <v>-1.0000000000001119E-3</v>
      </c>
      <c r="E171" s="109">
        <f ca="1">IF(表2_36716262930389121314[[#This Row],[累计净值]]/MAX(INDIRECT("B21:B" &amp; ROW()))-1&lt;E170,表2_36716262930389121314[[#This Row],[累计净值]]/MAX(INDIRECT("B21:B" &amp; ROW()))-1,E170)</f>
        <v>-2.0583190394511175E-2</v>
      </c>
      <c r="F171" s="110">
        <f>表2_36716262930389121314[[#This Row],[累计净值]]-0.12</f>
        <v>1.0419999999999998</v>
      </c>
      <c r="G171" s="20">
        <f>表2_36716262930389121314[[#This Row],[累计净值]]/$B$21-1</f>
        <v>9.5193213949104516E-2</v>
      </c>
      <c r="H171" s="20">
        <f>表2_36716262930389121314[[#This Row],[累计净值]]/$B$51-1</f>
        <v>6.1187214611872154E-2</v>
      </c>
    </row>
    <row r="172" spans="1:8">
      <c r="A172" s="15">
        <v>44075</v>
      </c>
      <c r="B172" s="112">
        <v>1.165</v>
      </c>
      <c r="C172" s="108">
        <f t="shared" si="46"/>
        <v>3.0000000000001137E-3</v>
      </c>
      <c r="D172" s="109" t="str">
        <f t="shared" si="47"/>
        <v>/</v>
      </c>
      <c r="E172" s="109">
        <f ca="1">IF(表2_36716262930389121314[[#This Row],[累计净值]]/MAX(INDIRECT("B21:B" &amp; ROW()))-1&lt;E171,表2_36716262930389121314[[#This Row],[累计净值]]/MAX(INDIRECT("B21:B" &amp; ROW()))-1,E171)</f>
        <v>-2.0583190394511175E-2</v>
      </c>
      <c r="F172" s="110">
        <f>表2_36716262930389121314[[#This Row],[累计净值]]-0.12</f>
        <v>1.0449999999999999</v>
      </c>
      <c r="G172" s="20">
        <f>表2_36716262930389121314[[#This Row],[累计净值]]/$B$21-1</f>
        <v>9.8020735155513794E-2</v>
      </c>
      <c r="H172" s="20">
        <f>表2_36716262930389121314[[#This Row],[累计净值]]/$B$51-1</f>
        <v>6.3926940639269514E-2</v>
      </c>
    </row>
    <row r="173" spans="1:8">
      <c r="A173" s="15">
        <v>44076</v>
      </c>
      <c r="B173" s="112">
        <v>1.167</v>
      </c>
      <c r="C173" s="108">
        <f t="shared" si="46"/>
        <v>2.0000000000000018E-3</v>
      </c>
      <c r="D173" s="109" t="str">
        <f t="shared" si="47"/>
        <v>/</v>
      </c>
      <c r="E173" s="109">
        <f ca="1">IF(表2_36716262930389121314[[#This Row],[累计净值]]/MAX(INDIRECT("B21:B" &amp; ROW()))-1&lt;E172,表2_36716262930389121314[[#This Row],[累计净值]]/MAX(INDIRECT("B21:B" &amp; ROW()))-1,E172)</f>
        <v>-2.0583190394511175E-2</v>
      </c>
      <c r="F173" s="110">
        <f>表2_36716262930389121314[[#This Row],[累计净值]]-0.12</f>
        <v>1.0470000000000002</v>
      </c>
      <c r="G173" s="20">
        <f>表2_36716262930389121314[[#This Row],[累计净值]]/$B$21-1</f>
        <v>9.9905749293119683E-2</v>
      </c>
      <c r="H173" s="20">
        <f>表2_36716262930389121314[[#This Row],[累计净值]]/$B$51-1</f>
        <v>6.5753424657534199E-2</v>
      </c>
    </row>
    <row r="174" spans="1:8">
      <c r="A174" s="15">
        <v>44077</v>
      </c>
      <c r="B174" s="112">
        <v>1.1639999999999999</v>
      </c>
      <c r="C174" s="108">
        <f t="shared" si="46"/>
        <v>-3.0000000000001137E-3</v>
      </c>
      <c r="D174" s="109">
        <f t="shared" si="47"/>
        <v>-3.0000000000001137E-3</v>
      </c>
      <c r="E174" s="109">
        <f ca="1">IF(表2_36716262930389121314[[#This Row],[累计净值]]/MAX(INDIRECT("B21:B" &amp; ROW()))-1&lt;E173,表2_36716262930389121314[[#This Row],[累计净值]]/MAX(INDIRECT("B21:B" &amp; ROW()))-1,E173)</f>
        <v>-2.0583190394511175E-2</v>
      </c>
      <c r="F174" s="110">
        <f>表2_36716262930389121314[[#This Row],[累计净值]]-0.12</f>
        <v>1.044</v>
      </c>
      <c r="G174" s="20">
        <f>表2_36716262930389121314[[#This Row],[累计净值]]/$B$21-1</f>
        <v>9.7078228086710627E-2</v>
      </c>
      <c r="H174" s="20">
        <f>表2_36716262930389121314[[#This Row],[累计净值]]/$B$51-1</f>
        <v>6.3013698630136838E-2</v>
      </c>
    </row>
    <row r="175" spans="1:8">
      <c r="A175" s="15">
        <v>44078</v>
      </c>
      <c r="B175" s="112">
        <v>1.165</v>
      </c>
      <c r="C175" s="108">
        <f t="shared" si="46"/>
        <v>1.0000000000001119E-3</v>
      </c>
      <c r="D175" s="109" t="str">
        <f t="shared" si="47"/>
        <v>/</v>
      </c>
      <c r="E175" s="109">
        <f ca="1">IF(表2_36716262930389121314[[#This Row],[累计净值]]/MAX(INDIRECT("B21:B" &amp; ROW()))-1&lt;E174,表2_36716262930389121314[[#This Row],[累计净值]]/MAX(INDIRECT("B21:B" &amp; ROW()))-1,E174)</f>
        <v>-2.0583190394511175E-2</v>
      </c>
      <c r="F175" s="110">
        <f>表2_36716262930389121314[[#This Row],[累计净值]]-0.12</f>
        <v>1.0449999999999999</v>
      </c>
      <c r="G175" s="20">
        <f>表2_36716262930389121314[[#This Row],[累计净值]]/$B$21-1</f>
        <v>9.8020735155513794E-2</v>
      </c>
      <c r="H175" s="20">
        <f>表2_36716262930389121314[[#This Row],[累计净值]]/$B$51-1</f>
        <v>6.3926940639269514E-2</v>
      </c>
    </row>
    <row r="176" spans="1:8">
      <c r="A176" s="15">
        <v>44081</v>
      </c>
      <c r="B176" s="112">
        <v>1.163</v>
      </c>
      <c r="C176" s="108">
        <f t="shared" ref="C176:C181" si="48">IFERROR(B176-B175,0)</f>
        <v>-2.0000000000000018E-3</v>
      </c>
      <c r="D176" s="109">
        <f t="shared" ref="D176:D181" si="49">IF(C176&lt;0,C176,"/")</f>
        <v>-2.0000000000000018E-3</v>
      </c>
      <c r="E176" s="109">
        <f ca="1">IF(表2_36716262930389121314[[#This Row],[累计净值]]/MAX(INDIRECT("B21:B" &amp; ROW()))-1&lt;E175,表2_36716262930389121314[[#This Row],[累计净值]]/MAX(INDIRECT("B21:B" &amp; ROW()))-1,E175)</f>
        <v>-2.0583190394511175E-2</v>
      </c>
      <c r="F176" s="110">
        <f>表2_36716262930389121314[[#This Row],[累计净值]]-0.12</f>
        <v>1.0430000000000001</v>
      </c>
      <c r="G176" s="20">
        <f>表2_36716262930389121314[[#This Row],[累计净值]]/$B$21-1</f>
        <v>9.6135721017907683E-2</v>
      </c>
      <c r="H176" s="20">
        <f>表2_36716262930389121314[[#This Row],[累计净值]]/$B$51-1</f>
        <v>6.2100456621004607E-2</v>
      </c>
    </row>
    <row r="177" spans="1:8">
      <c r="A177" s="15">
        <v>44082</v>
      </c>
      <c r="B177" s="112">
        <v>1.1619999999999999</v>
      </c>
      <c r="C177" s="108">
        <f t="shared" si="48"/>
        <v>-1.0000000000001119E-3</v>
      </c>
      <c r="D177" s="109">
        <f t="shared" si="49"/>
        <v>-1.0000000000001119E-3</v>
      </c>
      <c r="E177" s="109">
        <f ca="1">IF(表2_36716262930389121314[[#This Row],[累计净值]]/MAX(INDIRECT("B21:B" &amp; ROW()))-1&lt;E176,表2_36716262930389121314[[#This Row],[累计净值]]/MAX(INDIRECT("B21:B" &amp; ROW()))-1,E176)</f>
        <v>-2.0583190394511175E-2</v>
      </c>
      <c r="F177" s="110">
        <f>表2_36716262930389121314[[#This Row],[累计净值]]-0.12</f>
        <v>1.0419999999999998</v>
      </c>
      <c r="G177" s="20">
        <f>表2_36716262930389121314[[#This Row],[累计净值]]/$B$21-1</f>
        <v>9.5193213949104516E-2</v>
      </c>
      <c r="H177" s="20">
        <f>表2_36716262930389121314[[#This Row],[累计净值]]/$B$51-1</f>
        <v>6.1187214611872154E-2</v>
      </c>
    </row>
    <row r="178" spans="1:8">
      <c r="A178" s="15">
        <v>44083</v>
      </c>
      <c r="B178" s="112">
        <v>1.1619999999999999</v>
      </c>
      <c r="C178" s="108">
        <f t="shared" si="48"/>
        <v>0</v>
      </c>
      <c r="D178" s="109" t="str">
        <f t="shared" si="49"/>
        <v>/</v>
      </c>
      <c r="E178" s="109">
        <f ca="1">IF(表2_36716262930389121314[[#This Row],[累计净值]]/MAX(INDIRECT("B21:B" &amp; ROW()))-1&lt;E177,表2_36716262930389121314[[#This Row],[累计净值]]/MAX(INDIRECT("B21:B" &amp; ROW()))-1,E177)</f>
        <v>-2.0583190394511175E-2</v>
      </c>
      <c r="F178" s="110">
        <f>表2_36716262930389121314[[#This Row],[累计净值]]-0.12</f>
        <v>1.0419999999999998</v>
      </c>
      <c r="G178" s="20">
        <f>表2_36716262930389121314[[#This Row],[累计净值]]/$B$21-1</f>
        <v>9.5193213949104516E-2</v>
      </c>
      <c r="H178" s="20">
        <f>表2_36716262930389121314[[#This Row],[累计净值]]/$B$51-1</f>
        <v>6.1187214611872154E-2</v>
      </c>
    </row>
    <row r="179" spans="1:8">
      <c r="A179" s="15">
        <v>44084</v>
      </c>
      <c r="B179" s="112">
        <v>1.161</v>
      </c>
      <c r="C179" s="108">
        <f t="shared" si="48"/>
        <v>-9.9999999999988987E-4</v>
      </c>
      <c r="D179" s="109">
        <f t="shared" si="49"/>
        <v>-9.9999999999988987E-4</v>
      </c>
      <c r="E179" s="109">
        <f ca="1">IF(表2_36716262930389121314[[#This Row],[累计净值]]/MAX(INDIRECT("B21:B" &amp; ROW()))-1&lt;E178,表2_36716262930389121314[[#This Row],[累计净值]]/MAX(INDIRECT("B21:B" &amp; ROW()))-1,E178)</f>
        <v>-2.0583190394511175E-2</v>
      </c>
      <c r="F179" s="110">
        <f>表2_36716262930389121314[[#This Row],[累计净值]]-0.12</f>
        <v>1.0409999999999999</v>
      </c>
      <c r="G179" s="20">
        <f>表2_36716262930389121314[[#This Row],[累计净值]]/$B$21-1</f>
        <v>9.4250706880301793E-2</v>
      </c>
      <c r="H179" s="20">
        <f>表2_36716262930389121314[[#This Row],[累计净值]]/$B$51-1</f>
        <v>6.02739726027397E-2</v>
      </c>
    </row>
    <row r="180" spans="1:8">
      <c r="A180" s="15">
        <v>44085</v>
      </c>
      <c r="B180" s="112">
        <v>1.1659999999999999</v>
      </c>
      <c r="C180" s="108">
        <f t="shared" si="48"/>
        <v>4.9999999999998934E-3</v>
      </c>
      <c r="D180" s="109" t="str">
        <f t="shared" si="49"/>
        <v>/</v>
      </c>
      <c r="E180" s="109">
        <f ca="1">IF(表2_36716262930389121314[[#This Row],[累计净值]]/MAX(INDIRECT("B21:B" &amp; ROW()))-1&lt;E179,表2_36716262930389121314[[#This Row],[累计净值]]/MAX(INDIRECT("B21:B" &amp; ROW()))-1,E179)</f>
        <v>-2.0583190394511175E-2</v>
      </c>
      <c r="F180" s="110">
        <f>表2_36716262930389121314[[#This Row],[累计净值]]-0.12</f>
        <v>1.0459999999999998</v>
      </c>
      <c r="G180" s="20">
        <f>表2_36716262930389121314[[#This Row],[累计净值]]/$B$21-1</f>
        <v>9.8963242224316739E-2</v>
      </c>
      <c r="H180" s="20">
        <f>表2_36716262930389121314[[#This Row],[累计净值]]/$B$51-1</f>
        <v>6.4840182648401745E-2</v>
      </c>
    </row>
    <row r="181" spans="1:8">
      <c r="A181" s="15">
        <v>44088</v>
      </c>
      <c r="B181" s="112">
        <v>1.17</v>
      </c>
      <c r="C181" s="108">
        <f t="shared" si="48"/>
        <v>4.0000000000000036E-3</v>
      </c>
      <c r="D181" s="109" t="str">
        <f t="shared" si="49"/>
        <v>/</v>
      </c>
      <c r="E181" s="109">
        <f ca="1">IF(表2_36716262930389121314[[#This Row],[累计净值]]/MAX(INDIRECT("B21:B" &amp; ROW()))-1&lt;E180,表2_36716262930389121314[[#This Row],[累计净值]]/MAX(INDIRECT("B21:B" &amp; ROW()))-1,E180)</f>
        <v>-2.0583190394511175E-2</v>
      </c>
      <c r="F181" s="110">
        <f>表2_36716262930389121314[[#This Row],[累计净值]]-0.12</f>
        <v>1.0499999999999998</v>
      </c>
      <c r="G181" s="20">
        <f>表2_36716262930389121314[[#This Row],[累计净值]]/$B$21-1</f>
        <v>0.10273327049952874</v>
      </c>
      <c r="H181" s="20">
        <f>表2_36716262930389121314[[#This Row],[累计净值]]/$B$51-1</f>
        <v>6.8493150684931559E-2</v>
      </c>
    </row>
    <row r="182" spans="1:8">
      <c r="A182" s="15">
        <v>44089</v>
      </c>
      <c r="B182" s="112">
        <v>1.173</v>
      </c>
      <c r="C182" s="108">
        <f t="shared" ref="C182:C187" si="50">IFERROR(B182-B181,0)</f>
        <v>3.0000000000001137E-3</v>
      </c>
      <c r="D182" s="109" t="str">
        <f t="shared" ref="D182:D187" si="51">IF(C182&lt;0,C182,"/")</f>
        <v>/</v>
      </c>
      <c r="E182" s="109">
        <f ca="1">IF(表2_36716262930389121314[[#This Row],[累计净值]]/MAX(INDIRECT("B21:B" &amp; ROW()))-1&lt;E181,表2_36716262930389121314[[#This Row],[累计净值]]/MAX(INDIRECT("B21:B" &amp; ROW()))-1,E181)</f>
        <v>-2.0583190394511175E-2</v>
      </c>
      <c r="F182" s="110">
        <f>表2_36716262930389121314[[#This Row],[累计净值]]-0.12</f>
        <v>1.0529999999999999</v>
      </c>
      <c r="G182" s="20">
        <f>表2_36716262930389121314[[#This Row],[累计净值]]/$B$21-1</f>
        <v>0.1055607917059378</v>
      </c>
      <c r="H182" s="20">
        <f>表2_36716262930389121314[[#This Row],[累计净值]]/$B$51-1</f>
        <v>7.1232876712328919E-2</v>
      </c>
    </row>
    <row r="183" spans="1:8">
      <c r="A183" s="15">
        <v>44090</v>
      </c>
      <c r="B183" s="112">
        <v>1.171</v>
      </c>
      <c r="C183" s="108">
        <f t="shared" si="50"/>
        <v>-2.0000000000000018E-3</v>
      </c>
      <c r="D183" s="109">
        <f t="shared" si="51"/>
        <v>-2.0000000000000018E-3</v>
      </c>
      <c r="E183" s="109">
        <f ca="1">IF(表2_36716262930389121314[[#This Row],[累计净值]]/MAX(INDIRECT("B21:B" &amp; ROW()))-1&lt;E182,表2_36716262930389121314[[#This Row],[累计净值]]/MAX(INDIRECT("B21:B" &amp; ROW()))-1,E182)</f>
        <v>-2.0583190394511175E-2</v>
      </c>
      <c r="F183" s="110">
        <f>表2_36716262930389121314[[#This Row],[累计净值]]-0.12</f>
        <v>1.0510000000000002</v>
      </c>
      <c r="G183" s="20">
        <f>表2_36716262930389121314[[#This Row],[累计净值]]/$B$21-1</f>
        <v>0.10367577756833191</v>
      </c>
      <c r="H183" s="20">
        <f>表2_36716262930389121314[[#This Row],[累计净值]]/$B$51-1</f>
        <v>6.9406392694064012E-2</v>
      </c>
    </row>
    <row r="184" spans="1:8">
      <c r="A184" s="15">
        <v>44091</v>
      </c>
      <c r="B184" s="112">
        <v>1.17</v>
      </c>
      <c r="C184" s="108">
        <f t="shared" si="50"/>
        <v>-1.0000000000001119E-3</v>
      </c>
      <c r="D184" s="109">
        <f t="shared" si="51"/>
        <v>-1.0000000000001119E-3</v>
      </c>
      <c r="E184" s="109">
        <f ca="1">IF(表2_36716262930389121314[[#This Row],[累计净值]]/MAX(INDIRECT("B21:B" &amp; ROW()))-1&lt;E183,表2_36716262930389121314[[#This Row],[累计净值]]/MAX(INDIRECT("B21:B" &amp; ROW()))-1,E183)</f>
        <v>-2.0583190394511175E-2</v>
      </c>
      <c r="F184" s="110">
        <f>表2_36716262930389121314[[#This Row],[累计净值]]-0.12</f>
        <v>1.0499999999999998</v>
      </c>
      <c r="G184" s="20">
        <f>表2_36716262930389121314[[#This Row],[累计净值]]/$B$21-1</f>
        <v>0.10273327049952874</v>
      </c>
      <c r="H184" s="20">
        <f>表2_36716262930389121314[[#This Row],[累计净值]]/$B$51-1</f>
        <v>6.8493150684931559E-2</v>
      </c>
    </row>
    <row r="185" spans="1:8">
      <c r="A185" s="15">
        <v>44092</v>
      </c>
      <c r="B185" s="112">
        <v>1.171</v>
      </c>
      <c r="C185" s="108">
        <f t="shared" si="50"/>
        <v>1.0000000000001119E-3</v>
      </c>
      <c r="D185" s="109" t="str">
        <f t="shared" si="51"/>
        <v>/</v>
      </c>
      <c r="E185" s="109">
        <f ca="1">IF(表2_36716262930389121314[[#This Row],[累计净值]]/MAX(INDIRECT("B21:B" &amp; ROW()))-1&lt;E184,表2_36716262930389121314[[#This Row],[累计净值]]/MAX(INDIRECT("B21:B" &amp; ROW()))-1,E184)</f>
        <v>-2.0583190394511175E-2</v>
      </c>
      <c r="F185" s="110">
        <f>表2_36716262930389121314[[#This Row],[累计净值]]-0.12</f>
        <v>1.0510000000000002</v>
      </c>
      <c r="G185" s="20">
        <f>表2_36716262930389121314[[#This Row],[累计净值]]/$B$21-1</f>
        <v>0.10367577756833191</v>
      </c>
      <c r="H185" s="20">
        <f>表2_36716262930389121314[[#This Row],[累计净值]]/$B$51-1</f>
        <v>6.9406392694064012E-2</v>
      </c>
    </row>
    <row r="186" spans="1:8">
      <c r="A186" s="15">
        <v>44095</v>
      </c>
      <c r="B186" s="112">
        <v>1.1679999999999999</v>
      </c>
      <c r="C186" s="108">
        <f t="shared" si="50"/>
        <v>-3.0000000000001137E-3</v>
      </c>
      <c r="D186" s="109">
        <f t="shared" si="51"/>
        <v>-3.0000000000001137E-3</v>
      </c>
      <c r="E186" s="109">
        <f ca="1">IF(表2_36716262930389121314[[#This Row],[累计净值]]/MAX(INDIRECT("B21:B" &amp; ROW()))-1&lt;E185,表2_36716262930389121314[[#This Row],[累计净值]]/MAX(INDIRECT("B21:B" &amp; ROW()))-1,E185)</f>
        <v>-2.0583190394511175E-2</v>
      </c>
      <c r="F186" s="110">
        <f>表2_36716262930389121314[[#This Row],[累计净值]]-0.12</f>
        <v>1.048</v>
      </c>
      <c r="G186" s="20">
        <f>表2_36716262930389121314[[#This Row],[累计净值]]/$B$21-1</f>
        <v>0.10084825636192263</v>
      </c>
      <c r="H186" s="20">
        <f>表2_36716262930389121314[[#This Row],[累计净值]]/$B$51-1</f>
        <v>6.6666666666666652E-2</v>
      </c>
    </row>
    <row r="187" spans="1:8">
      <c r="A187" s="15">
        <v>44096</v>
      </c>
      <c r="B187" s="112">
        <v>1.17</v>
      </c>
      <c r="C187" s="108">
        <f t="shared" si="50"/>
        <v>2.0000000000000018E-3</v>
      </c>
      <c r="D187" s="109" t="str">
        <f t="shared" si="51"/>
        <v>/</v>
      </c>
      <c r="E187" s="109">
        <f ca="1">IF(表2_36716262930389121314[[#This Row],[累计净值]]/MAX(INDIRECT("B21:B" &amp; ROW()))-1&lt;E186,表2_36716262930389121314[[#This Row],[累计净值]]/MAX(INDIRECT("B21:B" &amp; ROW()))-1,E186)</f>
        <v>-2.0583190394511175E-2</v>
      </c>
      <c r="F187" s="110">
        <f>表2_36716262930389121314[[#This Row],[累计净值]]-0.12</f>
        <v>1.0499999999999998</v>
      </c>
      <c r="G187" s="20">
        <f>表2_36716262930389121314[[#This Row],[累计净值]]/$B$21-1</f>
        <v>0.10273327049952874</v>
      </c>
      <c r="H187" s="20">
        <f>表2_36716262930389121314[[#This Row],[累计净值]]/$B$51-1</f>
        <v>6.8493150684931559E-2</v>
      </c>
    </row>
    <row r="188" spans="1:8">
      <c r="A188" s="15">
        <v>44097</v>
      </c>
      <c r="B188" s="112">
        <v>1.1679999999999999</v>
      </c>
      <c r="C188" s="108">
        <f>IFERROR(B188-B187,0)</f>
        <v>-2.0000000000000018E-3</v>
      </c>
      <c r="D188" s="109">
        <f>IF(C188&lt;0,C188,"/")</f>
        <v>-2.0000000000000018E-3</v>
      </c>
      <c r="E188" s="109">
        <f ca="1">IF(表2_36716262930389121314[[#This Row],[累计净值]]/MAX(INDIRECT("B21:B" &amp; ROW()))-1&lt;E187,表2_36716262930389121314[[#This Row],[累计净值]]/MAX(INDIRECT("B21:B" &amp; ROW()))-1,E187)</f>
        <v>-2.0583190394511175E-2</v>
      </c>
      <c r="F188" s="110">
        <f>表2_36716262930389121314[[#This Row],[累计净值]]-0.12</f>
        <v>1.048</v>
      </c>
      <c r="G188" s="20">
        <f>表2_36716262930389121314[[#This Row],[累计净值]]/$B$21-1</f>
        <v>0.10084825636192263</v>
      </c>
      <c r="H188" s="20">
        <f>表2_36716262930389121314[[#This Row],[累计净值]]/$B$51-1</f>
        <v>6.6666666666666652E-2</v>
      </c>
    </row>
    <row r="189" spans="1:8">
      <c r="A189" s="15">
        <v>44098</v>
      </c>
      <c r="B189" s="112">
        <v>1.1659999999999999</v>
      </c>
      <c r="C189" s="108">
        <f>IFERROR(B189-B188,0)</f>
        <v>-2.0000000000000018E-3</v>
      </c>
      <c r="D189" s="109">
        <f>IF(C189&lt;0,C189,"/")</f>
        <v>-2.0000000000000018E-3</v>
      </c>
      <c r="E189" s="109">
        <f ca="1">IF(表2_36716262930389121314[[#This Row],[累计净值]]/MAX(INDIRECT("B21:B" &amp; ROW()))-1&lt;E188,表2_36716262930389121314[[#This Row],[累计净值]]/MAX(INDIRECT("B21:B" &amp; ROW()))-1,E188)</f>
        <v>-2.0583190394511175E-2</v>
      </c>
      <c r="F189" s="110">
        <f>表2_36716262930389121314[[#This Row],[累计净值]]-0.12</f>
        <v>1.0459999999999998</v>
      </c>
      <c r="G189" s="20">
        <f>表2_36716262930389121314[[#This Row],[累计净值]]/$B$21-1</f>
        <v>9.8963242224316739E-2</v>
      </c>
      <c r="H189" s="20">
        <f>表2_36716262930389121314[[#This Row],[累计净值]]/$B$51-1</f>
        <v>6.4840182648401745E-2</v>
      </c>
    </row>
    <row r="190" spans="1:8">
      <c r="A190" s="15">
        <v>44099</v>
      </c>
      <c r="B190" s="112">
        <v>1.1639999999999999</v>
      </c>
      <c r="C190" s="108">
        <f>IFERROR(B190-B189,0)</f>
        <v>-2.0000000000000018E-3</v>
      </c>
      <c r="D190" s="109">
        <f>IF(C190&lt;0,C190,"/")</f>
        <v>-2.0000000000000018E-3</v>
      </c>
      <c r="E190" s="109">
        <f ca="1">IF(表2_36716262930389121314[[#This Row],[累计净值]]/MAX(INDIRECT("B21:B" &amp; ROW()))-1&lt;E189,表2_36716262930389121314[[#This Row],[累计净值]]/MAX(INDIRECT("B21:B" &amp; ROW()))-1,E189)</f>
        <v>-2.0583190394511175E-2</v>
      </c>
      <c r="F190" s="110">
        <f>表2_36716262930389121314[[#This Row],[累计净值]]-0.12</f>
        <v>1.044</v>
      </c>
      <c r="G190" s="20">
        <f>表2_36716262930389121314[[#This Row],[累计净值]]/$B$21-1</f>
        <v>9.7078228086710627E-2</v>
      </c>
      <c r="H190" s="20">
        <f>表2_36716262930389121314[[#This Row],[累计净值]]/$B$51-1</f>
        <v>6.3013698630136838E-2</v>
      </c>
    </row>
    <row r="191" spans="1:8">
      <c r="A191" s="15">
        <v>44102</v>
      </c>
      <c r="B191" s="112">
        <v>1.1659999999999999</v>
      </c>
      <c r="C191" s="108">
        <f>IFERROR(B191-B190,0)</f>
        <v>2.0000000000000018E-3</v>
      </c>
      <c r="D191" s="109" t="str">
        <f>IF(C191&lt;0,C191,"/")</f>
        <v>/</v>
      </c>
      <c r="E191" s="109">
        <f ca="1">IF(表2_36716262930389121314[[#This Row],[累计净值]]/MAX(INDIRECT("B21:B" &amp; ROW()))-1&lt;E190,表2_36716262930389121314[[#This Row],[累计净值]]/MAX(INDIRECT("B21:B" &amp; ROW()))-1,E190)</f>
        <v>-2.0583190394511175E-2</v>
      </c>
      <c r="F191" s="110">
        <f>表2_36716262930389121314[[#This Row],[累计净值]]-0.12</f>
        <v>1.0459999999999998</v>
      </c>
      <c r="G191" s="20">
        <f>表2_36716262930389121314[[#This Row],[累计净值]]/$B$21-1</f>
        <v>9.8963242224316739E-2</v>
      </c>
      <c r="H191" s="20">
        <f>表2_36716262930389121314[[#This Row],[累计净值]]/$B$51-1</f>
        <v>6.4840182648401745E-2</v>
      </c>
    </row>
    <row r="192" spans="1:8">
      <c r="A192" s="15">
        <v>44103</v>
      </c>
      <c r="B192" s="112">
        <v>1.1599999999999999</v>
      </c>
      <c r="C192" s="108">
        <f t="shared" ref="C192:C193" si="52">IFERROR(B192-B191,0)</f>
        <v>-6.0000000000000053E-3</v>
      </c>
      <c r="D192" s="109">
        <f t="shared" ref="D192:D193" si="53">IF(C192&lt;0,C192,"/")</f>
        <v>-6.0000000000000053E-3</v>
      </c>
      <c r="E192" s="109">
        <f ca="1">IF(表2_36716262930389121314[[#This Row],[累计净值]]/MAX(INDIRECT("B21:B" &amp; ROW()))-1&lt;E191,表2_36716262930389121314[[#This Row],[累计净值]]/MAX(INDIRECT("B21:B" &amp; ROW()))-1,E191)</f>
        <v>-2.0583190394511175E-2</v>
      </c>
      <c r="F192" s="110">
        <f>表2_36716262930389121314[[#This Row],[累计净值]]-0.12</f>
        <v>1.04</v>
      </c>
      <c r="G192" s="20">
        <f>表2_36716262930389121314[[#This Row],[累计净值]]/$B$21-1</f>
        <v>9.3308199811498627E-2</v>
      </c>
      <c r="H192" s="20">
        <f>表2_36716262930389121314[[#This Row],[累计净值]]/$B$51-1</f>
        <v>5.9360730593607247E-2</v>
      </c>
    </row>
    <row r="193" spans="1:8">
      <c r="A193" s="15">
        <v>44104</v>
      </c>
      <c r="B193" s="112">
        <v>1.1639999999999999</v>
      </c>
      <c r="C193" s="108">
        <f t="shared" si="52"/>
        <v>4.0000000000000036E-3</v>
      </c>
      <c r="D193" s="109" t="str">
        <f t="shared" si="53"/>
        <v>/</v>
      </c>
      <c r="E193" s="109">
        <f ca="1">IF(表2_36716262930389121314[[#This Row],[累计净值]]/MAX(INDIRECT("B21:B" &amp; ROW()))-1&lt;E192,表2_36716262930389121314[[#This Row],[累计净值]]/MAX(INDIRECT("B21:B" &amp; ROW()))-1,E192)</f>
        <v>-2.0583190394511175E-2</v>
      </c>
      <c r="F193" s="110">
        <f>表2_36716262930389121314[[#This Row],[累计净值]]-0.12</f>
        <v>1.044</v>
      </c>
      <c r="G193" s="20">
        <f>表2_36716262930389121314[[#This Row],[累计净值]]/$B$21-1</f>
        <v>9.7078228086710627E-2</v>
      </c>
      <c r="H193" s="20">
        <f>表2_36716262930389121314[[#This Row],[累计净值]]/$B$51-1</f>
        <v>6.3013698630136838E-2</v>
      </c>
    </row>
    <row r="194" spans="1:8">
      <c r="A194" s="15">
        <v>44113</v>
      </c>
      <c r="B194" s="112">
        <v>1.169</v>
      </c>
      <c r="C194" s="108">
        <f t="shared" ref="C194:C199" si="54">IFERROR(B194-B193,0)</f>
        <v>5.0000000000001155E-3</v>
      </c>
      <c r="D194" s="109" t="str">
        <f t="shared" ref="D194:D199" si="55">IF(C194&lt;0,C194,"/")</f>
        <v>/</v>
      </c>
      <c r="E194" s="109">
        <f ca="1">IF(表2_36716262930389121314[[#This Row],[累计净值]]/MAX(INDIRECT("B21:B" &amp; ROW()))-1&lt;E193,表2_36716262930389121314[[#This Row],[累计净值]]/MAX(INDIRECT("B21:B" &amp; ROW()))-1,E193)</f>
        <v>-2.0583190394511175E-2</v>
      </c>
      <c r="F194" s="110">
        <f>表2_36716262930389121314[[#This Row],[累计净值]]-0.12</f>
        <v>1.0489999999999999</v>
      </c>
      <c r="G194" s="20">
        <f>表2_36716262930389121314[[#This Row],[累计净值]]/$B$21-1</f>
        <v>0.10179076343072579</v>
      </c>
      <c r="H194" s="20">
        <f>表2_36716262930389121314[[#This Row],[累计净值]]/$B$51-1</f>
        <v>6.7579908675799105E-2</v>
      </c>
    </row>
    <row r="195" spans="1:8">
      <c r="A195" s="15">
        <v>44116</v>
      </c>
      <c r="B195" s="112">
        <v>1.167</v>
      </c>
      <c r="C195" s="108">
        <f t="shared" si="54"/>
        <v>-2.0000000000000018E-3</v>
      </c>
      <c r="D195" s="109">
        <f t="shared" si="55"/>
        <v>-2.0000000000000018E-3</v>
      </c>
      <c r="E195" s="109">
        <f ca="1">IF(表2_36716262930389121314[[#This Row],[累计净值]]/MAX(INDIRECT("B21:B" &amp; ROW()))-1&lt;E194,表2_36716262930389121314[[#This Row],[累计净值]]/MAX(INDIRECT("B21:B" &amp; ROW()))-1,E194)</f>
        <v>-2.0583190394511175E-2</v>
      </c>
      <c r="F195" s="110">
        <f>表2_36716262930389121314[[#This Row],[累计净值]]-0.12</f>
        <v>1.0470000000000002</v>
      </c>
      <c r="G195" s="20">
        <f>表2_36716262930389121314[[#This Row],[累计净值]]/$B$21-1</f>
        <v>9.9905749293119683E-2</v>
      </c>
      <c r="H195" s="20">
        <f>表2_36716262930389121314[[#This Row],[累计净值]]/$B$51-1</f>
        <v>6.5753424657534199E-2</v>
      </c>
    </row>
    <row r="196" spans="1:8">
      <c r="A196" s="15">
        <v>44117</v>
      </c>
      <c r="B196" s="112">
        <v>1.167</v>
      </c>
      <c r="C196" s="108">
        <f t="shared" si="54"/>
        <v>0</v>
      </c>
      <c r="D196" s="109" t="str">
        <f t="shared" si="55"/>
        <v>/</v>
      </c>
      <c r="E196" s="109">
        <f ca="1">IF(表2_36716262930389121314[[#This Row],[累计净值]]/MAX(INDIRECT("B21:B" &amp; ROW()))-1&lt;E195,表2_36716262930389121314[[#This Row],[累计净值]]/MAX(INDIRECT("B21:B" &amp; ROW()))-1,E195)</f>
        <v>-2.0583190394511175E-2</v>
      </c>
      <c r="F196" s="110">
        <f>表2_36716262930389121314[[#This Row],[累计净值]]-0.12</f>
        <v>1.0470000000000002</v>
      </c>
      <c r="G196" s="20">
        <f>表2_36716262930389121314[[#This Row],[累计净值]]/$B$21-1</f>
        <v>9.9905749293119683E-2</v>
      </c>
      <c r="H196" s="20">
        <f>表2_36716262930389121314[[#This Row],[累计净值]]/$B$51-1</f>
        <v>6.5753424657534199E-2</v>
      </c>
    </row>
    <row r="197" spans="1:8">
      <c r="A197" s="15">
        <v>44118</v>
      </c>
      <c r="B197" s="112">
        <v>1.171</v>
      </c>
      <c r="C197" s="108">
        <f t="shared" si="54"/>
        <v>4.0000000000000036E-3</v>
      </c>
      <c r="D197" s="109" t="str">
        <f t="shared" si="55"/>
        <v>/</v>
      </c>
      <c r="E197" s="109">
        <f ca="1">IF(表2_36716262930389121314[[#This Row],[累计净值]]/MAX(INDIRECT("B21:B" &amp; ROW()))-1&lt;E196,表2_36716262930389121314[[#This Row],[累计净值]]/MAX(INDIRECT("B21:B" &amp; ROW()))-1,E196)</f>
        <v>-2.0583190394511175E-2</v>
      </c>
      <c r="F197" s="110">
        <f>表2_36716262930389121314[[#This Row],[累计净值]]-0.12</f>
        <v>1.0510000000000002</v>
      </c>
      <c r="G197" s="20">
        <f>表2_36716262930389121314[[#This Row],[累计净值]]/$B$21-1</f>
        <v>0.10367577756833191</v>
      </c>
      <c r="H197" s="20">
        <f>表2_36716262930389121314[[#This Row],[累计净值]]/$B$51-1</f>
        <v>6.9406392694064012E-2</v>
      </c>
    </row>
    <row r="198" spans="1:8">
      <c r="A198" s="15">
        <v>44119</v>
      </c>
      <c r="B198" s="112">
        <v>1.167</v>
      </c>
      <c r="C198" s="108">
        <f t="shared" si="54"/>
        <v>-4.0000000000000036E-3</v>
      </c>
      <c r="D198" s="109">
        <f t="shared" si="55"/>
        <v>-4.0000000000000036E-3</v>
      </c>
      <c r="E198" s="109">
        <f ca="1">IF(表2_36716262930389121314[[#This Row],[累计净值]]/MAX(INDIRECT("B21:B" &amp; ROW()))-1&lt;E197,表2_36716262930389121314[[#This Row],[累计净值]]/MAX(INDIRECT("B21:B" &amp; ROW()))-1,E197)</f>
        <v>-2.0583190394511175E-2</v>
      </c>
      <c r="F198" s="110">
        <f>表2_36716262930389121314[[#This Row],[累计净值]]-0.12</f>
        <v>1.0470000000000002</v>
      </c>
      <c r="G198" s="20">
        <f>表2_36716262930389121314[[#This Row],[累计净值]]/$B$21-1</f>
        <v>9.9905749293119683E-2</v>
      </c>
      <c r="H198" s="20">
        <f>表2_36716262930389121314[[#This Row],[累计净值]]/$B$51-1</f>
        <v>6.5753424657534199E-2</v>
      </c>
    </row>
    <row r="199" spans="1:8">
      <c r="A199" s="15">
        <v>44120</v>
      </c>
      <c r="B199" s="112">
        <v>1.167</v>
      </c>
      <c r="C199" s="108">
        <f t="shared" si="54"/>
        <v>0</v>
      </c>
      <c r="D199" s="109" t="str">
        <f t="shared" si="55"/>
        <v>/</v>
      </c>
      <c r="E199" s="109">
        <f ca="1">IF(表2_36716262930389121314[[#This Row],[累计净值]]/MAX(INDIRECT("B21:B" &amp; ROW()))-1&lt;E198,表2_36716262930389121314[[#This Row],[累计净值]]/MAX(INDIRECT("B21:B" &amp; ROW()))-1,E198)</f>
        <v>-2.0583190394511175E-2</v>
      </c>
      <c r="F199" s="110">
        <f>表2_36716262930389121314[[#This Row],[累计净值]]-0.12</f>
        <v>1.0470000000000002</v>
      </c>
      <c r="G199" s="20">
        <f>表2_36716262930389121314[[#This Row],[累计净值]]/$B$21-1</f>
        <v>9.9905749293119683E-2</v>
      </c>
      <c r="H199" s="20">
        <f>表2_36716262930389121314[[#This Row],[累计净值]]/$B$51-1</f>
        <v>6.5753424657534199E-2</v>
      </c>
    </row>
    <row r="200" spans="1:8">
      <c r="A200" s="15">
        <v>44123</v>
      </c>
      <c r="B200" s="112">
        <v>1.165</v>
      </c>
      <c r="C200" s="108">
        <f t="shared" ref="C200:C205" si="56">IFERROR(B200-B199,0)</f>
        <v>-2.0000000000000018E-3</v>
      </c>
      <c r="D200" s="109">
        <f t="shared" ref="D200:D205" si="57">IF(C200&lt;0,C200,"/")</f>
        <v>-2.0000000000000018E-3</v>
      </c>
      <c r="E200" s="109">
        <f ca="1">IF(表2_36716262930389121314[[#This Row],[累计净值]]/MAX(INDIRECT("B21:B" &amp; ROW()))-1&lt;E199,表2_36716262930389121314[[#This Row],[累计净值]]/MAX(INDIRECT("B21:B" &amp; ROW()))-1,E199)</f>
        <v>-2.0583190394511175E-2</v>
      </c>
      <c r="F200" s="110">
        <f>表2_36716262930389121314[[#This Row],[累计净值]]-0.12</f>
        <v>1.0449999999999999</v>
      </c>
      <c r="G200" s="20">
        <f>表2_36716262930389121314[[#This Row],[累计净值]]/$B$21-1</f>
        <v>9.8020735155513794E-2</v>
      </c>
      <c r="H200" s="20">
        <f>表2_36716262930389121314[[#This Row],[累计净值]]/$B$51-1</f>
        <v>6.3926940639269514E-2</v>
      </c>
    </row>
    <row r="201" spans="1:8">
      <c r="A201" s="15">
        <v>44124</v>
      </c>
      <c r="B201" s="112">
        <v>1.1659999999999999</v>
      </c>
      <c r="C201" s="108">
        <f t="shared" si="56"/>
        <v>9.9999999999988987E-4</v>
      </c>
      <c r="D201" s="109" t="str">
        <f t="shared" si="57"/>
        <v>/</v>
      </c>
      <c r="E201" s="109">
        <f ca="1">IF(表2_36716262930389121314[[#This Row],[累计净值]]/MAX(INDIRECT("B21:B" &amp; ROW()))-1&lt;E200,表2_36716262930389121314[[#This Row],[累计净值]]/MAX(INDIRECT("B21:B" &amp; ROW()))-1,E200)</f>
        <v>-2.0583190394511175E-2</v>
      </c>
      <c r="F201" s="110">
        <f>表2_36716262930389121314[[#This Row],[累计净值]]-0.12</f>
        <v>1.0459999999999998</v>
      </c>
      <c r="G201" s="20">
        <f>表2_36716262930389121314[[#This Row],[累计净值]]/$B$21-1</f>
        <v>9.8963242224316739E-2</v>
      </c>
      <c r="H201" s="20">
        <f>表2_36716262930389121314[[#This Row],[累计净值]]/$B$51-1</f>
        <v>6.4840182648401745E-2</v>
      </c>
    </row>
    <row r="202" spans="1:8">
      <c r="A202" s="15">
        <v>44125</v>
      </c>
      <c r="B202" s="112">
        <v>1.1679999999999999</v>
      </c>
      <c r="C202" s="108">
        <f t="shared" si="56"/>
        <v>2.0000000000000018E-3</v>
      </c>
      <c r="D202" s="109" t="str">
        <f t="shared" si="57"/>
        <v>/</v>
      </c>
      <c r="E202" s="109">
        <f ca="1">IF(表2_36716262930389121314[[#This Row],[累计净值]]/MAX(INDIRECT("B21:B" &amp; ROW()))-1&lt;E201,表2_36716262930389121314[[#This Row],[累计净值]]/MAX(INDIRECT("B21:B" &amp; ROW()))-1,E201)</f>
        <v>-2.0583190394511175E-2</v>
      </c>
      <c r="F202" s="110">
        <f>表2_36716262930389121314[[#This Row],[累计净值]]-0.12</f>
        <v>1.048</v>
      </c>
      <c r="G202" s="20">
        <f>表2_36716262930389121314[[#This Row],[累计净值]]/$B$21-1</f>
        <v>0.10084825636192263</v>
      </c>
      <c r="H202" s="20">
        <f>表2_36716262930389121314[[#This Row],[累计净值]]/$B$51-1</f>
        <v>6.6666666666666652E-2</v>
      </c>
    </row>
    <row r="203" spans="1:8">
      <c r="A203" s="15">
        <v>44126</v>
      </c>
      <c r="B203" s="112">
        <v>1.17</v>
      </c>
      <c r="C203" s="108">
        <f t="shared" si="56"/>
        <v>2.0000000000000018E-3</v>
      </c>
      <c r="D203" s="109" t="str">
        <f t="shared" si="57"/>
        <v>/</v>
      </c>
      <c r="E203" s="109">
        <f ca="1">IF(表2_36716262930389121314[[#This Row],[累计净值]]/MAX(INDIRECT("B21:B" &amp; ROW()))-1&lt;E202,表2_36716262930389121314[[#This Row],[累计净值]]/MAX(INDIRECT("B21:B" &amp; ROW()))-1,E202)</f>
        <v>-2.0583190394511175E-2</v>
      </c>
      <c r="F203" s="110">
        <f>表2_36716262930389121314[[#This Row],[累计净值]]-0.12</f>
        <v>1.0499999999999998</v>
      </c>
      <c r="G203" s="20">
        <f>表2_36716262930389121314[[#This Row],[累计净值]]/$B$21-1</f>
        <v>0.10273327049952874</v>
      </c>
      <c r="H203" s="20">
        <f>表2_36716262930389121314[[#This Row],[累计净值]]/$B$51-1</f>
        <v>6.8493150684931559E-2</v>
      </c>
    </row>
    <row r="204" spans="1:8">
      <c r="A204" s="15">
        <v>44127</v>
      </c>
      <c r="B204" s="112">
        <v>1.173</v>
      </c>
      <c r="C204" s="108">
        <f t="shared" si="56"/>
        <v>3.0000000000001137E-3</v>
      </c>
      <c r="D204" s="109" t="str">
        <f t="shared" si="57"/>
        <v>/</v>
      </c>
      <c r="E204" s="109">
        <f ca="1">IF(表2_36716262930389121314[[#This Row],[累计净值]]/MAX(INDIRECT("B21:B" &amp; ROW()))-1&lt;E203,表2_36716262930389121314[[#This Row],[累计净值]]/MAX(INDIRECT("B21:B" &amp; ROW()))-1,E203)</f>
        <v>-2.0583190394511175E-2</v>
      </c>
      <c r="F204" s="110">
        <f>表2_36716262930389121314[[#This Row],[累计净值]]-0.12</f>
        <v>1.0529999999999999</v>
      </c>
      <c r="G204" s="20">
        <f>表2_36716262930389121314[[#This Row],[累计净值]]/$B$21-1</f>
        <v>0.1055607917059378</v>
      </c>
      <c r="H204" s="20">
        <f>表2_36716262930389121314[[#This Row],[累计净值]]/$B$51-1</f>
        <v>7.1232876712328919E-2</v>
      </c>
    </row>
    <row r="205" spans="1:8">
      <c r="A205" s="15">
        <v>44130</v>
      </c>
      <c r="B205" s="112">
        <v>1.167</v>
      </c>
      <c r="C205" s="108">
        <f t="shared" si="56"/>
        <v>-6.0000000000000053E-3</v>
      </c>
      <c r="D205" s="109">
        <f t="shared" si="57"/>
        <v>-6.0000000000000053E-3</v>
      </c>
      <c r="E205" s="109">
        <f ca="1">IF(表2_36716262930389121314[[#This Row],[累计净值]]/MAX(INDIRECT("B21:B" &amp; ROW()))-1&lt;E204,表2_36716262930389121314[[#This Row],[累计净值]]/MAX(INDIRECT("B21:B" &amp; ROW()))-1,E204)</f>
        <v>-2.0583190394511175E-2</v>
      </c>
      <c r="F205" s="110">
        <f>表2_36716262930389121314[[#This Row],[累计净值]]-0.12</f>
        <v>1.0470000000000002</v>
      </c>
      <c r="G205" s="20">
        <f>表2_36716262930389121314[[#This Row],[累计净值]]/$B$21-1</f>
        <v>9.9905749293119683E-2</v>
      </c>
      <c r="H205" s="20">
        <f>表2_36716262930389121314[[#This Row],[累计净值]]/$B$51-1</f>
        <v>6.5753424657534199E-2</v>
      </c>
    </row>
    <row r="206" spans="1:8">
      <c r="A206" s="15">
        <v>44131</v>
      </c>
      <c r="B206" s="112">
        <v>1.163</v>
      </c>
      <c r="C206" s="108">
        <f t="shared" ref="C206:C211" si="58">IFERROR(B206-B205,0)</f>
        <v>-4.0000000000000036E-3</v>
      </c>
      <c r="D206" s="109">
        <f t="shared" ref="D206:D211" si="59">IF(C206&lt;0,C206,"/")</f>
        <v>-4.0000000000000036E-3</v>
      </c>
      <c r="E206" s="109">
        <f ca="1">IF(表2_36716262930389121314[[#This Row],[累计净值]]/MAX(INDIRECT("B21:B" &amp; ROW()))-1&lt;E205,表2_36716262930389121314[[#This Row],[累计净值]]/MAX(INDIRECT("B21:B" &amp; ROW()))-1,E205)</f>
        <v>-2.0583190394511175E-2</v>
      </c>
      <c r="F206" s="110">
        <f>表2_36716262930389121314[[#This Row],[累计净值]]-0.12</f>
        <v>1.0430000000000001</v>
      </c>
      <c r="G206" s="20">
        <f>表2_36716262930389121314[[#This Row],[累计净值]]/$B$21-1</f>
        <v>9.6135721017907683E-2</v>
      </c>
      <c r="H206" s="20">
        <f>表2_36716262930389121314[[#This Row],[累计净值]]/$B$51-1</f>
        <v>6.2100456621004607E-2</v>
      </c>
    </row>
    <row r="207" spans="1:8">
      <c r="A207" s="15">
        <v>44132</v>
      </c>
      <c r="B207" s="112">
        <v>1.163</v>
      </c>
      <c r="C207" s="108">
        <f t="shared" si="58"/>
        <v>0</v>
      </c>
      <c r="D207" s="109" t="str">
        <f t="shared" si="59"/>
        <v>/</v>
      </c>
      <c r="E207" s="109">
        <f ca="1">IF(表2_36716262930389121314[[#This Row],[累计净值]]/MAX(INDIRECT("B21:B" &amp; ROW()))-1&lt;E206,表2_36716262930389121314[[#This Row],[累计净值]]/MAX(INDIRECT("B21:B" &amp; ROW()))-1,E206)</f>
        <v>-2.0583190394511175E-2</v>
      </c>
      <c r="F207" s="110">
        <f>表2_36716262930389121314[[#This Row],[累计净值]]-0.12</f>
        <v>1.0430000000000001</v>
      </c>
      <c r="G207" s="20">
        <f>表2_36716262930389121314[[#This Row],[累计净值]]/$B$21-1</f>
        <v>9.6135721017907683E-2</v>
      </c>
      <c r="H207" s="20">
        <f>表2_36716262930389121314[[#This Row],[累计净值]]/$B$51-1</f>
        <v>6.2100456621004607E-2</v>
      </c>
    </row>
    <row r="208" spans="1:8">
      <c r="A208" s="15">
        <v>44133</v>
      </c>
      <c r="B208" s="112">
        <v>1.1599999999999999</v>
      </c>
      <c r="C208" s="108">
        <f t="shared" si="58"/>
        <v>-3.0000000000001137E-3</v>
      </c>
      <c r="D208" s="109">
        <f t="shared" si="59"/>
        <v>-3.0000000000001137E-3</v>
      </c>
      <c r="E208" s="109">
        <f ca="1">IF(表2_36716262930389121314[[#This Row],[累计净值]]/MAX(INDIRECT("B21:B" &amp; ROW()))-1&lt;E207,表2_36716262930389121314[[#This Row],[累计净值]]/MAX(INDIRECT("B21:B" &amp; ROW()))-1,E207)</f>
        <v>-2.0583190394511175E-2</v>
      </c>
      <c r="F208" s="110">
        <f>表2_36716262930389121314[[#This Row],[累计净值]]-0.12</f>
        <v>1.04</v>
      </c>
      <c r="G208" s="20">
        <f>表2_36716262930389121314[[#This Row],[累计净值]]/$B$21-1</f>
        <v>9.3308199811498627E-2</v>
      </c>
      <c r="H208" s="20">
        <f>表2_36716262930389121314[[#This Row],[累计净值]]/$B$51-1</f>
        <v>5.9360730593607247E-2</v>
      </c>
    </row>
    <row r="209" spans="1:8">
      <c r="A209" s="15">
        <v>44134</v>
      </c>
      <c r="B209" s="112">
        <v>1.159</v>
      </c>
      <c r="C209" s="108">
        <f t="shared" si="58"/>
        <v>-9.9999999999988987E-4</v>
      </c>
      <c r="D209" s="109">
        <f t="shared" si="59"/>
        <v>-9.9999999999988987E-4</v>
      </c>
      <c r="E209" s="109">
        <f ca="1">IF(表2_36716262930389121314[[#This Row],[累计净值]]/MAX(INDIRECT("B21:B" &amp; ROW()))-1&lt;E208,表2_36716262930389121314[[#This Row],[累计净值]]/MAX(INDIRECT("B21:B" &amp; ROW()))-1,E208)</f>
        <v>-2.0583190394511175E-2</v>
      </c>
      <c r="F209" s="110">
        <f>表2_36716262930389121314[[#This Row],[累计净值]]-0.12</f>
        <v>1.0390000000000001</v>
      </c>
      <c r="G209" s="20">
        <f>表2_36716262930389121314[[#This Row],[累计净值]]/$B$21-1</f>
        <v>9.2365692742695682E-2</v>
      </c>
      <c r="H209" s="20">
        <f>表2_36716262930389121314[[#This Row],[累计净值]]/$B$51-1</f>
        <v>5.8447488584475016E-2</v>
      </c>
    </row>
    <row r="210" spans="1:8">
      <c r="A210" s="15">
        <v>44137</v>
      </c>
      <c r="B210" s="112">
        <v>1.157</v>
      </c>
      <c r="C210" s="108">
        <f t="shared" si="58"/>
        <v>-2.0000000000000018E-3</v>
      </c>
      <c r="D210" s="109">
        <f t="shared" si="59"/>
        <v>-2.0000000000000018E-3</v>
      </c>
      <c r="E210" s="109">
        <f ca="1">IF(表2_36716262930389121314[[#This Row],[累计净值]]/MAX(INDIRECT("B21:B" &amp; ROW()))-1&lt;E209,表2_36716262930389121314[[#This Row],[累计净值]]/MAX(INDIRECT("B21:B" &amp; ROW()))-1,E209)</f>
        <v>-2.0583190394511175E-2</v>
      </c>
      <c r="F210" s="110">
        <f>表2_36716262930389121314[[#This Row],[累计净值]]-0.12</f>
        <v>1.0369999999999999</v>
      </c>
      <c r="G210" s="20">
        <f>表2_36716262930389121314[[#This Row],[累计净值]]/$B$21-1</f>
        <v>9.0480678605089571E-2</v>
      </c>
      <c r="H210" s="20">
        <f>表2_36716262930389121314[[#This Row],[累计净值]]/$B$51-1</f>
        <v>5.6621004566210109E-2</v>
      </c>
    </row>
    <row r="211" spans="1:8">
      <c r="A211" s="15">
        <v>44138</v>
      </c>
      <c r="B211" s="112">
        <v>1.159</v>
      </c>
      <c r="C211" s="108">
        <f t="shared" si="58"/>
        <v>2.0000000000000018E-3</v>
      </c>
      <c r="D211" s="109" t="str">
        <f t="shared" si="59"/>
        <v>/</v>
      </c>
      <c r="E211" s="109">
        <f ca="1">IF(表2_36716262930389121314[[#This Row],[累计净值]]/MAX(INDIRECT("B21:B" &amp; ROW()))-1&lt;E210,表2_36716262930389121314[[#This Row],[累计净值]]/MAX(INDIRECT("B21:B" &amp; ROW()))-1,E210)</f>
        <v>-2.0583190394511175E-2</v>
      </c>
      <c r="F211" s="110">
        <f>表2_36716262930389121314[[#This Row],[累计净值]]-0.12</f>
        <v>1.0390000000000001</v>
      </c>
      <c r="G211" s="20">
        <f>表2_36716262930389121314[[#This Row],[累计净值]]/$B$21-1</f>
        <v>9.2365692742695682E-2</v>
      </c>
      <c r="H211" s="20">
        <f>表2_36716262930389121314[[#This Row],[累计净值]]/$B$51-1</f>
        <v>5.8447488584475016E-2</v>
      </c>
    </row>
    <row r="212" spans="1:8">
      <c r="A212" s="15">
        <v>44139</v>
      </c>
      <c r="B212" s="112">
        <v>1.161</v>
      </c>
      <c r="C212" s="108">
        <f t="shared" ref="C212:C217" si="60">IFERROR(B212-B211,0)</f>
        <v>2.0000000000000018E-3</v>
      </c>
      <c r="D212" s="109" t="str">
        <f t="shared" ref="D212:D217" si="61">IF(C212&lt;0,C212,"/")</f>
        <v>/</v>
      </c>
      <c r="E212" s="109">
        <f ca="1">IF(表2_36716262930389121314[[#This Row],[累计净值]]/MAX(INDIRECT("B21:B" &amp; ROW()))-1&lt;E211,表2_36716262930389121314[[#This Row],[累计净值]]/MAX(INDIRECT("B21:B" &amp; ROW()))-1,E211)</f>
        <v>-2.0583190394511175E-2</v>
      </c>
      <c r="F212" s="110">
        <f>表2_36716262930389121314[[#This Row],[累计净值]]-0.12</f>
        <v>1.0409999999999999</v>
      </c>
      <c r="G212" s="20">
        <f>表2_36716262930389121314[[#This Row],[累计净值]]/$B$21-1</f>
        <v>9.4250706880301793E-2</v>
      </c>
      <c r="H212" s="20">
        <f>表2_36716262930389121314[[#This Row],[累计净值]]/$B$51-1</f>
        <v>6.02739726027397E-2</v>
      </c>
    </row>
    <row r="213" spans="1:8">
      <c r="A213" s="15">
        <v>44140</v>
      </c>
      <c r="B213" s="112">
        <v>1.167</v>
      </c>
      <c r="C213" s="108">
        <f t="shared" si="60"/>
        <v>6.0000000000000053E-3</v>
      </c>
      <c r="D213" s="109" t="str">
        <f t="shared" si="61"/>
        <v>/</v>
      </c>
      <c r="E213" s="109">
        <f ca="1">IF(表2_36716262930389121314[[#This Row],[累计净值]]/MAX(INDIRECT("B21:B" &amp; ROW()))-1&lt;E212,表2_36716262930389121314[[#This Row],[累计净值]]/MAX(INDIRECT("B21:B" &amp; ROW()))-1,E212)</f>
        <v>-2.0583190394511175E-2</v>
      </c>
      <c r="F213" s="110">
        <f>表2_36716262930389121314[[#This Row],[累计净值]]-0.12</f>
        <v>1.0470000000000002</v>
      </c>
      <c r="G213" s="20">
        <f>表2_36716262930389121314[[#This Row],[累计净值]]/$B$21-1</f>
        <v>9.9905749293119683E-2</v>
      </c>
      <c r="H213" s="20">
        <f>表2_36716262930389121314[[#This Row],[累计净值]]/$B$51-1</f>
        <v>6.5753424657534199E-2</v>
      </c>
    </row>
    <row r="214" spans="1:8">
      <c r="A214" s="15">
        <v>44141</v>
      </c>
      <c r="B214" s="112">
        <v>1.1639999999999999</v>
      </c>
      <c r="C214" s="108">
        <f t="shared" si="60"/>
        <v>-3.0000000000001137E-3</v>
      </c>
      <c r="D214" s="109">
        <f t="shared" si="61"/>
        <v>-3.0000000000001137E-3</v>
      </c>
      <c r="E214" s="109">
        <f ca="1">IF(表2_36716262930389121314[[#This Row],[累计净值]]/MAX(INDIRECT("B21:B" &amp; ROW()))-1&lt;E213,表2_36716262930389121314[[#This Row],[累计净值]]/MAX(INDIRECT("B21:B" &amp; ROW()))-1,E213)</f>
        <v>-2.0583190394511175E-2</v>
      </c>
      <c r="F214" s="110">
        <f>表2_36716262930389121314[[#This Row],[累计净值]]-0.12</f>
        <v>1.044</v>
      </c>
      <c r="G214" s="20">
        <f>表2_36716262930389121314[[#This Row],[累计净值]]/$B$21-1</f>
        <v>9.7078228086710627E-2</v>
      </c>
      <c r="H214" s="20">
        <f>表2_36716262930389121314[[#This Row],[累计净值]]/$B$51-1</f>
        <v>6.3013698630136838E-2</v>
      </c>
    </row>
    <row r="215" spans="1:8">
      <c r="A215" s="15">
        <v>44144</v>
      </c>
      <c r="B215" s="112">
        <v>1.165</v>
      </c>
      <c r="C215" s="108">
        <f t="shared" si="60"/>
        <v>1.0000000000001119E-3</v>
      </c>
      <c r="D215" s="109" t="str">
        <f t="shared" si="61"/>
        <v>/</v>
      </c>
      <c r="E215" s="109">
        <f ca="1">IF(表2_36716262930389121314[[#This Row],[累计净值]]/MAX(INDIRECT("B21:B" &amp; ROW()))-1&lt;E214,表2_36716262930389121314[[#This Row],[累计净值]]/MAX(INDIRECT("B21:B" &amp; ROW()))-1,E214)</f>
        <v>-2.0583190394511175E-2</v>
      </c>
      <c r="F215" s="110">
        <f>表2_36716262930389121314[[#This Row],[累计净值]]-0.12</f>
        <v>1.0449999999999999</v>
      </c>
      <c r="G215" s="20">
        <f>表2_36716262930389121314[[#This Row],[累计净值]]/$B$21-1</f>
        <v>9.8020735155513794E-2</v>
      </c>
      <c r="H215" s="20">
        <f>表2_36716262930389121314[[#This Row],[累计净值]]/$B$51-1</f>
        <v>6.3926940639269514E-2</v>
      </c>
    </row>
    <row r="216" spans="1:8">
      <c r="A216" s="15">
        <v>44145</v>
      </c>
      <c r="B216" s="112">
        <v>1.163</v>
      </c>
      <c r="C216" s="108">
        <f t="shared" si="60"/>
        <v>-2.0000000000000018E-3</v>
      </c>
      <c r="D216" s="109">
        <f t="shared" si="61"/>
        <v>-2.0000000000000018E-3</v>
      </c>
      <c r="E216" s="109">
        <f ca="1">IF(表2_36716262930389121314[[#This Row],[累计净值]]/MAX(INDIRECT("B21:B" &amp; ROW()))-1&lt;E215,表2_36716262930389121314[[#This Row],[累计净值]]/MAX(INDIRECT("B21:B" &amp; ROW()))-1,E215)</f>
        <v>-2.0583190394511175E-2</v>
      </c>
      <c r="F216" s="110">
        <f>表2_36716262930389121314[[#This Row],[累计净值]]-0.12</f>
        <v>1.0430000000000001</v>
      </c>
      <c r="G216" s="20">
        <f>表2_36716262930389121314[[#This Row],[累计净值]]/$B$21-1</f>
        <v>9.6135721017907683E-2</v>
      </c>
      <c r="H216" s="20">
        <f>表2_36716262930389121314[[#This Row],[累计净值]]/$B$51-1</f>
        <v>6.2100456621004607E-2</v>
      </c>
    </row>
    <row r="217" spans="1:8">
      <c r="A217" s="15">
        <v>44146</v>
      </c>
      <c r="B217" s="112">
        <v>1.159</v>
      </c>
      <c r="C217" s="108">
        <f t="shared" si="60"/>
        <v>-4.0000000000000036E-3</v>
      </c>
      <c r="D217" s="109">
        <f t="shared" si="61"/>
        <v>-4.0000000000000036E-3</v>
      </c>
      <c r="E217" s="109">
        <f ca="1">IF(表2_36716262930389121314[[#This Row],[累计净值]]/MAX(INDIRECT("B21:B" &amp; ROW()))-1&lt;E216,表2_36716262930389121314[[#This Row],[累计净值]]/MAX(INDIRECT("B21:B" &amp; ROW()))-1,E216)</f>
        <v>-2.0583190394511175E-2</v>
      </c>
      <c r="F217" s="110">
        <f>表2_36716262930389121314[[#This Row],[累计净值]]-0.12</f>
        <v>1.0390000000000001</v>
      </c>
      <c r="G217" s="20">
        <f>表2_36716262930389121314[[#This Row],[累计净值]]/$B$21-1</f>
        <v>9.2365692742695682E-2</v>
      </c>
      <c r="H217" s="20">
        <f>表2_36716262930389121314[[#This Row],[累计净值]]/$B$51-1</f>
        <v>5.8447488584475016E-2</v>
      </c>
    </row>
    <row r="218" spans="1:8">
      <c r="A218" s="15">
        <v>44147</v>
      </c>
      <c r="B218" s="112">
        <v>1.165</v>
      </c>
      <c r="C218" s="108">
        <f t="shared" ref="C218:C223" si="62">IFERROR(B218-B217,0)</f>
        <v>6.0000000000000053E-3</v>
      </c>
      <c r="D218" s="109" t="str">
        <f t="shared" ref="D218:D223" si="63">IF(C218&lt;0,C218,"/")</f>
        <v>/</v>
      </c>
      <c r="E218" s="109">
        <f ca="1">IF(表2_36716262930389121314[[#This Row],[累计净值]]/MAX(INDIRECT("B21:B" &amp; ROW()))-1&lt;E217,表2_36716262930389121314[[#This Row],[累计净值]]/MAX(INDIRECT("B21:B" &amp; ROW()))-1,E217)</f>
        <v>-2.0583190394511175E-2</v>
      </c>
      <c r="F218" s="110">
        <f>表2_36716262930389121314[[#This Row],[累计净值]]-0.12</f>
        <v>1.0449999999999999</v>
      </c>
      <c r="G218" s="20">
        <f>表2_36716262930389121314[[#This Row],[累计净值]]/$B$21-1</f>
        <v>9.8020735155513794E-2</v>
      </c>
      <c r="H218" s="20">
        <f>表2_36716262930389121314[[#This Row],[累计净值]]/$B$51-1</f>
        <v>6.3926940639269514E-2</v>
      </c>
    </row>
    <row r="219" spans="1:8">
      <c r="A219" s="15">
        <v>44148</v>
      </c>
      <c r="B219" s="112">
        <v>1.1659999999999999</v>
      </c>
      <c r="C219" s="108">
        <f t="shared" si="62"/>
        <v>9.9999999999988987E-4</v>
      </c>
      <c r="D219" s="109" t="str">
        <f t="shared" si="63"/>
        <v>/</v>
      </c>
      <c r="E219" s="109">
        <f ca="1">IF(表2_36716262930389121314[[#This Row],[累计净值]]/MAX(INDIRECT("B21:B" &amp; ROW()))-1&lt;E218,表2_36716262930389121314[[#This Row],[累计净值]]/MAX(INDIRECT("B21:B" &amp; ROW()))-1,E218)</f>
        <v>-2.0583190394511175E-2</v>
      </c>
      <c r="F219" s="110">
        <f>表2_36716262930389121314[[#This Row],[累计净值]]-0.12</f>
        <v>1.0459999999999998</v>
      </c>
      <c r="G219" s="20">
        <f>表2_36716262930389121314[[#This Row],[累计净值]]/$B$21-1</f>
        <v>9.8963242224316739E-2</v>
      </c>
      <c r="H219" s="20">
        <f>表2_36716262930389121314[[#This Row],[累计净值]]/$B$51-1</f>
        <v>6.4840182648401745E-2</v>
      </c>
    </row>
    <row r="220" spans="1:8">
      <c r="A220" s="15">
        <v>44151</v>
      </c>
      <c r="B220" s="112">
        <v>1.169</v>
      </c>
      <c r="C220" s="108">
        <f t="shared" si="62"/>
        <v>3.0000000000001137E-3</v>
      </c>
      <c r="D220" s="109" t="str">
        <f t="shared" si="63"/>
        <v>/</v>
      </c>
      <c r="E220" s="109">
        <f ca="1">IF(表2_36716262930389121314[[#This Row],[累计净值]]/MAX(INDIRECT("B21:B" &amp; ROW()))-1&lt;E219,表2_36716262930389121314[[#This Row],[累计净值]]/MAX(INDIRECT("B21:B" &amp; ROW()))-1,E219)</f>
        <v>-2.0583190394511175E-2</v>
      </c>
      <c r="F220" s="110">
        <f>表2_36716262930389121314[[#This Row],[累计净值]]-0.12</f>
        <v>1.0489999999999999</v>
      </c>
      <c r="G220" s="20">
        <f>表2_36716262930389121314[[#This Row],[累计净值]]/$B$21-1</f>
        <v>0.10179076343072579</v>
      </c>
      <c r="H220" s="20">
        <f>表2_36716262930389121314[[#This Row],[累计净值]]/$B$51-1</f>
        <v>6.7579908675799105E-2</v>
      </c>
    </row>
    <row r="221" spans="1:8">
      <c r="A221" s="15">
        <v>44152</v>
      </c>
      <c r="B221" s="112">
        <v>1.17</v>
      </c>
      <c r="C221" s="108">
        <f t="shared" si="62"/>
        <v>9.9999999999988987E-4</v>
      </c>
      <c r="D221" s="109" t="str">
        <f t="shared" si="63"/>
        <v>/</v>
      </c>
      <c r="E221" s="109">
        <f ca="1">IF(表2_36716262930389121314[[#This Row],[累计净值]]/MAX(INDIRECT("B21:B" &amp; ROW()))-1&lt;E220,表2_36716262930389121314[[#This Row],[累计净值]]/MAX(INDIRECT("B21:B" &amp; ROW()))-1,E220)</f>
        <v>-2.0583190394511175E-2</v>
      </c>
      <c r="F221" s="110">
        <f>表2_36716262930389121314[[#This Row],[累计净值]]-0.12</f>
        <v>1.0499999999999998</v>
      </c>
      <c r="G221" s="20">
        <f>表2_36716262930389121314[[#This Row],[累计净值]]/$B$21-1</f>
        <v>0.10273327049952874</v>
      </c>
      <c r="H221" s="20">
        <f>表2_36716262930389121314[[#This Row],[累计净值]]/$B$51-1</f>
        <v>6.8493150684931559E-2</v>
      </c>
    </row>
    <row r="222" spans="1:8">
      <c r="A222" s="15">
        <v>44153</v>
      </c>
      <c r="B222" s="112">
        <v>1.167</v>
      </c>
      <c r="C222" s="108">
        <f t="shared" si="62"/>
        <v>-2.9999999999998916E-3</v>
      </c>
      <c r="D222" s="109">
        <f t="shared" si="63"/>
        <v>-2.9999999999998916E-3</v>
      </c>
      <c r="E222" s="109">
        <f ca="1">IF(表2_36716262930389121314[[#This Row],[累计净值]]/MAX(INDIRECT("B21:B" &amp; ROW()))-1&lt;E221,表2_36716262930389121314[[#This Row],[累计净值]]/MAX(INDIRECT("B21:B" &amp; ROW()))-1,E221)</f>
        <v>-2.0583190394511175E-2</v>
      </c>
      <c r="F222" s="110">
        <f>表2_36716262930389121314[[#This Row],[累计净值]]-0.12</f>
        <v>1.0470000000000002</v>
      </c>
      <c r="G222" s="20">
        <f>表2_36716262930389121314[[#This Row],[累计净值]]/$B$21-1</f>
        <v>9.9905749293119683E-2</v>
      </c>
      <c r="H222" s="20">
        <f>表2_36716262930389121314[[#This Row],[累计净值]]/$B$51-1</f>
        <v>6.5753424657534199E-2</v>
      </c>
    </row>
    <row r="223" spans="1:8">
      <c r="A223" s="15">
        <v>44154</v>
      </c>
      <c r="B223" s="112">
        <v>1.1639999999999999</v>
      </c>
      <c r="C223" s="108">
        <f t="shared" si="62"/>
        <v>-3.0000000000001137E-3</v>
      </c>
      <c r="D223" s="109">
        <f t="shared" si="63"/>
        <v>-3.0000000000001137E-3</v>
      </c>
      <c r="E223" s="109">
        <f ca="1">IF(表2_36716262930389121314[[#This Row],[累计净值]]/MAX(INDIRECT("B21:B" &amp; ROW()))-1&lt;E222,表2_36716262930389121314[[#This Row],[累计净值]]/MAX(INDIRECT("B21:B" &amp; ROW()))-1,E222)</f>
        <v>-2.0583190394511175E-2</v>
      </c>
      <c r="F223" s="110">
        <f>表2_36716262930389121314[[#This Row],[累计净值]]-0.12</f>
        <v>1.044</v>
      </c>
      <c r="G223" s="20">
        <f>表2_36716262930389121314[[#This Row],[累计净值]]/$B$21-1</f>
        <v>9.7078228086710627E-2</v>
      </c>
      <c r="H223" s="20">
        <f>表2_36716262930389121314[[#This Row],[累计净值]]/$B$51-1</f>
        <v>6.3013698630136838E-2</v>
      </c>
    </row>
    <row r="224" spans="1:8">
      <c r="A224" s="15">
        <v>44155</v>
      </c>
      <c r="B224" s="112">
        <v>1.165</v>
      </c>
      <c r="C224" s="108">
        <f t="shared" ref="C224:C229" si="64">IFERROR(B224-B223,0)</f>
        <v>1.0000000000001119E-3</v>
      </c>
      <c r="D224" s="109" t="str">
        <f t="shared" ref="D224:D229" si="65">IF(C224&lt;0,C224,"/")</f>
        <v>/</v>
      </c>
      <c r="E224" s="109">
        <f ca="1">IF(表2_36716262930389121314[[#This Row],[累计净值]]/MAX(INDIRECT("B21:B" &amp; ROW()))-1&lt;E223,表2_36716262930389121314[[#This Row],[累计净值]]/MAX(INDIRECT("B21:B" &amp; ROW()))-1,E223)</f>
        <v>-2.0583190394511175E-2</v>
      </c>
      <c r="F224" s="110">
        <f>表2_36716262930389121314[[#This Row],[累计净值]]-0.12</f>
        <v>1.0449999999999999</v>
      </c>
      <c r="G224" s="20">
        <f>表2_36716262930389121314[[#This Row],[累计净值]]/$B$21-1</f>
        <v>9.8020735155513794E-2</v>
      </c>
      <c r="H224" s="20">
        <f>表2_36716262930389121314[[#This Row],[累计净值]]/$B$51-1</f>
        <v>6.3926940639269514E-2</v>
      </c>
    </row>
    <row r="225" spans="1:8">
      <c r="A225" s="15">
        <v>44158</v>
      </c>
      <c r="B225" s="112">
        <v>1.163</v>
      </c>
      <c r="C225" s="108">
        <f t="shared" si="64"/>
        <v>-2.0000000000000018E-3</v>
      </c>
      <c r="D225" s="109">
        <f t="shared" si="65"/>
        <v>-2.0000000000000018E-3</v>
      </c>
      <c r="E225" s="109">
        <f ca="1">IF(表2_36716262930389121314[[#This Row],[累计净值]]/MAX(INDIRECT("B21:B" &amp; ROW()))-1&lt;E224,表2_36716262930389121314[[#This Row],[累计净值]]/MAX(INDIRECT("B21:B" &amp; ROW()))-1,E224)</f>
        <v>-2.0583190394511175E-2</v>
      </c>
      <c r="F225" s="110">
        <f>表2_36716262930389121314[[#This Row],[累计净值]]-0.12</f>
        <v>1.0430000000000001</v>
      </c>
      <c r="G225" s="20">
        <f>表2_36716262930389121314[[#This Row],[累计净值]]/$B$21-1</f>
        <v>9.6135721017907683E-2</v>
      </c>
      <c r="H225" s="20">
        <f>表2_36716262930389121314[[#This Row],[累计净值]]/$B$51-1</f>
        <v>6.2100456621004607E-2</v>
      </c>
    </row>
    <row r="226" spans="1:8">
      <c r="A226" s="15">
        <v>44159</v>
      </c>
      <c r="B226" s="112">
        <v>1.155</v>
      </c>
      <c r="C226" s="108">
        <f t="shared" si="64"/>
        <v>-8.0000000000000071E-3</v>
      </c>
      <c r="D226" s="109">
        <f t="shared" si="65"/>
        <v>-8.0000000000000071E-3</v>
      </c>
      <c r="E226" s="109">
        <f ca="1">IF(表2_36716262930389121314[[#This Row],[累计净值]]/MAX(INDIRECT("B21:B" &amp; ROW()))-1&lt;E225,表2_36716262930389121314[[#This Row],[累计净值]]/MAX(INDIRECT("B21:B" &amp; ROW()))-1,E225)</f>
        <v>-2.0583190394511175E-2</v>
      </c>
      <c r="F226" s="110">
        <f>表2_36716262930389121314[[#This Row],[累计净值]]-0.12</f>
        <v>1.0350000000000001</v>
      </c>
      <c r="G226" s="20">
        <f>表2_36716262930389121314[[#This Row],[累计净值]]/$B$21-1</f>
        <v>8.8595664467483681E-2</v>
      </c>
      <c r="H226" s="20">
        <f>表2_36716262930389121314[[#This Row],[累计净值]]/$B$51-1</f>
        <v>5.4794520547945202E-2</v>
      </c>
    </row>
    <row r="227" spans="1:8">
      <c r="A227" s="15">
        <v>44160</v>
      </c>
      <c r="B227" s="112">
        <v>1.1579999999999999</v>
      </c>
      <c r="C227" s="108">
        <f t="shared" si="64"/>
        <v>2.9999999999998916E-3</v>
      </c>
      <c r="D227" s="109" t="str">
        <f t="shared" si="65"/>
        <v>/</v>
      </c>
      <c r="E227" s="109">
        <f ca="1">IF(表2_36716262930389121314[[#This Row],[累计净值]]/MAX(INDIRECT("B21:B" &amp; ROW()))-1&lt;E226,表2_36716262930389121314[[#This Row],[累计净值]]/MAX(INDIRECT("B21:B" &amp; ROW()))-1,E226)</f>
        <v>-2.0583190394511175E-2</v>
      </c>
      <c r="F227" s="110">
        <f>表2_36716262930389121314[[#This Row],[累计净值]]-0.12</f>
        <v>1.0379999999999998</v>
      </c>
      <c r="G227" s="20">
        <f>表2_36716262930389121314[[#This Row],[累计净值]]/$B$21-1</f>
        <v>9.1423185673892515E-2</v>
      </c>
      <c r="H227" s="20">
        <f>表2_36716262930389121314[[#This Row],[累计净值]]/$B$51-1</f>
        <v>5.753424657534234E-2</v>
      </c>
    </row>
    <row r="228" spans="1:8">
      <c r="A228" s="15">
        <v>44161</v>
      </c>
      <c r="B228" s="112">
        <v>1.17</v>
      </c>
      <c r="C228" s="108">
        <f t="shared" si="64"/>
        <v>1.2000000000000011E-2</v>
      </c>
      <c r="D228" s="109" t="str">
        <f t="shared" si="65"/>
        <v>/</v>
      </c>
      <c r="E228" s="109">
        <f ca="1">IF(表2_36716262930389121314[[#This Row],[累计净值]]/MAX(INDIRECT("B21:B" &amp; ROW()))-1&lt;E227,表2_36716262930389121314[[#This Row],[累计净值]]/MAX(INDIRECT("B21:B" &amp; ROW()))-1,E227)</f>
        <v>-2.0583190394511175E-2</v>
      </c>
      <c r="F228" s="110">
        <f>表2_36716262930389121314[[#This Row],[累计净值]]-0.12</f>
        <v>1.0499999999999998</v>
      </c>
      <c r="G228" s="20">
        <f>表2_36716262930389121314[[#This Row],[累计净值]]/$B$21-1</f>
        <v>0.10273327049952874</v>
      </c>
      <c r="H228" s="20">
        <f>表2_36716262930389121314[[#This Row],[累计净值]]/$B$51-1</f>
        <v>6.8493150684931559E-2</v>
      </c>
    </row>
    <row r="229" spans="1:8">
      <c r="A229" s="15">
        <v>44162</v>
      </c>
      <c r="B229" s="112">
        <v>1.165</v>
      </c>
      <c r="C229" s="108">
        <f t="shared" si="64"/>
        <v>-4.9999999999998934E-3</v>
      </c>
      <c r="D229" s="109">
        <f t="shared" si="65"/>
        <v>-4.9999999999998934E-3</v>
      </c>
      <c r="E229" s="109">
        <f ca="1">IF(表2_36716262930389121314[[#This Row],[累计净值]]/MAX(INDIRECT("B21:B" &amp; ROW()))-1&lt;E228,表2_36716262930389121314[[#This Row],[累计净值]]/MAX(INDIRECT("B21:B" &amp; ROW()))-1,E228)</f>
        <v>-2.0583190394511175E-2</v>
      </c>
      <c r="F229" s="110">
        <f>表2_36716262930389121314[[#This Row],[累计净值]]</f>
        <v>1.165</v>
      </c>
      <c r="G229" s="20">
        <f>表2_36716262930389121314[[#This Row],[累计净值]]/$B$21-1</f>
        <v>9.8020735155513794E-2</v>
      </c>
      <c r="H229" s="20">
        <f>表2_36716262930389121314[[#This Row],[累计净值]]/$B$51-1</f>
        <v>6.3926940639269514E-2</v>
      </c>
    </row>
    <row r="230" spans="1:8">
      <c r="A230" s="15">
        <v>44165</v>
      </c>
      <c r="B230" s="112">
        <v>1.163</v>
      </c>
      <c r="C230" s="108">
        <f t="shared" ref="C230:C235" si="66">IFERROR(B230-B229,0)</f>
        <v>-2.0000000000000018E-3</v>
      </c>
      <c r="D230" s="109">
        <f t="shared" ref="D230:D235" si="67">IF(C230&lt;0,C230,"/")</f>
        <v>-2.0000000000000018E-3</v>
      </c>
      <c r="E230" s="109">
        <f ca="1">IF(表2_36716262930389121314[[#This Row],[累计净值]]/MAX(INDIRECT("B21:B" &amp; ROW()))-1&lt;E229,表2_36716262930389121314[[#This Row],[累计净值]]/MAX(INDIRECT("B21:B" &amp; ROW()))-1,E229)</f>
        <v>-2.0583190394511175E-2</v>
      </c>
      <c r="F230" s="110">
        <f>表2_36716262930389121314[[#This Row],[累计净值]]</f>
        <v>1.163</v>
      </c>
      <c r="G230" s="20">
        <f>表2_36716262930389121314[[#This Row],[累计净值]]/$B$21-1</f>
        <v>9.6135721017907683E-2</v>
      </c>
      <c r="H230" s="20">
        <f>表2_36716262930389121314[[#This Row],[累计净值]]/$B$51-1</f>
        <v>6.2100456621004607E-2</v>
      </c>
    </row>
    <row r="231" spans="1:8">
      <c r="A231" s="15">
        <v>44166</v>
      </c>
      <c r="B231" s="112">
        <v>1.163</v>
      </c>
      <c r="C231" s="108">
        <f t="shared" si="66"/>
        <v>0</v>
      </c>
      <c r="D231" s="109" t="str">
        <f t="shared" si="67"/>
        <v>/</v>
      </c>
      <c r="E231" s="109">
        <f ca="1">IF(表2_36716262930389121314[[#This Row],[累计净值]]/MAX(INDIRECT("B21:B" &amp; ROW()))-1&lt;E230,表2_36716262930389121314[[#This Row],[累计净值]]/MAX(INDIRECT("B21:B" &amp; ROW()))-1,E230)</f>
        <v>-2.0583190394511175E-2</v>
      </c>
      <c r="F231" s="110">
        <f>表2_36716262930389121314[[#This Row],[累计净值]]</f>
        <v>1.163</v>
      </c>
      <c r="G231" s="20">
        <f>表2_36716262930389121314[[#This Row],[累计净值]]/$B$21-1</f>
        <v>9.6135721017907683E-2</v>
      </c>
      <c r="H231" s="20">
        <f>表2_36716262930389121314[[#This Row],[累计净值]]/$B$51-1</f>
        <v>6.2100456621004607E-2</v>
      </c>
    </row>
    <row r="232" spans="1:8">
      <c r="A232" s="15">
        <v>44167</v>
      </c>
      <c r="B232" s="112">
        <v>1.161</v>
      </c>
      <c r="C232" s="108">
        <f t="shared" si="66"/>
        <v>-2.0000000000000018E-3</v>
      </c>
      <c r="D232" s="109">
        <f t="shared" si="67"/>
        <v>-2.0000000000000018E-3</v>
      </c>
      <c r="E232" s="109">
        <f ca="1">IF(表2_36716262930389121314[[#This Row],[累计净值]]/MAX(INDIRECT("B21:B" &amp; ROW()))-1&lt;E231,表2_36716262930389121314[[#This Row],[累计净值]]/MAX(INDIRECT("B21:B" &amp; ROW()))-1,E231)</f>
        <v>-2.0583190394511175E-2</v>
      </c>
      <c r="F232" s="110">
        <f>表2_36716262930389121314[[#This Row],[累计净值]]</f>
        <v>1.161</v>
      </c>
      <c r="G232" s="20">
        <f>表2_36716262930389121314[[#This Row],[累计净值]]/$B$21-1</f>
        <v>9.4250706880301793E-2</v>
      </c>
      <c r="H232" s="20">
        <f>表2_36716262930389121314[[#This Row],[累计净值]]/$B$51-1</f>
        <v>6.02739726027397E-2</v>
      </c>
    </row>
    <row r="233" spans="1:8">
      <c r="A233" s="15">
        <v>44168</v>
      </c>
      <c r="B233" s="112">
        <v>1.1639999999999999</v>
      </c>
      <c r="C233" s="108">
        <f t="shared" si="66"/>
        <v>2.9999999999998916E-3</v>
      </c>
      <c r="D233" s="109" t="str">
        <f t="shared" si="67"/>
        <v>/</v>
      </c>
      <c r="E233" s="109">
        <f ca="1">IF(表2_36716262930389121314[[#This Row],[累计净值]]/MAX(INDIRECT("B21:B" &amp; ROW()))-1&lt;E232,表2_36716262930389121314[[#This Row],[累计净值]]/MAX(INDIRECT("B21:B" &amp; ROW()))-1,E232)</f>
        <v>-2.0583190394511175E-2</v>
      </c>
      <c r="F233" s="110">
        <f>表2_36716262930389121314[[#This Row],[累计净值]]</f>
        <v>1.1639999999999999</v>
      </c>
      <c r="G233" s="20">
        <f>表2_36716262930389121314[[#This Row],[累计净值]]/$B$21-1</f>
        <v>9.7078228086710627E-2</v>
      </c>
      <c r="H233" s="20">
        <f>表2_36716262930389121314[[#This Row],[累计净值]]/$B$51-1</f>
        <v>6.3013698630136838E-2</v>
      </c>
    </row>
    <row r="234" spans="1:8">
      <c r="A234" s="15">
        <v>44169</v>
      </c>
      <c r="B234" s="112">
        <v>1.165</v>
      </c>
      <c r="C234" s="108">
        <f t="shared" si="66"/>
        <v>1.0000000000001119E-3</v>
      </c>
      <c r="D234" s="109" t="str">
        <f t="shared" si="67"/>
        <v>/</v>
      </c>
      <c r="E234" s="109">
        <f ca="1">IF(表2_36716262930389121314[[#This Row],[累计净值]]/MAX(INDIRECT("B21:B" &amp; ROW()))-1&lt;E233,表2_36716262930389121314[[#This Row],[累计净值]]/MAX(INDIRECT("B21:B" &amp; ROW()))-1,E233)</f>
        <v>-2.0583190394511175E-2</v>
      </c>
      <c r="F234" s="110">
        <f>表2_36716262930389121314[[#This Row],[累计净值]]</f>
        <v>1.165</v>
      </c>
      <c r="G234" s="20">
        <f>表2_36716262930389121314[[#This Row],[累计净值]]/$B$21-1</f>
        <v>9.8020735155513794E-2</v>
      </c>
      <c r="H234" s="20">
        <f>表2_36716262930389121314[[#This Row],[累计净值]]/$B$51-1</f>
        <v>6.3926940639269514E-2</v>
      </c>
    </row>
    <row r="235" spans="1:8">
      <c r="A235" s="15">
        <v>44172</v>
      </c>
      <c r="B235" s="112">
        <v>1.17</v>
      </c>
      <c r="C235" s="108">
        <f t="shared" si="66"/>
        <v>4.9999999999998934E-3</v>
      </c>
      <c r="D235" s="109" t="str">
        <f t="shared" si="67"/>
        <v>/</v>
      </c>
      <c r="E235" s="109">
        <f ca="1">IF(表2_36716262930389121314[[#This Row],[累计净值]]/MAX(INDIRECT("B21:B" &amp; ROW()))-1&lt;E234,表2_36716262930389121314[[#This Row],[累计净值]]/MAX(INDIRECT("B21:B" &amp; ROW()))-1,E234)</f>
        <v>-2.0583190394511175E-2</v>
      </c>
      <c r="F235" s="110">
        <f>表2_36716262930389121314[[#This Row],[累计净值]]</f>
        <v>1.17</v>
      </c>
      <c r="G235" s="20">
        <f>表2_36716262930389121314[[#This Row],[累计净值]]/$B$21-1</f>
        <v>0.10273327049952874</v>
      </c>
      <c r="H235" s="20">
        <f>表2_36716262930389121314[[#This Row],[累计净值]]/$B$51-1</f>
        <v>6.8493150684931559E-2</v>
      </c>
    </row>
    <row r="236" spans="1:8">
      <c r="A236" s="15">
        <v>44173</v>
      </c>
      <c r="B236" s="112">
        <v>1.1659999999999999</v>
      </c>
      <c r="C236" s="108">
        <f t="shared" ref="C236:C241" si="68">IFERROR(B236-B235,0)</f>
        <v>-4.0000000000000036E-3</v>
      </c>
      <c r="D236" s="109">
        <f t="shared" ref="D236:D241" si="69">IF(C236&lt;0,C236,"/")</f>
        <v>-4.0000000000000036E-3</v>
      </c>
      <c r="E236" s="109">
        <f ca="1">IF(表2_36716262930389121314[[#This Row],[累计净值]]/MAX(INDIRECT("B21:B" &amp; ROW()))-1&lt;E235,表2_36716262930389121314[[#This Row],[累计净值]]/MAX(INDIRECT("B21:B" &amp; ROW()))-1,E235)</f>
        <v>-2.0583190394511175E-2</v>
      </c>
      <c r="F236" s="110">
        <f>表2_36716262930389121314[[#This Row],[累计净值]]</f>
        <v>1.1659999999999999</v>
      </c>
      <c r="G236" s="20">
        <f>表2_36716262930389121314[[#This Row],[累计净值]]/$B$21-1</f>
        <v>9.8963242224316739E-2</v>
      </c>
      <c r="H236" s="20">
        <f>表2_36716262930389121314[[#This Row],[累计净值]]/$B$51-1</f>
        <v>6.4840182648401745E-2</v>
      </c>
    </row>
    <row r="237" spans="1:8">
      <c r="A237" s="15">
        <v>44174</v>
      </c>
      <c r="B237" s="112">
        <v>1.167</v>
      </c>
      <c r="C237" s="108">
        <f t="shared" si="68"/>
        <v>1.0000000000001119E-3</v>
      </c>
      <c r="D237" s="109" t="str">
        <f t="shared" si="69"/>
        <v>/</v>
      </c>
      <c r="E237" s="109">
        <f ca="1">IF(表2_36716262930389121314[[#This Row],[累计净值]]/MAX(INDIRECT("B21:B" &amp; ROW()))-1&lt;E236,表2_36716262930389121314[[#This Row],[累计净值]]/MAX(INDIRECT("B21:B" &amp; ROW()))-1,E236)</f>
        <v>-2.0583190394511175E-2</v>
      </c>
      <c r="F237" s="110">
        <f>表2_36716262930389121314[[#This Row],[累计净值]]</f>
        <v>1.167</v>
      </c>
      <c r="G237" s="20">
        <f>表2_36716262930389121314[[#This Row],[累计净值]]/$B$21-1</f>
        <v>9.9905749293119683E-2</v>
      </c>
      <c r="H237" s="20">
        <f>表2_36716262930389121314[[#This Row],[累计净值]]/$B$51-1</f>
        <v>6.5753424657534199E-2</v>
      </c>
    </row>
    <row r="238" spans="1:8">
      <c r="A238" s="15">
        <v>44175</v>
      </c>
      <c r="B238" s="112">
        <v>1.169</v>
      </c>
      <c r="C238" s="108">
        <f t="shared" si="68"/>
        <v>2.0000000000000018E-3</v>
      </c>
      <c r="D238" s="109" t="str">
        <f t="shared" si="69"/>
        <v>/</v>
      </c>
      <c r="E238" s="109">
        <f ca="1">IF(表2_36716262930389121314[[#This Row],[累计净值]]/MAX(INDIRECT("B21:B" &amp; ROW()))-1&lt;E237,表2_36716262930389121314[[#This Row],[累计净值]]/MAX(INDIRECT("B21:B" &amp; ROW()))-1,E237)</f>
        <v>-2.0583190394511175E-2</v>
      </c>
      <c r="F238" s="110">
        <f>表2_36716262930389121314[[#This Row],[累计净值]]</f>
        <v>1.169</v>
      </c>
      <c r="G238" s="20">
        <f>表2_36716262930389121314[[#This Row],[累计净值]]/$B$21-1</f>
        <v>0.10179076343072579</v>
      </c>
      <c r="H238" s="20">
        <f>表2_36716262930389121314[[#This Row],[累计净值]]/$B$51-1</f>
        <v>6.7579908675799105E-2</v>
      </c>
    </row>
    <row r="239" spans="1:8">
      <c r="A239" s="15">
        <v>44176</v>
      </c>
      <c r="B239" s="112">
        <v>1.17</v>
      </c>
      <c r="C239" s="108">
        <f t="shared" si="68"/>
        <v>9.9999999999988987E-4</v>
      </c>
      <c r="D239" s="109" t="str">
        <f t="shared" si="69"/>
        <v>/</v>
      </c>
      <c r="E239" s="109">
        <f ca="1">IF(表2_36716262930389121314[[#This Row],[累计净值]]/MAX(INDIRECT("B21:B" &amp; ROW()))-1&lt;E238,表2_36716262930389121314[[#This Row],[累计净值]]/MAX(INDIRECT("B21:B" &amp; ROW()))-1,E238)</f>
        <v>-2.0583190394511175E-2</v>
      </c>
      <c r="F239" s="110">
        <f>表2_36716262930389121314[[#This Row],[累计净值]]</f>
        <v>1.17</v>
      </c>
      <c r="G239" s="20">
        <f>表2_36716262930389121314[[#This Row],[累计净值]]/$B$21-1</f>
        <v>0.10273327049952874</v>
      </c>
      <c r="H239" s="20">
        <f>表2_36716262930389121314[[#This Row],[累计净值]]/$B$51-1</f>
        <v>6.8493150684931559E-2</v>
      </c>
    </row>
    <row r="240" spans="1:8">
      <c r="A240" s="15">
        <v>44179</v>
      </c>
      <c r="B240" s="112">
        <v>1.1679999999999999</v>
      </c>
      <c r="C240" s="108">
        <f t="shared" si="68"/>
        <v>-2.0000000000000018E-3</v>
      </c>
      <c r="D240" s="109">
        <f t="shared" si="69"/>
        <v>-2.0000000000000018E-3</v>
      </c>
      <c r="E240" s="109">
        <f ca="1">IF(表2_36716262930389121314[[#This Row],[累计净值]]/MAX(INDIRECT("B21:B" &amp; ROW()))-1&lt;E239,表2_36716262930389121314[[#This Row],[累计净值]]/MAX(INDIRECT("B21:B" &amp; ROW()))-1,E239)</f>
        <v>-2.0583190394511175E-2</v>
      </c>
      <c r="F240" s="110">
        <f>表2_36716262930389121314[[#This Row],[累计净值]]</f>
        <v>1.1679999999999999</v>
      </c>
      <c r="G240" s="20">
        <f>表2_36716262930389121314[[#This Row],[累计净值]]/$B$21-1</f>
        <v>0.10084825636192263</v>
      </c>
      <c r="H240" s="20">
        <f>表2_36716262930389121314[[#This Row],[累计净值]]/$B$51-1</f>
        <v>6.6666666666666652E-2</v>
      </c>
    </row>
    <row r="241" spans="1:8">
      <c r="A241" s="15">
        <v>44180</v>
      </c>
      <c r="B241" s="112">
        <v>1.169</v>
      </c>
      <c r="C241" s="108">
        <f t="shared" si="68"/>
        <v>1.0000000000001119E-3</v>
      </c>
      <c r="D241" s="109" t="str">
        <f t="shared" si="69"/>
        <v>/</v>
      </c>
      <c r="E241" s="109">
        <f ca="1">IF(表2_36716262930389121314[[#This Row],[累计净值]]/MAX(INDIRECT("B21:B" &amp; ROW()))-1&lt;E240,表2_36716262930389121314[[#This Row],[累计净值]]/MAX(INDIRECT("B21:B" &amp; ROW()))-1,E240)</f>
        <v>-2.0583190394511175E-2</v>
      </c>
      <c r="F241" s="110">
        <f>表2_36716262930389121314[[#This Row],[累计净值]]</f>
        <v>1.169</v>
      </c>
      <c r="G241" s="20">
        <f>表2_36716262930389121314[[#This Row],[累计净值]]/$B$21-1</f>
        <v>0.10179076343072579</v>
      </c>
      <c r="H241" s="20">
        <f>表2_36716262930389121314[[#This Row],[累计净值]]/$B$51-1</f>
        <v>6.7579908675799105E-2</v>
      </c>
    </row>
    <row r="242" spans="1:8">
      <c r="A242" s="15">
        <v>44181</v>
      </c>
      <c r="B242" s="112">
        <v>1.1719999999999999</v>
      </c>
      <c r="C242" s="108">
        <f t="shared" ref="C242:C247" si="70">IFERROR(B242-B241,0)</f>
        <v>2.9999999999998916E-3</v>
      </c>
      <c r="D242" s="109" t="str">
        <f t="shared" ref="D242:D247" si="71">IF(C242&lt;0,C242,"/")</f>
        <v>/</v>
      </c>
      <c r="E242" s="109">
        <f ca="1">IF(表2_36716262930389121314[[#This Row],[累计净值]]/MAX(INDIRECT("B21:B" &amp; ROW()))-1&lt;E241,表2_36716262930389121314[[#This Row],[累计净值]]/MAX(INDIRECT("B21:B" &amp; ROW()))-1,E241)</f>
        <v>-2.0583190394511175E-2</v>
      </c>
      <c r="F242" s="110">
        <f>表2_36716262930389121314[[#This Row],[累计净值]]</f>
        <v>1.1719999999999999</v>
      </c>
      <c r="G242" s="20">
        <f>表2_36716262930389121314[[#This Row],[累计净值]]/$B$21-1</f>
        <v>0.10461828463713485</v>
      </c>
      <c r="H242" s="20">
        <f>表2_36716262930389121314[[#This Row],[累计净值]]/$B$51-1</f>
        <v>7.0319634703196243E-2</v>
      </c>
    </row>
    <row r="243" spans="1:8">
      <c r="A243" s="15">
        <v>44182</v>
      </c>
      <c r="B243" s="112">
        <v>1.1719999999999999</v>
      </c>
      <c r="C243" s="108">
        <f t="shared" si="70"/>
        <v>0</v>
      </c>
      <c r="D243" s="109" t="str">
        <f t="shared" si="71"/>
        <v>/</v>
      </c>
      <c r="E243" s="109">
        <f ca="1">IF(表2_36716262930389121314[[#This Row],[累计净值]]/MAX(INDIRECT("B21:B" &amp; ROW()))-1&lt;E242,表2_36716262930389121314[[#This Row],[累计净值]]/MAX(INDIRECT("B21:B" &amp; ROW()))-1,E242)</f>
        <v>-2.0583190394511175E-2</v>
      </c>
      <c r="F243" s="110">
        <f>表2_36716262930389121314[[#This Row],[累计净值]]</f>
        <v>1.1719999999999999</v>
      </c>
      <c r="G243" s="20">
        <f>表2_36716262930389121314[[#This Row],[累计净值]]/$B$21-1</f>
        <v>0.10461828463713485</v>
      </c>
      <c r="H243" s="20">
        <f>表2_36716262930389121314[[#This Row],[累计净值]]/$B$51-1</f>
        <v>7.0319634703196243E-2</v>
      </c>
    </row>
    <row r="244" spans="1:8">
      <c r="A244" s="15">
        <v>44183</v>
      </c>
      <c r="B244" s="112">
        <v>1.175</v>
      </c>
      <c r="C244" s="108">
        <f t="shared" si="70"/>
        <v>3.0000000000001137E-3</v>
      </c>
      <c r="D244" s="109" t="str">
        <f t="shared" si="71"/>
        <v>/</v>
      </c>
      <c r="E244" s="109">
        <f ca="1">IF(表2_36716262930389121314[[#This Row],[累计净值]]/MAX(INDIRECT("B21:B" &amp; ROW()))-1&lt;E243,表2_36716262930389121314[[#This Row],[累计净值]]/MAX(INDIRECT("B21:B" &amp; ROW()))-1,E243)</f>
        <v>-2.0583190394511175E-2</v>
      </c>
      <c r="F244" s="110">
        <f>表2_36716262930389121314[[#This Row],[累计净值]]</f>
        <v>1.175</v>
      </c>
      <c r="G244" s="20">
        <f>表2_36716262930389121314[[#This Row],[累计净值]]/$B$21-1</f>
        <v>0.10744580584354391</v>
      </c>
      <c r="H244" s="20">
        <f>表2_36716262930389121314[[#This Row],[累计净值]]/$B$51-1</f>
        <v>7.3059360730593603E-2</v>
      </c>
    </row>
    <row r="245" spans="1:8">
      <c r="A245" s="15">
        <v>44186</v>
      </c>
      <c r="B245" s="112">
        <v>1.1759999999999999</v>
      </c>
      <c r="C245" s="108">
        <f t="shared" si="70"/>
        <v>9.9999999999988987E-4</v>
      </c>
      <c r="D245" s="109" t="str">
        <f t="shared" si="71"/>
        <v>/</v>
      </c>
      <c r="E245" s="109">
        <f ca="1">IF(表2_36716262930389121314[[#This Row],[累计净值]]/MAX(INDIRECT("B21:B" &amp; ROW()))-1&lt;E244,表2_36716262930389121314[[#This Row],[累计净值]]/MAX(INDIRECT("B21:B" &amp; ROW()))-1,E244)</f>
        <v>-2.0583190394511175E-2</v>
      </c>
      <c r="F245" s="110">
        <f>表2_36716262930389121314[[#This Row],[累计净值]]</f>
        <v>1.1759999999999999</v>
      </c>
      <c r="G245" s="20">
        <f>表2_36716262930389121314[[#This Row],[累计净值]]/$B$21-1</f>
        <v>0.10838831291234685</v>
      </c>
      <c r="H245" s="20">
        <f>表2_36716262930389121314[[#This Row],[累计净值]]/$B$51-1</f>
        <v>7.3972602739726057E-2</v>
      </c>
    </row>
    <row r="246" spans="1:8">
      <c r="A246" s="15">
        <v>44187</v>
      </c>
      <c r="B246" s="112">
        <v>1.1819999999999999</v>
      </c>
      <c r="C246" s="108">
        <f t="shared" si="70"/>
        <v>6.0000000000000053E-3</v>
      </c>
      <c r="D246" s="109" t="str">
        <f t="shared" si="71"/>
        <v>/</v>
      </c>
      <c r="E246" s="109">
        <f ca="1">IF(表2_36716262930389121314[[#This Row],[累计净值]]/MAX(INDIRECT("B21:B" &amp; ROW()))-1&lt;E245,表2_36716262930389121314[[#This Row],[累计净值]]/MAX(INDIRECT("B21:B" &amp; ROW()))-1,E245)</f>
        <v>-2.0583190394511175E-2</v>
      </c>
      <c r="F246" s="110">
        <f>表2_36716262930389121314[[#This Row],[累计净值]]</f>
        <v>1.1819999999999999</v>
      </c>
      <c r="G246" s="20">
        <f>表2_36716262930389121314[[#This Row],[累计净值]]/$B$21-1</f>
        <v>0.11404335532516496</v>
      </c>
      <c r="H246" s="20">
        <f>表2_36716262930389121314[[#This Row],[累计净值]]/$B$51-1</f>
        <v>7.9452054794520555E-2</v>
      </c>
    </row>
    <row r="247" spans="1:8">
      <c r="A247" s="15">
        <v>44188</v>
      </c>
      <c r="B247" s="112">
        <v>1.1850000000000001</v>
      </c>
      <c r="C247" s="108">
        <f t="shared" si="70"/>
        <v>3.0000000000001137E-3</v>
      </c>
      <c r="D247" s="109" t="str">
        <f t="shared" si="71"/>
        <v>/</v>
      </c>
      <c r="E247" s="109">
        <f ca="1">IF(表2_36716262930389121314[[#This Row],[累计净值]]/MAX(INDIRECT("B21:B" &amp; ROW()))-1&lt;E246,表2_36716262930389121314[[#This Row],[累计净值]]/MAX(INDIRECT("B21:B" &amp; ROW()))-1,E246)</f>
        <v>-2.0583190394511175E-2</v>
      </c>
      <c r="F247" s="110">
        <f>表2_36716262930389121314[[#This Row],[累计净值]]</f>
        <v>1.1850000000000001</v>
      </c>
      <c r="G247" s="20">
        <f>表2_36716262930389121314[[#This Row],[累计净值]]/$B$21-1</f>
        <v>0.11687087653157402</v>
      </c>
      <c r="H247" s="20">
        <f>表2_36716262930389121314[[#This Row],[累计净值]]/$B$51-1</f>
        <v>8.2191780821917915E-2</v>
      </c>
    </row>
    <row r="248" spans="1:8">
      <c r="A248" s="15">
        <v>44189</v>
      </c>
      <c r="B248" s="112">
        <v>1.1850000000000001</v>
      </c>
      <c r="C248" s="108">
        <f t="shared" ref="C248:C253" si="72">IFERROR(B248-B247,0)</f>
        <v>0</v>
      </c>
      <c r="D248" s="109" t="str">
        <f t="shared" ref="D248:D253" si="73">IF(C248&lt;0,C248,"/")</f>
        <v>/</v>
      </c>
      <c r="E248" s="109">
        <f ca="1">IF(表2_36716262930389121314[[#This Row],[累计净值]]/MAX(INDIRECT("B21:B" &amp; ROW()))-1&lt;E247,表2_36716262930389121314[[#This Row],[累计净值]]/MAX(INDIRECT("B21:B" &amp; ROW()))-1,E247)</f>
        <v>-2.0583190394511175E-2</v>
      </c>
      <c r="F248" s="110">
        <f>表2_36716262930389121314[[#This Row],[累计净值]]</f>
        <v>1.1850000000000001</v>
      </c>
      <c r="G248" s="20">
        <f>表2_36716262930389121314[[#This Row],[累计净值]]/$B$21-1</f>
        <v>0.11687087653157402</v>
      </c>
      <c r="H248" s="20">
        <f>表2_36716262930389121314[[#This Row],[累计净值]]/$B$51-1</f>
        <v>8.2191780821917915E-2</v>
      </c>
    </row>
    <row r="249" spans="1:8">
      <c r="A249" s="15">
        <v>44190</v>
      </c>
      <c r="B249" s="112">
        <v>1.181</v>
      </c>
      <c r="C249" s="108">
        <f t="shared" si="72"/>
        <v>-4.0000000000000036E-3</v>
      </c>
      <c r="D249" s="109">
        <f t="shared" si="73"/>
        <v>-4.0000000000000036E-3</v>
      </c>
      <c r="E249" s="109">
        <f ca="1">IF(表2_36716262930389121314[[#This Row],[累计净值]]/MAX(INDIRECT("B21:B" &amp; ROW()))-1&lt;E248,表2_36716262930389121314[[#This Row],[累计净值]]/MAX(INDIRECT("B21:B" &amp; ROW()))-1,E248)</f>
        <v>-2.0583190394511175E-2</v>
      </c>
      <c r="F249" s="110">
        <f>表2_36716262930389121314[[#This Row],[累计净值]]</f>
        <v>1.181</v>
      </c>
      <c r="G249" s="20">
        <f>表2_36716262930389121314[[#This Row],[累计净值]]/$B$21-1</f>
        <v>0.11310084825636202</v>
      </c>
      <c r="H249" s="20">
        <f>表2_36716262930389121314[[#This Row],[累计净值]]/$B$51-1</f>
        <v>7.8538812785388101E-2</v>
      </c>
    </row>
    <row r="250" spans="1:8">
      <c r="A250" s="15">
        <v>44193</v>
      </c>
      <c r="B250" s="112">
        <v>1.175</v>
      </c>
      <c r="C250" s="108">
        <f t="shared" si="72"/>
        <v>-6.0000000000000053E-3</v>
      </c>
      <c r="D250" s="109">
        <f t="shared" si="73"/>
        <v>-6.0000000000000053E-3</v>
      </c>
      <c r="E250" s="109">
        <f ca="1">IF(表2_36716262930389121314[[#This Row],[累计净值]]/MAX(INDIRECT("B21:B" &amp; ROW()))-1&lt;E249,表2_36716262930389121314[[#This Row],[累计净值]]/MAX(INDIRECT("B21:B" &amp; ROW()))-1,E249)</f>
        <v>-2.0583190394511175E-2</v>
      </c>
      <c r="F250" s="110">
        <f>表2_36716262930389121314[[#This Row],[累计净值]]</f>
        <v>1.175</v>
      </c>
      <c r="G250" s="20">
        <f>表2_36716262930389121314[[#This Row],[累计净值]]/$B$21-1</f>
        <v>0.10744580584354391</v>
      </c>
      <c r="H250" s="20">
        <f>表2_36716262930389121314[[#This Row],[累计净值]]/$B$51-1</f>
        <v>7.3059360730593603E-2</v>
      </c>
    </row>
    <row r="251" spans="1:8">
      <c r="A251" s="15">
        <v>44194</v>
      </c>
      <c r="B251" s="112">
        <v>1.177</v>
      </c>
      <c r="C251" s="108">
        <f t="shared" si="72"/>
        <v>2.0000000000000018E-3</v>
      </c>
      <c r="D251" s="109" t="str">
        <f t="shared" si="73"/>
        <v>/</v>
      </c>
      <c r="E251" s="109">
        <f ca="1">IF(表2_36716262930389121314[[#This Row],[累计净值]]/MAX(INDIRECT("B21:B" &amp; ROW()))-1&lt;E250,表2_36716262930389121314[[#This Row],[累计净值]]/MAX(INDIRECT("B21:B" &amp; ROW()))-1,E250)</f>
        <v>-2.0583190394511175E-2</v>
      </c>
      <c r="F251" s="110">
        <f>表2_36716262930389121314[[#This Row],[累计净值]]</f>
        <v>1.177</v>
      </c>
      <c r="G251" s="20">
        <f>表2_36716262930389121314[[#This Row],[累计净值]]/$B$21-1</f>
        <v>0.10933081998115002</v>
      </c>
      <c r="H251" s="20">
        <f>表2_36716262930389121314[[#This Row],[累计净值]]/$B$51-1</f>
        <v>7.488584474885851E-2</v>
      </c>
    </row>
    <row r="252" spans="1:8">
      <c r="A252" s="15">
        <v>44195</v>
      </c>
      <c r="B252" s="112">
        <v>1.1830000000000001</v>
      </c>
      <c r="C252" s="108">
        <f t="shared" si="72"/>
        <v>6.0000000000000053E-3</v>
      </c>
      <c r="D252" s="109" t="str">
        <f t="shared" si="73"/>
        <v>/</v>
      </c>
      <c r="E252" s="109">
        <f ca="1">IF(表2_36716262930389121314[[#This Row],[累计净值]]/MAX(INDIRECT("B21:B" &amp; ROW()))-1&lt;E251,表2_36716262930389121314[[#This Row],[累计净值]]/MAX(INDIRECT("B21:B" &amp; ROW()))-1,E251)</f>
        <v>-2.0583190394511175E-2</v>
      </c>
      <c r="F252" s="110">
        <f>表2_36716262930389121314[[#This Row],[累计净值]]</f>
        <v>1.1830000000000001</v>
      </c>
      <c r="G252" s="20">
        <f>表2_36716262930389121314[[#This Row],[累计净值]]/$B$21-1</f>
        <v>0.11498586239396813</v>
      </c>
      <c r="H252" s="20">
        <f>表2_36716262930389121314[[#This Row],[累计净值]]/$B$51-1</f>
        <v>8.0365296803653008E-2</v>
      </c>
    </row>
    <row r="253" spans="1:8">
      <c r="A253" s="15">
        <v>44196</v>
      </c>
      <c r="B253" s="112">
        <v>1.1819999999999999</v>
      </c>
      <c r="C253" s="108">
        <f t="shared" si="72"/>
        <v>-1.0000000000001119E-3</v>
      </c>
      <c r="D253" s="109">
        <f t="shared" si="73"/>
        <v>-1.0000000000001119E-3</v>
      </c>
      <c r="E253" s="109">
        <f ca="1">IF(表2_36716262930389121314[[#This Row],[累计净值]]/MAX(INDIRECT("B21:B" &amp; ROW()))-1&lt;E252,表2_36716262930389121314[[#This Row],[累计净值]]/MAX(INDIRECT("B21:B" &amp; ROW()))-1,E252)</f>
        <v>-2.0583190394511175E-2</v>
      </c>
      <c r="F253" s="110">
        <f>表2_36716262930389121314[[#This Row],[累计净值]]</f>
        <v>1.1819999999999999</v>
      </c>
      <c r="G253" s="20">
        <f>表2_36716262930389121314[[#This Row],[累计净值]]/$B$21-1</f>
        <v>0.11404335532516496</v>
      </c>
      <c r="H253" s="20">
        <f>表2_36716262930389121314[[#This Row],[累计净值]]/$B$51-1</f>
        <v>7.9452054794520555E-2</v>
      </c>
    </row>
    <row r="254" spans="1:8">
      <c r="A254" s="15">
        <v>44200</v>
      </c>
      <c r="B254" s="112">
        <v>1.1779999999999999</v>
      </c>
      <c r="C254" s="108">
        <f>IFERROR(B254-B253,0)</f>
        <v>-4.0000000000000036E-3</v>
      </c>
      <c r="D254" s="109">
        <f>IF(C254&lt;0,C254,"/")</f>
        <v>-4.0000000000000036E-3</v>
      </c>
      <c r="E254" s="109">
        <f ca="1">IF(表2_36716262930389121314[[#This Row],[累计净值]]/MAX(INDIRECT("B21:B" &amp; ROW()))-1&lt;E253,表2_36716262930389121314[[#This Row],[累计净值]]/MAX(INDIRECT("B21:B" &amp; ROW()))-1,E253)</f>
        <v>-2.0583190394511175E-2</v>
      </c>
      <c r="F254" s="110">
        <f>表2_36716262930389121314[[#This Row],[累计净值]]</f>
        <v>1.1779999999999999</v>
      </c>
      <c r="G254" s="20">
        <f>表2_36716262930389121314[[#This Row],[累计净值]]/$B$21-1</f>
        <v>0.11027332704995296</v>
      </c>
      <c r="H254" s="20">
        <f>表2_36716262930389121314[[#This Row],[累计净值]]/$B$51-1</f>
        <v>7.5799086757990741E-2</v>
      </c>
    </row>
    <row r="255" spans="1:8">
      <c r="A255" s="15">
        <v>44201</v>
      </c>
      <c r="B255" s="112">
        <v>1.1759999999999999</v>
      </c>
      <c r="C255" s="108">
        <f>IFERROR(B255-B254,0)</f>
        <v>-2.0000000000000018E-3</v>
      </c>
      <c r="D255" s="109">
        <f>IF(C255&lt;0,C255,"/")</f>
        <v>-2.0000000000000018E-3</v>
      </c>
      <c r="E255" s="109">
        <f ca="1">IF(表2_36716262930389121314[[#This Row],[累计净值]]/MAX(INDIRECT("B21:B" &amp; ROW()))-1&lt;E254,表2_36716262930389121314[[#This Row],[累计净值]]/MAX(INDIRECT("B21:B" &amp; ROW()))-1,E254)</f>
        <v>-2.0583190394511175E-2</v>
      </c>
      <c r="F255" s="110">
        <f>表2_36716262930389121314[[#This Row],[累计净值]]</f>
        <v>1.1759999999999999</v>
      </c>
      <c r="G255" s="20">
        <f>表2_36716262930389121314[[#This Row],[累计净值]]/$B$21-1</f>
        <v>0.10838831291234685</v>
      </c>
      <c r="H255" s="20">
        <f>表2_36716262930389121314[[#This Row],[累计净值]]/$B$51-1</f>
        <v>7.3972602739726057E-2</v>
      </c>
    </row>
    <row r="256" spans="1:8">
      <c r="A256" s="15">
        <v>44202</v>
      </c>
      <c r="B256" s="112">
        <v>1.177</v>
      </c>
      <c r="C256" s="108">
        <f>IFERROR(B256-B255,0)</f>
        <v>1.0000000000001119E-3</v>
      </c>
      <c r="D256" s="109" t="str">
        <f>IF(C256&lt;0,C256,"/")</f>
        <v>/</v>
      </c>
      <c r="E256" s="109">
        <f ca="1">IF(表2_36716262930389121314[[#This Row],[累计净值]]/MAX(INDIRECT("B21:B" &amp; ROW()))-1&lt;E255,表2_36716262930389121314[[#This Row],[累计净值]]/MAX(INDIRECT("B21:B" &amp; ROW()))-1,E255)</f>
        <v>-2.0583190394511175E-2</v>
      </c>
      <c r="F256" s="110">
        <f>表2_36716262930389121314[[#This Row],[累计净值]]</f>
        <v>1.177</v>
      </c>
      <c r="G256" s="20">
        <f>表2_36716262930389121314[[#This Row],[累计净值]]/$B$21-1</f>
        <v>0.10933081998115002</v>
      </c>
      <c r="H256" s="20">
        <f>表2_36716262930389121314[[#This Row],[累计净值]]/$B$51-1</f>
        <v>7.488584474885851E-2</v>
      </c>
    </row>
    <row r="257" spans="1:8">
      <c r="A257" s="15">
        <v>44203</v>
      </c>
      <c r="B257" s="112">
        <v>1.1639999999999999</v>
      </c>
      <c r="C257" s="108">
        <f t="shared" ref="C257:C258" si="74">IFERROR(B257-B256,0)</f>
        <v>-1.3000000000000123E-2</v>
      </c>
      <c r="D257" s="109">
        <f t="shared" ref="D257:D258" si="75">IF(C257&lt;0,C257,"/")</f>
        <v>-1.3000000000000123E-2</v>
      </c>
      <c r="E257" s="109">
        <f ca="1">IF(表2_36716262930389121314[[#This Row],[累计净值]]/MAX(INDIRECT("B21:B" &amp; ROW()))-1&lt;E256,表2_36716262930389121314[[#This Row],[累计净值]]/MAX(INDIRECT("B21:B" &amp; ROW()))-1,E256)</f>
        <v>-2.0583190394511175E-2</v>
      </c>
      <c r="F257" s="110">
        <f>表2_36716262930389121314[[#This Row],[累计净值]]</f>
        <v>1.1639999999999999</v>
      </c>
      <c r="G257" s="20">
        <f>表2_36716262930389121314[[#This Row],[累计净值]]/$B$21-1</f>
        <v>9.7078228086710627E-2</v>
      </c>
      <c r="H257" s="20">
        <f>表2_36716262930389121314[[#This Row],[累计净值]]/$B$51-1</f>
        <v>6.3013698630136838E-2</v>
      </c>
    </row>
    <row r="258" spans="1:8">
      <c r="A258" s="15">
        <v>44204</v>
      </c>
      <c r="B258" s="112">
        <v>1.161</v>
      </c>
      <c r="C258" s="108">
        <f t="shared" si="74"/>
        <v>-2.9999999999998916E-3</v>
      </c>
      <c r="D258" s="109">
        <f t="shared" si="75"/>
        <v>-2.9999999999998916E-3</v>
      </c>
      <c r="E258" s="109">
        <f ca="1">IF(表2_36716262930389121314[[#This Row],[累计净值]]/MAX(INDIRECT("B21:B" &amp; ROW()))-1&lt;E257,表2_36716262930389121314[[#This Row],[累计净值]]/MAX(INDIRECT("B21:B" &amp; ROW()))-1,E257)</f>
        <v>-2.0583190394511175E-2</v>
      </c>
      <c r="F258" s="110">
        <f>表2_36716262930389121314[[#This Row],[累计净值]]</f>
        <v>1.161</v>
      </c>
      <c r="G258" s="20">
        <f>表2_36716262930389121314[[#This Row],[累计净值]]/$B$21-1</f>
        <v>9.4250706880301793E-2</v>
      </c>
      <c r="H258" s="20">
        <f>表2_36716262930389121314[[#This Row],[累计净值]]/$B$51-1</f>
        <v>6.02739726027397E-2</v>
      </c>
    </row>
    <row r="259" spans="1:8">
      <c r="A259" s="15">
        <v>44207</v>
      </c>
      <c r="B259" s="112">
        <v>1.1719999999999999</v>
      </c>
      <c r="C259" s="108">
        <f t="shared" ref="C259:C264" si="76">IFERROR(B259-B258,0)</f>
        <v>1.0999999999999899E-2</v>
      </c>
      <c r="D259" s="109" t="str">
        <f t="shared" ref="D259:D264" si="77">IF(C259&lt;0,C259,"/")</f>
        <v>/</v>
      </c>
      <c r="E259" s="109">
        <f ca="1">IF(表2_36716262930389121314[[#This Row],[累计净值]]/MAX(INDIRECT("B21:B" &amp; ROW()))-1&lt;E258,表2_36716262930389121314[[#This Row],[累计净值]]/MAX(INDIRECT("B21:B" &amp; ROW()))-1,E258)</f>
        <v>-2.0583190394511175E-2</v>
      </c>
      <c r="F259" s="110">
        <f>表2_36716262930389121314[[#This Row],[累计净值]]</f>
        <v>1.1719999999999999</v>
      </c>
      <c r="G259" s="20">
        <f>表2_36716262930389121314[[#This Row],[累计净值]]/$B$21-1</f>
        <v>0.10461828463713485</v>
      </c>
      <c r="H259" s="20">
        <f>表2_36716262930389121314[[#This Row],[累计净值]]/$B$51-1</f>
        <v>7.0319634703196243E-2</v>
      </c>
    </row>
    <row r="260" spans="1:8">
      <c r="A260" s="15">
        <v>44208</v>
      </c>
      <c r="B260" s="112">
        <v>1.1659999999999999</v>
      </c>
      <c r="C260" s="108">
        <f t="shared" si="76"/>
        <v>-6.0000000000000053E-3</v>
      </c>
      <c r="D260" s="109">
        <f t="shared" si="77"/>
        <v>-6.0000000000000053E-3</v>
      </c>
      <c r="E260" s="109">
        <f ca="1">IF(表2_36716262930389121314[[#This Row],[累计净值]]/MAX(INDIRECT("B21:B" &amp; ROW()))-1&lt;E259,表2_36716262930389121314[[#This Row],[累计净值]]/MAX(INDIRECT("B21:B" &amp; ROW()))-1,E259)</f>
        <v>-2.0583190394511175E-2</v>
      </c>
      <c r="F260" s="110">
        <f>表2_36716262930389121314[[#This Row],[累计净值]]</f>
        <v>1.1659999999999999</v>
      </c>
      <c r="G260" s="20">
        <f>表2_36716262930389121314[[#This Row],[累计净值]]/$B$21-1</f>
        <v>9.8963242224316739E-2</v>
      </c>
      <c r="H260" s="20">
        <f>表2_36716262930389121314[[#This Row],[累计净值]]/$B$51-1</f>
        <v>6.4840182648401745E-2</v>
      </c>
    </row>
    <row r="261" spans="1:8">
      <c r="A261" s="15">
        <v>44209</v>
      </c>
      <c r="B261" s="112">
        <v>1.1639999999999999</v>
      </c>
      <c r="C261" s="108">
        <f t="shared" si="76"/>
        <v>-2.0000000000000018E-3</v>
      </c>
      <c r="D261" s="109">
        <f t="shared" si="77"/>
        <v>-2.0000000000000018E-3</v>
      </c>
      <c r="E261" s="109">
        <f ca="1">IF(表2_36716262930389121314[[#This Row],[累计净值]]/MAX(INDIRECT("B21:B" &amp; ROW()))-1&lt;E260,表2_36716262930389121314[[#This Row],[累计净值]]/MAX(INDIRECT("B21:B" &amp; ROW()))-1,E260)</f>
        <v>-2.0583190394511175E-2</v>
      </c>
      <c r="F261" s="110">
        <f>表2_36716262930389121314[[#This Row],[累计净值]]</f>
        <v>1.1639999999999999</v>
      </c>
      <c r="G261" s="20">
        <f>表2_36716262930389121314[[#This Row],[累计净值]]/$B$21-1</f>
        <v>9.7078228086710627E-2</v>
      </c>
      <c r="H261" s="20">
        <f>表2_36716262930389121314[[#This Row],[累计净值]]/$B$51-1</f>
        <v>6.3013698630136838E-2</v>
      </c>
    </row>
    <row r="262" spans="1:8">
      <c r="A262" s="15">
        <v>44210</v>
      </c>
      <c r="B262" s="112">
        <v>1.1739999999999999</v>
      </c>
      <c r="C262" s="108">
        <f t="shared" si="76"/>
        <v>1.0000000000000009E-2</v>
      </c>
      <c r="D262" s="109" t="str">
        <f t="shared" si="77"/>
        <v>/</v>
      </c>
      <c r="E262" s="109">
        <f ca="1">IF(表2_36716262930389121314[[#This Row],[累计净值]]/MAX(INDIRECT("B21:B" &amp; ROW()))-1&lt;E261,表2_36716262930389121314[[#This Row],[累计净值]]/MAX(INDIRECT("B21:B" &amp; ROW()))-1,E261)</f>
        <v>-2.0583190394511175E-2</v>
      </c>
      <c r="F262" s="110">
        <f>表2_36716262930389121314[[#This Row],[累计净值]]</f>
        <v>1.1739999999999999</v>
      </c>
      <c r="G262" s="20">
        <f>表2_36716262930389121314[[#This Row],[累计净值]]/$B$21-1</f>
        <v>0.10650329877474074</v>
      </c>
      <c r="H262" s="20">
        <f>表2_36716262930389121314[[#This Row],[累计净值]]/$B$51-1</f>
        <v>7.214611872146115E-2</v>
      </c>
    </row>
    <row r="263" spans="1:8">
      <c r="A263" s="15">
        <v>44211</v>
      </c>
      <c r="B263" s="112">
        <v>1.18</v>
      </c>
      <c r="C263" s="108">
        <f t="shared" si="76"/>
        <v>6.0000000000000053E-3</v>
      </c>
      <c r="D263" s="109" t="str">
        <f t="shared" si="77"/>
        <v>/</v>
      </c>
      <c r="E263" s="109">
        <f ca="1">IF(表2_36716262930389121314[[#This Row],[累计净值]]/MAX(INDIRECT("B21:B" &amp; ROW()))-1&lt;E262,表2_36716262930389121314[[#This Row],[累计净值]]/MAX(INDIRECT("B21:B" &amp; ROW()))-1,E262)</f>
        <v>-2.0583190394511175E-2</v>
      </c>
      <c r="F263" s="110">
        <f>表2_36716262930389121314[[#This Row],[累计净值]]</f>
        <v>1.18</v>
      </c>
      <c r="G263" s="20">
        <f>表2_36716262930389121314[[#This Row],[累计净值]]/$B$21-1</f>
        <v>0.11215834118755885</v>
      </c>
      <c r="H263" s="20">
        <f>表2_36716262930389121314[[#This Row],[累计净值]]/$B$51-1</f>
        <v>7.7625570776255648E-2</v>
      </c>
    </row>
    <row r="264" spans="1:8">
      <c r="A264" s="15">
        <v>44214</v>
      </c>
      <c r="B264" s="112">
        <v>1.1830000000000001</v>
      </c>
      <c r="C264" s="108">
        <f t="shared" si="76"/>
        <v>3.0000000000001137E-3</v>
      </c>
      <c r="D264" s="109" t="str">
        <f t="shared" si="77"/>
        <v>/</v>
      </c>
      <c r="E264" s="109">
        <f ca="1">IF(表2_36716262930389121314[[#This Row],[累计净值]]/MAX(INDIRECT("B21:B" &amp; ROW()))-1&lt;E263,表2_36716262930389121314[[#This Row],[累计净值]]/MAX(INDIRECT("B21:B" &amp; ROW()))-1,E263)</f>
        <v>-2.0583190394511175E-2</v>
      </c>
      <c r="F264" s="110">
        <f>表2_36716262930389121314[[#This Row],[累计净值]]</f>
        <v>1.1830000000000001</v>
      </c>
      <c r="G264" s="20">
        <f>表2_36716262930389121314[[#This Row],[累计净值]]/$B$21-1</f>
        <v>0.11498586239396813</v>
      </c>
      <c r="H264" s="20">
        <f>表2_36716262930389121314[[#This Row],[累计净值]]/$B$51-1</f>
        <v>8.0365296803653008E-2</v>
      </c>
    </row>
    <row r="265" spans="1:8">
      <c r="A265" s="15">
        <v>44215</v>
      </c>
      <c r="B265" s="112">
        <v>1.1890000000000001</v>
      </c>
      <c r="C265" s="108">
        <f t="shared" ref="C265:C271" si="78">IFERROR(B265-B264,0)</f>
        <v>6.0000000000000053E-3</v>
      </c>
      <c r="D265" s="109" t="str">
        <f t="shared" ref="D265:D271" si="79">IF(C265&lt;0,C265,"/")</f>
        <v>/</v>
      </c>
      <c r="E265" s="109">
        <f ca="1">IF(表2_36716262930389121314[[#This Row],[累计净值]]/MAX(INDIRECT("B21:B" &amp; ROW()))-1&lt;E264,表2_36716262930389121314[[#This Row],[累计净值]]/MAX(INDIRECT("B21:B" &amp; ROW()))-1,E264)</f>
        <v>-2.0583190394511175E-2</v>
      </c>
      <c r="F265" s="110">
        <f>表2_36716262930389121314[[#This Row],[累计净值]]</f>
        <v>1.1890000000000001</v>
      </c>
      <c r="G265" s="20">
        <f>表2_36716262930389121314[[#This Row],[累计净值]]/$B$21-1</f>
        <v>0.12064090480678624</v>
      </c>
      <c r="H265" s="20">
        <f>表2_36716262930389121314[[#This Row],[累计净值]]/$B$51-1</f>
        <v>8.5844748858447506E-2</v>
      </c>
    </row>
    <row r="266" spans="1:8">
      <c r="A266" s="15">
        <v>44216</v>
      </c>
      <c r="B266" s="112">
        <v>1.2010000000000001</v>
      </c>
      <c r="C266" s="108">
        <f t="shared" si="78"/>
        <v>1.2000000000000011E-2</v>
      </c>
      <c r="D266" s="109" t="str">
        <f t="shared" si="79"/>
        <v>/</v>
      </c>
      <c r="E266" s="109">
        <f ca="1">IF(表2_36716262930389121314[[#This Row],[累计净值]]/MAX(INDIRECT("B21:B" &amp; ROW()))-1&lt;E265,表2_36716262930389121314[[#This Row],[累计净值]]/MAX(INDIRECT("B21:B" &amp; ROW()))-1,E265)</f>
        <v>-2.0583190394511175E-2</v>
      </c>
      <c r="F266" s="110">
        <f>表2_36716262930389121314[[#This Row],[累计净值]]</f>
        <v>1.2010000000000001</v>
      </c>
      <c r="G266" s="20">
        <f>表2_36716262930389121314[[#This Row],[累计净值]]/$B$21-1</f>
        <v>0.13195098963242247</v>
      </c>
      <c r="H266" s="20">
        <f>表2_36716262930389121314[[#This Row],[累计净值]]/$B$51-1</f>
        <v>9.6803652968036724E-2</v>
      </c>
    </row>
    <row r="267" spans="1:8">
      <c r="A267" s="15">
        <v>44217</v>
      </c>
      <c r="B267" s="112">
        <v>1.1970000000000001</v>
      </c>
      <c r="C267" s="108">
        <f t="shared" si="78"/>
        <v>-4.0000000000000036E-3</v>
      </c>
      <c r="D267" s="109">
        <f t="shared" si="79"/>
        <v>-4.0000000000000036E-3</v>
      </c>
      <c r="E267" s="109">
        <f ca="1">IF(表2_36716262930389121314[[#This Row],[累计净值]]/MAX(INDIRECT("B21:B" &amp; ROW()))-1&lt;E266,表2_36716262930389121314[[#This Row],[累计净值]]/MAX(INDIRECT("B21:B" &amp; ROW()))-1,E266)</f>
        <v>-2.0583190394511175E-2</v>
      </c>
      <c r="F267" s="110">
        <f>表2_36716262930389121314[[#This Row],[累计净值]]</f>
        <v>1.1970000000000001</v>
      </c>
      <c r="G267" s="20">
        <f>表2_36716262930389121314[[#This Row],[累计净值]]/$B$21-1</f>
        <v>0.12818096135721024</v>
      </c>
      <c r="H267" s="20">
        <f>表2_36716262930389121314[[#This Row],[累计净值]]/$B$51-1</f>
        <v>9.3150684931506911E-2</v>
      </c>
    </row>
    <row r="268" spans="1:8">
      <c r="A268" s="15">
        <v>44218</v>
      </c>
      <c r="B268" s="112">
        <v>1.204</v>
      </c>
      <c r="C268" s="108">
        <f t="shared" si="78"/>
        <v>6.9999999999998952E-3</v>
      </c>
      <c r="D268" s="109" t="str">
        <f t="shared" si="79"/>
        <v>/</v>
      </c>
      <c r="E268" s="109">
        <f ca="1">IF(表2_36716262930389121314[[#This Row],[累计净值]]/MAX(INDIRECT("B21:B" &amp; ROW()))-1&lt;E267,表2_36716262930389121314[[#This Row],[累计净值]]/MAX(INDIRECT("B21:B" &amp; ROW()))-1,E267)</f>
        <v>-2.0583190394511175E-2</v>
      </c>
      <c r="F268" s="110">
        <f>表2_36716262930389121314[[#This Row],[累计净值]]</f>
        <v>1.204</v>
      </c>
      <c r="G268" s="20">
        <f>表2_36716262930389121314[[#This Row],[累计净值]]/$B$21-1</f>
        <v>0.1347785108388313</v>
      </c>
      <c r="H268" s="20">
        <f>表2_36716262930389121314[[#This Row],[累计净值]]/$B$51-1</f>
        <v>9.9543378995433862E-2</v>
      </c>
    </row>
    <row r="269" spans="1:8">
      <c r="A269" s="15">
        <v>44221</v>
      </c>
      <c r="B269" s="112">
        <v>1.22</v>
      </c>
      <c r="C269" s="108">
        <f t="shared" si="78"/>
        <v>1.6000000000000014E-2</v>
      </c>
      <c r="D269" s="109" t="str">
        <f t="shared" si="79"/>
        <v>/</v>
      </c>
      <c r="E269" s="109">
        <f ca="1">IF(表2_36716262930389121314[[#This Row],[累计净值]]/MAX(INDIRECT("B21:B" &amp; ROW()))-1&lt;E268,表2_36716262930389121314[[#This Row],[累计净值]]/MAX(INDIRECT("B21:B" &amp; ROW()))-1,E268)</f>
        <v>-2.0583190394511175E-2</v>
      </c>
      <c r="F269" s="110">
        <f>表2_36716262930389121314[[#This Row],[累计净值]]</f>
        <v>1.22</v>
      </c>
      <c r="G269" s="20">
        <f>表2_36716262930389121314[[#This Row],[累计净值]]/$B$21-1</f>
        <v>0.14985862393967952</v>
      </c>
      <c r="H269" s="20">
        <f>表2_36716262930389121314[[#This Row],[累计净值]]/$B$51-1</f>
        <v>0.11415525114155245</v>
      </c>
    </row>
    <row r="270" spans="1:8">
      <c r="A270" s="15">
        <v>44222</v>
      </c>
      <c r="B270" s="112">
        <v>1.21</v>
      </c>
      <c r="C270" s="108">
        <f t="shared" si="78"/>
        <v>-1.0000000000000009E-2</v>
      </c>
      <c r="D270" s="109">
        <f t="shared" si="79"/>
        <v>-1.0000000000000009E-2</v>
      </c>
      <c r="E270" s="109">
        <f ca="1">IF(表2_36716262930389121314[[#This Row],[累计净值]]/MAX(INDIRECT("B21:B" &amp; ROW()))-1&lt;E269,表2_36716262930389121314[[#This Row],[累计净值]]/MAX(INDIRECT("B21:B" &amp; ROW()))-1,E269)</f>
        <v>-2.0583190394511175E-2</v>
      </c>
      <c r="F270" s="110">
        <f>表2_36716262930389121314[[#This Row],[累计净值]]</f>
        <v>1.21</v>
      </c>
      <c r="G270" s="20">
        <f>表2_36716262930389121314[[#This Row],[累计净值]]/$B$21-1</f>
        <v>0.14043355325164941</v>
      </c>
      <c r="H270" s="20">
        <f>表2_36716262930389121314[[#This Row],[累计净值]]/$B$51-1</f>
        <v>0.10502283105022836</v>
      </c>
    </row>
    <row r="271" spans="1:8">
      <c r="A271" s="15">
        <v>44223</v>
      </c>
      <c r="B271" s="112">
        <v>1.2030000000000001</v>
      </c>
      <c r="C271" s="108">
        <f t="shared" si="78"/>
        <v>-6.9999999999998952E-3</v>
      </c>
      <c r="D271" s="109">
        <f t="shared" si="79"/>
        <v>-6.9999999999998952E-3</v>
      </c>
      <c r="E271" s="109">
        <f ca="1">IF(表2_36716262930389121314[[#This Row],[累计净值]]/MAX(INDIRECT("B21:B" &amp; ROW()))-1&lt;E270,表2_36716262930389121314[[#This Row],[累计净值]]/MAX(INDIRECT("B21:B" &amp; ROW()))-1,E270)</f>
        <v>-2.0583190394511175E-2</v>
      </c>
      <c r="F271" s="110">
        <f>表2_36716262930389121314[[#This Row],[累计净值]]</f>
        <v>1.2030000000000001</v>
      </c>
      <c r="G271" s="20">
        <f>表2_36716262930389121314[[#This Row],[累计净值]]/$B$21-1</f>
        <v>0.13383600377002836</v>
      </c>
      <c r="H271" s="20">
        <f>表2_36716262930389121314[[#This Row],[累计净值]]/$B$51-1</f>
        <v>9.8630136986301409E-2</v>
      </c>
    </row>
    <row r="272" spans="1:8">
      <c r="A272" s="15">
        <v>44224</v>
      </c>
      <c r="B272" s="112">
        <v>1.202</v>
      </c>
      <c r="C272" s="108">
        <f t="shared" ref="C272:C277" si="80">IFERROR(B272-B271,0)</f>
        <v>-1.0000000000001119E-3</v>
      </c>
      <c r="D272" s="109">
        <f t="shared" ref="D272:D277" si="81">IF(C272&lt;0,C272,"/")</f>
        <v>-1.0000000000001119E-3</v>
      </c>
      <c r="E272" s="109">
        <f ca="1">IF(表2_36716262930389121314[[#This Row],[累计净值]]/MAX(INDIRECT("B21:B" &amp; ROW()))-1&lt;E271,表2_36716262930389121314[[#This Row],[累计净值]]/MAX(INDIRECT("B21:B" &amp; ROW()))-1,E271)</f>
        <v>-2.0583190394511175E-2</v>
      </c>
      <c r="F272" s="110">
        <f>表2_36716262930389121314[[#This Row],[累计净值]]</f>
        <v>1.202</v>
      </c>
      <c r="G272" s="20">
        <f>表2_36716262930389121314[[#This Row],[累计净值]]/$B$21-1</f>
        <v>0.13289349670122519</v>
      </c>
      <c r="H272" s="20">
        <f>表2_36716262930389121314[[#This Row],[累计净值]]/$B$51-1</f>
        <v>9.7716894977168955E-2</v>
      </c>
    </row>
    <row r="273" spans="1:8">
      <c r="A273" s="15">
        <v>44225</v>
      </c>
      <c r="B273" s="112">
        <v>1.208</v>
      </c>
      <c r="C273" s="108">
        <f t="shared" si="80"/>
        <v>6.0000000000000053E-3</v>
      </c>
      <c r="D273" s="109" t="str">
        <f t="shared" si="81"/>
        <v>/</v>
      </c>
      <c r="E273" s="109">
        <f ca="1">IF(表2_36716262930389121314[[#This Row],[累计净值]]/MAX(INDIRECT("B21:B" &amp; ROW()))-1&lt;E272,表2_36716262930389121314[[#This Row],[累计净值]]/MAX(INDIRECT("B21:B" &amp; ROW()))-1,E272)</f>
        <v>-2.0583190394511175E-2</v>
      </c>
      <c r="F273" s="110">
        <f>表2_36716262930389121314[[#This Row],[累计净值]]</f>
        <v>1.208</v>
      </c>
      <c r="G273" s="20">
        <f>表2_36716262930389121314[[#This Row],[累计净值]]/$B$21-1</f>
        <v>0.1385485391140433</v>
      </c>
      <c r="H273" s="20">
        <f>表2_36716262930389121314[[#This Row],[累计净值]]/$B$51-1</f>
        <v>0.10319634703196345</v>
      </c>
    </row>
    <row r="274" spans="1:8">
      <c r="A274" s="15">
        <v>44228</v>
      </c>
      <c r="B274" s="112">
        <v>1.2130000000000001</v>
      </c>
      <c r="C274" s="108">
        <f t="shared" si="80"/>
        <v>5.0000000000001155E-3</v>
      </c>
      <c r="D274" s="109" t="str">
        <f t="shared" si="81"/>
        <v>/</v>
      </c>
      <c r="E274" s="109">
        <f ca="1">IF(表2_36716262930389121314[[#This Row],[累计净值]]/MAX(INDIRECT("B21:B" &amp; ROW()))-1&lt;E273,表2_36716262930389121314[[#This Row],[累计净值]]/MAX(INDIRECT("B21:B" &amp; ROW()))-1,E273)</f>
        <v>-2.0583190394511175E-2</v>
      </c>
      <c r="F274" s="110">
        <f>表2_36716262930389121314[[#This Row],[累计净值]]</f>
        <v>1.2130000000000001</v>
      </c>
      <c r="G274" s="20">
        <f>表2_36716262930389121314[[#This Row],[累计净值]]/$B$21-1</f>
        <v>0.14326107445805847</v>
      </c>
      <c r="H274" s="20">
        <f>表2_36716262930389121314[[#This Row],[累计净值]]/$B$51-1</f>
        <v>0.10776255707762572</v>
      </c>
    </row>
    <row r="275" spans="1:8">
      <c r="A275" s="15">
        <v>44229</v>
      </c>
      <c r="B275" s="112">
        <v>1.214</v>
      </c>
      <c r="C275" s="108">
        <f t="shared" si="80"/>
        <v>9.9999999999988987E-4</v>
      </c>
      <c r="D275" s="109" t="str">
        <f t="shared" si="81"/>
        <v>/</v>
      </c>
      <c r="E275" s="109">
        <f ca="1">IF(表2_36716262930389121314[[#This Row],[累计净值]]/MAX(INDIRECT("B21:B" &amp; ROW()))-1&lt;E274,表2_36716262930389121314[[#This Row],[累计净值]]/MAX(INDIRECT("B21:B" &amp; ROW()))-1,E274)</f>
        <v>-2.0583190394511175E-2</v>
      </c>
      <c r="F275" s="110">
        <f>表2_36716262930389121314[[#This Row],[累计净值]]</f>
        <v>1.214</v>
      </c>
      <c r="G275" s="20">
        <f>表2_36716262930389121314[[#This Row],[累计净值]]/$B$21-1</f>
        <v>0.14420358152686141</v>
      </c>
      <c r="H275" s="20">
        <f>表2_36716262930389121314[[#This Row],[累计净值]]/$B$51-1</f>
        <v>0.10867579908675795</v>
      </c>
    </row>
    <row r="276" spans="1:8">
      <c r="A276" s="15">
        <v>44230</v>
      </c>
      <c r="B276" s="112">
        <v>1.2190000000000001</v>
      </c>
      <c r="C276" s="108">
        <f t="shared" si="80"/>
        <v>5.0000000000001155E-3</v>
      </c>
      <c r="D276" s="109" t="str">
        <f t="shared" si="81"/>
        <v>/</v>
      </c>
      <c r="E276" s="109">
        <f ca="1">IF(表2_36716262930389121314[[#This Row],[累计净值]]/MAX(INDIRECT("B21:B" &amp; ROW()))-1&lt;E275,表2_36716262930389121314[[#This Row],[累计净值]]/MAX(INDIRECT("B21:B" &amp; ROW()))-1,E275)</f>
        <v>-2.0583190394511175E-2</v>
      </c>
      <c r="F276" s="110">
        <f>表2_36716262930389121314[[#This Row],[累计净值]]</f>
        <v>1.2190000000000001</v>
      </c>
      <c r="G276" s="20">
        <f>表2_36716262930389121314[[#This Row],[累计净值]]/$B$21-1</f>
        <v>0.14891611687087658</v>
      </c>
      <c r="H276" s="20">
        <f>表2_36716262930389121314[[#This Row],[累计净值]]/$B$51-1</f>
        <v>0.11324200913242022</v>
      </c>
    </row>
    <row r="277" spans="1:8">
      <c r="A277" s="15">
        <v>44231</v>
      </c>
      <c r="B277" s="112">
        <v>1.224</v>
      </c>
      <c r="C277" s="108">
        <f t="shared" si="80"/>
        <v>4.9999999999998934E-3</v>
      </c>
      <c r="D277" s="109" t="str">
        <f t="shared" si="81"/>
        <v>/</v>
      </c>
      <c r="E277" s="109">
        <f ca="1">IF(表2_36716262930389121314[[#This Row],[累计净值]]/MAX(INDIRECT("B21:B" &amp; ROW()))-1&lt;E276,表2_36716262930389121314[[#This Row],[累计净值]]/MAX(INDIRECT("B21:B" &amp; ROW()))-1,E276)</f>
        <v>-2.0583190394511175E-2</v>
      </c>
      <c r="F277" s="110">
        <f>表2_36716262930389121314[[#This Row],[累计净值]]</f>
        <v>1.224</v>
      </c>
      <c r="G277" s="20">
        <f>表2_36716262930389121314[[#This Row],[累计净值]]/$B$21-1</f>
        <v>0.15362865221489175</v>
      </c>
      <c r="H277" s="20">
        <f>表2_36716262930389121314[[#This Row],[累计净值]]/$B$51-1</f>
        <v>0.11780821917808226</v>
      </c>
    </row>
    <row r="278" spans="1:8">
      <c r="A278" s="15">
        <v>44232</v>
      </c>
      <c r="B278" s="112">
        <v>1.2230000000000001</v>
      </c>
      <c r="C278" s="108">
        <f>IFERROR(B278-B277,0)</f>
        <v>-9.9999999999988987E-4</v>
      </c>
      <c r="D278" s="109">
        <f>IF(C278&lt;0,C278,"/")</f>
        <v>-9.9999999999988987E-4</v>
      </c>
      <c r="E278" s="109">
        <f ca="1">IF(表2_36716262930389121314[[#This Row],[累计净值]]/MAX(INDIRECT("B21:B" &amp; ROW()))-1&lt;E277,表2_36716262930389121314[[#This Row],[累计净值]]/MAX(INDIRECT("B21:B" &amp; ROW()))-1,E277)</f>
        <v>-2.0583190394511175E-2</v>
      </c>
      <c r="F278" s="110">
        <f>表2_36716262930389121314[[#This Row],[累计净值]]</f>
        <v>1.2230000000000001</v>
      </c>
      <c r="G278" s="20">
        <f>表2_36716262930389121314[[#This Row],[累计净值]]/$B$21-1</f>
        <v>0.1526861451460888</v>
      </c>
      <c r="H278" s="20">
        <f>表2_36716262930389121314[[#This Row],[累计净值]]/$B$51-1</f>
        <v>0.11689497716894981</v>
      </c>
    </row>
    <row r="279" spans="1:8">
      <c r="A279" s="15">
        <v>44235</v>
      </c>
      <c r="B279" s="112">
        <v>1.2250000000000001</v>
      </c>
      <c r="C279" s="108">
        <f>IFERROR(B279-B278,0)</f>
        <v>2.0000000000000018E-3</v>
      </c>
      <c r="D279" s="109" t="str">
        <f>IF(C279&lt;0,C279,"/")</f>
        <v>/</v>
      </c>
      <c r="E279" s="109">
        <f ca="1">IF(表2_36716262930389121314[[#This Row],[累计净值]]/MAX(INDIRECT("B21:B" &amp; ROW()))-1&lt;E278,表2_36716262930389121314[[#This Row],[累计净值]]/MAX(INDIRECT("B21:B" &amp; ROW()))-1,E278)</f>
        <v>-2.0583190394511175E-2</v>
      </c>
      <c r="F279" s="110">
        <f>表2_36716262930389121314[[#This Row],[累计净值]]</f>
        <v>1.2250000000000001</v>
      </c>
      <c r="G279" s="20">
        <f>表2_36716262930389121314[[#This Row],[累计净值]]/$B$21-1</f>
        <v>0.15457115928369469</v>
      </c>
      <c r="H279" s="20">
        <f>表2_36716262930389121314[[#This Row],[累计净值]]/$B$51-1</f>
        <v>0.11872146118721472</v>
      </c>
    </row>
    <row r="280" spans="1:8">
      <c r="A280" s="15">
        <v>44236</v>
      </c>
      <c r="B280" s="112">
        <v>1.2190000000000001</v>
      </c>
      <c r="C280" s="108">
        <f>IFERROR(B280-B279,0)</f>
        <v>-6.0000000000000053E-3</v>
      </c>
      <c r="D280" s="109">
        <f>IF(C280&lt;0,C280,"/")</f>
        <v>-6.0000000000000053E-3</v>
      </c>
      <c r="E280" s="109">
        <f ca="1">IF(表2_36716262930389121314[[#This Row],[累计净值]]/MAX(INDIRECT("B21:B" &amp; ROW()))-1&lt;E279,表2_36716262930389121314[[#This Row],[累计净值]]/MAX(INDIRECT("B21:B" &amp; ROW()))-1,E279)</f>
        <v>-2.0583190394511175E-2</v>
      </c>
      <c r="F280" s="110">
        <f>表2_36716262930389121314[[#This Row],[累计净值]]</f>
        <v>1.2190000000000001</v>
      </c>
      <c r="G280" s="20">
        <f>表2_36716262930389121314[[#This Row],[累计净值]]/$B$21-1</f>
        <v>0.14891611687087658</v>
      </c>
      <c r="H280" s="20">
        <f>表2_36716262930389121314[[#This Row],[累计净值]]/$B$51-1</f>
        <v>0.11324200913242022</v>
      </c>
    </row>
    <row r="281" spans="1:8">
      <c r="A281" s="15">
        <v>44237</v>
      </c>
      <c r="B281" s="112">
        <v>1.2230000000000001</v>
      </c>
      <c r="C281" s="108">
        <f t="shared" ref="C281:C282" si="82">IFERROR(B281-B280,0)</f>
        <v>4.0000000000000036E-3</v>
      </c>
      <c r="D281" s="109" t="str">
        <f t="shared" ref="D281:D282" si="83">IF(C281&lt;0,C281,"/")</f>
        <v>/</v>
      </c>
      <c r="E281" s="109">
        <f ca="1">IF(表2_36716262930389121314[[#This Row],[累计净值]]/MAX(INDIRECT("B21:B" &amp; ROW()))-1&lt;E280,表2_36716262930389121314[[#This Row],[累计净值]]/MAX(INDIRECT("B21:B" &amp; ROW()))-1,E280)</f>
        <v>-2.0583190394511175E-2</v>
      </c>
      <c r="F281" s="110">
        <f>表2_36716262930389121314[[#This Row],[累计净值]]</f>
        <v>1.2230000000000001</v>
      </c>
      <c r="G281" s="20">
        <f>表2_36716262930389121314[[#This Row],[累计净值]]/$B$21-1</f>
        <v>0.1526861451460888</v>
      </c>
      <c r="H281" s="20">
        <f>表2_36716262930389121314[[#This Row],[累计净值]]/$B$51-1</f>
        <v>0.11689497716894981</v>
      </c>
    </row>
    <row r="282" spans="1:8">
      <c r="A282" s="15">
        <v>44245</v>
      </c>
      <c r="B282" s="112">
        <v>1.2210000000000001</v>
      </c>
      <c r="C282" s="108">
        <f t="shared" si="82"/>
        <v>-2.0000000000000018E-3</v>
      </c>
      <c r="D282" s="109">
        <f t="shared" si="83"/>
        <v>-2.0000000000000018E-3</v>
      </c>
      <c r="E282" s="109">
        <f ca="1">IF(表2_36716262930389121314[[#This Row],[累计净值]]/MAX(INDIRECT("B21:B" &amp; ROW()))-1&lt;E281,表2_36716262930389121314[[#This Row],[累计净值]]/MAX(INDIRECT("B21:B" &amp; ROW()))-1,E281)</f>
        <v>-2.0583190394511175E-2</v>
      </c>
      <c r="F282" s="110">
        <f>表2_36716262930389121314[[#This Row],[累计净值]]</f>
        <v>1.2210000000000001</v>
      </c>
      <c r="G282" s="20">
        <f>表2_36716262930389121314[[#This Row],[累计净值]]/$B$21-1</f>
        <v>0.15080113100848269</v>
      </c>
      <c r="H282" s="20">
        <f>表2_36716262930389121314[[#This Row],[累计净值]]/$B$51-1</f>
        <v>0.11506849315068512</v>
      </c>
    </row>
    <row r="283" spans="1:8">
      <c r="A283" s="15">
        <v>44246</v>
      </c>
      <c r="B283" s="112">
        <v>1.2230000000000001</v>
      </c>
      <c r="C283" s="108">
        <f t="shared" ref="C283:C288" si="84">IFERROR(B283-B282,0)</f>
        <v>2.0000000000000018E-3</v>
      </c>
      <c r="D283" s="109" t="str">
        <f t="shared" ref="D283:D288" si="85">IF(C283&lt;0,C283,"/")</f>
        <v>/</v>
      </c>
      <c r="E283" s="109">
        <f ca="1">IF(表2_36716262930389121314[[#This Row],[累计净值]]/MAX(INDIRECT("B21:B" &amp; ROW()))-1&lt;E282,表2_36716262930389121314[[#This Row],[累计净值]]/MAX(INDIRECT("B21:B" &amp; ROW()))-1,E282)</f>
        <v>-2.0583190394511175E-2</v>
      </c>
      <c r="F283" s="110">
        <f>表2_36716262930389121314[[#This Row],[累计净值]]</f>
        <v>1.2230000000000001</v>
      </c>
      <c r="G283" s="20">
        <f>表2_36716262930389121314[[#This Row],[累计净值]]/$B$21-1</f>
        <v>0.1526861451460888</v>
      </c>
      <c r="H283" s="20">
        <f>表2_36716262930389121314[[#This Row],[累计净值]]/$B$51-1</f>
        <v>0.11689497716894981</v>
      </c>
    </row>
    <row r="284" spans="1:8">
      <c r="A284" s="15">
        <v>44249</v>
      </c>
      <c r="B284" s="112">
        <v>1.2130000000000001</v>
      </c>
      <c r="C284" s="108">
        <f t="shared" si="84"/>
        <v>-1.0000000000000009E-2</v>
      </c>
      <c r="D284" s="109">
        <f t="shared" si="85"/>
        <v>-1.0000000000000009E-2</v>
      </c>
      <c r="E284" s="109">
        <f ca="1">IF(表2_36716262930389121314[[#This Row],[累计净值]]/MAX(INDIRECT("B21:B" &amp; ROW()))-1&lt;E283,表2_36716262930389121314[[#This Row],[累计净值]]/MAX(INDIRECT("B21:B" &amp; ROW()))-1,E283)</f>
        <v>-2.0583190394511175E-2</v>
      </c>
      <c r="F284" s="110">
        <f>表2_36716262930389121314[[#This Row],[累计净值]]</f>
        <v>1.2130000000000001</v>
      </c>
      <c r="G284" s="20">
        <f>表2_36716262930389121314[[#This Row],[累计净值]]/$B$21-1</f>
        <v>0.14326107445805847</v>
      </c>
      <c r="H284" s="20">
        <f>表2_36716262930389121314[[#This Row],[累计净值]]/$B$51-1</f>
        <v>0.10776255707762572</v>
      </c>
    </row>
    <row r="285" spans="1:8">
      <c r="A285" s="15">
        <v>44250</v>
      </c>
      <c r="B285" s="112">
        <v>1.2190000000000001</v>
      </c>
      <c r="C285" s="108">
        <f t="shared" si="84"/>
        <v>6.0000000000000053E-3</v>
      </c>
      <c r="D285" s="109" t="str">
        <f t="shared" si="85"/>
        <v>/</v>
      </c>
      <c r="E285" s="109">
        <f ca="1">IF(表2_36716262930389121314[[#This Row],[累计净值]]/MAX(INDIRECT("B21:B" &amp; ROW()))-1&lt;E284,表2_36716262930389121314[[#This Row],[累计净值]]/MAX(INDIRECT("B21:B" &amp; ROW()))-1,E284)</f>
        <v>-2.0583190394511175E-2</v>
      </c>
      <c r="F285" s="110">
        <f>表2_36716262930389121314[[#This Row],[累计净值]]</f>
        <v>1.2190000000000001</v>
      </c>
      <c r="G285" s="20">
        <f>表2_36716262930389121314[[#This Row],[累计净值]]/$B$21-1</f>
        <v>0.14891611687087658</v>
      </c>
      <c r="H285" s="20">
        <f>表2_36716262930389121314[[#This Row],[累计净值]]/$B$51-1</f>
        <v>0.11324200913242022</v>
      </c>
    </row>
    <row r="286" spans="1:8">
      <c r="A286" s="15">
        <v>44251</v>
      </c>
      <c r="B286" s="112">
        <v>1.2170000000000001</v>
      </c>
      <c r="C286" s="108">
        <f t="shared" si="84"/>
        <v>-2.0000000000000018E-3</v>
      </c>
      <c r="D286" s="109">
        <f t="shared" si="85"/>
        <v>-2.0000000000000018E-3</v>
      </c>
      <c r="E286" s="109">
        <f ca="1">IF(表2_36716262930389121314[[#This Row],[累计净值]]/MAX(INDIRECT("B21:B" &amp; ROW()))-1&lt;E285,表2_36716262930389121314[[#This Row],[累计净值]]/MAX(INDIRECT("B21:B" &amp; ROW()))-1,E285)</f>
        <v>-2.0583190394511175E-2</v>
      </c>
      <c r="F286" s="110">
        <f>表2_36716262930389121314[[#This Row],[累计净值]]</f>
        <v>1.2170000000000001</v>
      </c>
      <c r="G286" s="20">
        <f>表2_36716262930389121314[[#This Row],[累计净值]]/$B$21-1</f>
        <v>0.14703110273327069</v>
      </c>
      <c r="H286" s="20">
        <f>表2_36716262930389121314[[#This Row],[累计净值]]/$B$51-1</f>
        <v>0.11141552511415531</v>
      </c>
    </row>
    <row r="287" spans="1:8">
      <c r="A287" s="15">
        <v>44252</v>
      </c>
      <c r="B287" s="112">
        <v>1.2190000000000001</v>
      </c>
      <c r="C287" s="108">
        <f t="shared" si="84"/>
        <v>2.0000000000000018E-3</v>
      </c>
      <c r="D287" s="109" t="str">
        <f t="shared" si="85"/>
        <v>/</v>
      </c>
      <c r="E287" s="109">
        <f ca="1">IF(表2_36716262930389121314[[#This Row],[累计净值]]/MAX(INDIRECT("B21:B" &amp; ROW()))-1&lt;E286,表2_36716262930389121314[[#This Row],[累计净值]]/MAX(INDIRECT("B21:B" &amp; ROW()))-1,E286)</f>
        <v>-2.0583190394511175E-2</v>
      </c>
      <c r="F287" s="110">
        <f>表2_36716262930389121314[[#This Row],[累计净值]]</f>
        <v>1.2190000000000001</v>
      </c>
      <c r="G287" s="20">
        <f>表2_36716262930389121314[[#This Row],[累计净值]]/$B$21-1</f>
        <v>0.14891611687087658</v>
      </c>
      <c r="H287" s="20">
        <f>表2_36716262930389121314[[#This Row],[累计净值]]/$B$51-1</f>
        <v>0.11324200913242022</v>
      </c>
    </row>
    <row r="288" spans="1:8">
      <c r="A288" s="15">
        <v>44253</v>
      </c>
      <c r="B288" s="112">
        <v>1.214</v>
      </c>
      <c r="C288" s="108">
        <f t="shared" si="84"/>
        <v>-5.0000000000001155E-3</v>
      </c>
      <c r="D288" s="109">
        <f t="shared" si="85"/>
        <v>-5.0000000000001155E-3</v>
      </c>
      <c r="E288" s="109">
        <f ca="1">IF(表2_36716262930389121314[[#This Row],[累计净值]]/MAX(INDIRECT("B21:B" &amp; ROW()))-1&lt;E287,表2_36716262930389121314[[#This Row],[累计净值]]/MAX(INDIRECT("B21:B" &amp; ROW()))-1,E287)</f>
        <v>-2.0583190394511175E-2</v>
      </c>
      <c r="F288" s="110">
        <f>表2_36716262930389121314[[#This Row],[累计净值]]</f>
        <v>1.214</v>
      </c>
      <c r="G288" s="20">
        <f>表2_36716262930389121314[[#This Row],[累计净值]]/$B$21-1</f>
        <v>0.14420358152686141</v>
      </c>
      <c r="H288" s="20">
        <f>表2_36716262930389121314[[#This Row],[累计净值]]/$B$51-1</f>
        <v>0.10867579908675795</v>
      </c>
    </row>
    <row r="289" spans="1:8">
      <c r="A289" s="15">
        <v>44256</v>
      </c>
      <c r="B289" s="112">
        <v>1.222</v>
      </c>
      <c r="C289" s="108">
        <f>IFERROR(B289-B288,0)</f>
        <v>8.0000000000000071E-3</v>
      </c>
      <c r="D289" s="109" t="str">
        <f>IF(C289&lt;0,C289,"/")</f>
        <v>/</v>
      </c>
      <c r="E289" s="109">
        <f ca="1">IF(表2_36716262930389121314[[#This Row],[累计净值]]/MAX(INDIRECT("B21:B" &amp; ROW()))-1&lt;E288,表2_36716262930389121314[[#This Row],[累计净值]]/MAX(INDIRECT("B21:B" &amp; ROW()))-1,E288)</f>
        <v>-2.0583190394511175E-2</v>
      </c>
      <c r="F289" s="110">
        <f>表2_36716262930389121314[[#This Row],[累计净值]]</f>
        <v>1.222</v>
      </c>
      <c r="G289" s="20">
        <f>表2_36716262930389121314[[#This Row],[累计净值]]/$B$21-1</f>
        <v>0.15174363807728564</v>
      </c>
      <c r="H289" s="20">
        <f>表2_36716262930389121314[[#This Row],[累计净值]]/$B$51-1</f>
        <v>0.11598173515981736</v>
      </c>
    </row>
    <row r="290" spans="1:8">
      <c r="A290" s="15">
        <v>44257</v>
      </c>
      <c r="B290" s="112">
        <v>1.222</v>
      </c>
      <c r="C290" s="108">
        <f t="shared" ref="C290" si="86">IFERROR(B290-B289,0)</f>
        <v>0</v>
      </c>
      <c r="D290" s="109" t="str">
        <f t="shared" ref="D290" si="87">IF(C290&lt;0,C290,"/")</f>
        <v>/</v>
      </c>
      <c r="E290" s="109">
        <f ca="1">IF(表2_36716262930389121314[[#This Row],[累计净值]]/MAX(INDIRECT("B21:B" &amp; ROW()))-1&lt;E289,表2_36716262930389121314[[#This Row],[累计净值]]/MAX(INDIRECT("B21:B" &amp; ROW()))-1,E289)</f>
        <v>-2.0583190394511175E-2</v>
      </c>
      <c r="F290" s="110">
        <f>表2_36716262930389121314[[#This Row],[累计净值]]</f>
        <v>1.222</v>
      </c>
      <c r="G290" s="20">
        <f>表2_36716262930389121314[[#This Row],[累计净值]]/$B$21-1</f>
        <v>0.15174363807728564</v>
      </c>
      <c r="H290" s="20">
        <f>表2_36716262930389121314[[#This Row],[累计净值]]/$B$51-1</f>
        <v>0.11598173515981736</v>
      </c>
    </row>
    <row r="291" spans="1:8">
      <c r="A291" s="15">
        <v>44258</v>
      </c>
      <c r="B291" s="112">
        <v>1.2270000000000001</v>
      </c>
      <c r="C291" s="108">
        <f t="shared" ref="C291:C292" si="88">IFERROR(B291-B290,0)</f>
        <v>5.0000000000001155E-3</v>
      </c>
      <c r="D291" s="109" t="str">
        <f t="shared" ref="D291:D292" si="89">IF(C291&lt;0,C291,"/")</f>
        <v>/</v>
      </c>
      <c r="E291" s="109">
        <f ca="1">IF(表2_36716262930389121314[[#This Row],[累计净值]]/MAX(INDIRECT("B21:B" &amp; ROW()))-1&lt;E290,表2_36716262930389121314[[#This Row],[累计净值]]/MAX(INDIRECT("B21:B" &amp; ROW()))-1,E290)</f>
        <v>-2.0583190394511175E-2</v>
      </c>
      <c r="F291" s="110">
        <f>表2_36716262930389121314[[#This Row],[累计净值]]</f>
        <v>1.2270000000000001</v>
      </c>
      <c r="G291" s="20">
        <f>表2_36716262930389121314[[#This Row],[累计净值]]/$B$21-1</f>
        <v>0.1564561734213008</v>
      </c>
      <c r="H291" s="20">
        <f>表2_36716262930389121314[[#This Row],[累计净值]]/$B$51-1</f>
        <v>0.12054794520547962</v>
      </c>
    </row>
    <row r="292" spans="1:8">
      <c r="A292" s="15">
        <v>44259</v>
      </c>
      <c r="B292" s="112">
        <v>1.224</v>
      </c>
      <c r="C292" s="108">
        <f t="shared" si="88"/>
        <v>-3.0000000000001137E-3</v>
      </c>
      <c r="D292" s="109">
        <f t="shared" si="89"/>
        <v>-3.0000000000001137E-3</v>
      </c>
      <c r="E292" s="109">
        <f ca="1">IF(表2_36716262930389121314[[#This Row],[累计净值]]/MAX(INDIRECT("B21:B" &amp; ROW()))-1&lt;E291,表2_36716262930389121314[[#This Row],[累计净值]]/MAX(INDIRECT("B21:B" &amp; ROW()))-1,E291)</f>
        <v>-2.0583190394511175E-2</v>
      </c>
      <c r="F292" s="110">
        <f>表2_36716262930389121314[[#This Row],[累计净值]]</f>
        <v>1.224</v>
      </c>
      <c r="G292" s="20">
        <f>表2_36716262930389121314[[#This Row],[累计净值]]/$B$21-1</f>
        <v>0.15362865221489175</v>
      </c>
      <c r="H292" s="20">
        <f>表2_36716262930389121314[[#This Row],[累计净值]]/$B$51-1</f>
        <v>0.11780821917808226</v>
      </c>
    </row>
    <row r="293" spans="1:8">
      <c r="A293" s="15">
        <v>44260</v>
      </c>
      <c r="B293" s="112">
        <v>1.218</v>
      </c>
      <c r="C293" s="108">
        <f t="shared" ref="C293:C295" si="90">IFERROR(B293-B292,0)</f>
        <v>-6.0000000000000053E-3</v>
      </c>
      <c r="D293" s="109">
        <f t="shared" ref="D293:D295" si="91">IF(C293&lt;0,C293,"/")</f>
        <v>-6.0000000000000053E-3</v>
      </c>
      <c r="E293" s="109">
        <f ca="1">IF(表2_36716262930389121314[[#This Row],[累计净值]]/MAX(INDIRECT("B21:B" &amp; ROW()))-1&lt;E292,表2_36716262930389121314[[#This Row],[累计净值]]/MAX(INDIRECT("B21:B" &amp; ROW()))-1,E292)</f>
        <v>-2.0583190394511175E-2</v>
      </c>
      <c r="F293" s="110">
        <f>表2_36716262930389121314[[#This Row],[累计净值]]</f>
        <v>1.218</v>
      </c>
      <c r="G293" s="20">
        <f>表2_36716262930389121314[[#This Row],[累计净值]]/$B$21-1</f>
        <v>0.14797360980207364</v>
      </c>
      <c r="H293" s="20">
        <f>表2_36716262930389121314[[#This Row],[累计净值]]/$B$51-1</f>
        <v>0.11232876712328776</v>
      </c>
    </row>
    <row r="294" spans="1:8">
      <c r="A294" s="15">
        <v>44263</v>
      </c>
      <c r="B294" s="112">
        <v>1.2190000000000001</v>
      </c>
      <c r="C294" s="108">
        <f t="shared" si="90"/>
        <v>1.0000000000001119E-3</v>
      </c>
      <c r="D294" s="109" t="str">
        <f t="shared" si="91"/>
        <v>/</v>
      </c>
      <c r="E294" s="109">
        <f ca="1">IF(表2_36716262930389121314[[#This Row],[累计净值]]/MAX(INDIRECT("B21:B" &amp; ROW()))-1&lt;E293,表2_36716262930389121314[[#This Row],[累计净值]]/MAX(INDIRECT("B21:B" &amp; ROW()))-1,E293)</f>
        <v>-2.0583190394511175E-2</v>
      </c>
      <c r="F294" s="110">
        <f>表2_36716262930389121314[[#This Row],[累计净值]]</f>
        <v>1.2190000000000001</v>
      </c>
      <c r="G294" s="20">
        <f>表2_36716262930389121314[[#This Row],[累计净值]]/$B$21-1</f>
        <v>0.14891611687087658</v>
      </c>
      <c r="H294" s="20">
        <f>表2_36716262930389121314[[#This Row],[累计净值]]/$B$51-1</f>
        <v>0.11324200913242022</v>
      </c>
    </row>
    <row r="295" spans="1:8">
      <c r="A295" s="15">
        <v>44264</v>
      </c>
      <c r="B295" s="112">
        <v>1.2290000000000001</v>
      </c>
      <c r="C295" s="108">
        <f t="shared" si="90"/>
        <v>1.0000000000000009E-2</v>
      </c>
      <c r="D295" s="109" t="str">
        <f t="shared" si="91"/>
        <v>/</v>
      </c>
      <c r="E295" s="109">
        <f ca="1">IF(表2_36716262930389121314[[#This Row],[累计净值]]/MAX(INDIRECT("B21:B" &amp; ROW()))-1&lt;E294,表2_36716262930389121314[[#This Row],[累计净值]]/MAX(INDIRECT("B21:B" &amp; ROW()))-1,E294)</f>
        <v>-2.0583190394511175E-2</v>
      </c>
      <c r="F295" s="110">
        <f>表2_36716262930389121314[[#This Row],[累计净值]]</f>
        <v>1.2290000000000001</v>
      </c>
      <c r="G295" s="20">
        <f>表2_36716262930389121314[[#This Row],[累计净值]]/$B$21-1</f>
        <v>0.15834118755890692</v>
      </c>
      <c r="H295" s="20">
        <f>表2_36716262930389121314[[#This Row],[累计净值]]/$B$51-1</f>
        <v>0.12237442922374431</v>
      </c>
    </row>
    <row r="296" spans="1:8">
      <c r="A296" s="15">
        <v>44265</v>
      </c>
      <c r="B296" s="112">
        <v>1.2310000000000001</v>
      </c>
      <c r="C296" s="108">
        <f t="shared" ref="C296:C301" si="92">IFERROR(B296-B295,0)</f>
        <v>2.0000000000000018E-3</v>
      </c>
      <c r="D296" s="109" t="str">
        <f t="shared" ref="D296:D301" si="93">IF(C296&lt;0,C296,"/")</f>
        <v>/</v>
      </c>
      <c r="E296" s="109">
        <f ca="1">IF(表2_36716262930389121314[[#This Row],[累计净值]]/MAX(INDIRECT("B21:B" &amp; ROW()))-1&lt;E295,表2_36716262930389121314[[#This Row],[累计净值]]/MAX(INDIRECT("B21:B" &amp; ROW()))-1,E295)</f>
        <v>-2.0583190394511175E-2</v>
      </c>
      <c r="F296" s="110">
        <f>表2_36716262930389121314[[#This Row],[累计净值]]</f>
        <v>1.2310000000000001</v>
      </c>
      <c r="G296" s="20">
        <f>表2_36716262930389121314[[#This Row],[累计净值]]/$B$21-1</f>
        <v>0.1602262016965128</v>
      </c>
      <c r="H296" s="20">
        <f>表2_36716262930389121314[[#This Row],[累计净值]]/$B$51-1</f>
        <v>0.12420091324200921</v>
      </c>
    </row>
    <row r="297" spans="1:8">
      <c r="A297" s="15">
        <v>44266</v>
      </c>
      <c r="B297" s="112">
        <v>1.2350000000000001</v>
      </c>
      <c r="C297" s="108">
        <f t="shared" si="92"/>
        <v>4.0000000000000036E-3</v>
      </c>
      <c r="D297" s="109" t="str">
        <f t="shared" si="93"/>
        <v>/</v>
      </c>
      <c r="E297" s="109">
        <f ca="1">IF(表2_36716262930389121314[[#This Row],[累计净值]]/MAX(INDIRECT("B21:B" &amp; ROW()))-1&lt;E296,表2_36716262930389121314[[#This Row],[累计净值]]/MAX(INDIRECT("B21:B" &amp; ROW()))-1,E296)</f>
        <v>-2.0583190394511175E-2</v>
      </c>
      <c r="F297" s="110">
        <f>表2_36716262930389121314[[#This Row],[累计净值]]</f>
        <v>1.2350000000000001</v>
      </c>
      <c r="G297" s="20">
        <f>表2_36716262930389121314[[#This Row],[累计净值]]/$B$21-1</f>
        <v>0.16399622997172503</v>
      </c>
      <c r="H297" s="20">
        <f>表2_36716262930389121314[[#This Row],[累计净值]]/$B$51-1</f>
        <v>0.12785388127853903</v>
      </c>
    </row>
    <row r="298" spans="1:8">
      <c r="A298" s="15">
        <v>44267</v>
      </c>
      <c r="B298" s="112">
        <v>1.2310000000000001</v>
      </c>
      <c r="C298" s="108">
        <f t="shared" si="92"/>
        <v>-4.0000000000000036E-3</v>
      </c>
      <c r="D298" s="109">
        <f t="shared" si="93"/>
        <v>-4.0000000000000036E-3</v>
      </c>
      <c r="E298" s="109">
        <f ca="1">IF(表2_36716262930389121314[[#This Row],[累计净值]]/MAX(INDIRECT("B21:B" &amp; ROW()))-1&lt;E297,表2_36716262930389121314[[#This Row],[累计净值]]/MAX(INDIRECT("B21:B" &amp; ROW()))-1,E297)</f>
        <v>-2.0583190394511175E-2</v>
      </c>
      <c r="F298" s="110">
        <f>表2_36716262930389121314[[#This Row],[累计净值]]</f>
        <v>1.2310000000000001</v>
      </c>
      <c r="G298" s="20">
        <f>表2_36716262930389121314[[#This Row],[累计净值]]/$B$21-1</f>
        <v>0.1602262016965128</v>
      </c>
      <c r="H298" s="20">
        <f>表2_36716262930389121314[[#This Row],[累计净值]]/$B$51-1</f>
        <v>0.12420091324200921</v>
      </c>
    </row>
    <row r="299" spans="1:8">
      <c r="A299" s="15">
        <v>44270</v>
      </c>
      <c r="B299" s="112">
        <v>1.232</v>
      </c>
      <c r="C299" s="108">
        <f t="shared" si="92"/>
        <v>9.9999999999988987E-4</v>
      </c>
      <c r="D299" s="109" t="str">
        <f t="shared" si="93"/>
        <v>/</v>
      </c>
      <c r="E299" s="109">
        <f ca="1">IF(表2_36716262930389121314[[#This Row],[累计净值]]/MAX(INDIRECT("B21:B" &amp; ROW()))-1&lt;E298,表2_36716262930389121314[[#This Row],[累计净值]]/MAX(INDIRECT("B21:B" &amp; ROW()))-1,E298)</f>
        <v>-2.0583190394511175E-2</v>
      </c>
      <c r="F299" s="110">
        <f>表2_36716262930389121314[[#This Row],[累计净值]]</f>
        <v>1.232</v>
      </c>
      <c r="G299" s="20">
        <f>表2_36716262930389121314[[#This Row],[累计净值]]/$B$21-1</f>
        <v>0.16116870876531575</v>
      </c>
      <c r="H299" s="20">
        <f>表2_36716262930389121314[[#This Row],[累计净值]]/$B$51-1</f>
        <v>0.12511415525114167</v>
      </c>
    </row>
    <row r="300" spans="1:8">
      <c r="A300" s="15">
        <v>44271</v>
      </c>
      <c r="B300" s="112">
        <v>1.234</v>
      </c>
      <c r="C300" s="108">
        <f t="shared" si="92"/>
        <v>2.0000000000000018E-3</v>
      </c>
      <c r="D300" s="109" t="str">
        <f t="shared" si="93"/>
        <v>/</v>
      </c>
      <c r="E300" s="109">
        <f ca="1">IF(表2_36716262930389121314[[#This Row],[累计净值]]/MAX(INDIRECT("B21:B" &amp; ROW()))-1&lt;E299,表2_36716262930389121314[[#This Row],[累计净值]]/MAX(INDIRECT("B21:B" &amp; ROW()))-1,E299)</f>
        <v>-2.0583190394511175E-2</v>
      </c>
      <c r="F300" s="110">
        <f>表2_36716262930389121314[[#This Row],[累计净值]]</f>
        <v>1.234</v>
      </c>
      <c r="G300" s="20">
        <f>表2_36716262930389121314[[#This Row],[累计净值]]/$B$21-1</f>
        <v>0.16305372290292186</v>
      </c>
      <c r="H300" s="20">
        <f>表2_36716262930389121314[[#This Row],[累计净值]]/$B$51-1</f>
        <v>0.12694063926940635</v>
      </c>
    </row>
    <row r="301" spans="1:8">
      <c r="A301" s="15">
        <v>44272</v>
      </c>
      <c r="B301" s="112">
        <v>1.2330000000000001</v>
      </c>
      <c r="C301" s="108">
        <f t="shared" si="92"/>
        <v>-9.9999999999988987E-4</v>
      </c>
      <c r="D301" s="109">
        <f t="shared" si="93"/>
        <v>-9.9999999999988987E-4</v>
      </c>
      <c r="E301" s="109">
        <f ca="1">IF(表2_36716262930389121314[[#This Row],[累计净值]]/MAX(INDIRECT("B21:B" &amp; ROW()))-1&lt;E300,表2_36716262930389121314[[#This Row],[累计净值]]/MAX(INDIRECT("B21:B" &amp; ROW()))-1,E300)</f>
        <v>-2.0583190394511175E-2</v>
      </c>
      <c r="F301" s="110">
        <f>表2_36716262930389121314[[#This Row],[累计净值]]</f>
        <v>1.2330000000000001</v>
      </c>
      <c r="G301" s="20">
        <f>表2_36716262930389121314[[#This Row],[累计净值]]/$B$21-1</f>
        <v>0.16211121583411892</v>
      </c>
      <c r="H301" s="20">
        <f>表2_36716262930389121314[[#This Row],[累计净值]]/$B$51-1</f>
        <v>0.12602739726027412</v>
      </c>
    </row>
    <row r="302" spans="1:8">
      <c r="A302" s="15">
        <v>44273</v>
      </c>
      <c r="B302" s="112">
        <v>1.2350000000000001</v>
      </c>
      <c r="C302" s="108">
        <f>IFERROR(B302-B301,0)</f>
        <v>2.0000000000000018E-3</v>
      </c>
      <c r="D302" s="109" t="str">
        <f>IF(C302&lt;0,C302,"/")</f>
        <v>/</v>
      </c>
      <c r="E302" s="109">
        <f ca="1">IF(表2_36716262930389121314[[#This Row],[累计净值]]/MAX(INDIRECT("B21:B" &amp; ROW()))-1&lt;E301,表2_36716262930389121314[[#This Row],[累计净值]]/MAX(INDIRECT("B21:B" &amp; ROW()))-1,E301)</f>
        <v>-2.0583190394511175E-2</v>
      </c>
      <c r="F302" s="110">
        <f>表2_36716262930389121314[[#This Row],[累计净值]]</f>
        <v>1.2350000000000001</v>
      </c>
      <c r="G302" s="20">
        <f>表2_36716262930389121314[[#This Row],[累计净值]]/$B$21-1</f>
        <v>0.16399622997172503</v>
      </c>
      <c r="H302" s="20">
        <f>表2_36716262930389121314[[#This Row],[累计净值]]/$B$51-1</f>
        <v>0.12785388127853903</v>
      </c>
    </row>
    <row r="303" spans="1:8">
      <c r="A303" s="15">
        <v>44274</v>
      </c>
      <c r="B303" s="112">
        <v>1.236</v>
      </c>
      <c r="C303" s="108">
        <f>IFERROR(B303-B302,0)</f>
        <v>9.9999999999988987E-4</v>
      </c>
      <c r="D303" s="109" t="str">
        <f>IF(C303&lt;0,C303,"/")</f>
        <v>/</v>
      </c>
      <c r="E303" s="109">
        <f ca="1">IF(表2_36716262930389121314[[#This Row],[累计净值]]/MAX(INDIRECT("B21:B" &amp; ROW()))-1&lt;E302,表2_36716262930389121314[[#This Row],[累计净值]]/MAX(INDIRECT("B21:B" &amp; ROW()))-1,E302)</f>
        <v>-2.0583190394511175E-2</v>
      </c>
      <c r="F303" s="110">
        <f>表2_36716262930389121314[[#This Row],[累计净值]]</f>
        <v>1.236</v>
      </c>
      <c r="G303" s="20">
        <f>表2_36716262930389121314[[#This Row],[累计净值]]/$B$21-1</f>
        <v>0.16493873704052775</v>
      </c>
      <c r="H303" s="20">
        <f>表2_36716262930389121314[[#This Row],[累计净值]]/$B$51-1</f>
        <v>0.12876712328767126</v>
      </c>
    </row>
    <row r="304" spans="1:8">
      <c r="A304" s="15">
        <v>44277</v>
      </c>
      <c r="B304" s="112">
        <v>1.232</v>
      </c>
      <c r="C304" s="108">
        <f>IFERROR(B304-B303,0)</f>
        <v>-4.0000000000000036E-3</v>
      </c>
      <c r="D304" s="109">
        <f>IF(C304&lt;0,C304,"/")</f>
        <v>-4.0000000000000036E-3</v>
      </c>
      <c r="E304" s="109">
        <f ca="1">IF(表2_36716262930389121314[[#This Row],[累计净值]]/MAX(INDIRECT("B21:B" &amp; ROW()))-1&lt;E303,表2_36716262930389121314[[#This Row],[累计净值]]/MAX(INDIRECT("B21:B" &amp; ROW()))-1,E303)</f>
        <v>-2.0583190394511175E-2</v>
      </c>
      <c r="F304" s="110">
        <f>表2_36716262930389121314[[#This Row],[累计净值]]</f>
        <v>1.232</v>
      </c>
      <c r="G304" s="20">
        <f>表2_36716262930389121314[[#This Row],[累计净值]]/$B$21-1</f>
        <v>0.16116870876531575</v>
      </c>
      <c r="H304" s="20">
        <f>表2_36716262930389121314[[#This Row],[累计净值]]/$B$51-1</f>
        <v>0.12511415525114167</v>
      </c>
    </row>
    <row r="305" spans="1:8">
      <c r="A305" s="15">
        <v>44278</v>
      </c>
      <c r="B305" s="112">
        <v>1.2250000000000001</v>
      </c>
      <c r="C305" s="108">
        <f t="shared" ref="C305:C308" si="94">IFERROR(B305-B304,0)</f>
        <v>-6.9999999999998952E-3</v>
      </c>
      <c r="D305" s="109">
        <f t="shared" ref="D305:D308" si="95">IF(C305&lt;0,C305,"/")</f>
        <v>-6.9999999999998952E-3</v>
      </c>
      <c r="E305" s="109">
        <f ca="1">IF(表2_36716262930389121314[[#This Row],[累计净值]]/MAX(INDIRECT("B21:B" &amp; ROW()))-1&lt;E304,表2_36716262930389121314[[#This Row],[累计净值]]/MAX(INDIRECT("B21:B" &amp; ROW()))-1,E304)</f>
        <v>-2.0583190394511175E-2</v>
      </c>
      <c r="F305" s="110">
        <f>表2_36716262930389121314[[#This Row],[累计净值]]</f>
        <v>1.2250000000000001</v>
      </c>
      <c r="G305" s="20">
        <f>表2_36716262930389121314[[#This Row],[累计净值]]/$B$21-1</f>
        <v>0.15457115928369469</v>
      </c>
      <c r="H305" s="20">
        <f>表2_36716262930389121314[[#This Row],[累计净值]]/$B$51-1</f>
        <v>0.11872146118721472</v>
      </c>
    </row>
    <row r="306" spans="1:8">
      <c r="A306" s="15">
        <v>44279</v>
      </c>
      <c r="B306" s="112">
        <v>1.224</v>
      </c>
      <c r="C306" s="108">
        <f t="shared" si="94"/>
        <v>-1.0000000000001119E-3</v>
      </c>
      <c r="D306" s="109">
        <f t="shared" si="95"/>
        <v>-1.0000000000001119E-3</v>
      </c>
      <c r="E306" s="109">
        <f ca="1">IF(表2_36716262930389121314[[#This Row],[累计净值]]/MAX(INDIRECT("B21:B" &amp; ROW()))-1&lt;E305,表2_36716262930389121314[[#This Row],[累计净值]]/MAX(INDIRECT("B21:B" &amp; ROW()))-1,E305)</f>
        <v>-2.0583190394511175E-2</v>
      </c>
      <c r="F306" s="110">
        <f>表2_36716262930389121314[[#This Row],[累计净值]]</f>
        <v>1.224</v>
      </c>
      <c r="G306" s="20">
        <f>表2_36716262930389121314[[#This Row],[累计净值]]/$B$21-1</f>
        <v>0.15362865221489175</v>
      </c>
      <c r="H306" s="20">
        <f>表2_36716262930389121314[[#This Row],[累计净值]]/$B$51-1</f>
        <v>0.11780821917808226</v>
      </c>
    </row>
    <row r="307" spans="1:8">
      <c r="A307" s="15">
        <v>44280</v>
      </c>
      <c r="B307" s="112">
        <v>1.226</v>
      </c>
      <c r="C307" s="108">
        <f t="shared" si="94"/>
        <v>2.0000000000000018E-3</v>
      </c>
      <c r="D307" s="109" t="str">
        <f t="shared" si="95"/>
        <v>/</v>
      </c>
      <c r="E307" s="109">
        <f ca="1">IF(表2_36716262930389121314[[#This Row],[累计净值]]/MAX(INDIRECT("B21:B" &amp; ROW()))-1&lt;E306,表2_36716262930389121314[[#This Row],[累计净值]]/MAX(INDIRECT("B21:B" &amp; ROW()))-1,E306)</f>
        <v>-2.0583190394511175E-2</v>
      </c>
      <c r="F307" s="110">
        <f>表2_36716262930389121314[[#This Row],[累计净值]]</f>
        <v>1.226</v>
      </c>
      <c r="G307" s="20">
        <f>表2_36716262930389121314[[#This Row],[累计净值]]/$B$21-1</f>
        <v>0.15551366635249764</v>
      </c>
      <c r="H307" s="20">
        <f>表2_36716262930389121314[[#This Row],[累计净值]]/$B$51-1</f>
        <v>0.11963470319634695</v>
      </c>
    </row>
    <row r="308" spans="1:8">
      <c r="A308" s="15">
        <v>44281</v>
      </c>
      <c r="B308" s="112">
        <v>1.2270000000000001</v>
      </c>
      <c r="C308" s="108">
        <f t="shared" si="94"/>
        <v>1.0000000000001119E-3</v>
      </c>
      <c r="D308" s="109" t="str">
        <f t="shared" si="95"/>
        <v>/</v>
      </c>
      <c r="E308" s="109">
        <f ca="1">IF(表2_36716262930389121314[[#This Row],[累计净值]]/MAX(INDIRECT("B21:B" &amp; ROW()))-1&lt;E307,表2_36716262930389121314[[#This Row],[累计净值]]/MAX(INDIRECT("B21:B" &amp; ROW()))-1,E307)</f>
        <v>-2.0583190394511175E-2</v>
      </c>
      <c r="F308" s="110">
        <f>表2_36716262930389121314[[#This Row],[累计净值]]</f>
        <v>1.2270000000000001</v>
      </c>
      <c r="G308" s="20">
        <f>表2_36716262930389121314[[#This Row],[累计净值]]/$B$21-1</f>
        <v>0.1564561734213008</v>
      </c>
      <c r="H308" s="20">
        <f>表2_36716262930389121314[[#This Row],[累计净值]]/$B$51-1</f>
        <v>0.12054794520547962</v>
      </c>
    </row>
    <row r="309" spans="1:8">
      <c r="A309" s="15">
        <v>44284</v>
      </c>
      <c r="B309" s="112">
        <v>1.2270000000000001</v>
      </c>
      <c r="C309" s="108">
        <f t="shared" ref="C309:C314" si="96">IFERROR(B309-B308,0)</f>
        <v>0</v>
      </c>
      <c r="D309" s="109" t="str">
        <f t="shared" ref="D309:D314" si="97">IF(C309&lt;0,C309,"/")</f>
        <v>/</v>
      </c>
      <c r="E309" s="109">
        <f ca="1">IF(表2_36716262930389121314[[#This Row],[累计净值]]/MAX(INDIRECT("B21:B" &amp; ROW()))-1&lt;E308,表2_36716262930389121314[[#This Row],[累计净值]]/MAX(INDIRECT("B21:B" &amp; ROW()))-1,E308)</f>
        <v>-2.0583190394511175E-2</v>
      </c>
      <c r="F309" s="110">
        <f>表2_36716262930389121314[[#This Row],[累计净值]]</f>
        <v>1.2270000000000001</v>
      </c>
      <c r="G309" s="20">
        <f>表2_36716262930389121314[[#This Row],[累计净值]]/$B$21-1</f>
        <v>0.1564561734213008</v>
      </c>
      <c r="H309" s="20">
        <f>表2_36716262930389121314[[#This Row],[累计净值]]/$B$51-1</f>
        <v>0.12054794520547962</v>
      </c>
    </row>
    <row r="310" spans="1:8">
      <c r="A310" s="15">
        <v>44285</v>
      </c>
      <c r="B310" s="112">
        <v>1.23</v>
      </c>
      <c r="C310" s="108">
        <f t="shared" si="96"/>
        <v>2.9999999999998916E-3</v>
      </c>
      <c r="D310" s="109" t="str">
        <f t="shared" si="97"/>
        <v>/</v>
      </c>
      <c r="E310" s="109">
        <f ca="1">IF(表2_36716262930389121314[[#This Row],[累计净值]]/MAX(INDIRECT("B21:B" &amp; ROW()))-1&lt;E309,表2_36716262930389121314[[#This Row],[累计净值]]/MAX(INDIRECT("B21:B" &amp; ROW()))-1,E309)</f>
        <v>-2.0583190394511175E-2</v>
      </c>
      <c r="F310" s="110">
        <f>表2_36716262930389121314[[#This Row],[累计净值]]</f>
        <v>1.23</v>
      </c>
      <c r="G310" s="20">
        <f>表2_36716262930389121314[[#This Row],[累计净值]]/$B$21-1</f>
        <v>0.15928369462770986</v>
      </c>
      <c r="H310" s="20">
        <f>表2_36716262930389121314[[#This Row],[累计净值]]/$B$51-1</f>
        <v>0.12328767123287676</v>
      </c>
    </row>
    <row r="311" spans="1:8">
      <c r="A311" s="15">
        <v>44286</v>
      </c>
      <c r="B311" s="112">
        <v>1.23</v>
      </c>
      <c r="C311" s="108">
        <f t="shared" si="96"/>
        <v>0</v>
      </c>
      <c r="D311" s="109" t="str">
        <f t="shared" si="97"/>
        <v>/</v>
      </c>
      <c r="E311" s="109">
        <f ca="1">IF(表2_36716262930389121314[[#This Row],[累计净值]]/MAX(INDIRECT("B21:B" &amp; ROW()))-1&lt;E310,表2_36716262930389121314[[#This Row],[累计净值]]/MAX(INDIRECT("B21:B" &amp; ROW()))-1,E310)</f>
        <v>-2.0583190394511175E-2</v>
      </c>
      <c r="F311" s="110">
        <f>表2_36716262930389121314[[#This Row],[累计净值]]</f>
        <v>1.23</v>
      </c>
      <c r="G311" s="20">
        <f>表2_36716262930389121314[[#This Row],[累计净值]]/$B$21-1</f>
        <v>0.15928369462770986</v>
      </c>
      <c r="H311" s="20">
        <f>表2_36716262930389121314[[#This Row],[累计净值]]/$B$51-1</f>
        <v>0.12328767123287676</v>
      </c>
    </row>
    <row r="312" spans="1:8">
      <c r="A312" s="15">
        <v>44287</v>
      </c>
      <c r="B312" s="112">
        <v>1.238</v>
      </c>
      <c r="C312" s="108">
        <f t="shared" si="96"/>
        <v>8.0000000000000071E-3</v>
      </c>
      <c r="D312" s="109" t="str">
        <f t="shared" si="97"/>
        <v>/</v>
      </c>
      <c r="E312" s="109">
        <f ca="1">IF(表2_36716262930389121314[[#This Row],[累计净值]]/MAX(INDIRECT("B21:B" &amp; ROW()))-1&lt;E311,表2_36716262930389121314[[#This Row],[累计净值]]/MAX(INDIRECT("B21:B" &amp; ROW()))-1,E311)</f>
        <v>-2.0583190394511175E-2</v>
      </c>
      <c r="F312" s="110">
        <f>表2_36716262930389121314[[#This Row],[累计净值]]</f>
        <v>1.238</v>
      </c>
      <c r="G312" s="20">
        <f>表2_36716262930389121314[[#This Row],[累计净值]]/$B$21-1</f>
        <v>0.16682375117813386</v>
      </c>
      <c r="H312" s="20">
        <f>表2_36716262930389121314[[#This Row],[累计净值]]/$B$51-1</f>
        <v>0.13059360730593617</v>
      </c>
    </row>
    <row r="313" spans="1:8">
      <c r="A313" s="15">
        <v>44288</v>
      </c>
      <c r="B313" s="117">
        <v>1.242</v>
      </c>
      <c r="C313" s="108">
        <f t="shared" si="96"/>
        <v>4.0000000000000036E-3</v>
      </c>
      <c r="D313" s="109" t="str">
        <f t="shared" si="97"/>
        <v>/</v>
      </c>
      <c r="E313" s="109">
        <f ca="1">IF(表2_36716262930389121314[[#This Row],[累计净值]]/MAX(INDIRECT("B21:B" &amp; ROW()))-1&lt;E312,表2_36716262930389121314[[#This Row],[累计净值]]/MAX(INDIRECT("B21:B" &amp; ROW()))-1,E312)</f>
        <v>-2.0583190394511175E-2</v>
      </c>
      <c r="F313" s="110">
        <f>表2_36716262930389121314[[#This Row],[累计净值]]</f>
        <v>1.242</v>
      </c>
      <c r="G313" s="20">
        <f>表2_36716262930389121314[[#This Row],[累计净值]]/$B$21-1</f>
        <v>0.17059377945334586</v>
      </c>
      <c r="H313" s="20">
        <f>表2_36716262930389121314[[#This Row],[累计净值]]/$B$51-1</f>
        <v>0.13424657534246576</v>
      </c>
    </row>
    <row r="314" spans="1:8">
      <c r="A314" s="15">
        <v>44292</v>
      </c>
      <c r="B314" s="112">
        <v>1.2390000000000001</v>
      </c>
      <c r="C314" s="108">
        <f t="shared" si="96"/>
        <v>-2.9999999999998916E-3</v>
      </c>
      <c r="D314" s="109">
        <f t="shared" si="97"/>
        <v>-2.9999999999998916E-3</v>
      </c>
      <c r="E314" s="109">
        <f ca="1">IF(表2_36716262930389121314[[#This Row],[累计净值]]/MAX(INDIRECT("B21:B" &amp; ROW()))-1&lt;E313,表2_36716262930389121314[[#This Row],[累计净值]]/MAX(INDIRECT("B21:B" &amp; ROW()))-1,E313)</f>
        <v>-2.0583190394511175E-2</v>
      </c>
      <c r="F314" s="110">
        <f>表2_36716262930389121314[[#This Row],[累计净值]]</f>
        <v>1.2390000000000001</v>
      </c>
      <c r="G314" s="20">
        <f>表2_36716262930389121314[[#This Row],[累计净值]]/$B$21-1</f>
        <v>0.16776625824693703</v>
      </c>
      <c r="H314" s="20">
        <f>表2_36716262930389121314[[#This Row],[累计净值]]/$B$51-1</f>
        <v>0.13150684931506862</v>
      </c>
    </row>
    <row r="315" spans="1:8">
      <c r="A315" s="15">
        <v>44293</v>
      </c>
      <c r="B315" s="112">
        <v>1.232</v>
      </c>
      <c r="C315" s="108">
        <f t="shared" ref="C315:C320" si="98">IFERROR(B315-B314,0)</f>
        <v>-7.0000000000001172E-3</v>
      </c>
      <c r="D315" s="109">
        <f t="shared" ref="D315:D320" si="99">IF(C315&lt;0,C315,"/")</f>
        <v>-7.0000000000001172E-3</v>
      </c>
      <c r="E315" s="109">
        <f ca="1">IF(表2_36716262930389121314[[#This Row],[累计净值]]/MAX(INDIRECT("B21:B" &amp; ROW()))-1&lt;E314,表2_36716262930389121314[[#This Row],[累计净值]]/MAX(INDIRECT("B21:B" &amp; ROW()))-1,E314)</f>
        <v>-2.0583190394511175E-2</v>
      </c>
      <c r="F315" s="110">
        <f>表2_36716262930389121314[[#This Row],[累计净值]]</f>
        <v>1.232</v>
      </c>
      <c r="G315" s="20">
        <f>表2_36716262930389121314[[#This Row],[累计净值]]/$B$21-1</f>
        <v>0.16116870876531575</v>
      </c>
      <c r="H315" s="20">
        <f>表2_36716262930389121314[[#This Row],[累计净值]]/$B$51-1</f>
        <v>0.12511415525114167</v>
      </c>
    </row>
    <row r="316" spans="1:8">
      <c r="A316" s="15">
        <v>44294</v>
      </c>
      <c r="B316" s="112">
        <v>1.2310000000000001</v>
      </c>
      <c r="C316" s="108">
        <f t="shared" si="98"/>
        <v>-9.9999999999988987E-4</v>
      </c>
      <c r="D316" s="109">
        <f t="shared" si="99"/>
        <v>-9.9999999999988987E-4</v>
      </c>
      <c r="E316" s="109">
        <f ca="1">IF(表2_36716262930389121314[[#This Row],[累计净值]]/MAX(INDIRECT("B21:B" &amp; ROW()))-1&lt;E315,表2_36716262930389121314[[#This Row],[累计净值]]/MAX(INDIRECT("B21:B" &amp; ROW()))-1,E315)</f>
        <v>-2.0583190394511175E-2</v>
      </c>
      <c r="F316" s="110">
        <f>表2_36716262930389121314[[#This Row],[累计净值]]</f>
        <v>1.2310000000000001</v>
      </c>
      <c r="G316" s="20">
        <f>表2_36716262930389121314[[#This Row],[累计净值]]/$B$21-1</f>
        <v>0.1602262016965128</v>
      </c>
      <c r="H316" s="20">
        <f>表2_36716262930389121314[[#This Row],[累计净值]]/$B$51-1</f>
        <v>0.12420091324200921</v>
      </c>
    </row>
    <row r="317" spans="1:8">
      <c r="A317" s="15">
        <v>44295</v>
      </c>
      <c r="B317" s="112">
        <v>1.232</v>
      </c>
      <c r="C317" s="108">
        <f t="shared" si="98"/>
        <v>9.9999999999988987E-4</v>
      </c>
      <c r="D317" s="109" t="str">
        <f t="shared" si="99"/>
        <v>/</v>
      </c>
      <c r="E317" s="109">
        <f ca="1">IF(表2_36716262930389121314[[#This Row],[累计净值]]/MAX(INDIRECT("B21:B" &amp; ROW()))-1&lt;E316,表2_36716262930389121314[[#This Row],[累计净值]]/MAX(INDIRECT("B21:B" &amp; ROW()))-1,E316)</f>
        <v>-2.0583190394511175E-2</v>
      </c>
      <c r="F317" s="110">
        <f>表2_36716262930389121314[[#This Row],[累计净值]]</f>
        <v>1.232</v>
      </c>
      <c r="G317" s="20">
        <f>表2_36716262930389121314[[#This Row],[累计净值]]/$B$21-1</f>
        <v>0.16116870876531575</v>
      </c>
      <c r="H317" s="20">
        <f>表2_36716262930389121314[[#This Row],[累计净值]]/$B$51-1</f>
        <v>0.12511415525114167</v>
      </c>
    </row>
    <row r="318" spans="1:8">
      <c r="A318" s="15">
        <v>44298</v>
      </c>
      <c r="B318" s="112">
        <v>1.234</v>
      </c>
      <c r="C318" s="108">
        <f t="shared" si="98"/>
        <v>2.0000000000000018E-3</v>
      </c>
      <c r="D318" s="109" t="str">
        <f t="shared" si="99"/>
        <v>/</v>
      </c>
      <c r="E318" s="109">
        <f ca="1">IF(表2_36716262930389121314[[#This Row],[累计净值]]/MAX(INDIRECT("B21:B" &amp; ROW()))-1&lt;E317,表2_36716262930389121314[[#This Row],[累计净值]]/MAX(INDIRECT("B21:B" &amp; ROW()))-1,E317)</f>
        <v>-2.0583190394511175E-2</v>
      </c>
      <c r="F318" s="110">
        <f>表2_36716262930389121314[[#This Row],[累计净值]]</f>
        <v>1.234</v>
      </c>
      <c r="G318" s="20">
        <f>表2_36716262930389121314[[#This Row],[累计净值]]/$B$21-1</f>
        <v>0.16305372290292186</v>
      </c>
      <c r="H318" s="20">
        <f>表2_36716262930389121314[[#This Row],[累计净值]]/$B$51-1</f>
        <v>0.12694063926940635</v>
      </c>
    </row>
    <row r="319" spans="1:8">
      <c r="A319" s="15">
        <v>44299</v>
      </c>
      <c r="B319" s="112">
        <v>1.2310000000000001</v>
      </c>
      <c r="C319" s="108">
        <f t="shared" si="98"/>
        <v>-2.9999999999998916E-3</v>
      </c>
      <c r="D319" s="109">
        <f t="shared" si="99"/>
        <v>-2.9999999999998916E-3</v>
      </c>
      <c r="E319" s="109">
        <f ca="1">IF(表2_36716262930389121314[[#This Row],[累计净值]]/MAX(INDIRECT("B21:B" &amp; ROW()))-1&lt;E318,表2_36716262930389121314[[#This Row],[累计净值]]/MAX(INDIRECT("B21:B" &amp; ROW()))-1,E318)</f>
        <v>-2.0583190394511175E-2</v>
      </c>
      <c r="F319" s="110">
        <f>表2_36716262930389121314[[#This Row],[累计净值]]</f>
        <v>1.2310000000000001</v>
      </c>
      <c r="G319" s="20">
        <f>表2_36716262930389121314[[#This Row],[累计净值]]/$B$21-1</f>
        <v>0.1602262016965128</v>
      </c>
      <c r="H319" s="20">
        <f>表2_36716262930389121314[[#This Row],[累计净值]]/$B$51-1</f>
        <v>0.12420091324200921</v>
      </c>
    </row>
    <row r="320" spans="1:8">
      <c r="A320" s="15">
        <v>44300</v>
      </c>
      <c r="B320" s="112">
        <v>1.2310000000000001</v>
      </c>
      <c r="C320" s="108">
        <f t="shared" si="98"/>
        <v>0</v>
      </c>
      <c r="D320" s="109" t="str">
        <f t="shared" si="99"/>
        <v>/</v>
      </c>
      <c r="E320" s="109">
        <f ca="1">IF(表2_36716262930389121314[[#This Row],[累计净值]]/MAX(INDIRECT("B21:B" &amp; ROW()))-1&lt;E319,表2_36716262930389121314[[#This Row],[累计净值]]/MAX(INDIRECT("B21:B" &amp; ROW()))-1,E319)</f>
        <v>-2.0583190394511175E-2</v>
      </c>
      <c r="F320" s="110">
        <f>表2_36716262930389121314[[#This Row],[累计净值]]</f>
        <v>1.2310000000000001</v>
      </c>
      <c r="G320" s="20">
        <f>表2_36716262930389121314[[#This Row],[累计净值]]/$B$21-1</f>
        <v>0.1602262016965128</v>
      </c>
      <c r="H320" s="20">
        <f>表2_36716262930389121314[[#This Row],[累计净值]]/$B$51-1</f>
        <v>0.12420091324200921</v>
      </c>
    </row>
    <row r="321" spans="1:8">
      <c r="A321" s="15">
        <v>44301</v>
      </c>
      <c r="B321" s="112">
        <v>1.2330000000000001</v>
      </c>
      <c r="C321" s="108">
        <f t="shared" ref="C321:C326" si="100">IFERROR(B321-B320,0)</f>
        <v>2.0000000000000018E-3</v>
      </c>
      <c r="D321" s="109" t="str">
        <f t="shared" ref="D321:D326" si="101">IF(C321&lt;0,C321,"/")</f>
        <v>/</v>
      </c>
      <c r="E321" s="109">
        <f ca="1">IF(表2_36716262930389121314[[#This Row],[累计净值]]/MAX(INDIRECT("B21:B" &amp; ROW()))-1&lt;E320,表2_36716262930389121314[[#This Row],[累计净值]]/MAX(INDIRECT("B21:B" &amp; ROW()))-1,E320)</f>
        <v>-2.0583190394511175E-2</v>
      </c>
      <c r="F321" s="110">
        <f>表2_36716262930389121314[[#This Row],[累计净值]]</f>
        <v>1.2330000000000001</v>
      </c>
      <c r="G321" s="20">
        <f>表2_36716262930389121314[[#This Row],[累计净值]]/$B$21-1</f>
        <v>0.16211121583411892</v>
      </c>
      <c r="H321" s="20">
        <f>表2_36716262930389121314[[#This Row],[累计净值]]/$B$51-1</f>
        <v>0.12602739726027412</v>
      </c>
    </row>
    <row r="322" spans="1:8">
      <c r="A322" s="15">
        <v>44302</v>
      </c>
      <c r="B322" s="112">
        <v>1.2350000000000001</v>
      </c>
      <c r="C322" s="108">
        <f t="shared" si="100"/>
        <v>2.0000000000000018E-3</v>
      </c>
      <c r="D322" s="109" t="str">
        <f t="shared" si="101"/>
        <v>/</v>
      </c>
      <c r="E322" s="109">
        <f ca="1">IF(表2_36716262930389121314[[#This Row],[累计净值]]/MAX(INDIRECT("B21:B" &amp; ROW()))-1&lt;E321,表2_36716262930389121314[[#This Row],[累计净值]]/MAX(INDIRECT("B21:B" &amp; ROW()))-1,E321)</f>
        <v>-2.0583190394511175E-2</v>
      </c>
      <c r="F322" s="110">
        <f>表2_36716262930389121314[[#This Row],[累计净值]]</f>
        <v>1.2350000000000001</v>
      </c>
      <c r="G322" s="20">
        <f>表2_36716262930389121314[[#This Row],[累计净值]]/$B$21-1</f>
        <v>0.16399622997172503</v>
      </c>
      <c r="H322" s="20">
        <f>表2_36716262930389121314[[#This Row],[累计净值]]/$B$51-1</f>
        <v>0.12785388127853903</v>
      </c>
    </row>
    <row r="323" spans="1:8">
      <c r="A323" s="15">
        <v>44305</v>
      </c>
      <c r="B323" s="112">
        <v>1.2330000000000001</v>
      </c>
      <c r="C323" s="108">
        <f t="shared" si="100"/>
        <v>-2.0000000000000018E-3</v>
      </c>
      <c r="D323" s="109">
        <f t="shared" si="101"/>
        <v>-2.0000000000000018E-3</v>
      </c>
      <c r="E323" s="109">
        <f ca="1">IF(表2_36716262930389121314[[#This Row],[累计净值]]/MAX(INDIRECT("B21:B" &amp; ROW()))-1&lt;E322,表2_36716262930389121314[[#This Row],[累计净值]]/MAX(INDIRECT("B21:B" &amp; ROW()))-1,E322)</f>
        <v>-2.0583190394511175E-2</v>
      </c>
      <c r="F323" s="110">
        <f>表2_36716262930389121314[[#This Row],[累计净值]]</f>
        <v>1.2330000000000001</v>
      </c>
      <c r="G323" s="20">
        <f>表2_36716262930389121314[[#This Row],[累计净值]]/$B$21-1</f>
        <v>0.16211121583411892</v>
      </c>
      <c r="H323" s="20">
        <f>表2_36716262930389121314[[#This Row],[累计净值]]/$B$51-1</f>
        <v>0.12602739726027412</v>
      </c>
    </row>
    <row r="324" spans="1:8">
      <c r="A324" s="15">
        <v>44306</v>
      </c>
      <c r="B324" s="112">
        <v>1.2350000000000001</v>
      </c>
      <c r="C324" s="108">
        <f t="shared" si="100"/>
        <v>2.0000000000000018E-3</v>
      </c>
      <c r="D324" s="109" t="str">
        <f t="shared" si="101"/>
        <v>/</v>
      </c>
      <c r="E324" s="109">
        <f ca="1">IF(表2_36716262930389121314[[#This Row],[累计净值]]/MAX(INDIRECT("B21:B" &amp; ROW()))-1&lt;E323,表2_36716262930389121314[[#This Row],[累计净值]]/MAX(INDIRECT("B21:B" &amp; ROW()))-1,E323)</f>
        <v>-2.0583190394511175E-2</v>
      </c>
      <c r="F324" s="110">
        <f>表2_36716262930389121314[[#This Row],[累计净值]]</f>
        <v>1.2350000000000001</v>
      </c>
      <c r="G324" s="20">
        <f>表2_36716262930389121314[[#This Row],[累计净值]]/$B$21-1</f>
        <v>0.16399622997172503</v>
      </c>
      <c r="H324" s="20">
        <f>表2_36716262930389121314[[#This Row],[累计净值]]/$B$51-1</f>
        <v>0.12785388127853903</v>
      </c>
    </row>
    <row r="325" spans="1:8">
      <c r="A325" s="15">
        <v>44307</v>
      </c>
      <c r="B325" s="112">
        <v>1.232</v>
      </c>
      <c r="C325" s="108">
        <f t="shared" si="100"/>
        <v>-3.0000000000001137E-3</v>
      </c>
      <c r="D325" s="109">
        <f t="shared" si="101"/>
        <v>-3.0000000000001137E-3</v>
      </c>
      <c r="E325" s="109">
        <f ca="1">IF(表2_36716262930389121314[[#This Row],[累计净值]]/MAX(INDIRECT("B21:B" &amp; ROW()))-1&lt;E324,表2_36716262930389121314[[#This Row],[累计净值]]/MAX(INDIRECT("B21:B" &amp; ROW()))-1,E324)</f>
        <v>-2.0583190394511175E-2</v>
      </c>
      <c r="F325" s="110">
        <f>表2_36716262930389121314[[#This Row],[累计净值]]</f>
        <v>1.232</v>
      </c>
      <c r="G325" s="20">
        <f>表2_36716262930389121314[[#This Row],[累计净值]]/$B$21-1</f>
        <v>0.16116870876531575</v>
      </c>
      <c r="H325" s="20">
        <f>表2_36716262930389121314[[#This Row],[累计净值]]/$B$51-1</f>
        <v>0.12511415525114167</v>
      </c>
    </row>
    <row r="326" spans="1:8">
      <c r="A326" s="15">
        <v>44308</v>
      </c>
      <c r="B326" s="112">
        <v>1.2350000000000001</v>
      </c>
      <c r="C326" s="108">
        <f t="shared" si="100"/>
        <v>3.0000000000001137E-3</v>
      </c>
      <c r="D326" s="109" t="str">
        <f t="shared" si="101"/>
        <v>/</v>
      </c>
      <c r="E326" s="109">
        <f ca="1">IF(表2_36716262930389121314[[#This Row],[累计净值]]/MAX(INDIRECT("B21:B" &amp; ROW()))-1&lt;E325,表2_36716262930389121314[[#This Row],[累计净值]]/MAX(INDIRECT("B21:B" &amp; ROW()))-1,E325)</f>
        <v>-2.0583190394511175E-2</v>
      </c>
      <c r="F326" s="110">
        <f>表2_36716262930389121314[[#This Row],[累计净值]]</f>
        <v>1.2350000000000001</v>
      </c>
      <c r="G326" s="20">
        <f>表2_36716262930389121314[[#This Row],[累计净值]]/$B$21-1</f>
        <v>0.16399622997172503</v>
      </c>
      <c r="H326" s="20">
        <f>表2_36716262930389121314[[#This Row],[累计净值]]/$B$51-1</f>
        <v>0.12785388127853903</v>
      </c>
    </row>
    <row r="327" spans="1:8">
      <c r="A327" s="15">
        <v>44309</v>
      </c>
      <c r="B327" s="112">
        <v>1.236</v>
      </c>
      <c r="C327" s="108">
        <f>IFERROR(B327-B326,0)</f>
        <v>9.9999999999988987E-4</v>
      </c>
      <c r="D327" s="109" t="str">
        <f>IF(C327&lt;0,C327,"/")</f>
        <v>/</v>
      </c>
      <c r="E327" s="109">
        <f ca="1">IF(表2_36716262930389121314[[#This Row],[累计净值]]/MAX(INDIRECT("B21:B" &amp; ROW()))-1&lt;E326,表2_36716262930389121314[[#This Row],[累计净值]]/MAX(INDIRECT("B21:B" &amp; ROW()))-1,E326)</f>
        <v>-2.0583190394511175E-2</v>
      </c>
      <c r="F327" s="110">
        <f>表2_36716262930389121314[[#This Row],[累计净值]]</f>
        <v>1.236</v>
      </c>
      <c r="G327" s="20">
        <f>表2_36716262930389121314[[#This Row],[累计净值]]/$B$21-1</f>
        <v>0.16493873704052775</v>
      </c>
      <c r="H327" s="20">
        <f>表2_36716262930389121314[[#This Row],[累计净值]]/$B$51-1</f>
        <v>0.12876712328767126</v>
      </c>
    </row>
    <row r="328" spans="1:8">
      <c r="A328" s="15">
        <v>44312</v>
      </c>
      <c r="B328" s="112">
        <v>1.236</v>
      </c>
      <c r="C328" s="108">
        <f>IFERROR(B328-B327,0)</f>
        <v>0</v>
      </c>
      <c r="D328" s="109" t="str">
        <f>IF(C328&lt;0,C328,"/")</f>
        <v>/</v>
      </c>
      <c r="E328" s="109">
        <f ca="1">IF(表2_36716262930389121314[[#This Row],[累计净值]]/MAX(INDIRECT("B21:B" &amp; ROW()))-1&lt;E327,表2_36716262930389121314[[#This Row],[累计净值]]/MAX(INDIRECT("B21:B" &amp; ROW()))-1,E327)</f>
        <v>-2.0583190394511175E-2</v>
      </c>
      <c r="F328" s="110">
        <f>表2_36716262930389121314[[#This Row],[累计净值]]</f>
        <v>1.236</v>
      </c>
      <c r="G328" s="20">
        <f>表2_36716262930389121314[[#This Row],[累计净值]]/$B$21-1</f>
        <v>0.16493873704052775</v>
      </c>
      <c r="H328" s="20">
        <f>表2_36716262930389121314[[#This Row],[累计净值]]/$B$51-1</f>
        <v>0.12876712328767126</v>
      </c>
    </row>
    <row r="329" spans="1:8">
      <c r="A329" s="15">
        <v>44313</v>
      </c>
      <c r="B329" s="112">
        <v>1.232</v>
      </c>
      <c r="C329" s="108">
        <f t="shared" ref="C329:C330" si="102">IFERROR(B329-B328,0)</f>
        <v>-4.0000000000000036E-3</v>
      </c>
      <c r="D329" s="109">
        <f t="shared" ref="D329:D330" si="103">IF(C329&lt;0,C329,"/")</f>
        <v>-4.0000000000000036E-3</v>
      </c>
      <c r="E329" s="109">
        <f ca="1">IF(表2_36716262930389121314[[#This Row],[累计净值]]/MAX(INDIRECT("B21:B" &amp; ROW()))-1&lt;E328,表2_36716262930389121314[[#This Row],[累计净值]]/MAX(INDIRECT("B21:B" &amp; ROW()))-1,E328)</f>
        <v>-2.0583190394511175E-2</v>
      </c>
      <c r="F329" s="110">
        <f>表2_36716262930389121314[[#This Row],[累计净值]]</f>
        <v>1.232</v>
      </c>
      <c r="G329" s="20">
        <f>表2_36716262930389121314[[#This Row],[累计净值]]/$B$21-1</f>
        <v>0.16116870876531575</v>
      </c>
      <c r="H329" s="20">
        <f>表2_36716262930389121314[[#This Row],[累计净值]]/$B$51-1</f>
        <v>0.12511415525114167</v>
      </c>
    </row>
    <row r="330" spans="1:8">
      <c r="A330" s="15">
        <v>44314</v>
      </c>
      <c r="B330" s="112">
        <v>1.2350000000000001</v>
      </c>
      <c r="C330" s="108">
        <f t="shared" si="102"/>
        <v>3.0000000000001137E-3</v>
      </c>
      <c r="D330" s="109" t="str">
        <f t="shared" si="103"/>
        <v>/</v>
      </c>
      <c r="E330" s="109">
        <f ca="1">IF(表2_36716262930389121314[[#This Row],[累计净值]]/MAX(INDIRECT("B21:B" &amp; ROW()))-1&lt;E329,表2_36716262930389121314[[#This Row],[累计净值]]/MAX(INDIRECT("B21:B" &amp; ROW()))-1,E329)</f>
        <v>-2.0583190394511175E-2</v>
      </c>
      <c r="F330" s="110">
        <f>表2_36716262930389121314[[#This Row],[累计净值]]</f>
        <v>1.2350000000000001</v>
      </c>
      <c r="G330" s="20">
        <f>表2_36716262930389121314[[#This Row],[累计净值]]/$B$21-1</f>
        <v>0.16399622997172503</v>
      </c>
      <c r="H330" s="20">
        <f>表2_36716262930389121314[[#This Row],[累计净值]]/$B$51-1</f>
        <v>0.12785388127853903</v>
      </c>
    </row>
    <row r="331" spans="1:8">
      <c r="A331" s="15">
        <v>44315</v>
      </c>
      <c r="B331" s="112">
        <v>1.234</v>
      </c>
      <c r="C331" s="108">
        <f>IFERROR(B331-B330,0)</f>
        <v>-1.0000000000001119E-3</v>
      </c>
      <c r="D331" s="109">
        <f>IF(C331&lt;0,C331,"/")</f>
        <v>-1.0000000000001119E-3</v>
      </c>
      <c r="E331" s="109">
        <f ca="1">IF(表2_36716262930389121314[[#This Row],[累计净值]]/MAX(INDIRECT("B21:B" &amp; ROW()))-1&lt;E330,表2_36716262930389121314[[#This Row],[累计净值]]/MAX(INDIRECT("B21:B" &amp; ROW()))-1,E330)</f>
        <v>-2.0583190394511175E-2</v>
      </c>
      <c r="F331" s="110">
        <f>表2_36716262930389121314[[#This Row],[累计净值]]</f>
        <v>1.234</v>
      </c>
      <c r="G331" s="20">
        <f>表2_36716262930389121314[[#This Row],[累计净值]]/$B$21-1</f>
        <v>0.16305372290292186</v>
      </c>
      <c r="H331" s="20">
        <f>表2_36716262930389121314[[#This Row],[累计净值]]/$B$51-1</f>
        <v>0.12694063926940635</v>
      </c>
    </row>
    <row r="332" spans="1:8">
      <c r="A332" s="15">
        <v>44316</v>
      </c>
      <c r="B332" s="112">
        <v>1.2290000000000001</v>
      </c>
      <c r="C332" s="108">
        <f t="shared" ref="C332:C333" si="104">IFERROR(B332-B331,0)</f>
        <v>-4.9999999999998934E-3</v>
      </c>
      <c r="D332" s="109">
        <f t="shared" ref="D332:D333" si="105">IF(C332&lt;0,C332,"/")</f>
        <v>-4.9999999999998934E-3</v>
      </c>
      <c r="E332" s="109">
        <f ca="1">IF(表2_36716262930389121314[[#This Row],[累计净值]]/MAX(INDIRECT("B21:B" &amp; ROW()))-1&lt;E331,表2_36716262930389121314[[#This Row],[累计净值]]/MAX(INDIRECT("B21:B" &amp; ROW()))-1,E331)</f>
        <v>-2.0583190394511175E-2</v>
      </c>
      <c r="F332" s="110">
        <f>表2_36716262930389121314[[#This Row],[累计净值]]</f>
        <v>1.2290000000000001</v>
      </c>
      <c r="G332" s="20">
        <f>表2_36716262930389121314[[#This Row],[累计净值]]/$B$21-1</f>
        <v>0.15834118755890692</v>
      </c>
      <c r="H332" s="20">
        <f>表2_36716262930389121314[[#This Row],[累计净值]]/$B$51-1</f>
        <v>0.12237442922374431</v>
      </c>
    </row>
    <row r="333" spans="1:8">
      <c r="A333" s="15">
        <v>44322</v>
      </c>
      <c r="B333" s="112">
        <v>1.2270000000000001</v>
      </c>
      <c r="C333" s="108">
        <f t="shared" si="104"/>
        <v>-2.0000000000000018E-3</v>
      </c>
      <c r="D333" s="109">
        <f t="shared" si="105"/>
        <v>-2.0000000000000018E-3</v>
      </c>
      <c r="E333" s="109">
        <f ca="1">IF(表2_36716262930389121314[[#This Row],[累计净值]]/MAX(INDIRECT("B21:B" &amp; ROW()))-1&lt;E332,表2_36716262930389121314[[#This Row],[累计净值]]/MAX(INDIRECT("B21:B" &amp; ROW()))-1,E332)</f>
        <v>-2.0583190394511175E-2</v>
      </c>
      <c r="F333" s="110">
        <f>表2_36716262930389121314[[#This Row],[累计净值]]</f>
        <v>1.2270000000000001</v>
      </c>
      <c r="G333" s="20">
        <f>表2_36716262930389121314[[#This Row],[累计净值]]/$B$21-1</f>
        <v>0.1564561734213008</v>
      </c>
      <c r="H333" s="20">
        <f>表2_36716262930389121314[[#This Row],[累计净值]]/$B$51-1</f>
        <v>0.12054794520547962</v>
      </c>
    </row>
    <row r="334" spans="1:8">
      <c r="A334" s="15">
        <v>44323</v>
      </c>
      <c r="B334" s="112">
        <v>1.226</v>
      </c>
      <c r="C334" s="108">
        <f t="shared" ref="C334:C339" si="106">IFERROR(B334-B333,0)</f>
        <v>-1.0000000000001119E-3</v>
      </c>
      <c r="D334" s="109">
        <f t="shared" ref="D334:D339" si="107">IF(C334&lt;0,C334,"/")</f>
        <v>-1.0000000000001119E-3</v>
      </c>
      <c r="E334" s="109">
        <f ca="1">IF(表2_36716262930389121314[[#This Row],[累计净值]]/MAX(INDIRECT("B21:B" &amp; ROW()))-1&lt;E333,表2_36716262930389121314[[#This Row],[累计净值]]/MAX(INDIRECT("B21:B" &amp; ROW()))-1,E333)</f>
        <v>-2.0583190394511175E-2</v>
      </c>
      <c r="F334" s="110">
        <f>表2_36716262930389121314[[#This Row],[累计净值]]</f>
        <v>1.226</v>
      </c>
      <c r="G334" s="20">
        <f>表2_36716262930389121314[[#This Row],[累计净值]]/$B$21-1</f>
        <v>0.15551366635249764</v>
      </c>
      <c r="H334" s="20">
        <f>表2_36716262930389121314[[#This Row],[累计净值]]/$B$51-1</f>
        <v>0.11963470319634695</v>
      </c>
    </row>
    <row r="335" spans="1:8">
      <c r="A335" s="15">
        <v>44326</v>
      </c>
      <c r="B335" s="112">
        <v>1.222</v>
      </c>
      <c r="C335" s="108">
        <f t="shared" si="106"/>
        <v>-4.0000000000000036E-3</v>
      </c>
      <c r="D335" s="109">
        <f t="shared" si="107"/>
        <v>-4.0000000000000036E-3</v>
      </c>
      <c r="E335" s="109">
        <f ca="1">IF(表2_36716262930389121314[[#This Row],[累计净值]]/MAX(INDIRECT("B21:B" &amp; ROW()))-1&lt;E334,表2_36716262930389121314[[#This Row],[累计净值]]/MAX(INDIRECT("B21:B" &amp; ROW()))-1,E334)</f>
        <v>-2.0583190394511175E-2</v>
      </c>
      <c r="F335" s="110">
        <f>表2_36716262930389121314[[#This Row],[累计净值]]</f>
        <v>1.222</v>
      </c>
      <c r="G335" s="20">
        <f>表2_36716262930389121314[[#This Row],[累计净值]]/$B$21-1</f>
        <v>0.15174363807728564</v>
      </c>
      <c r="H335" s="20">
        <f>表2_36716262930389121314[[#This Row],[累计净值]]/$B$51-1</f>
        <v>0.11598173515981736</v>
      </c>
    </row>
    <row r="336" spans="1:8">
      <c r="A336" s="15">
        <v>44327</v>
      </c>
      <c r="B336" s="112">
        <v>1.2190000000000001</v>
      </c>
      <c r="C336" s="108">
        <f t="shared" si="106"/>
        <v>-2.9999999999998916E-3</v>
      </c>
      <c r="D336" s="109">
        <f t="shared" si="107"/>
        <v>-2.9999999999998916E-3</v>
      </c>
      <c r="E336" s="109">
        <f ca="1">IF(表2_36716262930389121314[[#This Row],[累计净值]]/MAX(INDIRECT("B21:B" &amp; ROW()))-1&lt;E335,表2_36716262930389121314[[#This Row],[累计净值]]/MAX(INDIRECT("B21:B" &amp; ROW()))-1,E335)</f>
        <v>-2.0583190394511175E-2</v>
      </c>
      <c r="F336" s="110">
        <f>表2_36716262930389121314[[#This Row],[累计净值]]</f>
        <v>1.2190000000000001</v>
      </c>
      <c r="G336" s="20">
        <f>表2_36716262930389121314[[#This Row],[累计净值]]/$B$21-1</f>
        <v>0.14891611687087658</v>
      </c>
      <c r="H336" s="20">
        <f>表2_36716262930389121314[[#This Row],[累计净值]]/$B$51-1</f>
        <v>0.11324200913242022</v>
      </c>
    </row>
    <row r="337" spans="1:8">
      <c r="A337" s="15">
        <v>44328</v>
      </c>
      <c r="B337" s="112">
        <v>1.222</v>
      </c>
      <c r="C337" s="108">
        <f t="shared" si="106"/>
        <v>2.9999999999998916E-3</v>
      </c>
      <c r="D337" s="109" t="str">
        <f t="shared" si="107"/>
        <v>/</v>
      </c>
      <c r="E337" s="109">
        <f ca="1">IF(表2_36716262930389121314[[#This Row],[累计净值]]/MAX(INDIRECT("B21:B" &amp; ROW()))-1&lt;E336,表2_36716262930389121314[[#This Row],[累计净值]]/MAX(INDIRECT("B21:B" &amp; ROW()))-1,E336)</f>
        <v>-2.0583190394511175E-2</v>
      </c>
      <c r="F337" s="110">
        <f>表2_36716262930389121314[[#This Row],[累计净值]]</f>
        <v>1.222</v>
      </c>
      <c r="G337" s="20">
        <f>表2_36716262930389121314[[#This Row],[累计净值]]/$B$21-1</f>
        <v>0.15174363807728564</v>
      </c>
      <c r="H337" s="20">
        <f>表2_36716262930389121314[[#This Row],[累计净值]]/$B$51-1</f>
        <v>0.11598173515981736</v>
      </c>
    </row>
    <row r="338" spans="1:8">
      <c r="A338" s="15">
        <v>44329</v>
      </c>
      <c r="B338" s="112">
        <v>1.22</v>
      </c>
      <c r="C338" s="108">
        <f t="shared" si="106"/>
        <v>-2.0000000000000018E-3</v>
      </c>
      <c r="D338" s="109">
        <f t="shared" si="107"/>
        <v>-2.0000000000000018E-3</v>
      </c>
      <c r="E338" s="109">
        <f ca="1">IF(表2_36716262930389121314[[#This Row],[累计净值]]/MAX(INDIRECT("B21:B" &amp; ROW()))-1&lt;E337,表2_36716262930389121314[[#This Row],[累计净值]]/MAX(INDIRECT("B21:B" &amp; ROW()))-1,E337)</f>
        <v>-2.0583190394511175E-2</v>
      </c>
      <c r="F338" s="110">
        <f>表2_36716262930389121314[[#This Row],[累计净值]]</f>
        <v>1.22</v>
      </c>
      <c r="G338" s="20">
        <f>表2_36716262930389121314[[#This Row],[累计净值]]/$B$21-1</f>
        <v>0.14985862393967952</v>
      </c>
      <c r="H338" s="20">
        <f>表2_36716262930389121314[[#This Row],[累计净值]]/$B$51-1</f>
        <v>0.11415525114155245</v>
      </c>
    </row>
    <row r="339" spans="1:8">
      <c r="A339" s="15">
        <v>44330</v>
      </c>
      <c r="B339" s="112">
        <v>1.2190000000000001</v>
      </c>
      <c r="C339" s="108">
        <f t="shared" si="106"/>
        <v>-9.9999999999988987E-4</v>
      </c>
      <c r="D339" s="109">
        <f t="shared" si="107"/>
        <v>-9.9999999999988987E-4</v>
      </c>
      <c r="E339" s="109">
        <f ca="1">IF(表2_36716262930389121314[[#This Row],[累计净值]]/MAX(INDIRECT("B21:B" &amp; ROW()))-1&lt;E338,表2_36716262930389121314[[#This Row],[累计净值]]/MAX(INDIRECT("B21:B" &amp; ROW()))-1,E338)</f>
        <v>-2.0583190394511175E-2</v>
      </c>
      <c r="F339" s="110">
        <f>表2_36716262930389121314[[#This Row],[累计净值]]</f>
        <v>1.2190000000000001</v>
      </c>
      <c r="G339" s="20">
        <f>表2_36716262930389121314[[#This Row],[累计净值]]/$B$21-1</f>
        <v>0.14891611687087658</v>
      </c>
      <c r="H339" s="20">
        <f>表2_36716262930389121314[[#This Row],[累计净值]]/$B$51-1</f>
        <v>0.11324200913242022</v>
      </c>
    </row>
    <row r="340" spans="1:8">
      <c r="A340" s="15">
        <v>44333</v>
      </c>
      <c r="B340" s="112">
        <v>1.2210000000000001</v>
      </c>
      <c r="C340" s="108">
        <f>IFERROR(B340-B339,0)</f>
        <v>2.0000000000000018E-3</v>
      </c>
      <c r="D340" s="109" t="str">
        <f>IF(C340&lt;0,C340,"/")</f>
        <v>/</v>
      </c>
      <c r="E340" s="109">
        <f ca="1">IF(表2_36716262930389121314[[#This Row],[累计净值]]/MAX(INDIRECT("B21:B" &amp; ROW()))-1&lt;E339,表2_36716262930389121314[[#This Row],[累计净值]]/MAX(INDIRECT("B21:B" &amp; ROW()))-1,E339)</f>
        <v>-2.0583190394511175E-2</v>
      </c>
      <c r="F340" s="110">
        <f>表2_36716262930389121314[[#This Row],[累计净值]]</f>
        <v>1.2210000000000001</v>
      </c>
      <c r="G340" s="20">
        <f>表2_36716262930389121314[[#This Row],[累计净值]]/$B$21-1</f>
        <v>0.15080113100848269</v>
      </c>
      <c r="H340" s="20">
        <f>表2_36716262930389121314[[#This Row],[累计净值]]/$B$51-1</f>
        <v>0.11506849315068512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224"/>
  <sheetViews>
    <sheetView workbookViewId="0">
      <pane xSplit="1" ySplit="20" topLeftCell="B207" activePane="bottomRight" state="frozen"/>
      <selection activeCell="C123" activeCellId="21" sqref="C23 C28 C33 C37 C42 C47 C52 C57 C62 C67 C72 C77 C82 C87 C92 C97 C101 C106 C111 C116 C118 C123"/>
      <selection pane="topRight" activeCell="C123" activeCellId="21" sqref="C23 C28 C33 C37 C42 C47 C52 C57 C62 C67 C72 C77 C82 C87 C92 C97 C101 C106 C111 C116 C118 C123"/>
      <selection pane="bottomLeft" activeCell="C123" activeCellId="21" sqref="C23 C28 C33 C37 C42 C47 C52 C57 C62 C67 C72 C77 C82 C87 C92 C97 C101 C106 C111 C116 C118 C123"/>
      <selection pane="bottomRight" activeCell="C123" activeCellId="21" sqref="C23 C28 C33 C37 C42 C47 C52 C57 C62 C67 C72 C77 C82 C87 C92 C97 C101 C106 C111 C116 C118 C12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COUNT(表2_367162629303891213141523[每日盈亏])</f>
        <v>204</v>
      </c>
      <c r="C2" s="27"/>
      <c r="D2" s="3" t="s">
        <v>1</v>
      </c>
      <c r="E2" s="28"/>
      <c r="F2" s="1" t="s">
        <v>2</v>
      </c>
      <c r="G2" s="400" t="s">
        <v>3</v>
      </c>
    </row>
    <row r="3" spans="1:7">
      <c r="A3" s="25" t="s">
        <v>4</v>
      </c>
      <c r="B3" s="26">
        <f>COUNTIF(表2_367162629303891213141523[每日盈亏],"&gt;0")</f>
        <v>97</v>
      </c>
      <c r="C3" s="29"/>
      <c r="D3" s="30" t="s">
        <v>5</v>
      </c>
      <c r="E3" s="31">
        <f>245^0.5*(B10-0.025/365)/E10</f>
        <v>-0.5420283268439906</v>
      </c>
      <c r="G3" s="400"/>
    </row>
    <row r="4" spans="1:7">
      <c r="A4" s="25" t="s">
        <v>6</v>
      </c>
      <c r="B4" s="26">
        <f>COUNTIF(表2_367162629303891213141523[每日盈亏],"&lt;0")</f>
        <v>100</v>
      </c>
      <c r="C4" s="29"/>
      <c r="D4" s="32" t="s">
        <v>7</v>
      </c>
      <c r="E4" s="31">
        <f ca="1">-B9/E8</f>
        <v>-7.1586375579301448E-2</v>
      </c>
      <c r="G4" s="2">
        <f>LOOKUP(999^10,表2_367162629303891213141523[累计净值])</f>
        <v>1.0199</v>
      </c>
    </row>
    <row r="5" spans="1:7">
      <c r="A5" s="25" t="s">
        <v>8</v>
      </c>
      <c r="B5" s="26">
        <f>B2-B3-B4</f>
        <v>7</v>
      </c>
      <c r="C5" s="29"/>
      <c r="D5" s="33" t="s">
        <v>9</v>
      </c>
      <c r="E5" s="4">
        <f>245^0.5*(B10-0.025/365)/E9</f>
        <v>-0.87019795132845901</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LOOKUP(999^10,表2_367162629303891213141523[累计净值])/$B$21-1</f>
        <v>-1.6640563821457288E-3</v>
      </c>
      <c r="C8" s="40"/>
      <c r="D8" s="30" t="s">
        <v>13</v>
      </c>
      <c r="E8" s="41">
        <f ca="1">MIN(表2_367162629303891213141523[最大回撤])</f>
        <v>-2.7917310664605788E-2</v>
      </c>
    </row>
    <row r="9" spans="1:7">
      <c r="A9" s="25" t="s">
        <v>14</v>
      </c>
      <c r="B9" s="32">
        <f>B8*245/B2</f>
        <v>-1.9984990864005078E-3</v>
      </c>
      <c r="C9" s="40"/>
      <c r="D9" s="33" t="s">
        <v>15</v>
      </c>
      <c r="E9" s="6">
        <f>STDEV(表2_367162629303891213141523[下跌幅度])</f>
        <v>1.4524361283962581E-3</v>
      </c>
    </row>
    <row r="10" spans="1:7">
      <c r="A10" s="42" t="s">
        <v>16</v>
      </c>
      <c r="B10" s="43">
        <f>AVERAGE(表2_367162629303891213141523[每日盈亏])</f>
        <v>-1.2254901960784052E-5</v>
      </c>
      <c r="C10" s="44"/>
      <c r="D10" s="33" t="s">
        <v>17</v>
      </c>
      <c r="E10" s="6">
        <f>STDEV(表2_367162629303891213141523[每日盈亏])</f>
        <v>2.3318097611707417E-3</v>
      </c>
    </row>
    <row r="11" spans="1:7">
      <c r="A11" s="7" t="s">
        <v>18</v>
      </c>
      <c r="B11" s="32">
        <f>B3/B2</f>
        <v>0.47549019607843135</v>
      </c>
      <c r="C11" s="40"/>
      <c r="D11" s="32" t="s">
        <v>19</v>
      </c>
      <c r="E11" s="41">
        <f>245^0.5*E10</f>
        <v>3.6498595956027301E-2</v>
      </c>
    </row>
    <row r="12" spans="1:7" ht="16" thickBot="1">
      <c r="A12" s="45" t="s">
        <v>20</v>
      </c>
      <c r="B12" s="46">
        <f>-(SUMIF(表2_367162629303891213141523[每日盈亏],"&gt;=0")/B3)/(SUMIF(表2_367162629303891213141523[每日盈亏],"&lt;0")/B4)</f>
        <v>1.0170339289187766</v>
      </c>
      <c r="C12" s="47"/>
      <c r="D12" s="48"/>
      <c r="E12" s="49"/>
    </row>
    <row r="14" spans="1:7" ht="32">
      <c r="A14" s="50" t="s">
        <v>21</v>
      </c>
      <c r="B14" s="50" t="s">
        <v>14</v>
      </c>
      <c r="C14" s="51" t="s">
        <v>19</v>
      </c>
      <c r="D14" s="51" t="s">
        <v>13</v>
      </c>
      <c r="E14" s="51" t="s">
        <v>5</v>
      </c>
      <c r="F14" s="51" t="s">
        <v>7</v>
      </c>
    </row>
    <row r="15" spans="1:7">
      <c r="A15" s="78">
        <f>B2</f>
        <v>204</v>
      </c>
      <c r="B15" s="53">
        <f>B9</f>
        <v>-1.9984990864005078E-3</v>
      </c>
      <c r="C15" s="53">
        <f>E11</f>
        <v>3.6498595956027301E-2</v>
      </c>
      <c r="D15" s="53">
        <f ca="1">E8</f>
        <v>-2.7917310664605788E-2</v>
      </c>
      <c r="E15" s="54">
        <f>E3</f>
        <v>-0.5420283268439906</v>
      </c>
      <c r="F15" s="54">
        <f ca="1">E4</f>
        <v>-7.1586375579301448E-2</v>
      </c>
    </row>
    <row r="19" spans="1:7">
      <c r="A19" s="8"/>
      <c r="B19" s="1" t="s">
        <v>22</v>
      </c>
    </row>
    <row r="20" spans="1:7" ht="16">
      <c r="A20" s="22" t="s">
        <v>23</v>
      </c>
      <c r="B20" s="22" t="s">
        <v>24</v>
      </c>
      <c r="C20" s="22" t="s">
        <v>25</v>
      </c>
      <c r="D20" s="22" t="s">
        <v>26</v>
      </c>
      <c r="E20" s="22" t="s">
        <v>27</v>
      </c>
      <c r="F20" s="22" t="s">
        <v>28</v>
      </c>
      <c r="G20" s="22" t="s">
        <v>29</v>
      </c>
    </row>
    <row r="21" spans="1:7">
      <c r="A21" s="15">
        <v>44026</v>
      </c>
      <c r="B21" s="16">
        <v>1.0216000000000001</v>
      </c>
      <c r="C21" s="11">
        <f t="shared" ref="C21:C29" si="0">IFERROR(B21-B20,0)</f>
        <v>0</v>
      </c>
      <c r="D21" s="12" t="str">
        <f t="shared" ref="D21:D29" si="1">IF(C21&lt;0,C21,"/")</f>
        <v>/</v>
      </c>
      <c r="E21" s="12">
        <f ca="1">IF(表2_367162629303891213141523[[#This Row],[累计净值]]/MAX(INDIRECT("B21:B" &amp; ROW()))-1&lt;E20,表2_367162629303891213141523[[#This Row],[累计净值]]/MAX(INDIRECT("B21:B" &amp; ROW()))-1,E20)</f>
        <v>0</v>
      </c>
      <c r="F21" s="13">
        <f>表2_367162629303891213141523[[#This Row],[累计净值]]</f>
        <v>1.0216000000000001</v>
      </c>
      <c r="G21" s="194" t="s">
        <v>30</v>
      </c>
    </row>
    <row r="22" spans="1:7">
      <c r="A22" s="15">
        <v>44027</v>
      </c>
      <c r="B22" s="16">
        <v>1.0165</v>
      </c>
      <c r="C22" s="17">
        <f t="shared" si="0"/>
        <v>-5.1000000000001044E-3</v>
      </c>
      <c r="D22" s="18">
        <f t="shared" si="1"/>
        <v>-5.1000000000001044E-3</v>
      </c>
      <c r="E22" s="18">
        <f ca="1">IF(表2_367162629303891213141523[[#This Row],[累计净值]]/MAX(INDIRECT("B21:B" &amp; ROW()))-1&lt;E21,表2_367162629303891213141523[[#This Row],[累计净值]]/MAX(INDIRECT("B21:B" &amp; ROW()))-1,E21)</f>
        <v>-4.9921691464370754E-3</v>
      </c>
      <c r="F22" s="19">
        <f>表2_367162629303891213141523[[#This Row],[累计净值]]</f>
        <v>1.0165</v>
      </c>
      <c r="G22" s="20">
        <f>表2_367162629303891213141523[[#This Row],[累计净值]]/$B$21-1</f>
        <v>-4.9921691464370754E-3</v>
      </c>
    </row>
    <row r="23" spans="1:7">
      <c r="A23" s="15">
        <v>44028</v>
      </c>
      <c r="B23" s="16">
        <v>1.0127999999999999</v>
      </c>
      <c r="C23" s="73">
        <f t="shared" si="0"/>
        <v>-3.7000000000000366E-3</v>
      </c>
      <c r="D23" s="18">
        <f t="shared" si="1"/>
        <v>-3.7000000000000366E-3</v>
      </c>
      <c r="E23" s="18">
        <f ca="1">IF(表2_367162629303891213141523[[#This Row],[累计净值]]/MAX(INDIRECT("B21:B" &amp; ROW()))-1&lt;E22,表2_367162629303891213141523[[#This Row],[累计净值]]/MAX(INDIRECT("B21:B" &amp; ROW()))-1,E22)</f>
        <v>-8.6139389193423677E-3</v>
      </c>
      <c r="F23" s="62">
        <f>表2_367162629303891213141523[[#This Row],[累计净值]]</f>
        <v>1.0127999999999999</v>
      </c>
      <c r="G23" s="20">
        <f>表2_367162629303891213141523[[#This Row],[累计净值]]/$B$21-1</f>
        <v>-8.6139389193423677E-3</v>
      </c>
    </row>
    <row r="24" spans="1:7">
      <c r="A24" s="15">
        <v>44029</v>
      </c>
      <c r="B24" s="16">
        <v>1.0152000000000001</v>
      </c>
      <c r="C24" s="73">
        <f t="shared" si="0"/>
        <v>2.4000000000001798E-3</v>
      </c>
      <c r="D24" s="18" t="str">
        <f t="shared" si="1"/>
        <v>/</v>
      </c>
      <c r="E24" s="18">
        <f ca="1">IF(表2_367162629303891213141523[[#This Row],[累计净值]]/MAX(INDIRECT("B21:B" &amp; ROW()))-1&lt;E23,表2_367162629303891213141523[[#This Row],[累计净值]]/MAX(INDIRECT("B21:B" &amp; ROW()))-1,E23)</f>
        <v>-8.6139389193423677E-3</v>
      </c>
      <c r="F24" s="62">
        <f>表2_367162629303891213141523[[#This Row],[累计净值]]</f>
        <v>1.0152000000000001</v>
      </c>
      <c r="G24" s="20">
        <f>表2_367162629303891213141523[[#This Row],[累计净值]]/$B$21-1</f>
        <v>-6.2646828504306917E-3</v>
      </c>
    </row>
    <row r="25" spans="1:7">
      <c r="A25" s="15">
        <v>44032</v>
      </c>
      <c r="B25" s="112">
        <v>1.0181</v>
      </c>
      <c r="C25" s="108">
        <f t="shared" si="0"/>
        <v>2.8999999999999027E-3</v>
      </c>
      <c r="D25" s="109" t="str">
        <f t="shared" si="1"/>
        <v>/</v>
      </c>
      <c r="E25" s="109">
        <f ca="1">IF(表2_367162629303891213141523[[#This Row],[累计净值]]/MAX(INDIRECT("B21:B" &amp; ROW()))-1&lt;E24,表2_367162629303891213141523[[#This Row],[累计净值]]/MAX(INDIRECT("B21:B" &amp; ROW()))-1,E24)</f>
        <v>-8.6139389193423677E-3</v>
      </c>
      <c r="F25" s="110">
        <f>表2_367162629303891213141523[[#This Row],[累计净值]]</f>
        <v>1.0181</v>
      </c>
      <c r="G25" s="20">
        <f>表2_367162629303891213141523[[#This Row],[累计净值]]/$B$21-1</f>
        <v>-3.4259984338292915E-3</v>
      </c>
    </row>
    <row r="26" spans="1:7">
      <c r="A26" s="15">
        <v>44033</v>
      </c>
      <c r="B26" s="112">
        <v>1.0203</v>
      </c>
      <c r="C26" s="108">
        <f t="shared" si="0"/>
        <v>2.1999999999999797E-3</v>
      </c>
      <c r="D26" s="109" t="str">
        <f t="shared" si="1"/>
        <v>/</v>
      </c>
      <c r="E26" s="109">
        <f ca="1">IF(表2_367162629303891213141523[[#This Row],[累计净值]]/MAX(INDIRECT("B21:B" &amp; ROW()))-1&lt;E25,表2_367162629303891213141523[[#This Row],[累计净值]]/MAX(INDIRECT("B21:B" &amp; ROW()))-1,E25)</f>
        <v>-8.6139389193423677E-3</v>
      </c>
      <c r="F26" s="110">
        <f>表2_367162629303891213141523[[#This Row],[累计净值]]</f>
        <v>1.0203</v>
      </c>
      <c r="G26" s="20">
        <f>表2_367162629303891213141523[[#This Row],[累计净值]]/$B$21-1</f>
        <v>-1.2725137039938383E-3</v>
      </c>
    </row>
    <row r="27" spans="1:7">
      <c r="A27" s="15">
        <v>44034</v>
      </c>
      <c r="B27" s="112">
        <v>1.0206999999999999</v>
      </c>
      <c r="C27" s="108">
        <f t="shared" si="0"/>
        <v>3.9999999999995595E-4</v>
      </c>
      <c r="D27" s="109" t="str">
        <f t="shared" si="1"/>
        <v>/</v>
      </c>
      <c r="E27" s="109">
        <f ca="1">IF(表2_367162629303891213141523[[#This Row],[累计净值]]/MAX(INDIRECT("B21:B" &amp; ROW()))-1&lt;E26,表2_367162629303891213141523[[#This Row],[累计净值]]/MAX(INDIRECT("B21:B" &amp; ROW()))-1,E26)</f>
        <v>-8.6139389193423677E-3</v>
      </c>
      <c r="F27" s="110">
        <f>表2_367162629303891213141523[[#This Row],[累计净值]]</f>
        <v>1.0206999999999999</v>
      </c>
      <c r="G27" s="20">
        <f>表2_367162629303891213141523[[#This Row],[累计净值]]/$B$21-1</f>
        <v>-8.8097102584194786E-4</v>
      </c>
    </row>
    <row r="28" spans="1:7">
      <c r="A28" s="15">
        <v>44035</v>
      </c>
      <c r="B28" s="112">
        <v>1.0203</v>
      </c>
      <c r="C28" s="108">
        <f t="shared" si="0"/>
        <v>-3.9999999999995595E-4</v>
      </c>
      <c r="D28" s="109">
        <f t="shared" si="1"/>
        <v>-3.9999999999995595E-4</v>
      </c>
      <c r="E28" s="109">
        <f ca="1">IF(表2_367162629303891213141523[[#This Row],[累计净值]]/MAX(INDIRECT("B21:B" &amp; ROW()))-1&lt;E27,表2_367162629303891213141523[[#This Row],[累计净值]]/MAX(INDIRECT("B21:B" &amp; ROW()))-1,E27)</f>
        <v>-8.6139389193423677E-3</v>
      </c>
      <c r="F28" s="110">
        <f>表2_367162629303891213141523[[#This Row],[累计净值]]</f>
        <v>1.0203</v>
      </c>
      <c r="G28" s="20">
        <f>表2_367162629303891213141523[[#This Row],[累计净值]]/$B$21-1</f>
        <v>-1.2725137039938383E-3</v>
      </c>
    </row>
    <row r="29" spans="1:7">
      <c r="A29" s="15">
        <v>44036</v>
      </c>
      <c r="B29" s="112">
        <v>1.0175000000000001</v>
      </c>
      <c r="C29" s="108">
        <f t="shared" si="0"/>
        <v>-2.7999999999999137E-3</v>
      </c>
      <c r="D29" s="109">
        <f t="shared" si="1"/>
        <v>-2.7999999999999137E-3</v>
      </c>
      <c r="E29" s="109">
        <f ca="1">IF(表2_367162629303891213141523[[#This Row],[累计净值]]/MAX(INDIRECT("B21:B" &amp; ROW()))-1&lt;E28,表2_367162629303891213141523[[#This Row],[累计净值]]/MAX(INDIRECT("B21:B" &amp; ROW()))-1,E28)</f>
        <v>-8.6139389193423677E-3</v>
      </c>
      <c r="F29" s="110">
        <f>表2_367162629303891213141523[[#This Row],[累计净值]]</f>
        <v>1.0175000000000001</v>
      </c>
      <c r="G29" s="20">
        <f>表2_367162629303891213141523[[#This Row],[累计净值]]/$B$21-1</f>
        <v>-4.0133124510571827E-3</v>
      </c>
    </row>
    <row r="30" spans="1:7">
      <c r="A30" s="15">
        <v>44039</v>
      </c>
      <c r="B30" s="112">
        <v>1.0199</v>
      </c>
      <c r="C30" s="108">
        <f t="shared" ref="C30:C35" si="2">IFERROR(B30-B29,0)</f>
        <v>2.3999999999999577E-3</v>
      </c>
      <c r="D30" s="109" t="str">
        <f t="shared" ref="D30:D35" si="3">IF(C30&lt;0,C30,"/")</f>
        <v>/</v>
      </c>
      <c r="E30" s="109">
        <f ca="1">IF(表2_367162629303891213141523[[#This Row],[累计净值]]/MAX(INDIRECT("B21:B" &amp; ROW()))-1&lt;E29,表2_367162629303891213141523[[#This Row],[累计净值]]/MAX(INDIRECT("B21:B" &amp; ROW()))-1,E29)</f>
        <v>-8.6139389193423677E-3</v>
      </c>
      <c r="F30" s="110">
        <f>表2_367162629303891213141523[[#This Row],[累计净值]]</f>
        <v>1.0199</v>
      </c>
      <c r="G30" s="20">
        <f>表2_367162629303891213141523[[#This Row],[累计净值]]/$B$21-1</f>
        <v>-1.6640563821457288E-3</v>
      </c>
    </row>
    <row r="31" spans="1:7">
      <c r="A31" s="15">
        <v>44040</v>
      </c>
      <c r="B31" s="112">
        <v>1.0215000000000001</v>
      </c>
      <c r="C31" s="108">
        <f t="shared" si="2"/>
        <v>1.6000000000000458E-3</v>
      </c>
      <c r="D31" s="109" t="str">
        <f t="shared" si="3"/>
        <v>/</v>
      </c>
      <c r="E31" s="109">
        <f ca="1">IF(表2_367162629303891213141523[[#This Row],[累计净值]]/MAX(INDIRECT("B21:B" &amp; ROW()))-1&lt;E30,表2_367162629303891213141523[[#This Row],[累计净值]]/MAX(INDIRECT("B21:B" &amp; ROW()))-1,E30)</f>
        <v>-8.6139389193423677E-3</v>
      </c>
      <c r="F31" s="110">
        <f>表2_367162629303891213141523[[#This Row],[累计净值]]</f>
        <v>1.0215000000000001</v>
      </c>
      <c r="G31" s="20">
        <f>表2_367162629303891213141523[[#This Row],[累计净值]]/$B$21-1</f>
        <v>-9.7885669537944864E-5</v>
      </c>
    </row>
    <row r="32" spans="1:7">
      <c r="A32" s="15">
        <v>44041</v>
      </c>
      <c r="B32" s="112">
        <v>1.0206999999999999</v>
      </c>
      <c r="C32" s="108">
        <f t="shared" si="2"/>
        <v>-8.0000000000013394E-4</v>
      </c>
      <c r="D32" s="109">
        <f t="shared" si="3"/>
        <v>-8.0000000000013394E-4</v>
      </c>
      <c r="E32" s="109">
        <f ca="1">IF(表2_367162629303891213141523[[#This Row],[累计净值]]/MAX(INDIRECT("B21:B" &amp; ROW()))-1&lt;E31,表2_367162629303891213141523[[#This Row],[累计净值]]/MAX(INDIRECT("B21:B" &amp; ROW()))-1,E31)</f>
        <v>-8.6139389193423677E-3</v>
      </c>
      <c r="F32" s="110">
        <f>表2_367162629303891213141523[[#This Row],[累计净值]]</f>
        <v>1.0206999999999999</v>
      </c>
      <c r="G32" s="20">
        <f>表2_367162629303891213141523[[#This Row],[累计净值]]/$B$21-1</f>
        <v>-8.8097102584194786E-4</v>
      </c>
    </row>
    <row r="33" spans="1:7">
      <c r="A33" s="15">
        <v>44042</v>
      </c>
      <c r="B33" s="112">
        <v>1.0217000000000001</v>
      </c>
      <c r="C33" s="108">
        <f t="shared" si="2"/>
        <v>1.0000000000001119E-3</v>
      </c>
      <c r="D33" s="109" t="str">
        <f t="shared" si="3"/>
        <v>/</v>
      </c>
      <c r="E33" s="109">
        <f ca="1">IF(表2_367162629303891213141523[[#This Row],[累计净值]]/MAX(INDIRECT("B21:B" &amp; ROW()))-1&lt;E32,表2_367162629303891213141523[[#This Row],[累计净值]]/MAX(INDIRECT("B21:B" &amp; ROW()))-1,E32)</f>
        <v>-8.6139389193423677E-3</v>
      </c>
      <c r="F33" s="110">
        <f>表2_367162629303891213141523[[#This Row],[累计净值]]</f>
        <v>1.0217000000000001</v>
      </c>
      <c r="G33" s="20">
        <f>表2_367162629303891213141523[[#This Row],[累计净值]]/$B$21-1</f>
        <v>9.7885669537944864E-5</v>
      </c>
    </row>
    <row r="34" spans="1:7">
      <c r="A34" s="15">
        <v>44043</v>
      </c>
      <c r="B34" s="112">
        <v>1.0248999999999999</v>
      </c>
      <c r="C34" s="108">
        <f t="shared" si="2"/>
        <v>3.1999999999998696E-3</v>
      </c>
      <c r="D34" s="109" t="str">
        <f t="shared" si="3"/>
        <v>/</v>
      </c>
      <c r="E34" s="109">
        <f ca="1">IF(表2_367162629303891213141523[[#This Row],[累计净值]]/MAX(INDIRECT("B21:B" &amp; ROW()))-1&lt;E33,表2_367162629303891213141523[[#This Row],[累计净值]]/MAX(INDIRECT("B21:B" &amp; ROW()))-1,E33)</f>
        <v>-8.6139389193423677E-3</v>
      </c>
      <c r="F34" s="110">
        <f>表2_367162629303891213141523[[#This Row],[累计净值]]</f>
        <v>1.0248999999999999</v>
      </c>
      <c r="G34" s="20">
        <f>表2_367162629303891213141523[[#This Row],[累计净值]]/$B$21-1</f>
        <v>3.2302270947532907E-3</v>
      </c>
    </row>
    <row r="35" spans="1:7">
      <c r="A35" s="15">
        <v>44046</v>
      </c>
      <c r="B35" s="112">
        <v>1.0266999999999999</v>
      </c>
      <c r="C35" s="108">
        <f t="shared" si="2"/>
        <v>1.8000000000000238E-3</v>
      </c>
      <c r="D35" s="109" t="str">
        <f t="shared" si="3"/>
        <v>/</v>
      </c>
      <c r="E35" s="109">
        <f ca="1">IF(表2_367162629303891213141523[[#This Row],[累计净值]]/MAX(INDIRECT("B21:B" &amp; ROW()))-1&lt;E34,表2_367162629303891213141523[[#This Row],[累计净值]]/MAX(INDIRECT("B21:B" &amp; ROW()))-1,E34)</f>
        <v>-8.6139389193423677E-3</v>
      </c>
      <c r="F35" s="110">
        <f>表2_367162629303891213141523[[#This Row],[累计净值]]</f>
        <v>1.0266999999999999</v>
      </c>
      <c r="G35" s="20">
        <f>表2_367162629303891213141523[[#This Row],[累计净值]]/$B$21-1</f>
        <v>4.9921691464367424E-3</v>
      </c>
    </row>
    <row r="36" spans="1:7">
      <c r="A36" s="15">
        <v>44047</v>
      </c>
      <c r="B36" s="112">
        <v>1.0258</v>
      </c>
      <c r="C36" s="108">
        <f>IFERROR(B36-B35,0)</f>
        <v>-8.9999999999990088E-4</v>
      </c>
      <c r="D36" s="109">
        <f>IF(C36&lt;0,C36,"/")</f>
        <v>-8.9999999999990088E-4</v>
      </c>
      <c r="E36" s="109">
        <f ca="1">IF(表2_367162629303891213141523[[#This Row],[累计净值]]/MAX(INDIRECT("B21:B" &amp; ROW()))-1&lt;E35,表2_367162629303891213141523[[#This Row],[累计净值]]/MAX(INDIRECT("B21:B" &amp; ROW()))-1,E35)</f>
        <v>-8.6139389193423677E-3</v>
      </c>
      <c r="F36" s="110">
        <f>表2_367162629303891213141523[[#This Row],[累计净值]]</f>
        <v>1.0258</v>
      </c>
      <c r="G36" s="20">
        <f>表2_367162629303891213141523[[#This Row],[累计净值]]/$B$21-1</f>
        <v>4.1111981205950165E-3</v>
      </c>
    </row>
    <row r="37" spans="1:7">
      <c r="A37" s="15">
        <v>44048</v>
      </c>
      <c r="B37" s="112">
        <v>1.0309999999999999</v>
      </c>
      <c r="C37" s="108">
        <f>IFERROR(B37-B36,0)</f>
        <v>5.1999999999998714E-3</v>
      </c>
      <c r="D37" s="109" t="str">
        <f>IF(C37&lt;0,C37,"/")</f>
        <v>/</v>
      </c>
      <c r="E37" s="109">
        <f ca="1">IF(表2_367162629303891213141523[[#This Row],[累计净值]]/MAX(INDIRECT("B21:B" &amp; ROW()))-1&lt;E36,表2_367162629303891213141523[[#This Row],[累计净值]]/MAX(INDIRECT("B21:B" &amp; ROW()))-1,E36)</f>
        <v>-8.6139389193423677E-3</v>
      </c>
      <c r="F37" s="110">
        <f>表2_367162629303891213141523[[#This Row],[累计净值]]</f>
        <v>1.0309999999999999</v>
      </c>
      <c r="G37" s="20">
        <f>表2_367162629303891213141523[[#This Row],[累计净值]]/$B$21-1</f>
        <v>9.2012529365699258E-3</v>
      </c>
    </row>
    <row r="38" spans="1:7">
      <c r="A38" s="15">
        <v>44049</v>
      </c>
      <c r="B38" s="112">
        <v>1.0314000000000001</v>
      </c>
      <c r="C38" s="108">
        <f>IFERROR(B38-B37,0)</f>
        <v>4.0000000000017799E-4</v>
      </c>
      <c r="D38" s="109" t="str">
        <f>IF(C38&lt;0,C38,"/")</f>
        <v>/</v>
      </c>
      <c r="E38" s="109">
        <f ca="1">IF(表2_367162629303891213141523[[#This Row],[累计净值]]/MAX(INDIRECT("B21:B" &amp; ROW()))-1&lt;E37,表2_367162629303891213141523[[#This Row],[累计净值]]/MAX(INDIRECT("B21:B" &amp; ROW()))-1,E37)</f>
        <v>-8.6139389193423677E-3</v>
      </c>
      <c r="F38" s="110">
        <f>表2_367162629303891213141523[[#This Row],[累计净值]]</f>
        <v>1.0314000000000001</v>
      </c>
      <c r="G38" s="20">
        <f>表2_367162629303891213141523[[#This Row],[累计净值]]/$B$21-1</f>
        <v>9.5927956147219273E-3</v>
      </c>
    </row>
    <row r="39" spans="1:7">
      <c r="A39" s="15">
        <v>44050</v>
      </c>
      <c r="B39" s="112">
        <v>1.0310999999999999</v>
      </c>
      <c r="C39" s="108">
        <f>IFERROR(B39-B38,0)</f>
        <v>-3.00000000000189E-4</v>
      </c>
      <c r="D39" s="109">
        <f>IF(C39&lt;0,C39,"/")</f>
        <v>-3.00000000000189E-4</v>
      </c>
      <c r="E39" s="109">
        <f ca="1">IF(表2_367162629303891213141523[[#This Row],[累计净值]]/MAX(INDIRECT("B21:B" &amp; ROW()))-1&lt;E38,表2_367162629303891213141523[[#This Row],[累计净值]]/MAX(INDIRECT("B21:B" &amp; ROW()))-1,E38)</f>
        <v>-8.6139389193423677E-3</v>
      </c>
      <c r="F39" s="110">
        <f>表2_367162629303891213141523[[#This Row],[累计净值]]</f>
        <v>1.0310999999999999</v>
      </c>
      <c r="G39" s="20">
        <f>表2_367162629303891213141523[[#This Row],[累计净值]]/$B$21-1</f>
        <v>9.2991386061078707E-3</v>
      </c>
    </row>
    <row r="40" spans="1:7">
      <c r="A40" s="15">
        <v>44053</v>
      </c>
      <c r="B40" s="112">
        <v>1.0303</v>
      </c>
      <c r="C40" s="108">
        <f>IFERROR(B40-B39,0)</f>
        <v>-7.9999999999991189E-4</v>
      </c>
      <c r="D40" s="109">
        <f>IF(C40&lt;0,C40,"/")</f>
        <v>-7.9999999999991189E-4</v>
      </c>
      <c r="E40" s="109">
        <f ca="1">IF(表2_367162629303891213141523[[#This Row],[累计净值]]/MAX(INDIRECT("B21:B" &amp; ROW()))-1&lt;E39,表2_367162629303891213141523[[#This Row],[累计净值]]/MAX(INDIRECT("B21:B" &amp; ROW()))-1,E39)</f>
        <v>-8.6139389193423677E-3</v>
      </c>
      <c r="F40" s="110">
        <f>表2_367162629303891213141523[[#This Row],[累计净值]]</f>
        <v>1.0303</v>
      </c>
      <c r="G40" s="20">
        <f>表2_367162629303891213141523[[#This Row],[累计净值]]/$B$21-1</f>
        <v>8.5160532498040897E-3</v>
      </c>
    </row>
    <row r="41" spans="1:7">
      <c r="A41" s="15">
        <v>44054</v>
      </c>
      <c r="B41" s="112">
        <v>1.0253000000000001</v>
      </c>
      <c r="C41" s="108">
        <f t="shared" ref="C41:C46" si="4">IFERROR(B41-B40,0)</f>
        <v>-4.9999999999998934E-3</v>
      </c>
      <c r="D41" s="109">
        <f t="shared" ref="D41:D46" si="5">IF(C41&lt;0,C41,"/")</f>
        <v>-4.9999999999998934E-3</v>
      </c>
      <c r="E41" s="109">
        <f ca="1">IF(表2_367162629303891213141523[[#This Row],[累计净值]]/MAX(INDIRECT("B21:B" &amp; ROW()))-1&lt;E40,表2_367162629303891213141523[[#This Row],[累计净值]]/MAX(INDIRECT("B21:B" &amp; ROW()))-1,E40)</f>
        <v>-8.6139389193423677E-3</v>
      </c>
      <c r="F41" s="110">
        <f>表2_367162629303891213141523[[#This Row],[累计净值]]</f>
        <v>1.0253000000000001</v>
      </c>
      <c r="G41" s="20">
        <f>表2_367162629303891213141523[[#This Row],[累计净值]]/$B$21-1</f>
        <v>3.6217697729052922E-3</v>
      </c>
    </row>
    <row r="42" spans="1:7">
      <c r="A42" s="15">
        <v>44055</v>
      </c>
      <c r="B42" s="113">
        <v>1.0279</v>
      </c>
      <c r="C42" s="108">
        <f t="shared" si="4"/>
        <v>2.5999999999999357E-3</v>
      </c>
      <c r="D42" s="109" t="str">
        <f t="shared" si="5"/>
        <v>/</v>
      </c>
      <c r="E42" s="109">
        <f ca="1">IF(表2_367162629303891213141523[[#This Row],[累计净值]]/MAX(INDIRECT("B21:B" &amp; ROW()))-1&lt;E41,表2_367162629303891213141523[[#This Row],[累计净值]]/MAX(INDIRECT("B21:B" &amp; ROW()))-1,E41)</f>
        <v>-8.6139389193423677E-3</v>
      </c>
      <c r="F42" s="110">
        <f>表2_367162629303891213141523[[#This Row],[累计净值]]</f>
        <v>1.0279</v>
      </c>
      <c r="G42" s="20">
        <f>表2_367162629303891213141523[[#This Row],[累计净值]]/$B$21-1</f>
        <v>6.1667971808927469E-3</v>
      </c>
    </row>
    <row r="43" spans="1:7">
      <c r="A43" s="15">
        <v>44056</v>
      </c>
      <c r="B43" s="112">
        <v>1.0254000000000001</v>
      </c>
      <c r="C43" s="108">
        <f t="shared" si="4"/>
        <v>-2.4999999999999467E-3</v>
      </c>
      <c r="D43" s="109">
        <f t="shared" si="5"/>
        <v>-2.4999999999999467E-3</v>
      </c>
      <c r="E43" s="109">
        <f ca="1">IF(表2_367162629303891213141523[[#This Row],[累计净值]]/MAX(INDIRECT("B21:B" &amp; ROW()))-1&lt;E42,表2_367162629303891213141523[[#This Row],[累计净值]]/MAX(INDIRECT("B21:B" &amp; ROW()))-1,E42)</f>
        <v>-8.6139389193423677E-3</v>
      </c>
      <c r="F43" s="110">
        <f>表2_367162629303891213141523[[#This Row],[累计净值]]</f>
        <v>1.0254000000000001</v>
      </c>
      <c r="G43" s="20">
        <f>表2_367162629303891213141523[[#This Row],[累计净值]]/$B$21-1</f>
        <v>3.7196554424432371E-3</v>
      </c>
    </row>
    <row r="44" spans="1:7">
      <c r="A44" s="15">
        <v>44057</v>
      </c>
      <c r="B44" s="112">
        <v>1.0294000000000001</v>
      </c>
      <c r="C44" s="108">
        <f t="shared" si="4"/>
        <v>4.0000000000000036E-3</v>
      </c>
      <c r="D44" s="109" t="str">
        <f t="shared" si="5"/>
        <v>/</v>
      </c>
      <c r="E44" s="109">
        <f ca="1">IF(表2_367162629303891213141523[[#This Row],[累计净值]]/MAX(INDIRECT("B21:B" &amp; ROW()))-1&lt;E43,表2_367162629303891213141523[[#This Row],[累计净值]]/MAX(INDIRECT("B21:B" &amp; ROW()))-1,E43)</f>
        <v>-8.6139389193423677E-3</v>
      </c>
      <c r="F44" s="110">
        <f>表2_367162629303891213141523[[#This Row],[累计净值]]</f>
        <v>1.0294000000000001</v>
      </c>
      <c r="G44" s="20">
        <f>表2_367162629303891213141523[[#This Row],[累计净值]]/$B$21-1</f>
        <v>7.6350822239623639E-3</v>
      </c>
    </row>
    <row r="45" spans="1:7">
      <c r="A45" s="15">
        <v>44060</v>
      </c>
      <c r="B45" s="112">
        <v>1.0271999999999999</v>
      </c>
      <c r="C45" s="108">
        <f t="shared" si="4"/>
        <v>-2.2000000000002018E-3</v>
      </c>
      <c r="D45" s="109">
        <f t="shared" si="5"/>
        <v>-2.2000000000002018E-3</v>
      </c>
      <c r="E45" s="109">
        <f ca="1">IF(表2_367162629303891213141523[[#This Row],[累计净值]]/MAX(INDIRECT("B21:B" &amp; ROW()))-1&lt;E44,表2_367162629303891213141523[[#This Row],[累计净值]]/MAX(INDIRECT("B21:B" &amp; ROW()))-1,E44)</f>
        <v>-8.6139389193423677E-3</v>
      </c>
      <c r="F45" s="110">
        <f>表2_367162629303891213141523[[#This Row],[累计净值]]</f>
        <v>1.0271999999999999</v>
      </c>
      <c r="G45" s="20">
        <f>表2_367162629303891213141523[[#This Row],[累计净值]]/$B$21-1</f>
        <v>5.4815974941266887E-3</v>
      </c>
    </row>
    <row r="46" spans="1:7">
      <c r="A46" s="15">
        <v>44061</v>
      </c>
      <c r="B46" s="112">
        <v>1.0290999999999999</v>
      </c>
      <c r="C46" s="108">
        <f t="shared" si="4"/>
        <v>1.9000000000000128E-3</v>
      </c>
      <c r="D46" s="109" t="str">
        <f t="shared" si="5"/>
        <v>/</v>
      </c>
      <c r="E46" s="109">
        <f ca="1">IF(表2_367162629303891213141523[[#This Row],[累计净值]]/MAX(INDIRECT("B21:B" &amp; ROW()))-1&lt;E45,表2_367162629303891213141523[[#This Row],[累计净值]]/MAX(INDIRECT("B21:B" &amp; ROW()))-1,E45)</f>
        <v>-8.6139389193423677E-3</v>
      </c>
      <c r="F46" s="110">
        <f>表2_367162629303891213141523[[#This Row],[累计净值]]</f>
        <v>1.0290999999999999</v>
      </c>
      <c r="G46" s="20">
        <f>表2_367162629303891213141523[[#This Row],[累计净值]]/$B$21-1</f>
        <v>7.3414252153483073E-3</v>
      </c>
    </row>
    <row r="47" spans="1:7">
      <c r="A47" s="15">
        <v>44062</v>
      </c>
      <c r="B47" s="112">
        <v>1.0314000000000001</v>
      </c>
      <c r="C47" s="108">
        <f t="shared" ref="C47:C52" si="6">IFERROR(B47-B46,0)</f>
        <v>2.3000000000001908E-3</v>
      </c>
      <c r="D47" s="109" t="str">
        <f t="shared" ref="D47:D52" si="7">IF(C47&lt;0,C47,"/")</f>
        <v>/</v>
      </c>
      <c r="E47" s="109">
        <f ca="1">IF(表2_367162629303891213141523[[#This Row],[累计净值]]/MAX(INDIRECT("B21:B" &amp; ROW()))-1&lt;E46,表2_367162629303891213141523[[#This Row],[累计净值]]/MAX(INDIRECT("B21:B" &amp; ROW()))-1,E46)</f>
        <v>-8.6139389193423677E-3</v>
      </c>
      <c r="F47" s="110">
        <f>表2_367162629303891213141523[[#This Row],[累计净值]]</f>
        <v>1.0314000000000001</v>
      </c>
      <c r="G47" s="20">
        <f>表2_367162629303891213141523[[#This Row],[累计净值]]/$B$21-1</f>
        <v>9.5927956147219273E-3</v>
      </c>
    </row>
    <row r="48" spans="1:7">
      <c r="A48" s="15">
        <v>44063</v>
      </c>
      <c r="B48" s="112">
        <v>1.0291999999999999</v>
      </c>
      <c r="C48" s="108">
        <f t="shared" si="6"/>
        <v>-2.2000000000002018E-3</v>
      </c>
      <c r="D48" s="109">
        <f t="shared" si="7"/>
        <v>-2.2000000000002018E-3</v>
      </c>
      <c r="E48" s="109">
        <f ca="1">IF(表2_367162629303891213141523[[#This Row],[累计净值]]/MAX(INDIRECT("B21:B" &amp; ROW()))-1&lt;E47,表2_367162629303891213141523[[#This Row],[累计净值]]/MAX(INDIRECT("B21:B" &amp; ROW()))-1,E47)</f>
        <v>-8.6139389193423677E-3</v>
      </c>
      <c r="F48" s="110">
        <f>表2_367162629303891213141523[[#This Row],[累计净值]]</f>
        <v>1.0291999999999999</v>
      </c>
      <c r="G48" s="20">
        <f>表2_367162629303891213141523[[#This Row],[累计净值]]/$B$21-1</f>
        <v>7.4393108848862521E-3</v>
      </c>
    </row>
    <row r="49" spans="1:10">
      <c r="A49" s="15">
        <v>44064</v>
      </c>
      <c r="B49" s="112">
        <v>1.0336000000000001</v>
      </c>
      <c r="C49" s="108">
        <f t="shared" si="6"/>
        <v>4.4000000000001815E-3</v>
      </c>
      <c r="D49" s="109" t="str">
        <f t="shared" si="7"/>
        <v>/</v>
      </c>
      <c r="E49" s="109">
        <f ca="1">IF(表2_367162629303891213141523[[#This Row],[累计净值]]/MAX(INDIRECT("B21:B" &amp; ROW()))-1&lt;E48,表2_367162629303891213141523[[#This Row],[累计净值]]/MAX(INDIRECT("B21:B" &amp; ROW()))-1,E48)</f>
        <v>-8.6139389193423677E-3</v>
      </c>
      <c r="F49" s="110">
        <f>表2_367162629303891213141523[[#This Row],[累计净值]]</f>
        <v>1.0336000000000001</v>
      </c>
      <c r="G49" s="20">
        <f>表2_367162629303891213141523[[#This Row],[累计净值]]/$B$21-1</f>
        <v>1.1746280344557603E-2</v>
      </c>
    </row>
    <row r="50" spans="1:10">
      <c r="A50" s="15">
        <v>44067</v>
      </c>
      <c r="B50" s="112">
        <v>1.0310999999999999</v>
      </c>
      <c r="C50" s="108">
        <f t="shared" si="6"/>
        <v>-2.5000000000001688E-3</v>
      </c>
      <c r="D50" s="109">
        <f t="shared" si="7"/>
        <v>-2.5000000000001688E-3</v>
      </c>
      <c r="E50" s="109">
        <f ca="1">IF(表2_367162629303891213141523[[#This Row],[累计净值]]/MAX(INDIRECT("B21:B" &amp; ROW()))-1&lt;E49,表2_367162629303891213141523[[#This Row],[累计净值]]/MAX(INDIRECT("B21:B" &amp; ROW()))-1,E49)</f>
        <v>-8.6139389193423677E-3</v>
      </c>
      <c r="F50" s="110">
        <f>表2_367162629303891213141523[[#This Row],[累计净值]]</f>
        <v>1.0310999999999999</v>
      </c>
      <c r="G50" s="20">
        <f>表2_367162629303891213141523[[#This Row],[累计净值]]/$B$21-1</f>
        <v>9.2991386061078707E-3</v>
      </c>
    </row>
    <row r="51" spans="1:10">
      <c r="A51" s="15">
        <v>44068</v>
      </c>
      <c r="B51" s="112">
        <v>1.0323</v>
      </c>
      <c r="C51" s="108">
        <f t="shared" si="6"/>
        <v>1.2000000000000899E-3</v>
      </c>
      <c r="D51" s="109" t="str">
        <f t="shared" si="7"/>
        <v>/</v>
      </c>
      <c r="E51" s="109">
        <f ca="1">IF(表2_367162629303891213141523[[#This Row],[累计净值]]/MAX(INDIRECT("B21:B" &amp; ROW()))-1&lt;E50,表2_367162629303891213141523[[#This Row],[累计净值]]/MAX(INDIRECT("B21:B" &amp; ROW()))-1,E50)</f>
        <v>-8.6139389193423677E-3</v>
      </c>
      <c r="F51" s="110">
        <f>表2_367162629303891213141523[[#This Row],[累计净值]]</f>
        <v>1.0323</v>
      </c>
      <c r="G51" s="20">
        <f>表2_367162629303891213141523[[#This Row],[累计净值]]/$B$21-1</f>
        <v>1.0473766640563653E-2</v>
      </c>
    </row>
    <row r="52" spans="1:10">
      <c r="A52" s="15">
        <v>44069</v>
      </c>
      <c r="B52" s="112">
        <v>1.0282</v>
      </c>
      <c r="C52" s="108">
        <f t="shared" si="6"/>
        <v>-4.0999999999999925E-3</v>
      </c>
      <c r="D52" s="109">
        <f t="shared" si="7"/>
        <v>-4.0999999999999925E-3</v>
      </c>
      <c r="E52" s="109">
        <f ca="1">IF(表2_367162629303891213141523[[#This Row],[累计净值]]/MAX(INDIRECT("B21:B" &amp; ROW()))-1&lt;E51,表2_367162629303891213141523[[#This Row],[累计净值]]/MAX(INDIRECT("B21:B" &amp; ROW()))-1,E51)</f>
        <v>-8.6139389193423677E-3</v>
      </c>
      <c r="F52" s="110">
        <f>表2_367162629303891213141523[[#This Row],[累计净值]]</f>
        <v>1.0282</v>
      </c>
      <c r="G52" s="20">
        <f>表2_367162629303891213141523[[#This Row],[累计净值]]/$B$21-1</f>
        <v>6.4604541895065815E-3</v>
      </c>
    </row>
    <row r="53" spans="1:10">
      <c r="A53" s="15">
        <v>44070</v>
      </c>
      <c r="B53" s="112">
        <v>1.0322</v>
      </c>
      <c r="C53" s="108">
        <f t="shared" ref="C53:C59" si="8">IFERROR(B53-B52,0)</f>
        <v>4.0000000000000036E-3</v>
      </c>
      <c r="D53" s="109" t="str">
        <f t="shared" ref="D53:D59" si="9">IF(C53&lt;0,C53,"/")</f>
        <v>/</v>
      </c>
      <c r="E53" s="109">
        <f ca="1">IF(表2_367162629303891213141523[[#This Row],[累计净值]]/MAX(INDIRECT("B21:B" &amp; ROW()))-1&lt;E52,表2_367162629303891213141523[[#This Row],[累计净值]]/MAX(INDIRECT("B21:B" &amp; ROW()))-1,E52)</f>
        <v>-8.6139389193423677E-3</v>
      </c>
      <c r="F53" s="110">
        <f>表2_367162629303891213141523[[#This Row],[累计净值]]</f>
        <v>1.0322</v>
      </c>
      <c r="G53" s="20">
        <f>表2_367162629303891213141523[[#This Row],[累计净值]]/$B$21-1</f>
        <v>1.0375880971025708E-2</v>
      </c>
    </row>
    <row r="54" spans="1:10">
      <c r="A54" s="15">
        <v>44071</v>
      </c>
      <c r="B54" s="112">
        <v>1.0351999999999999</v>
      </c>
      <c r="C54" s="108">
        <f t="shared" si="8"/>
        <v>2.9999999999998916E-3</v>
      </c>
      <c r="D54" s="109" t="str">
        <f t="shared" si="9"/>
        <v>/</v>
      </c>
      <c r="E54" s="109">
        <f ca="1">IF(表2_367162629303891213141523[[#This Row],[累计净值]]/MAX(INDIRECT("B21:B" &amp; ROW()))-1&lt;E53,表2_367162629303891213141523[[#This Row],[累计净值]]/MAX(INDIRECT("B21:B" &amp; ROW()))-1,E53)</f>
        <v>-8.6139389193423677E-3</v>
      </c>
      <c r="F54" s="110">
        <f>表2_367162629303891213141523[[#This Row],[累计净值]]</f>
        <v>1.0351999999999999</v>
      </c>
      <c r="G54" s="20">
        <f>表2_367162629303891213141523[[#This Row],[累计净值]]/$B$21-1</f>
        <v>1.3312451057165164E-2</v>
      </c>
    </row>
    <row r="55" spans="1:10">
      <c r="A55" s="15">
        <v>44074</v>
      </c>
      <c r="B55" s="112">
        <v>1.0304</v>
      </c>
      <c r="C55" s="108">
        <f t="shared" si="8"/>
        <v>-4.7999999999999154E-3</v>
      </c>
      <c r="D55" s="109">
        <f t="shared" si="9"/>
        <v>-4.7999999999999154E-3</v>
      </c>
      <c r="E55" s="109">
        <f ca="1">IF(表2_367162629303891213141523[[#This Row],[累计净值]]/MAX(INDIRECT("B21:B" &amp; ROW()))-1&lt;E54,表2_367162629303891213141523[[#This Row],[累计净值]]/MAX(INDIRECT("B21:B" &amp; ROW()))-1,E54)</f>
        <v>-8.6139389193423677E-3</v>
      </c>
      <c r="F55" s="110">
        <f>表2_367162629303891213141523[[#This Row],[累计净值]]</f>
        <v>1.0304</v>
      </c>
      <c r="G55" s="20">
        <f>表2_367162629303891213141523[[#This Row],[累计净值]]/$B$21-1</f>
        <v>8.6139389193420346E-3</v>
      </c>
    </row>
    <row r="56" spans="1:10">
      <c r="A56" s="15">
        <v>44075</v>
      </c>
      <c r="B56" s="112">
        <v>1.0317000000000001</v>
      </c>
      <c r="C56" s="108">
        <f t="shared" si="8"/>
        <v>1.3000000000000789E-3</v>
      </c>
      <c r="D56" s="109" t="str">
        <f t="shared" si="9"/>
        <v>/</v>
      </c>
      <c r="E56" s="109">
        <f ca="1">IF(表2_367162629303891213141523[[#This Row],[累计净值]]/MAX(INDIRECT("B21:B" &amp; ROW()))-1&lt;E55,表2_367162629303891213141523[[#This Row],[累计净值]]/MAX(INDIRECT("B21:B" &amp; ROW()))-1,E55)</f>
        <v>-8.6139389193423677E-3</v>
      </c>
      <c r="F56" s="110">
        <f>表2_367162629303891213141523[[#This Row],[累计净值]]</f>
        <v>1.0317000000000001</v>
      </c>
      <c r="G56" s="20">
        <f>表2_367162629303891213141523[[#This Row],[累计净值]]/$B$21-1</f>
        <v>9.886452623335984E-3</v>
      </c>
    </row>
    <row r="57" spans="1:10">
      <c r="A57" s="15">
        <v>44076</v>
      </c>
      <c r="B57" s="112">
        <v>1.0289999999999999</v>
      </c>
      <c r="C57" s="108">
        <f t="shared" si="8"/>
        <v>-2.7000000000001467E-3</v>
      </c>
      <c r="D57" s="109">
        <f t="shared" si="9"/>
        <v>-2.7000000000001467E-3</v>
      </c>
      <c r="E57" s="109">
        <f ca="1">IF(表2_367162629303891213141523[[#This Row],[累计净值]]/MAX(INDIRECT("B21:B" &amp; ROW()))-1&lt;E56,表2_367162629303891213141523[[#This Row],[累计净值]]/MAX(INDIRECT("B21:B" &amp; ROW()))-1,E56)</f>
        <v>-8.6139389193423677E-3</v>
      </c>
      <c r="F57" s="110">
        <f>表2_367162629303891213141523[[#This Row],[累计净值]]</f>
        <v>1.0289999999999999</v>
      </c>
      <c r="G57" s="20">
        <f>表2_367162629303891213141523[[#This Row],[累计净值]]/$B$21-1</f>
        <v>7.2435395458103624E-3</v>
      </c>
    </row>
    <row r="58" spans="1:10">
      <c r="A58" s="15">
        <v>44077</v>
      </c>
      <c r="B58" s="112">
        <v>1.0265</v>
      </c>
      <c r="C58" s="108">
        <f t="shared" si="8"/>
        <v>-2.4999999999999467E-3</v>
      </c>
      <c r="D58" s="109">
        <f t="shared" si="9"/>
        <v>-2.4999999999999467E-3</v>
      </c>
      <c r="E58" s="109">
        <f ca="1">IF(表2_367162629303891213141523[[#This Row],[累计净值]]/MAX(INDIRECT("B21:B" &amp; ROW()))-1&lt;E57,表2_367162629303891213141523[[#This Row],[累计净值]]/MAX(INDIRECT("B21:B" &amp; ROW()))-1,E57)</f>
        <v>-8.6139389193423677E-3</v>
      </c>
      <c r="F58" s="110">
        <f>表2_367162629303891213141523[[#This Row],[累计净值]]</f>
        <v>1.0265</v>
      </c>
      <c r="G58" s="20">
        <f>表2_367162629303891213141523[[#This Row],[累计净值]]/$B$21-1</f>
        <v>4.7963978073608526E-3</v>
      </c>
    </row>
    <row r="59" spans="1:10">
      <c r="A59" s="15">
        <v>44078</v>
      </c>
      <c r="B59" s="112">
        <v>1.0275000000000001</v>
      </c>
      <c r="C59" s="108">
        <f t="shared" si="8"/>
        <v>1.0000000000001119E-3</v>
      </c>
      <c r="D59" s="109" t="str">
        <f t="shared" si="9"/>
        <v>/</v>
      </c>
      <c r="E59" s="109">
        <f ca="1">IF(表2_367162629303891213141523[[#This Row],[累计净值]]/MAX(INDIRECT("B21:B" &amp; ROW()))-1&lt;E58,表2_367162629303891213141523[[#This Row],[累计净值]]/MAX(INDIRECT("B21:B" &amp; ROW()))-1,E58)</f>
        <v>-8.6139389193423677E-3</v>
      </c>
      <c r="F59" s="110">
        <f>表2_367162629303891213141523[[#This Row],[累计净值]]</f>
        <v>1.0275000000000001</v>
      </c>
      <c r="G59" s="20">
        <f>表2_367162629303891213141523[[#This Row],[累计净值]]/$B$21-1</f>
        <v>5.7752545027407454E-3</v>
      </c>
    </row>
    <row r="60" spans="1:10">
      <c r="A60" s="15">
        <v>44081</v>
      </c>
      <c r="B60" s="112">
        <v>1.0232000000000001</v>
      </c>
      <c r="C60" s="108">
        <f t="shared" ref="C60:C65" si="10">IFERROR(B60-B59,0)</f>
        <v>-4.2999999999999705E-3</v>
      </c>
      <c r="D60" s="109">
        <f t="shared" ref="D60:D65" si="11">IF(C60&lt;0,C60,"/")</f>
        <v>-4.2999999999999705E-3</v>
      </c>
      <c r="E60" s="109">
        <f ca="1">IF(表2_367162629303891213141523[[#This Row],[累计净值]]/MAX(INDIRECT("B21:B" &amp; ROW()))-1&lt;E59,表2_367162629303891213141523[[#This Row],[累计净值]]/MAX(INDIRECT("B21:B" &amp; ROW()))-1,E59)</f>
        <v>-1.1591962905718511E-2</v>
      </c>
      <c r="F60" s="110">
        <f>表2_367162629303891213141523[[#This Row],[累计净值]]</f>
        <v>1.0232000000000001</v>
      </c>
      <c r="G60" s="20">
        <f>表2_367162629303891213141523[[#This Row],[累计净值]]/$B$21-1</f>
        <v>1.566170712607784E-3</v>
      </c>
    </row>
    <row r="61" spans="1:10">
      <c r="A61" s="15">
        <v>44082</v>
      </c>
      <c r="B61" s="112">
        <v>1.0215000000000001</v>
      </c>
      <c r="C61" s="108">
        <f t="shared" si="10"/>
        <v>-1.7000000000000348E-3</v>
      </c>
      <c r="D61" s="109">
        <f t="shared" si="11"/>
        <v>-1.7000000000000348E-3</v>
      </c>
      <c r="E61" s="109">
        <f ca="1">IF(表2_367162629303891213141523[[#This Row],[累计净值]]/MAX(INDIRECT("B21:B" &amp; ROW()))-1&lt;E60,表2_367162629303891213141523[[#This Row],[累计净值]]/MAX(INDIRECT("B21:B" &amp; ROW()))-1,E60)</f>
        <v>-1.3234157650695355E-2</v>
      </c>
      <c r="F61" s="110">
        <f>表2_367162629303891213141523[[#This Row],[累计净值]]</f>
        <v>1.0215000000000001</v>
      </c>
      <c r="G61" s="20">
        <f>表2_367162629303891213141523[[#This Row],[累计净值]]/$B$21-1</f>
        <v>-9.7885669537944864E-5</v>
      </c>
    </row>
    <row r="62" spans="1:10">
      <c r="A62" s="15">
        <v>44083</v>
      </c>
      <c r="B62" s="112">
        <v>1.0165</v>
      </c>
      <c r="C62" s="108">
        <f t="shared" si="10"/>
        <v>-5.0000000000001155E-3</v>
      </c>
      <c r="D62" s="109">
        <f t="shared" si="11"/>
        <v>-5.0000000000001155E-3</v>
      </c>
      <c r="E62" s="109">
        <f ca="1">IF(表2_367162629303891213141523[[#This Row],[累计净值]]/MAX(INDIRECT("B21:B" &amp; ROW()))-1&lt;E61,表2_367162629303891213141523[[#This Row],[累计净值]]/MAX(INDIRECT("B21:B" &amp; ROW()))-1,E61)</f>
        <v>-1.8064142194744948E-2</v>
      </c>
      <c r="F62" s="110">
        <f>表2_367162629303891213141523[[#This Row],[累计净值]]</f>
        <v>1.0165</v>
      </c>
      <c r="G62" s="20">
        <f>表2_367162629303891213141523[[#This Row],[累计净值]]/$B$21-1</f>
        <v>-4.9921691464370754E-3</v>
      </c>
      <c r="J62" s="196" t="s">
        <v>40</v>
      </c>
    </row>
    <row r="63" spans="1:10">
      <c r="A63" s="15">
        <v>44084</v>
      </c>
      <c r="B63" s="112">
        <v>1.016</v>
      </c>
      <c r="C63" s="108">
        <f t="shared" si="10"/>
        <v>-4.9999999999994493E-4</v>
      </c>
      <c r="D63" s="109">
        <f t="shared" si="11"/>
        <v>-4.9999999999994493E-4</v>
      </c>
      <c r="E63" s="109">
        <f ca="1">IF(表2_367162629303891213141523[[#This Row],[累计净值]]/MAX(INDIRECT("B21:B" &amp; ROW()))-1&lt;E62,表2_367162629303891213141523[[#This Row],[累计净值]]/MAX(INDIRECT("B21:B" &amp; ROW()))-1,E62)</f>
        <v>-1.8547140649149862E-2</v>
      </c>
      <c r="F63" s="110">
        <f>表2_367162629303891213141523[[#This Row],[累计净值]]</f>
        <v>1.016</v>
      </c>
      <c r="G63" s="20">
        <f>表2_367162629303891213141523[[#This Row],[累计净值]]/$B$21-1</f>
        <v>-5.4815974941269108E-3</v>
      </c>
    </row>
    <row r="64" spans="1:10">
      <c r="A64" s="15">
        <v>44085</v>
      </c>
      <c r="B64" s="112">
        <v>1.0204</v>
      </c>
      <c r="C64" s="108">
        <f t="shared" si="10"/>
        <v>4.3999999999999595E-3</v>
      </c>
      <c r="D64" s="109" t="str">
        <f t="shared" si="11"/>
        <v>/</v>
      </c>
      <c r="E64" s="109">
        <f ca="1">IF(表2_367162629303891213141523[[#This Row],[累计净值]]/MAX(INDIRECT("B21:B" &amp; ROW()))-1&lt;E63,表2_367162629303891213141523[[#This Row],[累计净值]]/MAX(INDIRECT("B21:B" &amp; ROW()))-1,E63)</f>
        <v>-1.8547140649149862E-2</v>
      </c>
      <c r="F64" s="110">
        <f>表2_367162629303891213141523[[#This Row],[累计净值]]</f>
        <v>1.0204</v>
      </c>
      <c r="G64" s="20">
        <f>表2_367162629303891213141523[[#This Row],[累计净值]]/$B$21-1</f>
        <v>-1.1746280344558935E-3</v>
      </c>
    </row>
    <row r="65" spans="1:7">
      <c r="A65" s="15">
        <v>44088</v>
      </c>
      <c r="B65" s="112">
        <v>1.0213000000000001</v>
      </c>
      <c r="C65" s="108">
        <f t="shared" si="10"/>
        <v>9.0000000000012292E-4</v>
      </c>
      <c r="D65" s="109" t="str">
        <f t="shared" si="11"/>
        <v>/</v>
      </c>
      <c r="E65" s="109">
        <f ca="1">IF(表2_367162629303891213141523[[#This Row],[累计净值]]/MAX(INDIRECT("B21:B" &amp; ROW()))-1&lt;E64,表2_367162629303891213141523[[#This Row],[累计净值]]/MAX(INDIRECT("B21:B" &amp; ROW()))-1,E64)</f>
        <v>-1.8547140649149862E-2</v>
      </c>
      <c r="F65" s="110">
        <f>表2_367162629303891213141523[[#This Row],[累计净值]]</f>
        <v>1.0213000000000001</v>
      </c>
      <c r="G65" s="20">
        <f>表2_367162629303891213141523[[#This Row],[累计净值]]/$B$21-1</f>
        <v>-2.9365700861394561E-4</v>
      </c>
    </row>
    <row r="66" spans="1:7">
      <c r="A66" s="15">
        <v>44089</v>
      </c>
      <c r="B66" s="112">
        <v>1.0207999999999999</v>
      </c>
      <c r="C66" s="108">
        <f t="shared" ref="C66:C71" si="12">IFERROR(B66-B65,0)</f>
        <v>-5.0000000000016698E-4</v>
      </c>
      <c r="D66" s="109">
        <f t="shared" ref="D66:D71" si="13">IF(C66&lt;0,C66,"/")</f>
        <v>-5.0000000000016698E-4</v>
      </c>
      <c r="E66" s="109">
        <f ca="1">IF(表2_367162629303891213141523[[#This Row],[累计净值]]/MAX(INDIRECT("B21:B" &amp; ROW()))-1&lt;E65,表2_367162629303891213141523[[#This Row],[累计净值]]/MAX(INDIRECT("B21:B" &amp; ROW()))-1,E65)</f>
        <v>-1.8547140649149862E-2</v>
      </c>
      <c r="F66" s="110">
        <f>表2_367162629303891213141523[[#This Row],[累计净值]]</f>
        <v>1.0207999999999999</v>
      </c>
      <c r="G66" s="20">
        <f>表2_367162629303891213141523[[#This Row],[累计净值]]/$B$21-1</f>
        <v>-7.83085356304003E-4</v>
      </c>
    </row>
    <row r="67" spans="1:7">
      <c r="A67" s="15">
        <v>44090</v>
      </c>
      <c r="B67" s="112">
        <v>1.0221</v>
      </c>
      <c r="C67" s="108">
        <f t="shared" si="12"/>
        <v>1.3000000000000789E-3</v>
      </c>
      <c r="D67" s="109" t="str">
        <f t="shared" si="13"/>
        <v>/</v>
      </c>
      <c r="E67" s="109">
        <f ca="1">IF(表2_367162629303891213141523[[#This Row],[累计净值]]/MAX(INDIRECT("B21:B" &amp; ROW()))-1&lt;E66,表2_367162629303891213141523[[#This Row],[累计净值]]/MAX(INDIRECT("B21:B" &amp; ROW()))-1,E66)</f>
        <v>-1.8547140649149862E-2</v>
      </c>
      <c r="F67" s="110">
        <f>表2_367162629303891213141523[[#This Row],[累计净值]]</f>
        <v>1.0221</v>
      </c>
      <c r="G67" s="20">
        <f>表2_367162629303891213141523[[#This Row],[累计净值]]/$B$21-1</f>
        <v>4.8942834768994636E-4</v>
      </c>
    </row>
    <row r="68" spans="1:7">
      <c r="A68" s="15">
        <v>44091</v>
      </c>
      <c r="B68" s="112">
        <v>1.0185</v>
      </c>
      <c r="C68" s="108">
        <f t="shared" si="12"/>
        <v>-3.6000000000000476E-3</v>
      </c>
      <c r="D68" s="109">
        <f t="shared" si="13"/>
        <v>-3.6000000000000476E-3</v>
      </c>
      <c r="E68" s="109">
        <f ca="1">IF(表2_367162629303891213141523[[#This Row],[累计净值]]/MAX(INDIRECT("B21:B" &amp; ROW()))-1&lt;E67,表2_367162629303891213141523[[#This Row],[累计净值]]/MAX(INDIRECT("B21:B" &amp; ROW()))-1,E67)</f>
        <v>-1.8547140649149862E-2</v>
      </c>
      <c r="F68" s="110">
        <f>表2_367162629303891213141523[[#This Row],[累计净值]]</f>
        <v>1.0185</v>
      </c>
      <c r="G68" s="20">
        <f>表2_367162629303891213141523[[#This Row],[累计净值]]/$B$21-1</f>
        <v>-3.034455755677512E-3</v>
      </c>
    </row>
    <row r="69" spans="1:7">
      <c r="A69" s="15">
        <v>44092</v>
      </c>
      <c r="B69" s="112">
        <v>1.0203</v>
      </c>
      <c r="C69" s="108">
        <f t="shared" si="12"/>
        <v>1.8000000000000238E-3</v>
      </c>
      <c r="D69" s="109" t="str">
        <f t="shared" si="13"/>
        <v>/</v>
      </c>
      <c r="E69" s="109">
        <f ca="1">IF(表2_367162629303891213141523[[#This Row],[累计净值]]/MAX(INDIRECT("B21:B" &amp; ROW()))-1&lt;E68,表2_367162629303891213141523[[#This Row],[累计净值]]/MAX(INDIRECT("B21:B" &amp; ROW()))-1,E68)</f>
        <v>-1.8547140649149862E-2</v>
      </c>
      <c r="F69" s="110">
        <f>表2_367162629303891213141523[[#This Row],[累计净值]]</f>
        <v>1.0203</v>
      </c>
      <c r="G69" s="20">
        <f>表2_367162629303891213141523[[#This Row],[累计净值]]/$B$21-1</f>
        <v>-1.2725137039938383E-3</v>
      </c>
    </row>
    <row r="70" spans="1:7">
      <c r="A70" s="15">
        <v>44095</v>
      </c>
      <c r="B70" s="112">
        <v>1.018</v>
      </c>
      <c r="C70" s="108">
        <f t="shared" si="12"/>
        <v>-2.2999999999999687E-3</v>
      </c>
      <c r="D70" s="109">
        <f t="shared" si="13"/>
        <v>-2.2999999999999687E-3</v>
      </c>
      <c r="E70" s="109">
        <f ca="1">IF(表2_367162629303891213141523[[#This Row],[累计净值]]/MAX(INDIRECT("B21:B" &amp; ROW()))-1&lt;E69,表2_367162629303891213141523[[#This Row],[累计净值]]/MAX(INDIRECT("B21:B" &amp; ROW()))-1,E69)</f>
        <v>-1.8547140649149862E-2</v>
      </c>
      <c r="F70" s="110">
        <f>表2_367162629303891213141523[[#This Row],[累计净值]]</f>
        <v>1.018</v>
      </c>
      <c r="G70" s="20">
        <f>表2_367162629303891213141523[[#This Row],[累计净值]]/$B$21-1</f>
        <v>-3.5238841033673474E-3</v>
      </c>
    </row>
    <row r="71" spans="1:7">
      <c r="A71" s="15">
        <v>44096</v>
      </c>
      <c r="B71" s="112">
        <v>1.0177</v>
      </c>
      <c r="C71" s="108">
        <f t="shared" si="12"/>
        <v>-2.9999999999996696E-4</v>
      </c>
      <c r="D71" s="109">
        <f t="shared" si="13"/>
        <v>-2.9999999999996696E-4</v>
      </c>
      <c r="E71" s="109">
        <f ca="1">IF(表2_367162629303891213141523[[#This Row],[累计净值]]/MAX(INDIRECT("B21:B" &amp; ROW()))-1&lt;E70,表2_367162629303891213141523[[#This Row],[累计净值]]/MAX(INDIRECT("B21:B" &amp; ROW()))-1,E70)</f>
        <v>-1.8547140649149862E-2</v>
      </c>
      <c r="F71" s="110">
        <f>表2_367162629303891213141523[[#This Row],[累计净值]]</f>
        <v>1.0177</v>
      </c>
      <c r="G71" s="20">
        <f>表2_367162629303891213141523[[#This Row],[累计净值]]/$B$21-1</f>
        <v>-3.817541111981182E-3</v>
      </c>
    </row>
    <row r="72" spans="1:7">
      <c r="A72" s="15">
        <v>44097</v>
      </c>
      <c r="B72" s="112">
        <v>1.0193000000000001</v>
      </c>
      <c r="C72" s="108">
        <f t="shared" ref="C72:C77" si="14">IFERROR(B72-B71,0)</f>
        <v>1.6000000000000458E-3</v>
      </c>
      <c r="D72" s="109" t="str">
        <f t="shared" ref="D72:D77" si="15">IF(C72&lt;0,C72,"/")</f>
        <v>/</v>
      </c>
      <c r="E72" s="109">
        <f ca="1">IF(表2_367162629303891213141523[[#This Row],[累计净值]]/MAX(INDIRECT("B21:B" &amp; ROW()))-1&lt;E71,表2_367162629303891213141523[[#This Row],[累计净值]]/MAX(INDIRECT("B21:B" &amp; ROW()))-1,E71)</f>
        <v>-1.8547140649149862E-2</v>
      </c>
      <c r="F72" s="110">
        <f>表2_367162629303891213141523[[#This Row],[累计净值]]</f>
        <v>1.0193000000000001</v>
      </c>
      <c r="G72" s="20">
        <f>表2_367162629303891213141523[[#This Row],[累计净值]]/$B$21-1</f>
        <v>-2.251370399373509E-3</v>
      </c>
    </row>
    <row r="73" spans="1:7">
      <c r="A73" s="15">
        <v>44098</v>
      </c>
      <c r="B73" s="112">
        <v>1.0165</v>
      </c>
      <c r="C73" s="108">
        <f t="shared" si="14"/>
        <v>-2.8000000000001357E-3</v>
      </c>
      <c r="D73" s="109">
        <f t="shared" si="15"/>
        <v>-2.8000000000001357E-3</v>
      </c>
      <c r="E73" s="109">
        <f ca="1">IF(表2_367162629303891213141523[[#This Row],[累计净值]]/MAX(INDIRECT("B21:B" &amp; ROW()))-1&lt;E72,表2_367162629303891213141523[[#This Row],[累计净值]]/MAX(INDIRECT("B21:B" &amp; ROW()))-1,E72)</f>
        <v>-1.8547140649149862E-2</v>
      </c>
      <c r="F73" s="110">
        <f>表2_367162629303891213141523[[#This Row],[累计净值]]</f>
        <v>1.0165</v>
      </c>
      <c r="G73" s="20">
        <f>表2_367162629303891213141523[[#This Row],[累计净值]]/$B$21-1</f>
        <v>-4.9921691464370754E-3</v>
      </c>
    </row>
    <row r="74" spans="1:7">
      <c r="A74" s="15">
        <v>44099</v>
      </c>
      <c r="B74" s="112">
        <v>1.0146999999999999</v>
      </c>
      <c r="C74" s="108">
        <f t="shared" si="14"/>
        <v>-1.8000000000000238E-3</v>
      </c>
      <c r="D74" s="109">
        <f t="shared" si="15"/>
        <v>-1.8000000000000238E-3</v>
      </c>
      <c r="E74" s="109">
        <f ca="1">IF(表2_367162629303891213141523[[#This Row],[累计净值]]/MAX(INDIRECT("B21:B" &amp; ROW()))-1&lt;E73,表2_367162629303891213141523[[#This Row],[累计净值]]/MAX(INDIRECT("B21:B" &amp; ROW()))-1,E73)</f>
        <v>-1.980293663060273E-2</v>
      </c>
      <c r="F74" s="110">
        <f>表2_367162629303891213141523[[#This Row],[累计净值]]</f>
        <v>1.0146999999999999</v>
      </c>
      <c r="G74" s="20">
        <f>表2_367162629303891213141523[[#This Row],[累计净值]]/$B$21-1</f>
        <v>-6.7541111981207491E-3</v>
      </c>
    </row>
    <row r="75" spans="1:7">
      <c r="A75" s="15">
        <v>44102</v>
      </c>
      <c r="B75" s="112">
        <v>1.0135000000000001</v>
      </c>
      <c r="C75" s="108">
        <f t="shared" si="14"/>
        <v>-1.1999999999998678E-3</v>
      </c>
      <c r="D75" s="109">
        <f t="shared" si="15"/>
        <v>-1.1999999999998678E-3</v>
      </c>
      <c r="E75" s="109">
        <f ca="1">IF(表2_367162629303891213141523[[#This Row],[累计净值]]/MAX(INDIRECT("B21:B" &amp; ROW()))-1&lt;E74,表2_367162629303891213141523[[#This Row],[累计净值]]/MAX(INDIRECT("B21:B" &amp; ROW()))-1,E74)</f>
        <v>-2.0962132921174437E-2</v>
      </c>
      <c r="F75" s="110">
        <f>表2_367162629303891213141523[[#This Row],[累计净值]]</f>
        <v>1.0135000000000001</v>
      </c>
      <c r="G75" s="20">
        <f>表2_367162629303891213141523[[#This Row],[累计净值]]/$B$21-1</f>
        <v>-7.9287392325763095E-3</v>
      </c>
    </row>
    <row r="76" spans="1:7">
      <c r="A76" s="15">
        <v>44103</v>
      </c>
      <c r="B76" s="112">
        <v>1.0115000000000001</v>
      </c>
      <c r="C76" s="108">
        <f t="shared" si="14"/>
        <v>-2.0000000000000018E-3</v>
      </c>
      <c r="D76" s="109">
        <f t="shared" si="15"/>
        <v>-2.0000000000000018E-3</v>
      </c>
      <c r="E76" s="109">
        <f ca="1">IF(表2_367162629303891213141523[[#This Row],[累计净值]]/MAX(INDIRECT("B21:B" &amp; ROW()))-1&lt;E75,表2_367162629303891213141523[[#This Row],[累计净值]]/MAX(INDIRECT("B21:B" &amp; ROW()))-1,E75)</f>
        <v>-2.2894126738794318E-2</v>
      </c>
      <c r="F76" s="110">
        <f>表2_367162629303891213141523[[#This Row],[累计净值]]</f>
        <v>1.0115000000000001</v>
      </c>
      <c r="G76" s="20">
        <f>表2_367162629303891213141523[[#This Row],[累计净值]]/$B$21-1</f>
        <v>-9.886452623335984E-3</v>
      </c>
    </row>
    <row r="77" spans="1:7">
      <c r="A77" s="15">
        <v>44104</v>
      </c>
      <c r="B77" s="112">
        <v>1.0145</v>
      </c>
      <c r="C77" s="108">
        <f t="shared" si="14"/>
        <v>2.9999999999998916E-3</v>
      </c>
      <c r="D77" s="109" t="str">
        <f t="shared" si="15"/>
        <v>/</v>
      </c>
      <c r="E77" s="109">
        <f ca="1">IF(表2_367162629303891213141523[[#This Row],[累计净值]]/MAX(INDIRECT("B21:B" &amp; ROW()))-1&lt;E76,表2_367162629303891213141523[[#This Row],[累计净值]]/MAX(INDIRECT("B21:B" &amp; ROW()))-1,E76)</f>
        <v>-2.2894126738794318E-2</v>
      </c>
      <c r="F77" s="110">
        <f>表2_367162629303891213141523[[#This Row],[累计净值]]</f>
        <v>1.0145</v>
      </c>
      <c r="G77" s="20">
        <f>表2_367162629303891213141523[[#This Row],[累计净值]]/$B$21-1</f>
        <v>-6.9498825371966388E-3</v>
      </c>
    </row>
    <row r="78" spans="1:7">
      <c r="A78" s="15">
        <v>44113</v>
      </c>
      <c r="B78" s="112">
        <v>1.014</v>
      </c>
      <c r="C78" s="108">
        <f t="shared" ref="C78:C83" si="16">IFERROR(B78-B77,0)</f>
        <v>-4.9999999999994493E-4</v>
      </c>
      <c r="D78" s="109">
        <f t="shared" ref="D78:D83" si="17">IF(C78&lt;0,C78,"/")</f>
        <v>-4.9999999999994493E-4</v>
      </c>
      <c r="E78" s="109">
        <f ca="1">IF(表2_367162629303891213141523[[#This Row],[累计净值]]/MAX(INDIRECT("B21:B" &amp; ROW()))-1&lt;E77,表2_367162629303891213141523[[#This Row],[累计净值]]/MAX(INDIRECT("B21:B" &amp; ROW()))-1,E77)</f>
        <v>-2.2894126738794318E-2</v>
      </c>
      <c r="F78" s="110">
        <f>表2_367162629303891213141523[[#This Row],[累计净值]]</f>
        <v>1.014</v>
      </c>
      <c r="G78" s="20">
        <f>表2_367162629303891213141523[[#This Row],[累计净值]]/$B$21-1</f>
        <v>-7.4393108848864742E-3</v>
      </c>
    </row>
    <row r="79" spans="1:7">
      <c r="A79" s="15">
        <v>44116</v>
      </c>
      <c r="B79" s="112">
        <v>1.0154000000000001</v>
      </c>
      <c r="C79" s="108">
        <f t="shared" si="16"/>
        <v>1.4000000000000679E-3</v>
      </c>
      <c r="D79" s="109" t="str">
        <f t="shared" si="17"/>
        <v>/</v>
      </c>
      <c r="E79" s="109">
        <f ca="1">IF(表2_367162629303891213141523[[#This Row],[累计净值]]/MAX(INDIRECT("B21:B" &amp; ROW()))-1&lt;E78,表2_367162629303891213141523[[#This Row],[累计净值]]/MAX(INDIRECT("B21:B" &amp; ROW()))-1,E78)</f>
        <v>-2.2894126738794318E-2</v>
      </c>
      <c r="F79" s="110">
        <f>表2_367162629303891213141523[[#This Row],[累计净值]]</f>
        <v>1.0154000000000001</v>
      </c>
      <c r="G79" s="20">
        <f>表2_367162629303891213141523[[#This Row],[累计净值]]/$B$21-1</f>
        <v>-6.068911511354691E-3</v>
      </c>
    </row>
    <row r="80" spans="1:7">
      <c r="A80" s="15">
        <v>44117</v>
      </c>
      <c r="B80" s="112">
        <v>1.0150999999999999</v>
      </c>
      <c r="C80" s="108">
        <f t="shared" si="16"/>
        <v>-3.00000000000189E-4</v>
      </c>
      <c r="D80" s="109">
        <f t="shared" si="17"/>
        <v>-3.00000000000189E-4</v>
      </c>
      <c r="E80" s="109">
        <f ca="1">IF(表2_367162629303891213141523[[#This Row],[累计净值]]/MAX(INDIRECT("B21:B" &amp; ROW()))-1&lt;E79,表2_367162629303891213141523[[#This Row],[累计净值]]/MAX(INDIRECT("B21:B" &amp; ROW()))-1,E79)</f>
        <v>-2.2894126738794318E-2</v>
      </c>
      <c r="F80" s="110">
        <f>表2_367162629303891213141523[[#This Row],[累计净值]]</f>
        <v>1.0150999999999999</v>
      </c>
      <c r="G80" s="20">
        <f>表2_367162629303891213141523[[#This Row],[累计净值]]/$B$21-1</f>
        <v>-6.3625685199688586E-3</v>
      </c>
    </row>
    <row r="81" spans="1:7">
      <c r="A81" s="15">
        <v>44118</v>
      </c>
      <c r="B81" s="112">
        <v>1.0130999999999999</v>
      </c>
      <c r="C81" s="108">
        <f t="shared" si="16"/>
        <v>-2.0000000000000018E-3</v>
      </c>
      <c r="D81" s="109">
        <f t="shared" si="17"/>
        <v>-2.0000000000000018E-3</v>
      </c>
      <c r="E81" s="109">
        <f ca="1">IF(表2_367162629303891213141523[[#This Row],[累计净值]]/MAX(INDIRECT("B21:B" &amp; ROW()))-1&lt;E80,表2_367162629303891213141523[[#This Row],[累计净值]]/MAX(INDIRECT("B21:B" &amp; ROW()))-1,E80)</f>
        <v>-2.2894126738794318E-2</v>
      </c>
      <c r="F81" s="110">
        <f>表2_367162629303891213141523[[#This Row],[累计净值]]</f>
        <v>1.0130999999999999</v>
      </c>
      <c r="G81" s="20">
        <f>表2_367162629303891213141523[[#This Row],[累计净值]]/$B$21-1</f>
        <v>-8.320281910728422E-3</v>
      </c>
    </row>
    <row r="82" spans="1:7">
      <c r="A82" s="15">
        <v>44119</v>
      </c>
      <c r="B82" s="112">
        <v>1.0116000000000001</v>
      </c>
      <c r="C82" s="108">
        <f t="shared" si="16"/>
        <v>-1.4999999999998348E-3</v>
      </c>
      <c r="D82" s="109">
        <f t="shared" si="17"/>
        <v>-1.4999999999998348E-3</v>
      </c>
      <c r="E82" s="109">
        <f ca="1">IF(表2_367162629303891213141523[[#This Row],[累计净值]]/MAX(INDIRECT("B21:B" &amp; ROW()))-1&lt;E81,表2_367162629303891213141523[[#This Row],[累计净值]]/MAX(INDIRECT("B21:B" &amp; ROW()))-1,E81)</f>
        <v>-2.2894126738794318E-2</v>
      </c>
      <c r="F82" s="110">
        <f>表2_367162629303891213141523[[#This Row],[累计净值]]</f>
        <v>1.0116000000000001</v>
      </c>
      <c r="G82" s="20">
        <f>表2_367162629303891213141523[[#This Row],[累计净值]]/$B$21-1</f>
        <v>-9.7885669537979281E-3</v>
      </c>
    </row>
    <row r="83" spans="1:7">
      <c r="A83" s="15">
        <v>44120</v>
      </c>
      <c r="B83" s="112">
        <v>1.0112000000000001</v>
      </c>
      <c r="C83" s="108">
        <f t="shared" si="16"/>
        <v>-3.9999999999995595E-4</v>
      </c>
      <c r="D83" s="109">
        <f t="shared" si="17"/>
        <v>-3.9999999999995595E-4</v>
      </c>
      <c r="E83" s="109">
        <f ca="1">IF(表2_367162629303891213141523[[#This Row],[累计净值]]/MAX(INDIRECT("B21:B" &amp; ROW()))-1&lt;E82,表2_367162629303891213141523[[#This Row],[累计净值]]/MAX(INDIRECT("B21:B" &amp; ROW()))-1,E82)</f>
        <v>-2.3183925811437245E-2</v>
      </c>
      <c r="F83" s="110">
        <f>表2_367162629303891213141523[[#This Row],[累计净值]]</f>
        <v>1.0112000000000001</v>
      </c>
      <c r="G83" s="20">
        <f>表2_367162629303891213141523[[#This Row],[累计净值]]/$B$21-1</f>
        <v>-1.0180109631949819E-2</v>
      </c>
    </row>
    <row r="84" spans="1:7">
      <c r="A84" s="15">
        <v>44123</v>
      </c>
      <c r="B84" s="112">
        <v>1.0105999999999999</v>
      </c>
      <c r="C84" s="108">
        <f t="shared" ref="C84:C89" si="18">IFERROR(B84-B83,0)</f>
        <v>-6.0000000000015596E-4</v>
      </c>
      <c r="D84" s="109">
        <f t="shared" ref="D84:D89" si="19">IF(C84&lt;0,C84,"/")</f>
        <v>-6.0000000000015596E-4</v>
      </c>
      <c r="E84" s="109">
        <f ca="1">IF(表2_367162629303891213141523[[#This Row],[累计净值]]/MAX(INDIRECT("B21:B" &amp; ROW()))-1&lt;E83,表2_367162629303891213141523[[#This Row],[累计净值]]/MAX(INDIRECT("B21:B" &amp; ROW()))-1,E83)</f>
        <v>-2.376352395672332E-2</v>
      </c>
      <c r="F84" s="110">
        <f>表2_367162629303891213141523[[#This Row],[累计净值]]</f>
        <v>1.0105999999999999</v>
      </c>
      <c r="G84" s="20">
        <f>表2_367162629303891213141523[[#This Row],[累计净值]]/$B$21-1</f>
        <v>-1.0767423649177932E-2</v>
      </c>
    </row>
    <row r="85" spans="1:7">
      <c r="A85" s="15">
        <v>44124</v>
      </c>
      <c r="B85" s="112">
        <v>1.0128999999999999</v>
      </c>
      <c r="C85" s="108">
        <f t="shared" si="18"/>
        <v>2.2999999999999687E-3</v>
      </c>
      <c r="D85" s="109" t="str">
        <f t="shared" si="19"/>
        <v>/</v>
      </c>
      <c r="E85" s="109">
        <f ca="1">IF(表2_367162629303891213141523[[#This Row],[累计净值]]/MAX(INDIRECT("B21:B" &amp; ROW()))-1&lt;E84,表2_367162629303891213141523[[#This Row],[累计净值]]/MAX(INDIRECT("B21:B" &amp; ROW()))-1,E84)</f>
        <v>-2.376352395672332E-2</v>
      </c>
      <c r="F85" s="110">
        <f>表2_367162629303891213141523[[#This Row],[累计净值]]</f>
        <v>1.0128999999999999</v>
      </c>
      <c r="G85" s="20">
        <f>表2_367162629303891213141523[[#This Row],[累计净值]]/$B$21-1</f>
        <v>-8.5160532498044228E-3</v>
      </c>
    </row>
    <row r="86" spans="1:7">
      <c r="A86" s="15">
        <v>44125</v>
      </c>
      <c r="B86" s="112">
        <v>1.0119</v>
      </c>
      <c r="C86" s="108">
        <f t="shared" si="18"/>
        <v>-9.9999999999988987E-4</v>
      </c>
      <c r="D86" s="109">
        <f t="shared" si="19"/>
        <v>-9.9999999999988987E-4</v>
      </c>
      <c r="E86" s="109">
        <f ca="1">IF(表2_367162629303891213141523[[#This Row],[累计净值]]/MAX(INDIRECT("B21:B" &amp; ROW()))-1&lt;E85,表2_367162629303891213141523[[#This Row],[累计净值]]/MAX(INDIRECT("B21:B" &amp; ROW()))-1,E85)</f>
        <v>-2.376352395672332E-2</v>
      </c>
      <c r="F86" s="110">
        <f>表2_367162629303891213141523[[#This Row],[累计净值]]</f>
        <v>1.0119</v>
      </c>
      <c r="G86" s="20">
        <f>表2_367162629303891213141523[[#This Row],[累计净值]]/$B$21-1</f>
        <v>-9.4949099451840935E-3</v>
      </c>
    </row>
    <row r="87" spans="1:7">
      <c r="A87" s="15">
        <v>44126</v>
      </c>
      <c r="B87" s="112">
        <v>1.0104</v>
      </c>
      <c r="C87" s="108">
        <f t="shared" si="18"/>
        <v>-1.5000000000000568E-3</v>
      </c>
      <c r="D87" s="109">
        <f t="shared" si="19"/>
        <v>-1.5000000000000568E-3</v>
      </c>
      <c r="E87" s="109">
        <f ca="1">IF(表2_367162629303891213141523[[#This Row],[累计净值]]/MAX(INDIRECT("B21:B" &amp; ROW()))-1&lt;E86,表2_367162629303891213141523[[#This Row],[累计净值]]/MAX(INDIRECT("B21:B" &amp; ROW()))-1,E86)</f>
        <v>-2.3956723338485308E-2</v>
      </c>
      <c r="F87" s="110">
        <f>表2_367162629303891213141523[[#This Row],[累计净值]]</f>
        <v>1.0104</v>
      </c>
      <c r="G87" s="20">
        <f>表2_367162629303891213141523[[#This Row],[累计净值]]/$B$21-1</f>
        <v>-1.0963194988253822E-2</v>
      </c>
    </row>
    <row r="88" spans="1:7">
      <c r="A88" s="15">
        <v>44127</v>
      </c>
      <c r="B88" s="112">
        <v>1.0063</v>
      </c>
      <c r="C88" s="108">
        <f t="shared" si="18"/>
        <v>-4.0999999999999925E-3</v>
      </c>
      <c r="D88" s="109">
        <f t="shared" si="19"/>
        <v>-4.0999999999999925E-3</v>
      </c>
      <c r="E88" s="109">
        <f ca="1">IF(表2_367162629303891213141523[[#This Row],[累计净值]]/MAX(INDIRECT("B21:B" &amp; ROW()))-1&lt;E87,表2_367162629303891213141523[[#This Row],[累计净值]]/MAX(INDIRECT("B21:B" &amp; ROW()))-1,E87)</f>
        <v>-2.7917310664605788E-2</v>
      </c>
      <c r="F88" s="110">
        <f>表2_367162629303891213141523[[#This Row],[累计净值]]</f>
        <v>1.0063</v>
      </c>
      <c r="G88" s="20">
        <f>表2_367162629303891213141523[[#This Row],[累计净值]]/$B$21-1</f>
        <v>-1.4976507439311004E-2</v>
      </c>
    </row>
    <row r="89" spans="1:7">
      <c r="A89" s="15">
        <v>44130</v>
      </c>
      <c r="B89" s="112">
        <v>1.0065</v>
      </c>
      <c r="C89" s="108">
        <f t="shared" si="18"/>
        <v>1.9999999999997797E-4</v>
      </c>
      <c r="D89" s="109" t="str">
        <f t="shared" si="19"/>
        <v>/</v>
      </c>
      <c r="E89" s="109">
        <f ca="1">IF(表2_367162629303891213141523[[#This Row],[累计净值]]/MAX(INDIRECT("B21:B" &amp; ROW()))-1&lt;E88,表2_367162629303891213141523[[#This Row],[累计净值]]/MAX(INDIRECT("B21:B" &amp; ROW()))-1,E88)</f>
        <v>-2.7917310664605788E-2</v>
      </c>
      <c r="F89" s="110">
        <f>表2_367162629303891213141523[[#This Row],[累计净值]]</f>
        <v>1.0065</v>
      </c>
      <c r="G89" s="20">
        <f>表2_367162629303891213141523[[#This Row],[累计净值]]/$B$21-1</f>
        <v>-1.4780736100235004E-2</v>
      </c>
    </row>
    <row r="90" spans="1:7">
      <c r="A90" s="15">
        <v>44131</v>
      </c>
      <c r="B90" s="112">
        <v>1.0083</v>
      </c>
      <c r="C90" s="108">
        <f t="shared" ref="C90:C96" si="20">IFERROR(B90-B89,0)</f>
        <v>1.8000000000000238E-3</v>
      </c>
      <c r="D90" s="109" t="str">
        <f t="shared" ref="D90:D96" si="21">IF(C90&lt;0,C90,"/")</f>
        <v>/</v>
      </c>
      <c r="E90" s="109">
        <f ca="1">IF(表2_367162629303891213141523[[#This Row],[累计净值]]/MAX(INDIRECT("B21:B" &amp; ROW()))-1&lt;E89,表2_367162629303891213141523[[#This Row],[累计净值]]/MAX(INDIRECT("B21:B" &amp; ROW()))-1,E89)</f>
        <v>-2.7917310664605788E-2</v>
      </c>
      <c r="F90" s="110">
        <f>表2_367162629303891213141523[[#This Row],[累计净值]]</f>
        <v>1.0083</v>
      </c>
      <c r="G90" s="20">
        <f>表2_367162629303891213141523[[#This Row],[累计净值]]/$B$21-1</f>
        <v>-1.301879404855133E-2</v>
      </c>
    </row>
    <row r="91" spans="1:7">
      <c r="A91" s="15">
        <v>44132</v>
      </c>
      <c r="B91" s="112">
        <v>1.0077</v>
      </c>
      <c r="C91" s="108">
        <f t="shared" si="20"/>
        <v>-5.9999999999993392E-4</v>
      </c>
      <c r="D91" s="109">
        <f t="shared" si="21"/>
        <v>-5.9999999999993392E-4</v>
      </c>
      <c r="E91" s="109">
        <f ca="1">IF(表2_367162629303891213141523[[#This Row],[累计净值]]/MAX(INDIRECT("B21:B" &amp; ROW()))-1&lt;E90,表2_367162629303891213141523[[#This Row],[累计净值]]/MAX(INDIRECT("B21:B" &amp; ROW()))-1,E90)</f>
        <v>-2.7917310664605788E-2</v>
      </c>
      <c r="F91" s="110">
        <f>表2_367162629303891213141523[[#This Row],[累计净值]]</f>
        <v>1.0077</v>
      </c>
      <c r="G91" s="20">
        <f>表2_367162629303891213141523[[#This Row],[累计净值]]/$B$21-1</f>
        <v>-1.3606108065779221E-2</v>
      </c>
    </row>
    <row r="92" spans="1:7">
      <c r="A92" s="15">
        <v>44133</v>
      </c>
      <c r="B92" s="112">
        <v>1.0078</v>
      </c>
      <c r="C92" s="108">
        <f t="shared" si="20"/>
        <v>9.9999999999988987E-5</v>
      </c>
      <c r="D92" s="109" t="str">
        <f t="shared" si="21"/>
        <v>/</v>
      </c>
      <c r="E92" s="109">
        <f ca="1">IF(表2_367162629303891213141523[[#This Row],[累计净值]]/MAX(INDIRECT("B21:B" &amp; ROW()))-1&lt;E91,表2_367162629303891213141523[[#This Row],[累计净值]]/MAX(INDIRECT("B21:B" &amp; ROW()))-1,E91)</f>
        <v>-2.7917310664605788E-2</v>
      </c>
      <c r="F92" s="110">
        <f>表2_367162629303891213141523[[#This Row],[累计净值]]</f>
        <v>1.0078</v>
      </c>
      <c r="G92" s="20">
        <f>表2_367162629303891213141523[[#This Row],[累计净值]]/$B$21-1</f>
        <v>-1.3508222396241276E-2</v>
      </c>
    </row>
    <row r="93" spans="1:7">
      <c r="A93" s="15">
        <v>44134</v>
      </c>
      <c r="B93" s="112">
        <v>1.0076000000000001</v>
      </c>
      <c r="C93" s="108">
        <f t="shared" si="20"/>
        <v>-1.9999999999997797E-4</v>
      </c>
      <c r="D93" s="109">
        <f t="shared" si="21"/>
        <v>-1.9999999999997797E-4</v>
      </c>
      <c r="E93" s="109">
        <f ca="1">IF(表2_367162629303891213141523[[#This Row],[累计净值]]/MAX(INDIRECT("B21:B" &amp; ROW()))-1&lt;E92,表2_367162629303891213141523[[#This Row],[累计净值]]/MAX(INDIRECT("B21:B" &amp; ROW()))-1,E92)</f>
        <v>-2.7917310664605788E-2</v>
      </c>
      <c r="F93" s="110">
        <f>表2_367162629303891213141523[[#This Row],[累计净值]]</f>
        <v>1.0076000000000001</v>
      </c>
      <c r="G93" s="20">
        <f>表2_367162629303891213141523[[#This Row],[累计净值]]/$B$21-1</f>
        <v>-1.3703993735317166E-2</v>
      </c>
    </row>
    <row r="94" spans="1:7">
      <c r="A94" s="15">
        <v>44137</v>
      </c>
      <c r="B94" s="112">
        <v>1.008</v>
      </c>
      <c r="C94" s="108">
        <f t="shared" si="20"/>
        <v>3.9999999999995595E-4</v>
      </c>
      <c r="D94" s="109" t="str">
        <f t="shared" si="21"/>
        <v>/</v>
      </c>
      <c r="E94" s="109">
        <f ca="1">IF(表2_367162629303891213141523[[#This Row],[累计净值]]/MAX(INDIRECT("B21:B" &amp; ROW()))-1&lt;E93,表2_367162629303891213141523[[#This Row],[累计净值]]/MAX(INDIRECT("B21:B" &amp; ROW()))-1,E93)</f>
        <v>-2.7917310664605788E-2</v>
      </c>
      <c r="F94" s="110">
        <f>表2_367162629303891213141523[[#This Row],[累计净值]]</f>
        <v>1.008</v>
      </c>
      <c r="G94" s="20">
        <f>表2_367162629303891213141523[[#This Row],[累计净值]]/$B$21-1</f>
        <v>-1.3312451057165275E-2</v>
      </c>
    </row>
    <row r="95" spans="1:7">
      <c r="A95" s="15">
        <v>44138</v>
      </c>
      <c r="B95" s="112">
        <v>1.0112000000000001</v>
      </c>
      <c r="C95" s="108">
        <f t="shared" si="20"/>
        <v>3.2000000000000917E-3</v>
      </c>
      <c r="D95" s="109" t="str">
        <f t="shared" si="21"/>
        <v>/</v>
      </c>
      <c r="E95" s="109">
        <f ca="1">IF(表2_367162629303891213141523[[#This Row],[累计净值]]/MAX(INDIRECT("B21:B" &amp; ROW()))-1&lt;E94,表2_367162629303891213141523[[#This Row],[累计净值]]/MAX(INDIRECT("B21:B" &amp; ROW()))-1,E94)</f>
        <v>-2.7917310664605788E-2</v>
      </c>
      <c r="F95" s="110">
        <f>表2_367162629303891213141523[[#This Row],[累计净值]]</f>
        <v>1.0112000000000001</v>
      </c>
      <c r="G95" s="20">
        <f>表2_367162629303891213141523[[#This Row],[累计净值]]/$B$21-1</f>
        <v>-1.0180109631949819E-2</v>
      </c>
    </row>
    <row r="96" spans="1:7">
      <c r="A96" s="15">
        <v>44139</v>
      </c>
      <c r="B96" s="112">
        <v>1.0135000000000001</v>
      </c>
      <c r="C96" s="108">
        <f t="shared" si="20"/>
        <v>2.2999999999999687E-3</v>
      </c>
      <c r="D96" s="109" t="str">
        <f t="shared" si="21"/>
        <v>/</v>
      </c>
      <c r="E96" s="109">
        <f ca="1">IF(表2_367162629303891213141523[[#This Row],[累计净值]]/MAX(INDIRECT("B21:B" &amp; ROW()))-1&lt;E95,表2_367162629303891213141523[[#This Row],[累计净值]]/MAX(INDIRECT("B21:B" &amp; ROW()))-1,E95)</f>
        <v>-2.7917310664605788E-2</v>
      </c>
      <c r="F96" s="110">
        <f>表2_367162629303891213141523[[#This Row],[累计净值]]</f>
        <v>1.0135000000000001</v>
      </c>
      <c r="G96" s="20">
        <f>表2_367162629303891213141523[[#This Row],[累计净值]]/$B$21-1</f>
        <v>-7.9287392325763095E-3</v>
      </c>
    </row>
    <row r="97" spans="1:7">
      <c r="A97" s="15">
        <v>44140</v>
      </c>
      <c r="B97" s="112">
        <v>1.0138</v>
      </c>
      <c r="C97" s="108">
        <f t="shared" ref="C97:C102" si="22">IFERROR(B97-B96,0)</f>
        <v>2.9999999999996696E-4</v>
      </c>
      <c r="D97" s="109" t="str">
        <f t="shared" ref="D97:D102" si="23">IF(C97&lt;0,C97,"/")</f>
        <v>/</v>
      </c>
      <c r="E97" s="109">
        <f ca="1">IF(表2_367162629303891213141523[[#This Row],[累计净值]]/MAX(INDIRECT("B21:B" &amp; ROW()))-1&lt;E96,表2_367162629303891213141523[[#This Row],[累计净值]]/MAX(INDIRECT("B21:B" &amp; ROW()))-1,E96)</f>
        <v>-2.7917310664605788E-2</v>
      </c>
      <c r="F97" s="110">
        <f>表2_367162629303891213141523[[#This Row],[累计净值]]</f>
        <v>1.0138</v>
      </c>
      <c r="G97" s="20">
        <f>表2_367162629303891213141523[[#This Row],[累计净值]]/$B$21-1</f>
        <v>-7.6350822239624749E-3</v>
      </c>
    </row>
    <row r="98" spans="1:7">
      <c r="A98" s="15">
        <v>44141</v>
      </c>
      <c r="B98" s="112">
        <v>1.0133000000000001</v>
      </c>
      <c r="C98" s="108">
        <f t="shared" si="22"/>
        <v>-4.9999999999994493E-4</v>
      </c>
      <c r="D98" s="109">
        <f t="shared" si="23"/>
        <v>-4.9999999999994493E-4</v>
      </c>
      <c r="E98" s="109">
        <f ca="1">IF(表2_367162629303891213141523[[#This Row],[累计净值]]/MAX(INDIRECT("B21:B" &amp; ROW()))-1&lt;E97,表2_367162629303891213141523[[#This Row],[累计净值]]/MAX(INDIRECT("B21:B" &amp; ROW()))-1,E97)</f>
        <v>-2.7917310664605788E-2</v>
      </c>
      <c r="F98" s="110">
        <f>表2_367162629303891213141523[[#This Row],[累计净值]]</f>
        <v>1.0133000000000001</v>
      </c>
      <c r="G98" s="20">
        <f>表2_367162629303891213141523[[#This Row],[累计净值]]/$B$21-1</f>
        <v>-8.1245105716523103E-3</v>
      </c>
    </row>
    <row r="99" spans="1:7">
      <c r="A99" s="15">
        <v>44144</v>
      </c>
      <c r="B99" s="112">
        <v>1.0149999999999999</v>
      </c>
      <c r="C99" s="108">
        <f t="shared" si="22"/>
        <v>1.6999999999998128E-3</v>
      </c>
      <c r="D99" s="109" t="str">
        <f t="shared" si="23"/>
        <v>/</v>
      </c>
      <c r="E99" s="109">
        <f ca="1">IF(表2_367162629303891213141523[[#This Row],[累计净值]]/MAX(INDIRECT("B21:B" &amp; ROW()))-1&lt;E98,表2_367162629303891213141523[[#This Row],[累计净值]]/MAX(INDIRECT("B21:B" &amp; ROW()))-1,E98)</f>
        <v>-2.7917310664605788E-2</v>
      </c>
      <c r="F99" s="110">
        <f>表2_367162629303891213141523[[#This Row],[累计净值]]</f>
        <v>1.0149999999999999</v>
      </c>
      <c r="G99" s="20">
        <f>表2_367162629303891213141523[[#This Row],[累计净值]]/$B$21-1</f>
        <v>-6.4604541895068035E-3</v>
      </c>
    </row>
    <row r="100" spans="1:7">
      <c r="A100" s="15">
        <v>44145</v>
      </c>
      <c r="B100" s="112">
        <v>1.0181</v>
      </c>
      <c r="C100" s="108">
        <f t="shared" si="22"/>
        <v>3.1000000000001027E-3</v>
      </c>
      <c r="D100" s="109" t="str">
        <f t="shared" si="23"/>
        <v>/</v>
      </c>
      <c r="E100" s="109">
        <f ca="1">IF(表2_367162629303891213141523[[#This Row],[累计净值]]/MAX(INDIRECT("B21:B" &amp; ROW()))-1&lt;E99,表2_367162629303891213141523[[#This Row],[累计净值]]/MAX(INDIRECT("B21:B" &amp; ROW()))-1,E99)</f>
        <v>-2.7917310664605788E-2</v>
      </c>
      <c r="F100" s="110">
        <f>表2_367162629303891213141523[[#This Row],[累计净值]]</f>
        <v>1.0181</v>
      </c>
      <c r="G100" s="20">
        <f>表2_367162629303891213141523[[#This Row],[累计净值]]/$B$21-1</f>
        <v>-3.4259984338292915E-3</v>
      </c>
    </row>
    <row r="101" spans="1:7">
      <c r="A101" s="15">
        <v>44146</v>
      </c>
      <c r="B101" s="112">
        <v>1.014</v>
      </c>
      <c r="C101" s="108">
        <f t="shared" si="22"/>
        <v>-4.0999999999999925E-3</v>
      </c>
      <c r="D101" s="109">
        <f t="shared" si="23"/>
        <v>-4.0999999999999925E-3</v>
      </c>
      <c r="E101" s="109">
        <f ca="1">IF(表2_367162629303891213141523[[#This Row],[累计净值]]/MAX(INDIRECT("B21:B" &amp; ROW()))-1&lt;E100,表2_367162629303891213141523[[#This Row],[累计净值]]/MAX(INDIRECT("B21:B" &amp; ROW()))-1,E100)</f>
        <v>-2.7917310664605788E-2</v>
      </c>
      <c r="F101" s="110">
        <f>表2_367162629303891213141523[[#This Row],[累计净值]]</f>
        <v>1.014</v>
      </c>
      <c r="G101" s="20">
        <f>表2_367162629303891213141523[[#This Row],[累计净值]]/$B$21-1</f>
        <v>-7.4393108848864742E-3</v>
      </c>
    </row>
    <row r="102" spans="1:7">
      <c r="A102" s="15">
        <v>44147</v>
      </c>
      <c r="B102" s="112">
        <v>1.0181</v>
      </c>
      <c r="C102" s="108">
        <f t="shared" si="22"/>
        <v>4.0999999999999925E-3</v>
      </c>
      <c r="D102" s="109" t="str">
        <f t="shared" si="23"/>
        <v>/</v>
      </c>
      <c r="E102" s="109">
        <f ca="1">IF(表2_367162629303891213141523[[#This Row],[累计净值]]/MAX(INDIRECT("B21:B" &amp; ROW()))-1&lt;E101,表2_367162629303891213141523[[#This Row],[累计净值]]/MAX(INDIRECT("B21:B" &amp; ROW()))-1,E101)</f>
        <v>-2.7917310664605788E-2</v>
      </c>
      <c r="F102" s="110">
        <f>表2_367162629303891213141523[[#This Row],[累计净值]]</f>
        <v>1.0181</v>
      </c>
      <c r="G102" s="20">
        <f>表2_367162629303891213141523[[#This Row],[累计净值]]/$B$21-1</f>
        <v>-3.4259984338292915E-3</v>
      </c>
    </row>
    <row r="103" spans="1:7">
      <c r="A103" s="15">
        <v>44148</v>
      </c>
      <c r="B103" s="112">
        <v>1.0179</v>
      </c>
      <c r="C103" s="108">
        <f t="shared" ref="C103:C108" si="24">IFERROR(B103-B102,0)</f>
        <v>-1.9999999999997797E-4</v>
      </c>
      <c r="D103" s="109">
        <f t="shared" ref="D103:D108" si="25">IF(C103&lt;0,C103,"/")</f>
        <v>-1.9999999999997797E-4</v>
      </c>
      <c r="E103" s="109">
        <f ca="1">IF(表2_367162629303891213141523[[#This Row],[累计净值]]/MAX(INDIRECT("B21:B" &amp; ROW()))-1&lt;E102,表2_367162629303891213141523[[#This Row],[累计净值]]/MAX(INDIRECT("B21:B" &amp; ROW()))-1,E102)</f>
        <v>-2.7917310664605788E-2</v>
      </c>
      <c r="F103" s="110">
        <f>表2_367162629303891213141523[[#This Row],[累计净值]]</f>
        <v>1.0179</v>
      </c>
      <c r="G103" s="20">
        <f>表2_367162629303891213141523[[#This Row],[累计净值]]/$B$21-1</f>
        <v>-3.6217697729052922E-3</v>
      </c>
    </row>
    <row r="104" spans="1:7">
      <c r="A104" s="15">
        <v>44151</v>
      </c>
      <c r="B104" s="112">
        <v>1.0181</v>
      </c>
      <c r="C104" s="108">
        <f t="shared" si="24"/>
        <v>1.9999999999997797E-4</v>
      </c>
      <c r="D104" s="109" t="str">
        <f t="shared" si="25"/>
        <v>/</v>
      </c>
      <c r="E104" s="109">
        <f ca="1">IF(表2_367162629303891213141523[[#This Row],[累计净值]]/MAX(INDIRECT("B21:B" &amp; ROW()))-1&lt;E103,表2_367162629303891213141523[[#This Row],[累计净值]]/MAX(INDIRECT("B21:B" &amp; ROW()))-1,E103)</f>
        <v>-2.7917310664605788E-2</v>
      </c>
      <c r="F104" s="110">
        <f>表2_367162629303891213141523[[#This Row],[累计净值]]</f>
        <v>1.0181</v>
      </c>
      <c r="G104" s="20">
        <f>表2_367162629303891213141523[[#This Row],[累计净值]]/$B$21-1</f>
        <v>-3.4259984338292915E-3</v>
      </c>
    </row>
    <row r="105" spans="1:7">
      <c r="A105" s="15">
        <v>44152</v>
      </c>
      <c r="B105" s="112">
        <v>1.0192000000000001</v>
      </c>
      <c r="C105" s="108">
        <f t="shared" si="24"/>
        <v>1.1000000000001009E-3</v>
      </c>
      <c r="D105" s="109" t="str">
        <f t="shared" si="25"/>
        <v>/</v>
      </c>
      <c r="E105" s="109">
        <f ca="1">IF(表2_367162629303891213141523[[#This Row],[累计净值]]/MAX(INDIRECT("B21:B" &amp; ROW()))-1&lt;E104,表2_367162629303891213141523[[#This Row],[累计净值]]/MAX(INDIRECT("B21:B" &amp; ROW()))-1,E104)</f>
        <v>-2.7917310664605788E-2</v>
      </c>
      <c r="F105" s="110">
        <f>表2_367162629303891213141523[[#This Row],[累计净值]]</f>
        <v>1.0192000000000001</v>
      </c>
      <c r="G105" s="20">
        <f>表2_367162629303891213141523[[#This Row],[累计净值]]/$B$21-1</f>
        <v>-2.3492560689114539E-3</v>
      </c>
    </row>
    <row r="106" spans="1:7">
      <c r="A106" s="15">
        <v>44153</v>
      </c>
      <c r="B106" s="112">
        <v>1.0193000000000001</v>
      </c>
      <c r="C106" s="108">
        <f t="shared" si="24"/>
        <v>9.9999999999988987E-5</v>
      </c>
      <c r="D106" s="109" t="str">
        <f t="shared" si="25"/>
        <v>/</v>
      </c>
      <c r="E106" s="109">
        <f ca="1">IF(表2_367162629303891213141523[[#This Row],[累计净值]]/MAX(INDIRECT("B21:B" &amp; ROW()))-1&lt;E105,表2_367162629303891213141523[[#This Row],[累计净值]]/MAX(INDIRECT("B21:B" &amp; ROW()))-1,E105)</f>
        <v>-2.7917310664605788E-2</v>
      </c>
      <c r="F106" s="110">
        <f>表2_367162629303891213141523[[#This Row],[累计净值]]</f>
        <v>1.0193000000000001</v>
      </c>
      <c r="G106" s="20">
        <f>表2_367162629303891213141523[[#This Row],[累计净值]]/$B$21-1</f>
        <v>-2.251370399373509E-3</v>
      </c>
    </row>
    <row r="107" spans="1:7">
      <c r="A107" s="15">
        <v>44154</v>
      </c>
      <c r="B107" s="112">
        <v>1.018</v>
      </c>
      <c r="C107" s="108">
        <f t="shared" si="24"/>
        <v>-1.3000000000000789E-3</v>
      </c>
      <c r="D107" s="109">
        <f t="shared" si="25"/>
        <v>-1.3000000000000789E-3</v>
      </c>
      <c r="E107" s="109">
        <f ca="1">IF(表2_367162629303891213141523[[#This Row],[累计净值]]/MAX(INDIRECT("B21:B" &amp; ROW()))-1&lt;E106,表2_367162629303891213141523[[#This Row],[累计净值]]/MAX(INDIRECT("B21:B" &amp; ROW()))-1,E106)</f>
        <v>-2.7917310664605788E-2</v>
      </c>
      <c r="F107" s="110">
        <f>表2_367162629303891213141523[[#This Row],[累计净值]]</f>
        <v>1.018</v>
      </c>
      <c r="G107" s="20">
        <f>表2_367162629303891213141523[[#This Row],[累计净值]]/$B$21-1</f>
        <v>-3.5238841033673474E-3</v>
      </c>
    </row>
    <row r="108" spans="1:7">
      <c r="A108" s="15">
        <v>44155</v>
      </c>
      <c r="B108" s="112">
        <v>1.0189999999999999</v>
      </c>
      <c r="C108" s="108">
        <f t="shared" si="24"/>
        <v>9.9999999999988987E-4</v>
      </c>
      <c r="D108" s="109" t="str">
        <f t="shared" si="25"/>
        <v>/</v>
      </c>
      <c r="E108" s="109">
        <f ca="1">IF(表2_367162629303891213141523[[#This Row],[累计净值]]/MAX(INDIRECT("B21:B" &amp; ROW()))-1&lt;E107,表2_367162629303891213141523[[#This Row],[累计净值]]/MAX(INDIRECT("B21:B" &amp; ROW()))-1,E107)</f>
        <v>-2.7917310664605788E-2</v>
      </c>
      <c r="F108" s="110">
        <f>表2_367162629303891213141523[[#This Row],[累计净值]]</f>
        <v>1.0189999999999999</v>
      </c>
      <c r="G108" s="20">
        <f>表2_367162629303891213141523[[#This Row],[累计净值]]/$B$21-1</f>
        <v>-2.5450274079876767E-3</v>
      </c>
    </row>
    <row r="109" spans="1:7">
      <c r="A109" s="15">
        <v>44158</v>
      </c>
      <c r="B109" s="112">
        <v>1.0184</v>
      </c>
      <c r="C109" s="108">
        <f t="shared" ref="C109:C115" si="26">IFERROR(B109-B108,0)</f>
        <v>-5.9999999999993392E-4</v>
      </c>
      <c r="D109" s="109">
        <f t="shared" ref="D109:D115" si="27">IF(C109&lt;0,C109,"/")</f>
        <v>-5.9999999999993392E-4</v>
      </c>
      <c r="E109" s="109">
        <f ca="1">IF(表2_367162629303891213141523[[#This Row],[累计净值]]/MAX(INDIRECT("B21:B" &amp; ROW()))-1&lt;E108,表2_367162629303891213141523[[#This Row],[累计净值]]/MAX(INDIRECT("B21:B" &amp; ROW()))-1,E108)</f>
        <v>-2.7917310664605788E-2</v>
      </c>
      <c r="F109" s="110">
        <f>表2_367162629303891213141523[[#This Row],[累计净值]]</f>
        <v>1.0184</v>
      </c>
      <c r="G109" s="20">
        <f>表2_367162629303891213141523[[#This Row],[累计净值]]/$B$21-1</f>
        <v>-3.1323414252154569E-3</v>
      </c>
    </row>
    <row r="110" spans="1:7">
      <c r="A110" s="15">
        <v>44159</v>
      </c>
      <c r="B110" s="112">
        <v>1.0187999999999999</v>
      </c>
      <c r="C110" s="108">
        <f t="shared" si="26"/>
        <v>3.9999999999995595E-4</v>
      </c>
      <c r="D110" s="109" t="str">
        <f t="shared" si="27"/>
        <v>/</v>
      </c>
      <c r="E110" s="109">
        <f ca="1">IF(表2_367162629303891213141523[[#This Row],[累计净值]]/MAX(INDIRECT("B21:B" &amp; ROW()))-1&lt;E109,表2_367162629303891213141523[[#This Row],[累计净值]]/MAX(INDIRECT("B21:B" &amp; ROW()))-1,E109)</f>
        <v>-2.7917310664605788E-2</v>
      </c>
      <c r="F110" s="110">
        <f>表2_367162629303891213141523[[#This Row],[累计净值]]</f>
        <v>1.0187999999999999</v>
      </c>
      <c r="G110" s="20">
        <f>表2_367162629303891213141523[[#This Row],[累计净值]]/$B$21-1</f>
        <v>-2.7407987470635664E-3</v>
      </c>
    </row>
    <row r="111" spans="1:7">
      <c r="A111" s="15">
        <v>44160</v>
      </c>
      <c r="B111" s="112">
        <v>1.0157</v>
      </c>
      <c r="C111" s="108">
        <f t="shared" si="26"/>
        <v>-3.0999999999998806E-3</v>
      </c>
      <c r="D111" s="109">
        <f t="shared" si="27"/>
        <v>-3.0999999999998806E-3</v>
      </c>
      <c r="E111" s="109">
        <f ca="1">IF(表2_367162629303891213141523[[#This Row],[累计净值]]/MAX(INDIRECT("B21:B" &amp; ROW()))-1&lt;E110,表2_367162629303891213141523[[#This Row],[累计净值]]/MAX(INDIRECT("B21:B" &amp; ROW()))-1,E110)</f>
        <v>-2.7917310664605788E-2</v>
      </c>
      <c r="F111" s="110">
        <f>表2_367162629303891213141523[[#This Row],[累计净值]]</f>
        <v>1.0157</v>
      </c>
      <c r="G111" s="20">
        <f>表2_367162629303891213141523[[#This Row],[累计净值]]/$B$21-1</f>
        <v>-5.7752545027408564E-3</v>
      </c>
    </row>
    <row r="112" spans="1:7">
      <c r="A112" s="15">
        <v>44161</v>
      </c>
      <c r="B112" s="112">
        <v>1.018</v>
      </c>
      <c r="C112" s="108">
        <f t="shared" si="26"/>
        <v>2.2999999999999687E-3</v>
      </c>
      <c r="D112" s="109" t="str">
        <f t="shared" si="27"/>
        <v>/</v>
      </c>
      <c r="E112" s="109">
        <f ca="1">IF(表2_367162629303891213141523[[#This Row],[累计净值]]/MAX(INDIRECT("B21:B" &amp; ROW()))-1&lt;E111,表2_367162629303891213141523[[#This Row],[累计净值]]/MAX(INDIRECT("B21:B" &amp; ROW()))-1,E111)</f>
        <v>-2.7917310664605788E-2</v>
      </c>
      <c r="F112" s="110">
        <f>表2_367162629303891213141523[[#This Row],[累计净值]]</f>
        <v>1.018</v>
      </c>
      <c r="G112" s="20">
        <f>表2_367162629303891213141523[[#This Row],[累计净值]]/$B$21-1</f>
        <v>-3.5238841033673474E-3</v>
      </c>
    </row>
    <row r="113" spans="1:7">
      <c r="A113" s="15">
        <v>44162</v>
      </c>
      <c r="B113" s="112">
        <v>1.0194000000000001</v>
      </c>
      <c r="C113" s="108">
        <f t="shared" si="26"/>
        <v>1.4000000000000679E-3</v>
      </c>
      <c r="D113" s="109" t="str">
        <f t="shared" si="27"/>
        <v>/</v>
      </c>
      <c r="E113" s="109">
        <f ca="1">IF(表2_367162629303891213141523[[#This Row],[累计净值]]/MAX(INDIRECT("B21:B" &amp; ROW()))-1&lt;E112,表2_367162629303891213141523[[#This Row],[累计净值]]/MAX(INDIRECT("B21:B" &amp; ROW()))-1,E112)</f>
        <v>-2.7917310664605788E-2</v>
      </c>
      <c r="F113" s="110">
        <f>表2_367162629303891213141523[[#This Row],[累计净值]]</f>
        <v>1.0194000000000001</v>
      </c>
      <c r="G113" s="20">
        <f>表2_367162629303891213141523[[#This Row],[累计净值]]/$B$21-1</f>
        <v>-2.1534847298355642E-3</v>
      </c>
    </row>
    <row r="114" spans="1:7">
      <c r="A114" s="15">
        <v>44165</v>
      </c>
      <c r="B114" s="112">
        <v>1.0143</v>
      </c>
      <c r="C114" s="108">
        <f t="shared" si="26"/>
        <v>-5.1000000000001044E-3</v>
      </c>
      <c r="D114" s="109">
        <f t="shared" si="27"/>
        <v>-5.1000000000001044E-3</v>
      </c>
      <c r="E114" s="109">
        <f ca="1">IF(表2_367162629303891213141523[[#This Row],[累计净值]]/MAX(INDIRECT("B21:B" &amp; ROW()))-1&lt;E113,表2_367162629303891213141523[[#This Row],[累计净值]]/MAX(INDIRECT("B21:B" &amp; ROW()))-1,E113)</f>
        <v>-2.7917310664605788E-2</v>
      </c>
      <c r="F114" s="110">
        <f>表2_367162629303891213141523[[#This Row],[累计净值]]</f>
        <v>1.0143</v>
      </c>
      <c r="G114" s="20">
        <f>表2_367162629303891213141523[[#This Row],[累计净值]]/$B$21-1</f>
        <v>-7.1456538762726396E-3</v>
      </c>
    </row>
    <row r="115" spans="1:7">
      <c r="A115" s="15">
        <v>44166</v>
      </c>
      <c r="B115" s="112">
        <v>1.0165999999999999</v>
      </c>
      <c r="C115" s="108">
        <f t="shared" si="26"/>
        <v>2.2999999999999687E-3</v>
      </c>
      <c r="D115" s="109" t="str">
        <f t="shared" si="27"/>
        <v>/</v>
      </c>
      <c r="E115" s="109">
        <f ca="1">IF(表2_367162629303891213141523[[#This Row],[累计净值]]/MAX(INDIRECT("B21:B" &amp; ROW()))-1&lt;E114,表2_367162629303891213141523[[#This Row],[累计净值]]/MAX(INDIRECT("B21:B" &amp; ROW()))-1,E114)</f>
        <v>-2.7917310664605788E-2</v>
      </c>
      <c r="F115" s="110">
        <f>表2_367162629303891213141523[[#This Row],[累计净值]]</f>
        <v>1.0165999999999999</v>
      </c>
      <c r="G115" s="20">
        <f>表2_367162629303891213141523[[#This Row],[累计净值]]/$B$21-1</f>
        <v>-4.8942834768991306E-3</v>
      </c>
    </row>
    <row r="116" spans="1:7">
      <c r="A116" s="15">
        <v>44167</v>
      </c>
      <c r="B116" s="112">
        <v>1.0165</v>
      </c>
      <c r="C116" s="108">
        <f>IFERROR(B116-B115,0)</f>
        <v>-9.9999999999988987E-5</v>
      </c>
      <c r="D116" s="109">
        <f>IF(C116&lt;0,C116,"/")</f>
        <v>-9.9999999999988987E-5</v>
      </c>
      <c r="E116" s="109">
        <f ca="1">IF(表2_367162629303891213141523[[#This Row],[累计净值]]/MAX(INDIRECT("B21:B" &amp; ROW()))-1&lt;E115,表2_367162629303891213141523[[#This Row],[累计净值]]/MAX(INDIRECT("B21:B" &amp; ROW()))-1,E115)</f>
        <v>-2.7917310664605788E-2</v>
      </c>
      <c r="F116" s="110">
        <f>表2_367162629303891213141523[[#This Row],[累计净值]]</f>
        <v>1.0165</v>
      </c>
      <c r="G116" s="20">
        <f>表2_367162629303891213141523[[#This Row],[累计净值]]/$B$21-1</f>
        <v>-4.9921691464370754E-3</v>
      </c>
    </row>
    <row r="117" spans="1:7">
      <c r="A117" s="15">
        <v>44168</v>
      </c>
      <c r="B117" s="112">
        <v>1.0165</v>
      </c>
      <c r="C117" s="108">
        <f t="shared" ref="C117:C118" si="28">IFERROR(B117-B116,0)</f>
        <v>0</v>
      </c>
      <c r="D117" s="109" t="str">
        <f t="shared" ref="D117:D118" si="29">IF(C117&lt;0,C117,"/")</f>
        <v>/</v>
      </c>
      <c r="E117" s="109">
        <f ca="1">IF(表2_367162629303891213141523[[#This Row],[累计净值]]/MAX(INDIRECT("B21:B" &amp; ROW()))-1&lt;E116,表2_367162629303891213141523[[#This Row],[累计净值]]/MAX(INDIRECT("B21:B" &amp; ROW()))-1,E116)</f>
        <v>-2.7917310664605788E-2</v>
      </c>
      <c r="F117" s="110">
        <f>表2_367162629303891213141523[[#This Row],[累计净值]]</f>
        <v>1.0165</v>
      </c>
      <c r="G117" s="20">
        <f>表2_367162629303891213141523[[#This Row],[累计净值]]/$B$21-1</f>
        <v>-4.9921691464370754E-3</v>
      </c>
    </row>
    <row r="118" spans="1:7">
      <c r="A118" s="15">
        <v>44169</v>
      </c>
      <c r="B118" s="112">
        <v>1.0182</v>
      </c>
      <c r="C118" s="108">
        <f t="shared" si="28"/>
        <v>1.7000000000000348E-3</v>
      </c>
      <c r="D118" s="109" t="str">
        <f t="shared" si="29"/>
        <v>/</v>
      </c>
      <c r="E118" s="109">
        <f ca="1">IF(表2_367162629303891213141523[[#This Row],[累计净值]]/MAX(INDIRECT("B21:B" &amp; ROW()))-1&lt;E117,表2_367162629303891213141523[[#This Row],[累计净值]]/MAX(INDIRECT("B21:B" &amp; ROW()))-1,E117)</f>
        <v>-2.7917310664605788E-2</v>
      </c>
      <c r="F118" s="110">
        <f>表2_367162629303891213141523[[#This Row],[累计净值]]</f>
        <v>1.0182</v>
      </c>
      <c r="G118" s="20">
        <f>表2_367162629303891213141523[[#This Row],[累计净值]]/$B$21-1</f>
        <v>-3.3281127642913466E-3</v>
      </c>
    </row>
    <row r="119" spans="1:7">
      <c r="A119" s="15">
        <v>44172</v>
      </c>
      <c r="B119" s="112">
        <v>1.0165</v>
      </c>
      <c r="C119" s="108">
        <f t="shared" ref="C119:C124" si="30">IFERROR(B119-B118,0)</f>
        <v>-1.7000000000000348E-3</v>
      </c>
      <c r="D119" s="109">
        <f t="shared" ref="D119:D124" si="31">IF(C119&lt;0,C119,"/")</f>
        <v>-1.7000000000000348E-3</v>
      </c>
      <c r="E119" s="109">
        <f ca="1">IF(表2_367162629303891213141523[[#This Row],[累计净值]]/MAX(INDIRECT("B21:B" &amp; ROW()))-1&lt;E118,表2_367162629303891213141523[[#This Row],[累计净值]]/MAX(INDIRECT("B21:B" &amp; ROW()))-1,E118)</f>
        <v>-2.7917310664605788E-2</v>
      </c>
      <c r="F119" s="110">
        <f>表2_367162629303891213141523[[#This Row],[累计净值]]</f>
        <v>1.0165</v>
      </c>
      <c r="G119" s="20">
        <f>表2_367162629303891213141523[[#This Row],[累计净值]]/$B$21-1</f>
        <v>-4.9921691464370754E-3</v>
      </c>
    </row>
    <row r="120" spans="1:7">
      <c r="A120" s="15">
        <v>44173</v>
      </c>
      <c r="B120" s="112">
        <v>1.0165</v>
      </c>
      <c r="C120" s="108">
        <f t="shared" si="30"/>
        <v>0</v>
      </c>
      <c r="D120" s="109" t="str">
        <f t="shared" si="31"/>
        <v>/</v>
      </c>
      <c r="E120" s="109">
        <f ca="1">IF(表2_367162629303891213141523[[#This Row],[累计净值]]/MAX(INDIRECT("B21:B" &amp; ROW()))-1&lt;E119,表2_367162629303891213141523[[#This Row],[累计净值]]/MAX(INDIRECT("B21:B" &amp; ROW()))-1,E119)</f>
        <v>-2.7917310664605788E-2</v>
      </c>
      <c r="F120" s="110">
        <f>表2_367162629303891213141523[[#This Row],[累计净值]]</f>
        <v>1.0165</v>
      </c>
      <c r="G120" s="20">
        <f>表2_367162629303891213141523[[#This Row],[累计净值]]/$B$21-1</f>
        <v>-4.9921691464370754E-3</v>
      </c>
    </row>
    <row r="121" spans="1:7">
      <c r="A121" s="15">
        <v>44174</v>
      </c>
      <c r="B121" s="112">
        <v>1.0129999999999999</v>
      </c>
      <c r="C121" s="108">
        <f t="shared" si="30"/>
        <v>-3.5000000000000586E-3</v>
      </c>
      <c r="D121" s="109">
        <f t="shared" si="31"/>
        <v>-3.5000000000000586E-3</v>
      </c>
      <c r="E121" s="109">
        <f ca="1">IF(表2_367162629303891213141523[[#This Row],[累计净值]]/MAX(INDIRECT("B21:B" &amp; ROW()))-1&lt;E120,表2_367162629303891213141523[[#This Row],[累计净值]]/MAX(INDIRECT("B21:B" &amp; ROW()))-1,E120)</f>
        <v>-2.7917310664605788E-2</v>
      </c>
      <c r="F121" s="110">
        <f>表2_367162629303891213141523[[#This Row],[累计净值]]</f>
        <v>1.0129999999999999</v>
      </c>
      <c r="G121" s="20">
        <f>表2_367162629303891213141523[[#This Row],[累计净值]]/$B$21-1</f>
        <v>-8.4181675802663669E-3</v>
      </c>
    </row>
    <row r="122" spans="1:7">
      <c r="A122" s="15">
        <v>44175</v>
      </c>
      <c r="B122" s="112">
        <v>1.0163</v>
      </c>
      <c r="C122" s="108">
        <f t="shared" si="30"/>
        <v>3.3000000000000806E-3</v>
      </c>
      <c r="D122" s="109" t="str">
        <f t="shared" si="31"/>
        <v>/</v>
      </c>
      <c r="E122" s="109">
        <f ca="1">IF(表2_367162629303891213141523[[#This Row],[累计净值]]/MAX(INDIRECT("B21:B" &amp; ROW()))-1&lt;E121,表2_367162629303891213141523[[#This Row],[累计净值]]/MAX(INDIRECT("B21:B" &amp; ROW()))-1,E121)</f>
        <v>-2.7917310664605788E-2</v>
      </c>
      <c r="F122" s="110">
        <f>表2_367162629303891213141523[[#This Row],[累计净值]]</f>
        <v>1.0163</v>
      </c>
      <c r="G122" s="20">
        <f>表2_367162629303891213141523[[#This Row],[累计净值]]/$B$21-1</f>
        <v>-5.1879404855129652E-3</v>
      </c>
    </row>
    <row r="123" spans="1:7">
      <c r="A123" s="15">
        <v>44176</v>
      </c>
      <c r="B123" s="112">
        <v>1.0192000000000001</v>
      </c>
      <c r="C123" s="108">
        <f t="shared" si="30"/>
        <v>2.9000000000001247E-3</v>
      </c>
      <c r="D123" s="109" t="str">
        <f t="shared" si="31"/>
        <v>/</v>
      </c>
      <c r="E123" s="109">
        <f ca="1">IF(表2_367162629303891213141523[[#This Row],[累计净值]]/MAX(INDIRECT("B21:B" &amp; ROW()))-1&lt;E122,表2_367162629303891213141523[[#This Row],[累计净值]]/MAX(INDIRECT("B21:B" &amp; ROW()))-1,E122)</f>
        <v>-2.7917310664605788E-2</v>
      </c>
      <c r="F123" s="110">
        <f>表2_367162629303891213141523[[#This Row],[累计净值]]</f>
        <v>1.0192000000000001</v>
      </c>
      <c r="G123" s="20">
        <f>表2_367162629303891213141523[[#This Row],[累计净值]]/$B$21-1</f>
        <v>-2.3492560689114539E-3</v>
      </c>
    </row>
    <row r="124" spans="1:7">
      <c r="A124" s="15">
        <v>44179</v>
      </c>
      <c r="B124" s="112">
        <v>1.0192000000000001</v>
      </c>
      <c r="C124" s="108">
        <f t="shared" si="30"/>
        <v>0</v>
      </c>
      <c r="D124" s="109" t="str">
        <f t="shared" si="31"/>
        <v>/</v>
      </c>
      <c r="E124" s="109">
        <f ca="1">IF(表2_367162629303891213141523[[#This Row],[累计净值]]/MAX(INDIRECT("B21:B" &amp; ROW()))-1&lt;E123,表2_367162629303891213141523[[#This Row],[累计净值]]/MAX(INDIRECT("B21:B" &amp; ROW()))-1,E123)</f>
        <v>-2.7917310664605788E-2</v>
      </c>
      <c r="F124" s="110">
        <f>表2_367162629303891213141523[[#This Row],[累计净值]]</f>
        <v>1.0192000000000001</v>
      </c>
      <c r="G124" s="20">
        <f>表2_367162629303891213141523[[#This Row],[累计净值]]/$B$21-1</f>
        <v>-2.3492560689114539E-3</v>
      </c>
    </row>
    <row r="125" spans="1:7">
      <c r="A125" s="15">
        <v>44180</v>
      </c>
      <c r="B125" s="112">
        <v>1.018</v>
      </c>
      <c r="C125" s="108">
        <f>IFERROR(B125-B124,0)</f>
        <v>-1.2000000000000899E-3</v>
      </c>
      <c r="D125" s="109">
        <f>IF(C125&lt;0,C125,"/")</f>
        <v>-1.2000000000000899E-3</v>
      </c>
      <c r="E125" s="109">
        <f ca="1">IF(表2_367162629303891213141523[[#This Row],[累计净值]]/MAX(INDIRECT("B21:B" &amp; ROW()))-1&lt;E124,表2_367162629303891213141523[[#This Row],[累计净值]]/MAX(INDIRECT("B21:B" &amp; ROW()))-1,E124)</f>
        <v>-2.7917310664605788E-2</v>
      </c>
      <c r="F125" s="110">
        <f>表2_367162629303891213141523[[#This Row],[累计净值]]</f>
        <v>1.018</v>
      </c>
      <c r="G125" s="20">
        <f>表2_367162629303891213141523[[#This Row],[累计净值]]/$B$21-1</f>
        <v>-3.5238841033673474E-3</v>
      </c>
    </row>
    <row r="126" spans="1:7">
      <c r="A126" s="15">
        <v>44181</v>
      </c>
      <c r="B126" s="112">
        <v>1.0165</v>
      </c>
      <c r="C126" s="108">
        <f t="shared" ref="C126:C127" si="32">IFERROR(B126-B125,0)</f>
        <v>-1.5000000000000568E-3</v>
      </c>
      <c r="D126" s="109">
        <f t="shared" ref="D126:D127" si="33">IF(C126&lt;0,C126,"/")</f>
        <v>-1.5000000000000568E-3</v>
      </c>
      <c r="E126" s="109">
        <f ca="1">IF(表2_367162629303891213141523[[#This Row],[累计净值]]/MAX(INDIRECT("B21:B" &amp; ROW()))-1&lt;E125,表2_367162629303891213141523[[#This Row],[累计净值]]/MAX(INDIRECT("B21:B" &amp; ROW()))-1,E125)</f>
        <v>-2.7917310664605788E-2</v>
      </c>
      <c r="F126" s="110">
        <f>表2_367162629303891213141523[[#This Row],[累计净值]]</f>
        <v>1.0165</v>
      </c>
      <c r="G126" s="20">
        <f>表2_367162629303891213141523[[#This Row],[累计净值]]/$B$21-1</f>
        <v>-4.9921691464370754E-3</v>
      </c>
    </row>
    <row r="127" spans="1:7">
      <c r="A127" s="15">
        <v>44182</v>
      </c>
      <c r="B127" s="112">
        <v>1.0182</v>
      </c>
      <c r="C127" s="108">
        <f t="shared" si="32"/>
        <v>1.7000000000000348E-3</v>
      </c>
      <c r="D127" s="109" t="str">
        <f t="shared" si="33"/>
        <v>/</v>
      </c>
      <c r="E127" s="109">
        <f ca="1">IF(表2_367162629303891213141523[[#This Row],[累计净值]]/MAX(INDIRECT("B21:B" &amp; ROW()))-1&lt;E126,表2_367162629303891213141523[[#This Row],[累计净值]]/MAX(INDIRECT("B21:B" &amp; ROW()))-1,E126)</f>
        <v>-2.7917310664605788E-2</v>
      </c>
      <c r="F127" s="110">
        <f>表2_367162629303891213141523[[#This Row],[累计净值]]</f>
        <v>1.0182</v>
      </c>
      <c r="G127" s="20">
        <f>表2_367162629303891213141523[[#This Row],[累计净值]]/$B$21-1</f>
        <v>-3.3281127642913466E-3</v>
      </c>
    </row>
    <row r="128" spans="1:7">
      <c r="A128" s="15">
        <v>44183</v>
      </c>
      <c r="B128" s="112">
        <v>1.0185</v>
      </c>
      <c r="C128" s="108">
        <f t="shared" ref="C128:C134" si="34">IFERROR(B128-B127,0)</f>
        <v>2.9999999999996696E-4</v>
      </c>
      <c r="D128" s="109" t="str">
        <f t="shared" ref="D128:D134" si="35">IF(C128&lt;0,C128,"/")</f>
        <v>/</v>
      </c>
      <c r="E128" s="109">
        <f ca="1">IF(表2_367162629303891213141523[[#This Row],[累计净值]]/MAX(INDIRECT("B21:B" &amp; ROW()))-1&lt;E127,表2_367162629303891213141523[[#This Row],[累计净值]]/MAX(INDIRECT("B21:B" &amp; ROW()))-1,E127)</f>
        <v>-2.7917310664605788E-2</v>
      </c>
      <c r="F128" s="110">
        <f>表2_367162629303891213141523[[#This Row],[累计净值]]</f>
        <v>1.0185</v>
      </c>
      <c r="G128" s="20">
        <f>表2_367162629303891213141523[[#This Row],[累计净值]]/$B$21-1</f>
        <v>-3.034455755677512E-3</v>
      </c>
    </row>
    <row r="129" spans="1:7">
      <c r="A129" s="15">
        <v>44186</v>
      </c>
      <c r="B129" s="112">
        <v>1.0189999999999999</v>
      </c>
      <c r="C129" s="108">
        <f t="shared" si="34"/>
        <v>4.9999999999994493E-4</v>
      </c>
      <c r="D129" s="109" t="str">
        <f t="shared" si="35"/>
        <v>/</v>
      </c>
      <c r="E129" s="109">
        <f ca="1">IF(表2_367162629303891213141523[[#This Row],[累计净值]]/MAX(INDIRECT("B21:B" &amp; ROW()))-1&lt;E128,表2_367162629303891213141523[[#This Row],[累计净值]]/MAX(INDIRECT("B21:B" &amp; ROW()))-1,E128)</f>
        <v>-2.7917310664605788E-2</v>
      </c>
      <c r="F129" s="110">
        <f>表2_367162629303891213141523[[#This Row],[累计净值]]</f>
        <v>1.0189999999999999</v>
      </c>
      <c r="G129" s="20">
        <f>表2_367162629303891213141523[[#This Row],[累计净值]]/$B$21-1</f>
        <v>-2.5450274079876767E-3</v>
      </c>
    </row>
    <row r="130" spans="1:7">
      <c r="A130" s="15">
        <v>44187</v>
      </c>
      <c r="B130" s="112">
        <v>1.0146999999999999</v>
      </c>
      <c r="C130" s="108">
        <f t="shared" si="34"/>
        <v>-4.2999999999999705E-3</v>
      </c>
      <c r="D130" s="109">
        <f t="shared" si="35"/>
        <v>-4.2999999999999705E-3</v>
      </c>
      <c r="E130" s="109">
        <f ca="1">IF(表2_367162629303891213141523[[#This Row],[累计净值]]/MAX(INDIRECT("B21:B" &amp; ROW()))-1&lt;E129,表2_367162629303891213141523[[#This Row],[累计净值]]/MAX(INDIRECT("B21:B" &amp; ROW()))-1,E129)</f>
        <v>-2.7917310664605788E-2</v>
      </c>
      <c r="F130" s="110">
        <f>表2_367162629303891213141523[[#This Row],[累计净值]]</f>
        <v>1.0146999999999999</v>
      </c>
      <c r="G130" s="20">
        <f>表2_367162629303891213141523[[#This Row],[累计净值]]/$B$21-1</f>
        <v>-6.7541111981207491E-3</v>
      </c>
    </row>
    <row r="131" spans="1:7">
      <c r="A131" s="15">
        <v>44188</v>
      </c>
      <c r="B131" s="112">
        <v>1.0174000000000001</v>
      </c>
      <c r="C131" s="108">
        <f t="shared" si="34"/>
        <v>2.7000000000001467E-3</v>
      </c>
      <c r="D131" s="109" t="str">
        <f t="shared" si="35"/>
        <v>/</v>
      </c>
      <c r="E131" s="109">
        <f ca="1">IF(表2_367162629303891213141523[[#This Row],[累计净值]]/MAX(INDIRECT("B21:B" &amp; ROW()))-1&lt;E130,表2_367162629303891213141523[[#This Row],[累计净值]]/MAX(INDIRECT("B21:B" &amp; ROW()))-1,E130)</f>
        <v>-2.7917310664605788E-2</v>
      </c>
      <c r="F131" s="110">
        <f>表2_367162629303891213141523[[#This Row],[累计净值]]</f>
        <v>1.0174000000000001</v>
      </c>
      <c r="G131" s="20">
        <f>表2_367162629303891213141523[[#This Row],[累计净值]]/$B$21-1</f>
        <v>-4.1111981205951276E-3</v>
      </c>
    </row>
    <row r="132" spans="1:7">
      <c r="A132" s="15">
        <v>44189</v>
      </c>
      <c r="B132" s="112">
        <v>1.0153000000000001</v>
      </c>
      <c r="C132" s="108">
        <f t="shared" si="34"/>
        <v>-2.0999999999999908E-3</v>
      </c>
      <c r="D132" s="109">
        <f t="shared" si="35"/>
        <v>-2.0999999999999908E-3</v>
      </c>
      <c r="E132" s="109">
        <f ca="1">IF(表2_367162629303891213141523[[#This Row],[累计净值]]/MAX(INDIRECT("B21:B" &amp; ROW()))-1&lt;E131,表2_367162629303891213141523[[#This Row],[累计净值]]/MAX(INDIRECT("B21:B" &amp; ROW()))-1,E131)</f>
        <v>-2.7917310664605788E-2</v>
      </c>
      <c r="F132" s="110">
        <f>表2_367162629303891213141523[[#This Row],[累计净值]]</f>
        <v>1.0153000000000001</v>
      </c>
      <c r="G132" s="20">
        <f>表2_367162629303891213141523[[#This Row],[累计净值]]/$B$21-1</f>
        <v>-6.1667971808926358E-3</v>
      </c>
    </row>
    <row r="133" spans="1:7">
      <c r="A133" s="15">
        <v>44190</v>
      </c>
      <c r="B133" s="112">
        <v>1.0156000000000001</v>
      </c>
      <c r="C133" s="108">
        <f t="shared" si="34"/>
        <v>2.9999999999996696E-4</v>
      </c>
      <c r="D133" s="109" t="str">
        <f t="shared" si="35"/>
        <v>/</v>
      </c>
      <c r="E133" s="109">
        <f ca="1">IF(表2_367162629303891213141523[[#This Row],[累计净值]]/MAX(INDIRECT("B21:B" &amp; ROW()))-1&lt;E132,表2_367162629303891213141523[[#This Row],[累计净值]]/MAX(INDIRECT("B21:B" &amp; ROW()))-1,E132)</f>
        <v>-2.7917310664605788E-2</v>
      </c>
      <c r="F133" s="110">
        <f>表2_367162629303891213141523[[#This Row],[累计净值]]</f>
        <v>1.0156000000000001</v>
      </c>
      <c r="G133" s="20">
        <f>表2_367162629303891213141523[[#This Row],[累计净值]]/$B$21-1</f>
        <v>-5.8731401722788013E-3</v>
      </c>
    </row>
    <row r="134" spans="1:7">
      <c r="A134" s="15">
        <v>44193</v>
      </c>
      <c r="B134" s="112">
        <v>1.0178</v>
      </c>
      <c r="C134" s="108">
        <f t="shared" si="34"/>
        <v>2.1999999999999797E-3</v>
      </c>
      <c r="D134" s="109" t="str">
        <f t="shared" si="35"/>
        <v>/</v>
      </c>
      <c r="E134" s="109">
        <f ca="1">IF(表2_367162629303891213141523[[#This Row],[累计净值]]/MAX(INDIRECT("B21:B" &amp; ROW()))-1&lt;E133,表2_367162629303891213141523[[#This Row],[累计净值]]/MAX(INDIRECT("B21:B" &amp; ROW()))-1,E133)</f>
        <v>-2.7917310664605788E-2</v>
      </c>
      <c r="F134" s="110">
        <f>表2_367162629303891213141523[[#This Row],[累计净值]]</f>
        <v>1.0178</v>
      </c>
      <c r="G134" s="20">
        <f>表2_367162629303891213141523[[#This Row],[累计净值]]/$B$21-1</f>
        <v>-3.7196554424432371E-3</v>
      </c>
    </row>
    <row r="135" spans="1:7">
      <c r="A135" s="15">
        <v>44194</v>
      </c>
      <c r="B135" s="112">
        <v>1.0148999999999999</v>
      </c>
      <c r="C135" s="108">
        <f>IFERROR(B135-B134,0)</f>
        <v>-2.9000000000001247E-3</v>
      </c>
      <c r="D135" s="109">
        <f>IF(C135&lt;0,C135,"/")</f>
        <v>-2.9000000000001247E-3</v>
      </c>
      <c r="E135" s="109">
        <f ca="1">IF(表2_367162629303891213141523[[#This Row],[累计净值]]/MAX(INDIRECT("B21:B" &amp; ROW()))-1&lt;E134,表2_367162629303891213141523[[#This Row],[累计净值]]/MAX(INDIRECT("B21:B" &amp; ROW()))-1,E134)</f>
        <v>-2.7917310664605788E-2</v>
      </c>
      <c r="F135" s="110">
        <f>表2_367162629303891213141523[[#This Row],[累计净值]]</f>
        <v>1.0148999999999999</v>
      </c>
      <c r="G135" s="20">
        <f>表2_367162629303891213141523[[#This Row],[累计净值]]/$B$21-1</f>
        <v>-6.5583398590447484E-3</v>
      </c>
    </row>
    <row r="136" spans="1:7">
      <c r="A136" s="15">
        <v>44195</v>
      </c>
      <c r="B136" s="112">
        <v>1.016</v>
      </c>
      <c r="C136" s="108">
        <f t="shared" ref="C136:C137" si="36">IFERROR(B136-B135,0)</f>
        <v>1.1000000000001009E-3</v>
      </c>
      <c r="D136" s="109" t="str">
        <f t="shared" ref="D136:D137" si="37">IF(C136&lt;0,C136,"/")</f>
        <v>/</v>
      </c>
      <c r="E136" s="109">
        <f ca="1">IF(表2_367162629303891213141523[[#This Row],[累计净值]]/MAX(INDIRECT("B21:B" &amp; ROW()))-1&lt;E135,表2_367162629303891213141523[[#This Row],[累计净值]]/MAX(INDIRECT("B21:B" &amp; ROW()))-1,E135)</f>
        <v>-2.7917310664605788E-2</v>
      </c>
      <c r="F136" s="110">
        <f>表2_367162629303891213141523[[#This Row],[累计净值]]</f>
        <v>1.016</v>
      </c>
      <c r="G136" s="20">
        <f>表2_367162629303891213141523[[#This Row],[累计净值]]/$B$21-1</f>
        <v>-5.4815974941269108E-3</v>
      </c>
    </row>
    <row r="137" spans="1:7">
      <c r="A137" s="15">
        <v>44196</v>
      </c>
      <c r="B137" s="112">
        <v>1.0182</v>
      </c>
      <c r="C137" s="108">
        <f t="shared" si="36"/>
        <v>2.1999999999999797E-3</v>
      </c>
      <c r="D137" s="109" t="str">
        <f t="shared" si="37"/>
        <v>/</v>
      </c>
      <c r="E137" s="109">
        <f ca="1">IF(表2_367162629303891213141523[[#This Row],[累计净值]]/MAX(INDIRECT("B21:B" &amp; ROW()))-1&lt;E136,表2_367162629303891213141523[[#This Row],[累计净值]]/MAX(INDIRECT("B21:B" &amp; ROW()))-1,E136)</f>
        <v>-2.7917310664605788E-2</v>
      </c>
      <c r="F137" s="110">
        <f>表2_367162629303891213141523[[#This Row],[累计净值]]</f>
        <v>1.0182</v>
      </c>
      <c r="G137" s="20">
        <f>表2_367162629303891213141523[[#This Row],[累计净值]]/$B$21-1</f>
        <v>-3.3281127642913466E-3</v>
      </c>
    </row>
    <row r="138" spans="1:7">
      <c r="A138" s="15">
        <v>44200</v>
      </c>
      <c r="B138" s="112">
        <v>1.0189999999999999</v>
      </c>
      <c r="C138" s="108">
        <f>IFERROR(B138-#REF!,0)</f>
        <v>0</v>
      </c>
      <c r="D138" s="109" t="str">
        <f t="shared" ref="D138" si="38">IF(C138&lt;0,C138,"/")</f>
        <v>/</v>
      </c>
      <c r="E138" s="109">
        <f ca="1">IF(表2_367162629303891213141523[[#This Row],[累计净值]]/MAX(INDIRECT("B21:B" &amp; ROW()))-1&lt;E137,表2_367162629303891213141523[[#This Row],[累计净值]]/MAX(INDIRECT("B21:B" &amp; ROW()))-1,E137)</f>
        <v>-2.7917310664605788E-2</v>
      </c>
      <c r="F138" s="110">
        <f>表2_367162629303891213141523[[#This Row],[累计净值]]</f>
        <v>1.0189999999999999</v>
      </c>
      <c r="G138" s="20">
        <f>表2_367162629303891213141523[[#This Row],[累计净值]]/$B$21-1</f>
        <v>-2.5450274079876767E-3</v>
      </c>
    </row>
    <row r="139" spans="1:7">
      <c r="A139" s="15">
        <v>44201</v>
      </c>
      <c r="B139" s="112">
        <v>1.0246999999999999</v>
      </c>
      <c r="C139" s="108">
        <f t="shared" ref="C139:C144" si="39">IFERROR(B139-B138,0)</f>
        <v>5.7000000000000384E-3</v>
      </c>
      <c r="D139" s="109" t="str">
        <f t="shared" ref="D139:D144" si="40">IF(C139&lt;0,C139,"/")</f>
        <v>/</v>
      </c>
      <c r="E139" s="109">
        <f ca="1">IF(表2_367162629303891213141523[[#This Row],[累计净值]]/MAX(INDIRECT("B21:B" &amp; ROW()))-1&lt;E138,表2_367162629303891213141523[[#This Row],[累计净值]]/MAX(INDIRECT("B21:B" &amp; ROW()))-1,E138)</f>
        <v>-2.7917310664605788E-2</v>
      </c>
      <c r="F139" s="110">
        <f>表2_367162629303891213141523[[#This Row],[累计净值]]</f>
        <v>1.0246999999999999</v>
      </c>
      <c r="G139" s="20">
        <f>表2_367162629303891213141523[[#This Row],[累计净值]]/$B$21-1</f>
        <v>3.034455755677179E-3</v>
      </c>
    </row>
    <row r="140" spans="1:7">
      <c r="A140" s="15">
        <v>44202</v>
      </c>
      <c r="B140" s="112">
        <v>1.0241</v>
      </c>
      <c r="C140" s="108">
        <f t="shared" si="39"/>
        <v>-5.9999999999993392E-4</v>
      </c>
      <c r="D140" s="109">
        <f t="shared" si="40"/>
        <v>-5.9999999999993392E-4</v>
      </c>
      <c r="E140" s="109">
        <f ca="1">IF(表2_367162629303891213141523[[#This Row],[累计净值]]/MAX(INDIRECT("B21:B" &amp; ROW()))-1&lt;E139,表2_367162629303891213141523[[#This Row],[累计净值]]/MAX(INDIRECT("B21:B" &amp; ROW()))-1,E139)</f>
        <v>-2.7917310664605788E-2</v>
      </c>
      <c r="F140" s="110">
        <f>表2_367162629303891213141523[[#This Row],[累计净值]]</f>
        <v>1.0241</v>
      </c>
      <c r="G140" s="20">
        <f>表2_367162629303891213141523[[#This Row],[累计净值]]/$B$21-1</f>
        <v>2.4471417384495098E-3</v>
      </c>
    </row>
    <row r="141" spans="1:7">
      <c r="A141" s="15">
        <v>44203</v>
      </c>
      <c r="B141" s="112">
        <v>1.0251999999999999</v>
      </c>
      <c r="C141" s="108">
        <f t="shared" si="39"/>
        <v>1.0999999999998789E-3</v>
      </c>
      <c r="D141" s="109" t="str">
        <f t="shared" si="40"/>
        <v>/</v>
      </c>
      <c r="E141" s="109">
        <f ca="1">IF(表2_367162629303891213141523[[#This Row],[累计净值]]/MAX(INDIRECT("B21:B" &amp; ROW()))-1&lt;E140,表2_367162629303891213141523[[#This Row],[累计净值]]/MAX(INDIRECT("B21:B" &amp; ROW()))-1,E140)</f>
        <v>-2.7917310664605788E-2</v>
      </c>
      <c r="F141" s="110">
        <f>表2_367162629303891213141523[[#This Row],[累计净值]]</f>
        <v>1.0251999999999999</v>
      </c>
      <c r="G141" s="20">
        <f>表2_367162629303891213141523[[#This Row],[累计净值]]/$B$21-1</f>
        <v>3.5238841033671253E-3</v>
      </c>
    </row>
    <row r="142" spans="1:7">
      <c r="A142" s="15">
        <v>44204</v>
      </c>
      <c r="B142" s="112">
        <v>1.0217000000000001</v>
      </c>
      <c r="C142" s="108">
        <f t="shared" si="39"/>
        <v>-3.4999999999998366E-3</v>
      </c>
      <c r="D142" s="109">
        <f t="shared" si="40"/>
        <v>-3.4999999999998366E-3</v>
      </c>
      <c r="E142" s="109">
        <f ca="1">IF(表2_367162629303891213141523[[#This Row],[累计净值]]/MAX(INDIRECT("B21:B" &amp; ROW()))-1&lt;E141,表2_367162629303891213141523[[#This Row],[累计净值]]/MAX(INDIRECT("B21:B" &amp; ROW()))-1,E141)</f>
        <v>-2.7917310664605788E-2</v>
      </c>
      <c r="F142" s="110">
        <f>表2_367162629303891213141523[[#This Row],[累计净值]]</f>
        <v>1.0217000000000001</v>
      </c>
      <c r="G142" s="20">
        <f>表2_367162629303891213141523[[#This Row],[累计净值]]/$B$21-1</f>
        <v>9.7885669537944864E-5</v>
      </c>
    </row>
    <row r="143" spans="1:7">
      <c r="A143" s="15">
        <v>44207</v>
      </c>
      <c r="B143" s="112">
        <v>1.0215000000000001</v>
      </c>
      <c r="C143" s="108">
        <f t="shared" si="39"/>
        <v>-1.9999999999997797E-4</v>
      </c>
      <c r="D143" s="109">
        <f t="shared" si="40"/>
        <v>-1.9999999999997797E-4</v>
      </c>
      <c r="E143" s="109">
        <f ca="1">IF(表2_367162629303891213141523[[#This Row],[累计净值]]/MAX(INDIRECT("B21:B" &amp; ROW()))-1&lt;E142,表2_367162629303891213141523[[#This Row],[累计净值]]/MAX(INDIRECT("B21:B" &amp; ROW()))-1,E142)</f>
        <v>-2.7917310664605788E-2</v>
      </c>
      <c r="F143" s="110">
        <f>表2_367162629303891213141523[[#This Row],[累计净值]]</f>
        <v>1.0215000000000001</v>
      </c>
      <c r="G143" s="20">
        <f>表2_367162629303891213141523[[#This Row],[累计净值]]/$B$21-1</f>
        <v>-9.7885669537944864E-5</v>
      </c>
    </row>
    <row r="144" spans="1:7">
      <c r="A144" s="15">
        <v>44208</v>
      </c>
      <c r="B144" s="112">
        <v>1.0262</v>
      </c>
      <c r="C144" s="108">
        <f t="shared" si="39"/>
        <v>4.6999999999999265E-3</v>
      </c>
      <c r="D144" s="109" t="str">
        <f t="shared" si="40"/>
        <v>/</v>
      </c>
      <c r="E144" s="109">
        <f ca="1">IF(表2_367162629303891213141523[[#This Row],[累计净值]]/MAX(INDIRECT("B21:B" &amp; ROW()))-1&lt;E143,表2_367162629303891213141523[[#This Row],[累计净值]]/MAX(INDIRECT("B21:B" &amp; ROW()))-1,E143)</f>
        <v>-2.7917310664605788E-2</v>
      </c>
      <c r="F144" s="110">
        <f>表2_367162629303891213141523[[#This Row],[累计净值]]</f>
        <v>1.0262</v>
      </c>
      <c r="G144" s="20">
        <f>表2_367162629303891213141523[[#This Row],[累计净值]]/$B$21-1</f>
        <v>4.502740798747018E-3</v>
      </c>
    </row>
    <row r="145" spans="1:7">
      <c r="A145" s="15">
        <v>44209</v>
      </c>
      <c r="B145" s="112">
        <v>1.0236000000000001</v>
      </c>
      <c r="C145" s="108">
        <f t="shared" ref="C145:C150" si="41">IFERROR(B145-B144,0)</f>
        <v>-2.5999999999999357E-3</v>
      </c>
      <c r="D145" s="109">
        <f t="shared" ref="D145:D150" si="42">IF(C145&lt;0,C145,"/")</f>
        <v>-2.5999999999999357E-3</v>
      </c>
      <c r="E145" s="109">
        <f ca="1">IF(表2_367162629303891213141523[[#This Row],[累计净值]]/MAX(INDIRECT("B21:B" &amp; ROW()))-1&lt;E144,表2_367162629303891213141523[[#This Row],[累计净值]]/MAX(INDIRECT("B21:B" &amp; ROW()))-1,E144)</f>
        <v>-2.7917310664605788E-2</v>
      </c>
      <c r="F145" s="110">
        <f>表2_367162629303891213141523[[#This Row],[累计净值]]</f>
        <v>1.0236000000000001</v>
      </c>
      <c r="G145" s="20">
        <f>表2_367162629303891213141523[[#This Row],[累计净值]]/$B$21-1</f>
        <v>1.9577133907595634E-3</v>
      </c>
    </row>
    <row r="146" spans="1:7">
      <c r="A146" s="15">
        <v>44210</v>
      </c>
      <c r="B146" s="112">
        <v>1.0177</v>
      </c>
      <c r="C146" s="108">
        <f t="shared" si="41"/>
        <v>-5.9000000000000163E-3</v>
      </c>
      <c r="D146" s="109">
        <f t="shared" si="42"/>
        <v>-5.9000000000000163E-3</v>
      </c>
      <c r="E146" s="109">
        <f ca="1">IF(表2_367162629303891213141523[[#This Row],[累计净值]]/MAX(INDIRECT("B21:B" &amp; ROW()))-1&lt;E145,表2_367162629303891213141523[[#This Row],[累计净值]]/MAX(INDIRECT("B21:B" &amp; ROW()))-1,E145)</f>
        <v>-2.7917310664605788E-2</v>
      </c>
      <c r="F146" s="110">
        <f>表2_367162629303891213141523[[#This Row],[累计净值]]</f>
        <v>1.0177</v>
      </c>
      <c r="G146" s="20">
        <f>表2_367162629303891213141523[[#This Row],[累计净值]]/$B$21-1</f>
        <v>-3.817541111981182E-3</v>
      </c>
    </row>
    <row r="147" spans="1:7">
      <c r="A147" s="15">
        <v>44211</v>
      </c>
      <c r="B147" s="112">
        <v>1.0187999999999999</v>
      </c>
      <c r="C147" s="108">
        <f t="shared" si="41"/>
        <v>1.0999999999998789E-3</v>
      </c>
      <c r="D147" s="109" t="str">
        <f t="shared" si="42"/>
        <v>/</v>
      </c>
      <c r="E147" s="109">
        <f ca="1">IF(表2_367162629303891213141523[[#This Row],[累计净值]]/MAX(INDIRECT("B21:B" &amp; ROW()))-1&lt;E146,表2_367162629303891213141523[[#This Row],[累计净值]]/MAX(INDIRECT("B21:B" &amp; ROW()))-1,E146)</f>
        <v>-2.7917310664605788E-2</v>
      </c>
      <c r="F147" s="110">
        <f>表2_367162629303891213141523[[#This Row],[累计净值]]</f>
        <v>1.0187999999999999</v>
      </c>
      <c r="G147" s="20">
        <f>表2_367162629303891213141523[[#This Row],[累计净值]]/$B$21-1</f>
        <v>-2.7407987470635664E-3</v>
      </c>
    </row>
    <row r="148" spans="1:7">
      <c r="A148" s="15">
        <v>44214</v>
      </c>
      <c r="B148" s="112">
        <v>1.0219</v>
      </c>
      <c r="C148" s="108">
        <f t="shared" si="41"/>
        <v>3.1000000000001027E-3</v>
      </c>
      <c r="D148" s="109" t="str">
        <f t="shared" si="42"/>
        <v>/</v>
      </c>
      <c r="E148" s="109">
        <f ca="1">IF(表2_367162629303891213141523[[#This Row],[累计净值]]/MAX(INDIRECT("B21:B" &amp; ROW()))-1&lt;E147,表2_367162629303891213141523[[#This Row],[累计净值]]/MAX(INDIRECT("B21:B" &amp; ROW()))-1,E147)</f>
        <v>-2.7917310664605788E-2</v>
      </c>
      <c r="F148" s="110">
        <f>表2_367162629303891213141523[[#This Row],[累计净值]]</f>
        <v>1.0219</v>
      </c>
      <c r="G148" s="20">
        <f>表2_367162629303891213141523[[#This Row],[累计净值]]/$B$21-1</f>
        <v>2.9365700861383459E-4</v>
      </c>
    </row>
    <row r="149" spans="1:7">
      <c r="A149" s="15">
        <v>44215</v>
      </c>
      <c r="B149" s="112">
        <v>1.0217000000000001</v>
      </c>
      <c r="C149" s="108">
        <f t="shared" si="41"/>
        <v>-1.9999999999997797E-4</v>
      </c>
      <c r="D149" s="109">
        <f t="shared" si="42"/>
        <v>-1.9999999999997797E-4</v>
      </c>
      <c r="E149" s="109">
        <f ca="1">IF(表2_367162629303891213141523[[#This Row],[累计净值]]/MAX(INDIRECT("B21:B" &amp; ROW()))-1&lt;E148,表2_367162629303891213141523[[#This Row],[累计净值]]/MAX(INDIRECT("B21:B" &amp; ROW()))-1,E148)</f>
        <v>-2.7917310664605788E-2</v>
      </c>
      <c r="F149" s="110">
        <f>表2_367162629303891213141523[[#This Row],[累计净值]]</f>
        <v>1.0217000000000001</v>
      </c>
      <c r="G149" s="20">
        <f>表2_367162629303891213141523[[#This Row],[累计净值]]/$B$21-1</f>
        <v>9.7885669537944864E-5</v>
      </c>
    </row>
    <row r="150" spans="1:7">
      <c r="A150" s="15">
        <v>44216</v>
      </c>
      <c r="B150" s="112">
        <v>1.0223</v>
      </c>
      <c r="C150" s="108">
        <f t="shared" si="41"/>
        <v>5.9999999999993392E-4</v>
      </c>
      <c r="D150" s="109" t="str">
        <f t="shared" si="42"/>
        <v>/</v>
      </c>
      <c r="E150" s="109">
        <f ca="1">IF(表2_367162629303891213141523[[#This Row],[累计净值]]/MAX(INDIRECT("B21:B" &amp; ROW()))-1&lt;E149,表2_367162629303891213141523[[#This Row],[累计净值]]/MAX(INDIRECT("B21:B" &amp; ROW()))-1,E149)</f>
        <v>-2.7917310664605788E-2</v>
      </c>
      <c r="F150" s="110">
        <f>表2_367162629303891213141523[[#This Row],[累计净值]]</f>
        <v>1.0223</v>
      </c>
      <c r="G150" s="20">
        <f>表2_367162629303891213141523[[#This Row],[累计净值]]/$B$21-1</f>
        <v>6.8519968676583609E-4</v>
      </c>
    </row>
    <row r="151" spans="1:7">
      <c r="A151" s="15">
        <v>44217</v>
      </c>
      <c r="B151" s="112">
        <v>1.0208999999999999</v>
      </c>
      <c r="C151" s="108">
        <f t="shared" ref="C151:C156" si="43">IFERROR(B151-B150,0)</f>
        <v>-1.4000000000000679E-3</v>
      </c>
      <c r="D151" s="109">
        <f t="shared" ref="D151:D156" si="44">IF(C151&lt;0,C151,"/")</f>
        <v>-1.4000000000000679E-3</v>
      </c>
      <c r="E151" s="109">
        <f ca="1">IF(表2_367162629303891213141523[[#This Row],[累计净值]]/MAX(INDIRECT("B21:B" &amp; ROW()))-1&lt;E150,表2_367162629303891213141523[[#This Row],[累计净值]]/MAX(INDIRECT("B21:B" &amp; ROW()))-1,E150)</f>
        <v>-2.7917310664605788E-2</v>
      </c>
      <c r="F151" s="110">
        <f>表2_367162629303891213141523[[#This Row],[累计净值]]</f>
        <v>1.0208999999999999</v>
      </c>
      <c r="G151" s="20">
        <f>表2_367162629303891213141523[[#This Row],[累计净值]]/$B$21-1</f>
        <v>-6.8519968676594711E-4</v>
      </c>
    </row>
    <row r="152" spans="1:7">
      <c r="A152" s="15">
        <v>44218</v>
      </c>
      <c r="B152" s="112">
        <v>1.0253000000000001</v>
      </c>
      <c r="C152" s="108">
        <f t="shared" si="43"/>
        <v>4.4000000000001815E-3</v>
      </c>
      <c r="D152" s="109" t="str">
        <f t="shared" si="44"/>
        <v>/</v>
      </c>
      <c r="E152" s="109">
        <f ca="1">IF(表2_367162629303891213141523[[#This Row],[累计净值]]/MAX(INDIRECT("B21:B" &amp; ROW()))-1&lt;E151,表2_367162629303891213141523[[#This Row],[累计净值]]/MAX(INDIRECT("B21:B" &amp; ROW()))-1,E151)</f>
        <v>-2.7917310664605788E-2</v>
      </c>
      <c r="F152" s="110">
        <f>表2_367162629303891213141523[[#This Row],[累计净值]]</f>
        <v>1.0253000000000001</v>
      </c>
      <c r="G152" s="20">
        <f>表2_367162629303891213141523[[#This Row],[累计净值]]/$B$21-1</f>
        <v>3.6217697729052922E-3</v>
      </c>
    </row>
    <row r="153" spans="1:7">
      <c r="A153" s="15">
        <v>44221</v>
      </c>
      <c r="B153" s="112">
        <v>1.0259</v>
      </c>
      <c r="C153" s="108">
        <f t="shared" si="43"/>
        <v>5.9999999999993392E-4</v>
      </c>
      <c r="D153" s="109" t="str">
        <f t="shared" si="44"/>
        <v>/</v>
      </c>
      <c r="E153" s="109">
        <f ca="1">IF(表2_367162629303891213141523[[#This Row],[累计净值]]/MAX(INDIRECT("B21:B" &amp; ROW()))-1&lt;E152,表2_367162629303891213141523[[#This Row],[累计净值]]/MAX(INDIRECT("B21:B" &amp; ROW()))-1,E152)</f>
        <v>-2.7917310664605788E-2</v>
      </c>
      <c r="F153" s="110">
        <f>表2_367162629303891213141523[[#This Row],[累计净值]]</f>
        <v>1.0259</v>
      </c>
      <c r="G153" s="20">
        <f>表2_367162629303891213141523[[#This Row],[累计净值]]/$B$21-1</f>
        <v>4.2090837901331835E-3</v>
      </c>
    </row>
    <row r="154" spans="1:7">
      <c r="A154" s="15">
        <v>44222</v>
      </c>
      <c r="B154" s="112">
        <v>1.0250999999999999</v>
      </c>
      <c r="C154" s="108">
        <f t="shared" si="43"/>
        <v>-8.0000000000013394E-4</v>
      </c>
      <c r="D154" s="109">
        <f t="shared" si="44"/>
        <v>-8.0000000000013394E-4</v>
      </c>
      <c r="E154" s="109">
        <f ca="1">IF(表2_367162629303891213141523[[#This Row],[累计净值]]/MAX(INDIRECT("B21:B" &amp; ROW()))-1&lt;E153,表2_367162629303891213141523[[#This Row],[累计净值]]/MAX(INDIRECT("B21:B" &amp; ROW()))-1,E153)</f>
        <v>-2.7917310664605788E-2</v>
      </c>
      <c r="F154" s="110">
        <f>表2_367162629303891213141523[[#This Row],[累计净值]]</f>
        <v>1.0250999999999999</v>
      </c>
      <c r="G154" s="20">
        <f>表2_367162629303891213141523[[#This Row],[累计净值]]/$B$21-1</f>
        <v>3.4259984338291805E-3</v>
      </c>
    </row>
    <row r="155" spans="1:7">
      <c r="A155" s="15">
        <v>44223</v>
      </c>
      <c r="B155" s="112">
        <v>1.0248999999999999</v>
      </c>
      <c r="C155" s="108">
        <f t="shared" si="43"/>
        <v>-1.9999999999997797E-4</v>
      </c>
      <c r="D155" s="109">
        <f t="shared" si="44"/>
        <v>-1.9999999999997797E-4</v>
      </c>
      <c r="E155" s="109">
        <f ca="1">IF(表2_367162629303891213141523[[#This Row],[累计净值]]/MAX(INDIRECT("B21:B" &amp; ROW()))-1&lt;E154,表2_367162629303891213141523[[#This Row],[累计净值]]/MAX(INDIRECT("B21:B" &amp; ROW()))-1,E154)</f>
        <v>-2.7917310664605788E-2</v>
      </c>
      <c r="F155" s="110">
        <f>表2_367162629303891213141523[[#This Row],[累计净值]]</f>
        <v>1.0248999999999999</v>
      </c>
      <c r="G155" s="20">
        <f>表2_367162629303891213141523[[#This Row],[累计净值]]/$B$21-1</f>
        <v>3.2302270947532907E-3</v>
      </c>
    </row>
    <row r="156" spans="1:7">
      <c r="A156" s="15">
        <v>44224</v>
      </c>
      <c r="B156" s="112">
        <v>1.0245</v>
      </c>
      <c r="C156" s="108">
        <f t="shared" si="43"/>
        <v>-3.9999999999995595E-4</v>
      </c>
      <c r="D156" s="109">
        <f t="shared" si="44"/>
        <v>-3.9999999999995595E-4</v>
      </c>
      <c r="E156" s="109">
        <f ca="1">IF(表2_367162629303891213141523[[#This Row],[累计净值]]/MAX(INDIRECT("B21:B" &amp; ROW()))-1&lt;E155,表2_367162629303891213141523[[#This Row],[累计净值]]/MAX(INDIRECT("B21:B" &amp; ROW()))-1,E155)</f>
        <v>-2.7917310664605788E-2</v>
      </c>
      <c r="F156" s="110">
        <f>表2_367162629303891213141523[[#This Row],[累计净值]]</f>
        <v>1.0245</v>
      </c>
      <c r="G156" s="20">
        <f>表2_367162629303891213141523[[#This Row],[累计净值]]/$B$21-1</f>
        <v>2.8386844166012892E-3</v>
      </c>
    </row>
    <row r="157" spans="1:7">
      <c r="A157" s="15">
        <v>44225</v>
      </c>
      <c r="B157" s="112">
        <v>1.0278</v>
      </c>
      <c r="C157" s="108">
        <f t="shared" ref="C157:C162" si="45">IFERROR(B157-B156,0)</f>
        <v>3.3000000000000806E-3</v>
      </c>
      <c r="D157" s="109" t="str">
        <f t="shared" ref="D157:D162" si="46">IF(C157&lt;0,C157,"/")</f>
        <v>/</v>
      </c>
      <c r="E157" s="109">
        <f ca="1">IF(表2_367162629303891213141523[[#This Row],[累计净值]]/MAX(INDIRECT("B21:B" &amp; ROW()))-1&lt;E156,表2_367162629303891213141523[[#This Row],[累计净值]]/MAX(INDIRECT("B21:B" &amp; ROW()))-1,E156)</f>
        <v>-2.7917310664605788E-2</v>
      </c>
      <c r="F157" s="110">
        <f>表2_367162629303891213141523[[#This Row],[累计净值]]</f>
        <v>1.0278</v>
      </c>
      <c r="G157" s="20">
        <f>表2_367162629303891213141523[[#This Row],[累计净值]]/$B$21-1</f>
        <v>6.068911511354802E-3</v>
      </c>
    </row>
    <row r="158" spans="1:7">
      <c r="A158" s="15">
        <v>44228</v>
      </c>
      <c r="B158" s="112">
        <v>1.0263</v>
      </c>
      <c r="C158" s="108">
        <f t="shared" si="45"/>
        <v>-1.5000000000000568E-3</v>
      </c>
      <c r="D158" s="109">
        <f t="shared" si="46"/>
        <v>-1.5000000000000568E-3</v>
      </c>
      <c r="E158" s="109">
        <f ca="1">IF(表2_367162629303891213141523[[#This Row],[累计净值]]/MAX(INDIRECT("B21:B" &amp; ROW()))-1&lt;E157,表2_367162629303891213141523[[#This Row],[累计净值]]/MAX(INDIRECT("B21:B" &amp; ROW()))-1,E157)</f>
        <v>-2.7917310664605788E-2</v>
      </c>
      <c r="F158" s="110">
        <f>表2_367162629303891213141523[[#This Row],[累计净值]]</f>
        <v>1.0263</v>
      </c>
      <c r="G158" s="20">
        <f>表2_367162629303891213141523[[#This Row],[累计净值]]/$B$21-1</f>
        <v>4.6006264682849629E-3</v>
      </c>
    </row>
    <row r="159" spans="1:7">
      <c r="A159" s="15">
        <v>44229</v>
      </c>
      <c r="B159" s="112">
        <v>1.0273000000000001</v>
      </c>
      <c r="C159" s="108">
        <f t="shared" si="45"/>
        <v>1.0000000000001119E-3</v>
      </c>
      <c r="D159" s="109" t="str">
        <f t="shared" si="46"/>
        <v>/</v>
      </c>
      <c r="E159" s="109">
        <f ca="1">IF(表2_367162629303891213141523[[#This Row],[累计净值]]/MAX(INDIRECT("B21:B" &amp; ROW()))-1&lt;E158,表2_367162629303891213141523[[#This Row],[累计净值]]/MAX(INDIRECT("B21:B" &amp; ROW()))-1,E158)</f>
        <v>-2.7917310664605788E-2</v>
      </c>
      <c r="F159" s="110">
        <f>表2_367162629303891213141523[[#This Row],[累计净值]]</f>
        <v>1.0273000000000001</v>
      </c>
      <c r="G159" s="20">
        <f>表2_367162629303891213141523[[#This Row],[累计净值]]/$B$21-1</f>
        <v>5.5794831636648556E-3</v>
      </c>
    </row>
    <row r="160" spans="1:7">
      <c r="A160" s="15">
        <v>44230</v>
      </c>
      <c r="B160" s="112">
        <v>1.0242</v>
      </c>
      <c r="C160" s="108">
        <f t="shared" si="45"/>
        <v>-3.1000000000001027E-3</v>
      </c>
      <c r="D160" s="109">
        <f t="shared" si="46"/>
        <v>-3.1000000000001027E-3</v>
      </c>
      <c r="E160" s="109">
        <f ca="1">IF(表2_367162629303891213141523[[#This Row],[累计净值]]/MAX(INDIRECT("B21:B" &amp; ROW()))-1&lt;E159,表2_367162629303891213141523[[#This Row],[累计净值]]/MAX(INDIRECT("B21:B" &amp; ROW()))-1,E159)</f>
        <v>-2.7917310664605788E-2</v>
      </c>
      <c r="F160" s="110">
        <f>表2_367162629303891213141523[[#This Row],[累计净值]]</f>
        <v>1.0242</v>
      </c>
      <c r="G160" s="20">
        <f>表2_367162629303891213141523[[#This Row],[累计净值]]/$B$21-1</f>
        <v>2.5450274079874546E-3</v>
      </c>
    </row>
    <row r="161" spans="1:7">
      <c r="A161" s="15">
        <v>44231</v>
      </c>
      <c r="B161" s="112">
        <v>1.0248999999999999</v>
      </c>
      <c r="C161" s="108">
        <f t="shared" si="45"/>
        <v>6.9999999999992291E-4</v>
      </c>
      <c r="D161" s="109" t="str">
        <f t="shared" si="46"/>
        <v>/</v>
      </c>
      <c r="E161" s="109">
        <f ca="1">IF(表2_367162629303891213141523[[#This Row],[累计净值]]/MAX(INDIRECT("B21:B" &amp; ROW()))-1&lt;E160,表2_367162629303891213141523[[#This Row],[累计净值]]/MAX(INDIRECT("B21:B" &amp; ROW()))-1,E160)</f>
        <v>-2.7917310664605788E-2</v>
      </c>
      <c r="F161" s="110">
        <f>表2_367162629303891213141523[[#This Row],[累计净值]]</f>
        <v>1.0248999999999999</v>
      </c>
      <c r="G161" s="20">
        <f>表2_367162629303891213141523[[#This Row],[累计净值]]/$B$21-1</f>
        <v>3.2302270947532907E-3</v>
      </c>
    </row>
    <row r="162" spans="1:7">
      <c r="A162" s="15">
        <v>44232</v>
      </c>
      <c r="B162" s="112">
        <v>1.0222</v>
      </c>
      <c r="C162" s="108">
        <f t="shared" si="45"/>
        <v>-2.6999999999999247E-3</v>
      </c>
      <c r="D162" s="109">
        <f t="shared" si="46"/>
        <v>-2.6999999999999247E-3</v>
      </c>
      <c r="E162" s="109">
        <f ca="1">IF(表2_367162629303891213141523[[#This Row],[累计净值]]/MAX(INDIRECT("B21:B" &amp; ROW()))-1&lt;E161,表2_367162629303891213141523[[#This Row],[累计净值]]/MAX(INDIRECT("B21:B" &amp; ROW()))-1,E161)</f>
        <v>-2.7917310664605788E-2</v>
      </c>
      <c r="F162" s="110">
        <f>表2_367162629303891213141523[[#This Row],[累计净值]]</f>
        <v>1.0222</v>
      </c>
      <c r="G162" s="20">
        <f>表2_367162629303891213141523[[#This Row],[累计净值]]/$B$21-1</f>
        <v>5.8731401722789123E-4</v>
      </c>
    </row>
    <row r="163" spans="1:7">
      <c r="A163" s="15">
        <v>44235</v>
      </c>
      <c r="B163" s="112">
        <v>1.0245</v>
      </c>
      <c r="C163" s="108">
        <f>IFERROR(B163-B162,0)</f>
        <v>2.2999999999999687E-3</v>
      </c>
      <c r="D163" s="109" t="str">
        <f>IF(C163&lt;0,C163,"/")</f>
        <v>/</v>
      </c>
      <c r="E163" s="109">
        <f ca="1">IF(表2_367162629303891213141523[[#This Row],[累计净值]]/MAX(INDIRECT("B21:B" &amp; ROW()))-1&lt;E162,表2_367162629303891213141523[[#This Row],[累计净值]]/MAX(INDIRECT("B21:B" &amp; ROW()))-1,E162)</f>
        <v>-2.7917310664605788E-2</v>
      </c>
      <c r="F163" s="110">
        <f>表2_367162629303891213141523[[#This Row],[累计净值]]</f>
        <v>1.0245</v>
      </c>
      <c r="G163" s="20">
        <f>表2_367162629303891213141523[[#This Row],[累计净值]]/$B$21-1</f>
        <v>2.8386844166012892E-3</v>
      </c>
    </row>
    <row r="164" spans="1:7">
      <c r="A164" s="15">
        <v>44236</v>
      </c>
      <c r="B164" s="112">
        <v>1.0271999999999999</v>
      </c>
      <c r="C164" s="108">
        <f>IFERROR(B164-B163,0)</f>
        <v>2.6999999999999247E-3</v>
      </c>
      <c r="D164" s="109" t="str">
        <f>IF(C164&lt;0,C164,"/")</f>
        <v>/</v>
      </c>
      <c r="E164" s="109">
        <f ca="1">IF(表2_367162629303891213141523[[#This Row],[累计净值]]/MAX(INDIRECT("B21:B" &amp; ROW()))-1&lt;E163,表2_367162629303891213141523[[#This Row],[累计净值]]/MAX(INDIRECT("B21:B" &amp; ROW()))-1,E163)</f>
        <v>-2.7917310664605788E-2</v>
      </c>
      <c r="F164" s="110">
        <f>表2_367162629303891213141523[[#This Row],[累计净值]]</f>
        <v>1.0271999999999999</v>
      </c>
      <c r="G164" s="20">
        <f>表2_367162629303891213141523[[#This Row],[累计净值]]/$B$21-1</f>
        <v>5.4815974941266887E-3</v>
      </c>
    </row>
    <row r="165" spans="1:7">
      <c r="A165" s="15">
        <v>44237</v>
      </c>
      <c r="B165" s="112">
        <v>1.0298</v>
      </c>
      <c r="C165" s="108">
        <f t="shared" ref="C165:C166" si="47">IFERROR(B165-B164,0)</f>
        <v>2.6000000000001577E-3</v>
      </c>
      <c r="D165" s="109" t="str">
        <f t="shared" ref="D165:D166" si="48">IF(C165&lt;0,C165,"/")</f>
        <v>/</v>
      </c>
      <c r="E165" s="109">
        <f ca="1">IF(表2_367162629303891213141523[[#This Row],[累计净值]]/MAX(INDIRECT("B21:B" &amp; ROW()))-1&lt;E164,表2_367162629303891213141523[[#This Row],[累计净值]]/MAX(INDIRECT("B21:B" &amp; ROW()))-1,E164)</f>
        <v>-2.7917310664605788E-2</v>
      </c>
      <c r="F165" s="110">
        <f>表2_367162629303891213141523[[#This Row],[累计净值]]</f>
        <v>1.0298</v>
      </c>
      <c r="G165" s="20">
        <f>表2_367162629303891213141523[[#This Row],[累计净值]]/$B$21-1</f>
        <v>8.0266249021143654E-3</v>
      </c>
    </row>
    <row r="166" spans="1:7">
      <c r="A166" s="15">
        <v>44245</v>
      </c>
      <c r="B166" s="112">
        <v>1.0329999999999999</v>
      </c>
      <c r="C166" s="108">
        <f t="shared" si="47"/>
        <v>3.1999999999998696E-3</v>
      </c>
      <c r="D166" s="109" t="str">
        <f t="shared" si="48"/>
        <v>/</v>
      </c>
      <c r="E166" s="109">
        <f ca="1">IF(表2_367162629303891213141523[[#This Row],[累计净值]]/MAX(INDIRECT("B21:B" &amp; ROW()))-1&lt;E165,表2_367162629303891213141523[[#This Row],[累计净值]]/MAX(INDIRECT("B21:B" &amp; ROW()))-1,E165)</f>
        <v>-2.7917310664605788E-2</v>
      </c>
      <c r="F166" s="110">
        <f>表2_367162629303891213141523[[#This Row],[累计净值]]</f>
        <v>1.0329999999999999</v>
      </c>
      <c r="G166" s="20">
        <f>表2_367162629303891213141523[[#This Row],[累计净值]]/$B$21-1</f>
        <v>1.1158966327329489E-2</v>
      </c>
    </row>
    <row r="167" spans="1:7">
      <c r="A167" s="15">
        <v>44246</v>
      </c>
      <c r="B167" s="112">
        <v>1.0311999999999999</v>
      </c>
      <c r="C167" s="108">
        <f>IFERROR(B167-B166,0)</f>
        <v>-1.8000000000000238E-3</v>
      </c>
      <c r="D167" s="109">
        <f>IF(C167&lt;0,C167,"/")</f>
        <v>-1.8000000000000238E-3</v>
      </c>
      <c r="E167" s="109">
        <f ca="1">IF(表2_367162629303891213141523[[#This Row],[累计净值]]/MAX(INDIRECT("B21:B" &amp; ROW()))-1&lt;E166,表2_367162629303891213141523[[#This Row],[累计净值]]/MAX(INDIRECT("B21:B" &amp; ROW()))-1,E166)</f>
        <v>-2.7917310664605788E-2</v>
      </c>
      <c r="F167" s="110">
        <f>表2_367162629303891213141523[[#This Row],[累计净值]]</f>
        <v>1.0311999999999999</v>
      </c>
      <c r="G167" s="20">
        <f>表2_367162629303891213141523[[#This Row],[累计净值]]/$B$21-1</f>
        <v>9.3970242756458155E-3</v>
      </c>
    </row>
    <row r="168" spans="1:7">
      <c r="A168" s="15">
        <v>44249</v>
      </c>
      <c r="B168" s="112">
        <v>1.0307999999999999</v>
      </c>
      <c r="C168" s="108">
        <f>IFERROR(B168-B167,0)</f>
        <v>-3.9999999999995595E-4</v>
      </c>
      <c r="D168" s="109">
        <f>IF(C168&lt;0,C168,"/")</f>
        <v>-3.9999999999995595E-4</v>
      </c>
      <c r="E168" s="109">
        <f ca="1">IF(表2_367162629303891213141523[[#This Row],[累计净值]]/MAX(INDIRECT("B21:B" &amp; ROW()))-1&lt;E167,表2_367162629303891213141523[[#This Row],[累计净值]]/MAX(INDIRECT("B21:B" &amp; ROW()))-1,E167)</f>
        <v>-2.7917310664605788E-2</v>
      </c>
      <c r="F168" s="110">
        <f>表2_367162629303891213141523[[#This Row],[累计净值]]</f>
        <v>1.0307999999999999</v>
      </c>
      <c r="G168" s="20">
        <f>表2_367162629303891213141523[[#This Row],[累计净值]]/$B$21-1</f>
        <v>9.0054815974940361E-3</v>
      </c>
    </row>
    <row r="169" spans="1:7">
      <c r="A169" s="15">
        <v>44250</v>
      </c>
      <c r="B169" s="112">
        <v>1.0318000000000001</v>
      </c>
      <c r="C169" s="108">
        <f>IFERROR(B169-B168,0)</f>
        <v>1.0000000000001119E-3</v>
      </c>
      <c r="D169" s="109" t="str">
        <f>IF(C169&lt;0,C169,"/")</f>
        <v>/</v>
      </c>
      <c r="E169" s="109">
        <f ca="1">IF(表2_367162629303891213141523[[#This Row],[累计净值]]/MAX(INDIRECT("B21:B" &amp; ROW()))-1&lt;E168,表2_367162629303891213141523[[#This Row],[累计净值]]/MAX(INDIRECT("B21:B" &amp; ROW()))-1,E168)</f>
        <v>-2.7917310664605788E-2</v>
      </c>
      <c r="F169" s="110">
        <f>表2_367162629303891213141523[[#This Row],[累计净值]]</f>
        <v>1.0318000000000001</v>
      </c>
      <c r="G169" s="20">
        <f>表2_367162629303891213141523[[#This Row],[累计净值]]/$B$21-1</f>
        <v>9.9843382928739288E-3</v>
      </c>
    </row>
    <row r="170" spans="1:7">
      <c r="A170" s="15">
        <v>44251</v>
      </c>
      <c r="B170" s="112">
        <v>1.0314000000000001</v>
      </c>
      <c r="C170" s="108">
        <f t="shared" ref="C170:C171" si="49">IFERROR(B170-B169,0)</f>
        <v>-3.9999999999995595E-4</v>
      </c>
      <c r="D170" s="109">
        <f t="shared" ref="D170:D171" si="50">IF(C170&lt;0,C170,"/")</f>
        <v>-3.9999999999995595E-4</v>
      </c>
      <c r="E170" s="109">
        <f ca="1">IF(表2_367162629303891213141523[[#This Row],[累计净值]]/MAX(INDIRECT("B21:B" &amp; ROW()))-1&lt;E169,表2_367162629303891213141523[[#This Row],[累计净值]]/MAX(INDIRECT("B21:B" &amp; ROW()))-1,E169)</f>
        <v>-2.7917310664605788E-2</v>
      </c>
      <c r="F170" s="110">
        <f>表2_367162629303891213141523[[#This Row],[累计净值]]</f>
        <v>1.0314000000000001</v>
      </c>
      <c r="G170" s="20">
        <f>表2_367162629303891213141523[[#This Row],[累计净值]]/$B$21-1</f>
        <v>9.5927956147219273E-3</v>
      </c>
    </row>
    <row r="171" spans="1:7">
      <c r="A171" s="15">
        <v>44252</v>
      </c>
      <c r="B171" s="112">
        <v>1.0321</v>
      </c>
      <c r="C171" s="108">
        <f t="shared" si="49"/>
        <v>6.9999999999992291E-4</v>
      </c>
      <c r="D171" s="109" t="str">
        <f t="shared" si="50"/>
        <v>/</v>
      </c>
      <c r="E171" s="109">
        <f ca="1">IF(表2_367162629303891213141523[[#This Row],[累计净值]]/MAX(INDIRECT("B21:B" &amp; ROW()))-1&lt;E170,表2_367162629303891213141523[[#This Row],[累计净值]]/MAX(INDIRECT("B21:B" &amp; ROW()))-1,E170)</f>
        <v>-2.7917310664605788E-2</v>
      </c>
      <c r="F171" s="110">
        <f>表2_367162629303891213141523[[#This Row],[累计净值]]</f>
        <v>1.0321</v>
      </c>
      <c r="G171" s="20">
        <f>表2_367162629303891213141523[[#This Row],[累计净值]]/$B$21-1</f>
        <v>1.0277995301487763E-2</v>
      </c>
    </row>
    <row r="172" spans="1:7">
      <c r="A172" s="15">
        <v>44253</v>
      </c>
      <c r="B172" s="112">
        <v>1.0304</v>
      </c>
      <c r="C172" s="108">
        <f>IFERROR(B172-B171,0)</f>
        <v>-1.7000000000000348E-3</v>
      </c>
      <c r="D172" s="109">
        <f>IF(C172&lt;0,C172,"/")</f>
        <v>-1.7000000000000348E-3</v>
      </c>
      <c r="E172" s="109">
        <f ca="1">IF(表2_367162629303891213141523[[#This Row],[累计净值]]/MAX(INDIRECT("B21:B" &amp; ROW()))-1&lt;E171,表2_367162629303891213141523[[#This Row],[累计净值]]/MAX(INDIRECT("B21:B" &amp; ROW()))-1,E171)</f>
        <v>-2.7917310664605788E-2</v>
      </c>
      <c r="F172" s="110">
        <f>表2_367162629303891213141523[[#This Row],[累计净值]]</f>
        <v>1.0304</v>
      </c>
      <c r="G172" s="20">
        <f>表2_367162629303891213141523[[#This Row],[累计净值]]/$B$21-1</f>
        <v>8.6139389193420346E-3</v>
      </c>
    </row>
    <row r="173" spans="1:7">
      <c r="A173" s="15">
        <v>44256</v>
      </c>
      <c r="B173" s="112">
        <v>1.0367</v>
      </c>
      <c r="C173" s="108">
        <f>IFERROR(B173-B172,0)</f>
        <v>6.2999999999999723E-3</v>
      </c>
      <c r="D173" s="109" t="str">
        <f>IF(C173&lt;0,C173,"/")</f>
        <v>/</v>
      </c>
      <c r="E173" s="109">
        <f ca="1">IF(表2_367162629303891213141523[[#This Row],[累计净值]]/MAX(INDIRECT("B21:B" &amp; ROW()))-1&lt;E172,表2_367162629303891213141523[[#This Row],[累计净值]]/MAX(INDIRECT("B21:B" &amp; ROW()))-1,E172)</f>
        <v>-2.7917310664605788E-2</v>
      </c>
      <c r="F173" s="110">
        <f>表2_367162629303891213141523[[#This Row],[累计净值]]</f>
        <v>1.0367</v>
      </c>
      <c r="G173" s="20">
        <f>表2_367162629303891213141523[[#This Row],[累计净值]]/$B$21-1</f>
        <v>1.4780736100234781E-2</v>
      </c>
    </row>
    <row r="174" spans="1:7">
      <c r="A174" s="15">
        <v>44257</v>
      </c>
      <c r="B174" s="112">
        <v>1.036</v>
      </c>
      <c r="C174" s="108">
        <f>IFERROR(B174-B173,0)</f>
        <v>-6.9999999999992291E-4</v>
      </c>
      <c r="D174" s="109">
        <f>IF(C174&lt;0,C174,"/")</f>
        <v>-6.9999999999992291E-4</v>
      </c>
      <c r="E174" s="109">
        <f ca="1">IF(表2_367162629303891213141523[[#This Row],[累计净值]]/MAX(INDIRECT("B21:B" &amp; ROW()))-1&lt;E173,表2_367162629303891213141523[[#This Row],[累计净值]]/MAX(INDIRECT("B21:B" &amp; ROW()))-1,E173)</f>
        <v>-2.7917310664605788E-2</v>
      </c>
      <c r="F174" s="110">
        <f>表2_367162629303891213141523[[#This Row],[累计净值]]</f>
        <v>1.036</v>
      </c>
      <c r="G174" s="20">
        <f>表2_367162629303891213141523[[#This Row],[累计净值]]/$B$21-1</f>
        <v>1.4095536413468945E-2</v>
      </c>
    </row>
    <row r="175" spans="1:7">
      <c r="A175" s="15">
        <v>44258</v>
      </c>
      <c r="B175" s="112">
        <v>1.0367</v>
      </c>
      <c r="C175" s="108">
        <f>IFERROR(B175-B174,0)</f>
        <v>6.9999999999992291E-4</v>
      </c>
      <c r="D175" s="109" t="str">
        <f>IF(C175&lt;0,C175,"/")</f>
        <v>/</v>
      </c>
      <c r="E175" s="109">
        <f ca="1">IF(表2_367162629303891213141523[[#This Row],[累计净值]]/MAX(INDIRECT("B21:B" &amp; ROW()))-1&lt;E174,表2_367162629303891213141523[[#This Row],[累计净值]]/MAX(INDIRECT("B21:B" &amp; ROW()))-1,E174)</f>
        <v>-2.7917310664605788E-2</v>
      </c>
      <c r="F175" s="110">
        <f>表2_367162629303891213141523[[#This Row],[累计净值]]</f>
        <v>1.0367</v>
      </c>
      <c r="G175" s="20">
        <f>表2_367162629303891213141523[[#This Row],[累计净值]]/$B$21-1</f>
        <v>1.4780736100234781E-2</v>
      </c>
    </row>
    <row r="176" spans="1:7">
      <c r="A176" s="15">
        <v>44259</v>
      </c>
      <c r="B176" s="112">
        <v>1.0334000000000001</v>
      </c>
      <c r="C176" s="108">
        <f t="shared" ref="C176:C182" si="51">IFERROR(B176-B175,0)</f>
        <v>-3.2999999999998586E-3</v>
      </c>
      <c r="D176" s="109">
        <f t="shared" ref="D176:D182" si="52">IF(C176&lt;0,C176,"/")</f>
        <v>-3.2999999999998586E-3</v>
      </c>
      <c r="E176" s="109">
        <f ca="1">IF(表2_367162629303891213141523[[#This Row],[累计净值]]/MAX(INDIRECT("B21:B" &amp; ROW()))-1&lt;E175,表2_367162629303891213141523[[#This Row],[累计净值]]/MAX(INDIRECT("B21:B" &amp; ROW()))-1,E175)</f>
        <v>-2.7917310664605788E-2</v>
      </c>
      <c r="F176" s="110">
        <f>表2_367162629303891213141523[[#This Row],[累计净值]]</f>
        <v>1.0334000000000001</v>
      </c>
      <c r="G176" s="20">
        <f>表2_367162629303891213141523[[#This Row],[累计净值]]/$B$21-1</f>
        <v>1.1550509005481713E-2</v>
      </c>
    </row>
    <row r="177" spans="1:7">
      <c r="A177" s="15">
        <v>44260</v>
      </c>
      <c r="B177" s="112">
        <v>1.0290999999999999</v>
      </c>
      <c r="C177" s="108">
        <f t="shared" si="51"/>
        <v>-4.3000000000001926E-3</v>
      </c>
      <c r="D177" s="109">
        <f t="shared" si="52"/>
        <v>-4.3000000000001926E-3</v>
      </c>
      <c r="E177" s="109">
        <f ca="1">IF(表2_367162629303891213141523[[#This Row],[累计净值]]/MAX(INDIRECT("B21:B" &amp; ROW()))-1&lt;E176,表2_367162629303891213141523[[#This Row],[累计净值]]/MAX(INDIRECT("B21:B" &amp; ROW()))-1,E176)</f>
        <v>-2.7917310664605788E-2</v>
      </c>
      <c r="F177" s="110">
        <f>表2_367162629303891213141523[[#This Row],[累计净值]]</f>
        <v>1.0290999999999999</v>
      </c>
      <c r="G177" s="20">
        <f>表2_367162629303891213141523[[#This Row],[累计净值]]/$B$21-1</f>
        <v>7.3414252153483073E-3</v>
      </c>
    </row>
    <row r="178" spans="1:7">
      <c r="A178" s="15">
        <v>44263</v>
      </c>
      <c r="B178" s="112">
        <v>1.0256000000000001</v>
      </c>
      <c r="C178" s="108">
        <f t="shared" si="51"/>
        <v>-3.4999999999998366E-3</v>
      </c>
      <c r="D178" s="109">
        <f t="shared" si="52"/>
        <v>-3.4999999999998366E-3</v>
      </c>
      <c r="E178" s="109">
        <f ca="1">IF(表2_367162629303891213141523[[#This Row],[累计净值]]/MAX(INDIRECT("B21:B" &amp; ROW()))-1&lt;E177,表2_367162629303891213141523[[#This Row],[累计净值]]/MAX(INDIRECT("B21:B" &amp; ROW()))-1,E177)</f>
        <v>-2.7917310664605788E-2</v>
      </c>
      <c r="F178" s="110">
        <f>表2_367162629303891213141523[[#This Row],[累计净值]]</f>
        <v>1.0256000000000001</v>
      </c>
      <c r="G178" s="20">
        <f>表2_367162629303891213141523[[#This Row],[累计净值]]/$B$21-1</f>
        <v>3.9154267815191268E-3</v>
      </c>
    </row>
    <row r="179" spans="1:7">
      <c r="A179" s="15">
        <v>44264</v>
      </c>
      <c r="B179" s="112">
        <v>1.0232000000000001</v>
      </c>
      <c r="C179" s="108">
        <f t="shared" si="51"/>
        <v>-2.3999999999999577E-3</v>
      </c>
      <c r="D179" s="109">
        <f t="shared" si="52"/>
        <v>-2.3999999999999577E-3</v>
      </c>
      <c r="E179" s="109">
        <f ca="1">IF(表2_367162629303891213141523[[#This Row],[累计净值]]/MAX(INDIRECT("B21:B" &amp; ROW()))-1&lt;E178,表2_367162629303891213141523[[#This Row],[累计净值]]/MAX(INDIRECT("B21:B" &amp; ROW()))-1,E178)</f>
        <v>-2.7917310664605788E-2</v>
      </c>
      <c r="F179" s="110">
        <f>表2_367162629303891213141523[[#This Row],[累计净值]]</f>
        <v>1.0232000000000001</v>
      </c>
      <c r="G179" s="20">
        <f>表2_367162629303891213141523[[#This Row],[累计净值]]/$B$21-1</f>
        <v>1.566170712607784E-3</v>
      </c>
    </row>
    <row r="180" spans="1:7">
      <c r="A180" s="15">
        <v>44265</v>
      </c>
      <c r="B180" s="112">
        <v>1.0261</v>
      </c>
      <c r="C180" s="108">
        <f t="shared" si="51"/>
        <v>2.8999999999999027E-3</v>
      </c>
      <c r="D180" s="109" t="str">
        <f t="shared" si="52"/>
        <v>/</v>
      </c>
      <c r="E180" s="109">
        <f ca="1">IF(表2_367162629303891213141523[[#This Row],[累计净值]]/MAX(INDIRECT("B21:B" &amp; ROW()))-1&lt;E179,表2_367162629303891213141523[[#This Row],[累计净值]]/MAX(INDIRECT("B21:B" &amp; ROW()))-1,E179)</f>
        <v>-2.7917310664605788E-2</v>
      </c>
      <c r="F180" s="110">
        <f>表2_367162629303891213141523[[#This Row],[累计净值]]</f>
        <v>1.0261</v>
      </c>
      <c r="G180" s="20">
        <f>表2_367162629303891213141523[[#This Row],[累计净值]]/$B$21-1</f>
        <v>4.4048551292090732E-3</v>
      </c>
    </row>
    <row r="181" spans="1:7">
      <c r="A181" s="15">
        <v>44266</v>
      </c>
      <c r="B181" s="112">
        <v>1.0327999999999999</v>
      </c>
      <c r="C181" s="108">
        <f t="shared" si="51"/>
        <v>6.6999999999999282E-3</v>
      </c>
      <c r="D181" s="109" t="str">
        <f t="shared" si="52"/>
        <v>/</v>
      </c>
      <c r="E181" s="109">
        <f ca="1">IF(表2_367162629303891213141523[[#This Row],[累计净值]]/MAX(INDIRECT("B21:B" &amp; ROW()))-1&lt;E180,表2_367162629303891213141523[[#This Row],[累计净值]]/MAX(INDIRECT("B21:B" &amp; ROW()))-1,E180)</f>
        <v>-2.7917310664605788E-2</v>
      </c>
      <c r="F181" s="110">
        <f>表2_367162629303891213141523[[#This Row],[累计净值]]</f>
        <v>1.0327999999999999</v>
      </c>
      <c r="G181" s="20">
        <f>表2_367162629303891213141523[[#This Row],[累计净值]]/$B$21-1</f>
        <v>1.09631949882536E-2</v>
      </c>
    </row>
    <row r="182" spans="1:7">
      <c r="A182" s="15">
        <v>44267</v>
      </c>
      <c r="B182" s="112">
        <v>1.0327999999999999</v>
      </c>
      <c r="C182" s="108">
        <f t="shared" si="51"/>
        <v>0</v>
      </c>
      <c r="D182" s="109" t="str">
        <f t="shared" si="52"/>
        <v>/</v>
      </c>
      <c r="E182" s="109">
        <f ca="1">IF(表2_367162629303891213141523[[#This Row],[累计净值]]/MAX(INDIRECT("B21:B" &amp; ROW()))-1&lt;E181,表2_367162629303891213141523[[#This Row],[累计净值]]/MAX(INDIRECT("B21:B" &amp; ROW()))-1,E181)</f>
        <v>-2.7917310664605788E-2</v>
      </c>
      <c r="F182" s="110">
        <f>表2_367162629303891213141523[[#This Row],[累计净值]]</f>
        <v>1.0327999999999999</v>
      </c>
      <c r="G182" s="20">
        <f>表2_367162629303891213141523[[#This Row],[累计净值]]/$B$21-1</f>
        <v>1.09631949882536E-2</v>
      </c>
    </row>
    <row r="183" spans="1:7">
      <c r="A183" s="15">
        <v>44270</v>
      </c>
      <c r="B183" s="278">
        <v>1.0329999999999999</v>
      </c>
      <c r="C183" s="108">
        <f t="shared" ref="C183" si="53">IFERROR(B183-B182,0)</f>
        <v>1.9999999999997797E-4</v>
      </c>
      <c r="D183" s="109" t="str">
        <f t="shared" ref="D183" si="54">IF(C183&lt;0,C183,"/")</f>
        <v>/</v>
      </c>
      <c r="E183" s="109">
        <f ca="1">IF(表2_367162629303891213141523[[#This Row],[累计净值]]/MAX(INDIRECT("B21:B" &amp; ROW()))-1&lt;E182,表2_367162629303891213141523[[#This Row],[累计净值]]/MAX(INDIRECT("B21:B" &amp; ROW()))-1,E182)</f>
        <v>-2.7917310664605788E-2</v>
      </c>
      <c r="F183" s="110">
        <f>表2_367162629303891213141523[[#This Row],[累计净值]]</f>
        <v>1.0329999999999999</v>
      </c>
      <c r="G183" s="20">
        <f>表2_367162629303891213141523[[#This Row],[累计净值]]/$B$21-1</f>
        <v>1.1158966327329489E-2</v>
      </c>
    </row>
    <row r="184" spans="1:7">
      <c r="A184" s="15">
        <v>44271</v>
      </c>
      <c r="B184" s="112">
        <v>1.0325</v>
      </c>
      <c r="C184" s="108">
        <f>IFERROR(B184-B183,0)</f>
        <v>-4.9999999999994493E-4</v>
      </c>
      <c r="D184" s="109">
        <f>IF(C184&lt;0,C184,"/")</f>
        <v>-4.9999999999994493E-4</v>
      </c>
      <c r="E184" s="109">
        <f ca="1">IF(表2_367162629303891213141523[[#This Row],[累计净值]]/MAX(INDIRECT("B21:B" &amp; ROW()))-1&lt;E183,表2_367162629303891213141523[[#This Row],[累计净值]]/MAX(INDIRECT("B21:B" &amp; ROW()))-1,E183)</f>
        <v>-2.7917310664605788E-2</v>
      </c>
      <c r="F184" s="110">
        <f>表2_367162629303891213141523[[#This Row],[累计净值]]</f>
        <v>1.0325</v>
      </c>
      <c r="G184" s="20">
        <f>表2_367162629303891213141523[[#This Row],[累计净值]]/$B$21-1</f>
        <v>1.0669537979639765E-2</v>
      </c>
    </row>
    <row r="185" spans="1:7">
      <c r="A185" s="15">
        <v>44272</v>
      </c>
      <c r="B185" s="112">
        <v>1.0310999999999999</v>
      </c>
      <c r="C185" s="108">
        <f>IFERROR(B185-B184,0)</f>
        <v>-1.4000000000000679E-3</v>
      </c>
      <c r="D185" s="109">
        <f>IF(C185&lt;0,C185,"/")</f>
        <v>-1.4000000000000679E-3</v>
      </c>
      <c r="E185" s="109">
        <f ca="1">IF(表2_367162629303891213141523[[#This Row],[累计净值]]/MAX(INDIRECT("B21:B" &amp; ROW()))-1&lt;E184,表2_367162629303891213141523[[#This Row],[累计净值]]/MAX(INDIRECT("B21:B" &amp; ROW()))-1,E184)</f>
        <v>-2.7917310664605788E-2</v>
      </c>
      <c r="F185" s="110">
        <f>表2_367162629303891213141523[[#This Row],[累计净值]]</f>
        <v>1.0310999999999999</v>
      </c>
      <c r="G185" s="20">
        <f>表2_367162629303891213141523[[#This Row],[累计净值]]/$B$21-1</f>
        <v>9.2991386061078707E-3</v>
      </c>
    </row>
    <row r="186" spans="1:7">
      <c r="A186" s="15">
        <v>44273</v>
      </c>
      <c r="B186" s="112">
        <v>1.0316000000000001</v>
      </c>
      <c r="C186" s="108">
        <f>IFERROR(B186-B185,0)</f>
        <v>5.0000000000016698E-4</v>
      </c>
      <c r="D186" s="109" t="str">
        <f>IF(C186&lt;0,C186,"/")</f>
        <v>/</v>
      </c>
      <c r="E186" s="109">
        <f ca="1">IF(表2_367162629303891213141523[[#This Row],[累计净值]]/MAX(INDIRECT("B21:B" &amp; ROW()))-1&lt;E185,表2_367162629303891213141523[[#This Row],[累计净值]]/MAX(INDIRECT("B21:B" &amp; ROW()))-1,E185)</f>
        <v>-2.7917310664605788E-2</v>
      </c>
      <c r="F186" s="110">
        <f>表2_367162629303891213141523[[#This Row],[累计净值]]</f>
        <v>1.0316000000000001</v>
      </c>
      <c r="G186" s="20">
        <f>表2_367162629303891213141523[[#This Row],[累计净值]]/$B$21-1</f>
        <v>9.7885669537980391E-3</v>
      </c>
    </row>
    <row r="187" spans="1:7">
      <c r="A187" s="15">
        <v>44274</v>
      </c>
      <c r="B187" s="112">
        <v>1.0301</v>
      </c>
      <c r="C187" s="108">
        <f>IFERROR(B187-B186,0)</f>
        <v>-1.5000000000000568E-3</v>
      </c>
      <c r="D187" s="109">
        <f>IF(C187&lt;0,C187,"/")</f>
        <v>-1.5000000000000568E-3</v>
      </c>
      <c r="E187" s="109">
        <f ca="1">IF(表2_367162629303891213141523[[#This Row],[累计净值]]/MAX(INDIRECT("B21:B" &amp; ROW()))-1&lt;E186,表2_367162629303891213141523[[#This Row],[累计净值]]/MAX(INDIRECT("B21:B" &amp; ROW()))-1,E186)</f>
        <v>-2.7917310664605788E-2</v>
      </c>
      <c r="F187" s="110">
        <f>表2_367162629303891213141523[[#This Row],[累计净值]]</f>
        <v>1.0301</v>
      </c>
      <c r="G187" s="20">
        <f>表2_367162629303891213141523[[#This Row],[累计净值]]/$B$21-1</f>
        <v>8.3202819107282E-3</v>
      </c>
    </row>
    <row r="188" spans="1:7">
      <c r="A188" s="15">
        <v>44277</v>
      </c>
      <c r="B188" s="112">
        <v>1.0301</v>
      </c>
      <c r="C188" s="108">
        <f>IFERROR(B188-B187,0)</f>
        <v>0</v>
      </c>
      <c r="D188" s="109" t="str">
        <f>IF(C188&lt;0,C188,"/")</f>
        <v>/</v>
      </c>
      <c r="E188" s="109">
        <f ca="1">IF(表2_367162629303891213141523[[#This Row],[累计净值]]/MAX(INDIRECT("B21:B" &amp; ROW()))-1&lt;E187,表2_367162629303891213141523[[#This Row],[累计净值]]/MAX(INDIRECT("B21:B" &amp; ROW()))-1,E187)</f>
        <v>-2.7917310664605788E-2</v>
      </c>
      <c r="F188" s="110">
        <f>表2_367162629303891213141523[[#This Row],[累计净值]]</f>
        <v>1.0301</v>
      </c>
      <c r="G188" s="20">
        <f>表2_367162629303891213141523[[#This Row],[累计净值]]/$B$21-1</f>
        <v>8.3202819107282E-3</v>
      </c>
    </row>
    <row r="189" spans="1:7">
      <c r="A189" s="15">
        <v>44278</v>
      </c>
      <c r="B189" s="112">
        <v>1.0285</v>
      </c>
      <c r="C189" s="108">
        <f t="shared" ref="C189:C192" si="55">IFERROR(B189-B188,0)</f>
        <v>-1.6000000000000458E-3</v>
      </c>
      <c r="D189" s="109">
        <f t="shared" ref="D189:D192" si="56">IF(C189&lt;0,C189,"/")</f>
        <v>-1.6000000000000458E-3</v>
      </c>
      <c r="E189" s="109">
        <f ca="1">IF(表2_367162629303891213141523[[#This Row],[累计净值]]/MAX(INDIRECT("B21:B" &amp; ROW()))-1&lt;E188,表2_367162629303891213141523[[#This Row],[累计净值]]/MAX(INDIRECT("B21:B" &amp; ROW()))-1,E188)</f>
        <v>-2.7917310664605788E-2</v>
      </c>
      <c r="F189" s="110">
        <f>表2_367162629303891213141523[[#This Row],[累计净值]]</f>
        <v>1.0285</v>
      </c>
      <c r="G189" s="20">
        <f>表2_367162629303891213141523[[#This Row],[累计净值]]/$B$21-1</f>
        <v>6.754111198120416E-3</v>
      </c>
    </row>
    <row r="190" spans="1:7">
      <c r="A190" s="15">
        <v>44279</v>
      </c>
      <c r="B190" s="112">
        <v>1.0241</v>
      </c>
      <c r="C190" s="108">
        <f t="shared" si="55"/>
        <v>-4.3999999999999595E-3</v>
      </c>
      <c r="D190" s="109">
        <f t="shared" si="56"/>
        <v>-4.3999999999999595E-3</v>
      </c>
      <c r="E190" s="109">
        <f ca="1">IF(表2_367162629303891213141523[[#This Row],[累计净值]]/MAX(INDIRECT("B21:B" &amp; ROW()))-1&lt;E189,表2_367162629303891213141523[[#This Row],[累计净值]]/MAX(INDIRECT("B21:B" &amp; ROW()))-1,E189)</f>
        <v>-2.7917310664605788E-2</v>
      </c>
      <c r="F190" s="110">
        <f>表2_367162629303891213141523[[#This Row],[累计净值]]</f>
        <v>1.0241</v>
      </c>
      <c r="G190" s="20">
        <f>表2_367162629303891213141523[[#This Row],[累计净值]]/$B$21-1</f>
        <v>2.4471417384495098E-3</v>
      </c>
    </row>
    <row r="191" spans="1:7">
      <c r="A191" s="15">
        <v>44280</v>
      </c>
      <c r="B191" s="112">
        <v>1.0230999999999999</v>
      </c>
      <c r="C191" s="108">
        <f t="shared" si="55"/>
        <v>-1.0000000000001119E-3</v>
      </c>
      <c r="D191" s="109">
        <f t="shared" si="56"/>
        <v>-1.0000000000001119E-3</v>
      </c>
      <c r="E191" s="109">
        <f ca="1">IF(表2_367162629303891213141523[[#This Row],[累计净值]]/MAX(INDIRECT("B21:B" &amp; ROW()))-1&lt;E190,表2_367162629303891213141523[[#This Row],[累计净值]]/MAX(INDIRECT("B21:B" &amp; ROW()))-1,E190)</f>
        <v>-2.7917310664605788E-2</v>
      </c>
      <c r="F191" s="110">
        <f>表2_367162629303891213141523[[#This Row],[累计净值]]</f>
        <v>1.0230999999999999</v>
      </c>
      <c r="G191" s="20">
        <f>表2_367162629303891213141523[[#This Row],[累计净值]]/$B$21-1</f>
        <v>1.468285043069617E-3</v>
      </c>
    </row>
    <row r="192" spans="1:7">
      <c r="A192" s="15">
        <v>44281</v>
      </c>
      <c r="B192" s="112">
        <v>1.0242</v>
      </c>
      <c r="C192" s="108">
        <f t="shared" si="55"/>
        <v>1.1000000000001009E-3</v>
      </c>
      <c r="D192" s="109" t="str">
        <f t="shared" si="56"/>
        <v>/</v>
      </c>
      <c r="E192" s="109">
        <f ca="1">IF(表2_367162629303891213141523[[#This Row],[累计净值]]/MAX(INDIRECT("B21:B" &amp; ROW()))-1&lt;E191,表2_367162629303891213141523[[#This Row],[累计净值]]/MAX(INDIRECT("B21:B" &amp; ROW()))-1,E191)</f>
        <v>-2.7917310664605788E-2</v>
      </c>
      <c r="F192" s="110">
        <f>表2_367162629303891213141523[[#This Row],[累计净值]]</f>
        <v>1.0242</v>
      </c>
      <c r="G192" s="20">
        <f>表2_367162629303891213141523[[#This Row],[累计净值]]/$B$21-1</f>
        <v>2.5450274079874546E-3</v>
      </c>
    </row>
    <row r="193" spans="1:7">
      <c r="A193" s="15">
        <v>44284</v>
      </c>
      <c r="B193" s="112">
        <v>1.0255000000000001</v>
      </c>
      <c r="C193" s="108">
        <f>IFERROR(B193-B192,0)</f>
        <v>1.3000000000000789E-3</v>
      </c>
      <c r="D193" s="109" t="str">
        <f>IF(C193&lt;0,C193,"/")</f>
        <v>/</v>
      </c>
      <c r="E193" s="109">
        <f ca="1">IF(表2_367162629303891213141523[[#This Row],[累计净值]]/MAX(INDIRECT("B21:B" &amp; ROW()))-1&lt;E192,表2_367162629303891213141523[[#This Row],[累计净值]]/MAX(INDIRECT("B21:B" &amp; ROW()))-1,E192)</f>
        <v>-2.7917310664605788E-2</v>
      </c>
      <c r="F193" s="110">
        <f>表2_367162629303891213141523[[#This Row],[累计净值]]</f>
        <v>1.0255000000000001</v>
      </c>
      <c r="G193" s="20">
        <f>表2_367162629303891213141523[[#This Row],[累计净值]]/$B$21-1</f>
        <v>3.817541111981182E-3</v>
      </c>
    </row>
    <row r="194" spans="1:7">
      <c r="A194" s="15">
        <v>44285</v>
      </c>
      <c r="B194" s="112">
        <v>1.0271999999999999</v>
      </c>
      <c r="C194" s="108">
        <f>IFERROR(B194-B193,0)</f>
        <v>1.6999999999998128E-3</v>
      </c>
      <c r="D194" s="109" t="str">
        <f>IF(C194&lt;0,C194,"/")</f>
        <v>/</v>
      </c>
      <c r="E194" s="109">
        <f ca="1">IF(表2_367162629303891213141523[[#This Row],[累计净值]]/MAX(INDIRECT("B21:B" &amp; ROW()))-1&lt;E193,表2_367162629303891213141523[[#This Row],[累计净值]]/MAX(INDIRECT("B21:B" &amp; ROW()))-1,E193)</f>
        <v>-2.7917310664605788E-2</v>
      </c>
      <c r="F194" s="110">
        <f>表2_367162629303891213141523[[#This Row],[累计净值]]</f>
        <v>1.0271999999999999</v>
      </c>
      <c r="G194" s="20">
        <f>表2_367162629303891213141523[[#This Row],[累计净值]]/$B$21-1</f>
        <v>5.4815974941266887E-3</v>
      </c>
    </row>
    <row r="195" spans="1:7">
      <c r="A195" s="15">
        <v>44286</v>
      </c>
      <c r="B195" s="112">
        <v>1.0266999999999999</v>
      </c>
      <c r="C195" s="108">
        <f>IFERROR(B195-B194,0)</f>
        <v>-4.9999999999994493E-4</v>
      </c>
      <c r="D195" s="109">
        <f>IF(C195&lt;0,C195,"/")</f>
        <v>-4.9999999999994493E-4</v>
      </c>
      <c r="E195" s="109">
        <f ca="1">IF(表2_367162629303891213141523[[#This Row],[累计净值]]/MAX(INDIRECT("B21:B" &amp; ROW()))-1&lt;E194,表2_367162629303891213141523[[#This Row],[累计净值]]/MAX(INDIRECT("B21:B" &amp; ROW()))-1,E194)</f>
        <v>-2.7917310664605788E-2</v>
      </c>
      <c r="F195" s="110">
        <f>表2_367162629303891213141523[[#This Row],[累计净值]]</f>
        <v>1.0266999999999999</v>
      </c>
      <c r="G195" s="20">
        <f>表2_367162629303891213141523[[#This Row],[累计净值]]/$B$21-1</f>
        <v>4.9921691464367424E-3</v>
      </c>
    </row>
    <row r="196" spans="1:7">
      <c r="A196" s="15">
        <v>44287</v>
      </c>
      <c r="B196" s="112">
        <v>1.0268999999999999</v>
      </c>
      <c r="C196" s="108">
        <f>IFERROR(B196-B195,0)</f>
        <v>1.9999999999997797E-4</v>
      </c>
      <c r="D196" s="109" t="str">
        <f>IF(C196&lt;0,C196,"/")</f>
        <v>/</v>
      </c>
      <c r="E196" s="109">
        <f ca="1">IF(表2_367162629303891213141523[[#This Row],[累计净值]]/MAX(INDIRECT("B21:B" &amp; ROW()))-1&lt;E195,表2_367162629303891213141523[[#This Row],[累计净值]]/MAX(INDIRECT("B21:B" &amp; ROW()))-1,E195)</f>
        <v>-2.7917310664605788E-2</v>
      </c>
      <c r="F196" s="110">
        <f>表2_367162629303891213141523[[#This Row],[累计净值]]</f>
        <v>1.0268999999999999</v>
      </c>
      <c r="G196" s="20">
        <f>表2_367162629303891213141523[[#This Row],[累计净值]]/$B$21-1</f>
        <v>5.1879404855128541E-3</v>
      </c>
    </row>
    <row r="197" spans="1:7">
      <c r="A197" s="15">
        <v>44288</v>
      </c>
      <c r="B197" s="112">
        <v>1.0270999999999999</v>
      </c>
      <c r="C197" s="108">
        <f t="shared" ref="C197:C198" si="57">IFERROR(B197-B196,0)</f>
        <v>1.9999999999997797E-4</v>
      </c>
      <c r="D197" s="109" t="str">
        <f t="shared" ref="D197:D198" si="58">IF(C197&lt;0,C197,"/")</f>
        <v>/</v>
      </c>
      <c r="E197" s="109">
        <f ca="1">IF(表2_367162629303891213141523[[#This Row],[累计净值]]/MAX(INDIRECT("B21:B" &amp; ROW()))-1&lt;E196,表2_367162629303891213141523[[#This Row],[累计净值]]/MAX(INDIRECT("B21:B" &amp; ROW()))-1,E196)</f>
        <v>-2.7917310664605788E-2</v>
      </c>
      <c r="F197" s="110">
        <f>表2_367162629303891213141523[[#This Row],[累计净值]]</f>
        <v>1.0270999999999999</v>
      </c>
      <c r="G197" s="20">
        <f>表2_367162629303891213141523[[#This Row],[累计净值]]/$B$21-1</f>
        <v>5.3837118245887439E-3</v>
      </c>
    </row>
    <row r="198" spans="1:7">
      <c r="A198" s="15">
        <v>44292</v>
      </c>
      <c r="B198" s="112">
        <v>1.0274000000000001</v>
      </c>
      <c r="C198" s="108">
        <f t="shared" si="57"/>
        <v>3.00000000000189E-4</v>
      </c>
      <c r="D198" s="109" t="str">
        <f t="shared" si="58"/>
        <v>/</v>
      </c>
      <c r="E198" s="109">
        <f ca="1">IF(表2_367162629303891213141523[[#This Row],[累计净值]]/MAX(INDIRECT("B21:B" &amp; ROW()))-1&lt;E197,表2_367162629303891213141523[[#This Row],[累计净值]]/MAX(INDIRECT("B21:B" &amp; ROW()))-1,E197)</f>
        <v>-2.7917310664605788E-2</v>
      </c>
      <c r="F198" s="110">
        <f>表2_367162629303891213141523[[#This Row],[累计净值]]</f>
        <v>1.0274000000000001</v>
      </c>
      <c r="G198" s="20">
        <f>表2_367162629303891213141523[[#This Row],[累计净值]]/$B$21-1</f>
        <v>5.6773688332028005E-3</v>
      </c>
    </row>
    <row r="199" spans="1:7">
      <c r="A199" s="15">
        <v>44293</v>
      </c>
      <c r="B199" s="112">
        <v>1.0295000000000001</v>
      </c>
      <c r="C199" s="108">
        <f t="shared" ref="C199:C204" si="59">IFERROR(B199-B198,0)</f>
        <v>2.0999999999999908E-3</v>
      </c>
      <c r="D199" s="109" t="str">
        <f t="shared" ref="D199:D204" si="60">IF(C199&lt;0,C199,"/")</f>
        <v>/</v>
      </c>
      <c r="E199" s="109">
        <f ca="1">IF(表2_367162629303891213141523[[#This Row],[累计净值]]/MAX(INDIRECT("B21:B" &amp; ROW()))-1&lt;E198,表2_367162629303891213141523[[#This Row],[累计净值]]/MAX(INDIRECT("B21:B" &amp; ROW()))-1,E198)</f>
        <v>-2.7917310664605788E-2</v>
      </c>
      <c r="F199" s="110">
        <f>表2_367162629303891213141523[[#This Row],[累计净值]]</f>
        <v>1.0295000000000001</v>
      </c>
      <c r="G199" s="20">
        <f>表2_367162629303891213141523[[#This Row],[累计净值]]/$B$21-1</f>
        <v>7.7329678935003088E-3</v>
      </c>
    </row>
    <row r="200" spans="1:7">
      <c r="A200" s="15">
        <v>44294</v>
      </c>
      <c r="B200" s="112">
        <v>1.0283</v>
      </c>
      <c r="C200" s="108">
        <f t="shared" si="59"/>
        <v>-1.2000000000000899E-3</v>
      </c>
      <c r="D200" s="109">
        <f t="shared" si="60"/>
        <v>-1.2000000000000899E-3</v>
      </c>
      <c r="E200" s="109">
        <f ca="1">IF(表2_367162629303891213141523[[#This Row],[累计净值]]/MAX(INDIRECT("B21:B" &amp; ROW()))-1&lt;E199,表2_367162629303891213141523[[#This Row],[累计净值]]/MAX(INDIRECT("B21:B" &amp; ROW()))-1,E199)</f>
        <v>-2.7917310664605788E-2</v>
      </c>
      <c r="F200" s="110">
        <f>表2_367162629303891213141523[[#This Row],[累计净值]]</f>
        <v>1.0283</v>
      </c>
      <c r="G200" s="20">
        <f>表2_367162629303891213141523[[#This Row],[累计净值]]/$B$21-1</f>
        <v>6.5583398590445263E-3</v>
      </c>
    </row>
    <row r="201" spans="1:7">
      <c r="A201" s="15">
        <v>44295</v>
      </c>
      <c r="B201" s="112">
        <v>1.0284</v>
      </c>
      <c r="C201" s="108">
        <f t="shared" si="59"/>
        <v>9.9999999999988987E-5</v>
      </c>
      <c r="D201" s="109" t="str">
        <f t="shared" si="60"/>
        <v>/</v>
      </c>
      <c r="E201" s="109">
        <f ca="1">IF(表2_367162629303891213141523[[#This Row],[累计净值]]/MAX(INDIRECT("B21:B" &amp; ROW()))-1&lt;E200,表2_367162629303891213141523[[#This Row],[累计净值]]/MAX(INDIRECT("B21:B" &amp; ROW()))-1,E200)</f>
        <v>-2.7917310664605788E-2</v>
      </c>
      <c r="F201" s="110">
        <f>表2_367162629303891213141523[[#This Row],[累计净值]]</f>
        <v>1.0284</v>
      </c>
      <c r="G201" s="20">
        <f>表2_367162629303891213141523[[#This Row],[累计净值]]/$B$21-1</f>
        <v>6.6562255285824712E-3</v>
      </c>
    </row>
    <row r="202" spans="1:7">
      <c r="A202" s="15">
        <v>44298</v>
      </c>
      <c r="B202" s="112">
        <v>1.0261</v>
      </c>
      <c r="C202" s="108">
        <f t="shared" si="59"/>
        <v>-2.2999999999999687E-3</v>
      </c>
      <c r="D202" s="109">
        <f t="shared" si="60"/>
        <v>-2.2999999999999687E-3</v>
      </c>
      <c r="E202" s="109">
        <f ca="1">IF(表2_367162629303891213141523[[#This Row],[累计净值]]/MAX(INDIRECT("B21:B" &amp; ROW()))-1&lt;E201,表2_367162629303891213141523[[#This Row],[累计净值]]/MAX(INDIRECT("B21:B" &amp; ROW()))-1,E201)</f>
        <v>-2.7917310664605788E-2</v>
      </c>
      <c r="F202" s="110">
        <f>表2_367162629303891213141523[[#This Row],[累计净值]]</f>
        <v>1.0261</v>
      </c>
      <c r="G202" s="20">
        <f>表2_367162629303891213141523[[#This Row],[累计净值]]/$B$21-1</f>
        <v>4.4048551292090732E-3</v>
      </c>
    </row>
    <row r="203" spans="1:7">
      <c r="A203" s="15">
        <v>44299</v>
      </c>
      <c r="B203" s="112">
        <v>1.024</v>
      </c>
      <c r="C203" s="108">
        <f t="shared" si="59"/>
        <v>-2.0999999999999908E-3</v>
      </c>
      <c r="D203" s="109">
        <f t="shared" si="60"/>
        <v>-2.0999999999999908E-3</v>
      </c>
      <c r="E203" s="109">
        <f ca="1">IF(表2_367162629303891213141523[[#This Row],[累计净值]]/MAX(INDIRECT("B21:B" &amp; ROW()))-1&lt;E202,表2_367162629303891213141523[[#This Row],[累计净值]]/MAX(INDIRECT("B21:B" &amp; ROW()))-1,E202)</f>
        <v>-2.7917310664605788E-2</v>
      </c>
      <c r="F203" s="110">
        <f>表2_367162629303891213141523[[#This Row],[累计净值]]</f>
        <v>1.024</v>
      </c>
      <c r="G203" s="20">
        <f>表2_367162629303891213141523[[#This Row],[累计净值]]/$B$21-1</f>
        <v>2.3492560689115649E-3</v>
      </c>
    </row>
    <row r="204" spans="1:7">
      <c r="A204" s="15">
        <v>44300</v>
      </c>
      <c r="B204" s="112">
        <v>1.0249999999999999</v>
      </c>
      <c r="C204" s="108">
        <f t="shared" si="59"/>
        <v>9.9999999999988987E-4</v>
      </c>
      <c r="D204" s="109" t="str">
        <f t="shared" si="60"/>
        <v>/</v>
      </c>
      <c r="E204" s="109">
        <f ca="1">IF(表2_367162629303891213141523[[#This Row],[累计净值]]/MAX(INDIRECT("B21:B" &amp; ROW()))-1&lt;E203,表2_367162629303891213141523[[#This Row],[累计净值]]/MAX(INDIRECT("B21:B" &amp; ROW()))-1,E203)</f>
        <v>-2.7917310664605788E-2</v>
      </c>
      <c r="F204" s="110">
        <f>表2_367162629303891213141523[[#This Row],[累计净值]]</f>
        <v>1.0249999999999999</v>
      </c>
      <c r="G204" s="20">
        <f>表2_367162629303891213141523[[#This Row],[累计净值]]/$B$21-1</f>
        <v>3.3281127642912356E-3</v>
      </c>
    </row>
    <row r="205" spans="1:7">
      <c r="A205" s="15">
        <v>44301</v>
      </c>
      <c r="B205" s="112">
        <v>1.0235000000000001</v>
      </c>
      <c r="C205" s="108">
        <f t="shared" ref="C205:C210" si="61">IFERROR(B205-B204,0)</f>
        <v>-1.4999999999998348E-3</v>
      </c>
      <c r="D205" s="109">
        <f t="shared" ref="D205:D210" si="62">IF(C205&lt;0,C205,"/")</f>
        <v>-1.4999999999998348E-3</v>
      </c>
      <c r="E205" s="109">
        <f ca="1">IF(表2_367162629303891213141523[[#This Row],[累计净值]]/MAX(INDIRECT("B21:B" &amp; ROW()))-1&lt;E204,表2_367162629303891213141523[[#This Row],[累计净值]]/MAX(INDIRECT("B21:B" &amp; ROW()))-1,E204)</f>
        <v>-2.7917310664605788E-2</v>
      </c>
      <c r="F205" s="110">
        <f>表2_367162629303891213141523[[#This Row],[累计净值]]</f>
        <v>1.0235000000000001</v>
      </c>
      <c r="G205" s="20">
        <f>表2_367162629303891213141523[[#This Row],[累计净值]]/$B$21-1</f>
        <v>1.8598277212216185E-3</v>
      </c>
    </row>
    <row r="206" spans="1:7">
      <c r="A206" s="15">
        <v>44302</v>
      </c>
      <c r="B206" s="112">
        <v>1.0212000000000001</v>
      </c>
      <c r="C206" s="108">
        <f t="shared" si="61"/>
        <v>-2.2999999999999687E-3</v>
      </c>
      <c r="D206" s="109">
        <f t="shared" si="62"/>
        <v>-2.2999999999999687E-3</v>
      </c>
      <c r="E206" s="109">
        <f ca="1">IF(表2_367162629303891213141523[[#This Row],[累计净值]]/MAX(INDIRECT("B21:B" &amp; ROW()))-1&lt;E205,表2_367162629303891213141523[[#This Row],[累计净值]]/MAX(INDIRECT("B21:B" &amp; ROW()))-1,E205)</f>
        <v>-2.7917310664605788E-2</v>
      </c>
      <c r="F206" s="110">
        <f>表2_367162629303891213141523[[#This Row],[累计净值]]</f>
        <v>1.0212000000000001</v>
      </c>
      <c r="G206" s="20">
        <f>表2_367162629303891213141523[[#This Row],[累计净值]]/$B$21-1</f>
        <v>-3.9154267815189048E-4</v>
      </c>
    </row>
    <row r="207" spans="1:7">
      <c r="A207" s="15">
        <v>44305</v>
      </c>
      <c r="B207" s="112">
        <v>1.0218</v>
      </c>
      <c r="C207" s="108">
        <f t="shared" si="61"/>
        <v>5.9999999999993392E-4</v>
      </c>
      <c r="D207" s="109" t="str">
        <f t="shared" si="62"/>
        <v>/</v>
      </c>
      <c r="E207" s="109">
        <f ca="1">IF(表2_367162629303891213141523[[#This Row],[累计净值]]/MAX(INDIRECT("B21:B" &amp; ROW()))-1&lt;E206,表2_367162629303891213141523[[#This Row],[累计净值]]/MAX(INDIRECT("B21:B" &amp; ROW()))-1,E206)</f>
        <v>-2.7917310664605788E-2</v>
      </c>
      <c r="F207" s="110">
        <f>表2_367162629303891213141523[[#This Row],[累计净值]]</f>
        <v>1.0218</v>
      </c>
      <c r="G207" s="20">
        <f>表2_367162629303891213141523[[#This Row],[累计净值]]/$B$21-1</f>
        <v>1.9577133907588973E-4</v>
      </c>
    </row>
    <row r="208" spans="1:7">
      <c r="A208" s="15">
        <v>44306</v>
      </c>
      <c r="B208" s="112">
        <v>1.0202</v>
      </c>
      <c r="C208" s="108">
        <f t="shared" si="61"/>
        <v>-1.6000000000000458E-3</v>
      </c>
      <c r="D208" s="109">
        <f t="shared" si="62"/>
        <v>-1.6000000000000458E-3</v>
      </c>
      <c r="E208" s="109">
        <f ca="1">IF(表2_367162629303891213141523[[#This Row],[累计净值]]/MAX(INDIRECT("B21:B" &amp; ROW()))-1&lt;E207,表2_367162629303891213141523[[#This Row],[累计净值]]/MAX(INDIRECT("B21:B" &amp; ROW()))-1,E207)</f>
        <v>-2.7917310664605788E-2</v>
      </c>
      <c r="F208" s="110">
        <f>表2_367162629303891213141523[[#This Row],[累计净值]]</f>
        <v>1.0202</v>
      </c>
      <c r="G208" s="20">
        <f>表2_367162629303891213141523[[#This Row],[累计净值]]/$B$21-1</f>
        <v>-1.3703993735317832E-3</v>
      </c>
    </row>
    <row r="209" spans="1:7">
      <c r="A209" s="15">
        <v>44307</v>
      </c>
      <c r="B209" s="112">
        <v>1.0206</v>
      </c>
      <c r="C209" s="108">
        <f t="shared" si="61"/>
        <v>3.9999999999995595E-4</v>
      </c>
      <c r="D209" s="109" t="str">
        <f t="shared" si="62"/>
        <v>/</v>
      </c>
      <c r="E209" s="109">
        <f ca="1">IF(表2_367162629303891213141523[[#This Row],[累计净值]]/MAX(INDIRECT("B21:B" &amp; ROW()))-1&lt;E208,表2_367162629303891213141523[[#This Row],[累计净值]]/MAX(INDIRECT("B21:B" &amp; ROW()))-1,E208)</f>
        <v>-2.7917310664605788E-2</v>
      </c>
      <c r="F209" s="110">
        <f>表2_367162629303891213141523[[#This Row],[累计净值]]</f>
        <v>1.0206</v>
      </c>
      <c r="G209" s="20">
        <f>表2_367162629303891213141523[[#This Row],[累计净值]]/$B$21-1</f>
        <v>-9.7885669537989273E-4</v>
      </c>
    </row>
    <row r="210" spans="1:7">
      <c r="A210" s="15">
        <v>44308</v>
      </c>
      <c r="B210" s="112">
        <v>1.0228999999999999</v>
      </c>
      <c r="C210" s="108">
        <f t="shared" si="61"/>
        <v>2.2999999999999687E-3</v>
      </c>
      <c r="D210" s="109" t="str">
        <f t="shared" si="62"/>
        <v>/</v>
      </c>
      <c r="E210" s="109">
        <f ca="1">IF(表2_367162629303891213141523[[#This Row],[累计净值]]/MAX(INDIRECT("B21:B" &amp; ROW()))-1&lt;E209,表2_367162629303891213141523[[#This Row],[累计净值]]/MAX(INDIRECT("B21:B" &amp; ROW()))-1,E209)</f>
        <v>-2.7917310664605788E-2</v>
      </c>
      <c r="F210" s="110">
        <f>表2_367162629303891213141523[[#This Row],[累计净值]]</f>
        <v>1.0228999999999999</v>
      </c>
      <c r="G210" s="20">
        <f>表2_367162629303891213141523[[#This Row],[累计净值]]/$B$21-1</f>
        <v>1.2725137039935053E-3</v>
      </c>
    </row>
    <row r="211" spans="1:7">
      <c r="A211" s="15">
        <v>44309</v>
      </c>
      <c r="B211" s="112">
        <v>1.0209999999999999</v>
      </c>
      <c r="C211" s="108">
        <f>IFERROR(B211-B210,0)</f>
        <v>-1.9000000000000128E-3</v>
      </c>
      <c r="D211" s="109">
        <f>IF(C211&lt;0,C211,"/")</f>
        <v>-1.9000000000000128E-3</v>
      </c>
      <c r="E211" s="109">
        <f ca="1">IF(表2_367162629303891213141523[[#This Row],[累计净值]]/MAX(INDIRECT("B21:B" &amp; ROW()))-1&lt;E210,表2_367162629303891213141523[[#This Row],[累计净值]]/MAX(INDIRECT("B21:B" &amp; ROW()))-1,E210)</f>
        <v>-2.7917310664605788E-2</v>
      </c>
      <c r="F211" s="110">
        <f>表2_367162629303891213141523[[#This Row],[累计净值]]</f>
        <v>1.0209999999999999</v>
      </c>
      <c r="G211" s="20">
        <f>表2_367162629303891213141523[[#This Row],[累计净值]]/$B$21-1</f>
        <v>-5.8731401722800225E-4</v>
      </c>
    </row>
    <row r="212" spans="1:7">
      <c r="A212" s="15">
        <v>44312</v>
      </c>
      <c r="B212" s="112">
        <v>1.0199</v>
      </c>
      <c r="C212" s="108">
        <f>IFERROR(B212-B211,0)</f>
        <v>-1.0999999999998789E-3</v>
      </c>
      <c r="D212" s="109">
        <f>IF(C212&lt;0,C212,"/")</f>
        <v>-1.0999999999998789E-3</v>
      </c>
      <c r="E212" s="109">
        <f ca="1">IF(表2_367162629303891213141523[[#This Row],[累计净值]]/MAX(INDIRECT("B21:B" &amp; ROW()))-1&lt;E211,表2_367162629303891213141523[[#This Row],[累计净值]]/MAX(INDIRECT("B21:B" &amp; ROW()))-1,E211)</f>
        <v>-2.7917310664605788E-2</v>
      </c>
      <c r="F212" s="110">
        <f>表2_367162629303891213141523[[#This Row],[累计净值]]</f>
        <v>1.0199</v>
      </c>
      <c r="G212" s="20">
        <f>表2_367162629303891213141523[[#This Row],[累计净值]]/$B$21-1</f>
        <v>-1.6640563821457288E-3</v>
      </c>
    </row>
    <row r="213" spans="1:7">
      <c r="A213" s="15">
        <v>44313</v>
      </c>
      <c r="B213" s="112">
        <v>1.0209999999999999</v>
      </c>
      <c r="C213" s="108">
        <f>IFERROR(B213-B212,0)</f>
        <v>1.0999999999998789E-3</v>
      </c>
      <c r="D213" s="109" t="str">
        <f>IF(C213&lt;0,C213,"/")</f>
        <v>/</v>
      </c>
      <c r="E213" s="109">
        <f ca="1">IF(表2_367162629303891213141523[[#This Row],[累计净值]]/MAX(INDIRECT("B21:B" &amp; ROW()))-1&lt;E212,表2_367162629303891213141523[[#This Row],[累计净值]]/MAX(INDIRECT("B21:B" &amp; ROW()))-1,E212)</f>
        <v>-2.7917310664605788E-2</v>
      </c>
      <c r="F213" s="110">
        <f>表2_367162629303891213141523[[#This Row],[累计净值]]</f>
        <v>1.0209999999999999</v>
      </c>
      <c r="G213" s="20">
        <f>表2_367162629303891213141523[[#This Row],[累计净值]]/$B$21-1</f>
        <v>-5.8731401722800225E-4</v>
      </c>
    </row>
    <row r="214" spans="1:7">
      <c r="A214" s="15">
        <v>44314</v>
      </c>
      <c r="B214" s="112">
        <v>1.0213000000000001</v>
      </c>
      <c r="C214" s="108">
        <f>IFERROR(B214-B213,0)</f>
        <v>3.00000000000189E-4</v>
      </c>
      <c r="D214" s="109" t="str">
        <f>IF(C214&lt;0,C214,"/")</f>
        <v>/</v>
      </c>
      <c r="E214" s="109">
        <f ca="1">IF(表2_367162629303891213141523[[#This Row],[累计净值]]/MAX(INDIRECT("B21:B" &amp; ROW()))-1&lt;E213,表2_367162629303891213141523[[#This Row],[累计净值]]/MAX(INDIRECT("B21:B" &amp; ROW()))-1,E213)</f>
        <v>-2.7917310664605788E-2</v>
      </c>
      <c r="F214" s="110">
        <f>表2_367162629303891213141523[[#This Row],[累计净值]]</f>
        <v>1.0213000000000001</v>
      </c>
      <c r="G214" s="20">
        <f>表2_367162629303891213141523[[#This Row],[累计净值]]/$B$21-1</f>
        <v>-2.9365700861394561E-4</v>
      </c>
    </row>
    <row r="215" spans="1:7">
      <c r="A215" s="15">
        <v>44315</v>
      </c>
      <c r="B215" s="112">
        <v>1.0206999999999999</v>
      </c>
      <c r="C215" s="108">
        <f>IFERROR(B215-B214,0)</f>
        <v>-6.0000000000015596E-4</v>
      </c>
      <c r="D215" s="109">
        <f>IF(C215&lt;0,C215,"/")</f>
        <v>-6.0000000000015596E-4</v>
      </c>
      <c r="E215" s="109">
        <f ca="1">IF(表2_367162629303891213141523[[#This Row],[累计净值]]/MAX(INDIRECT("B21:B" &amp; ROW()))-1&lt;E214,表2_367162629303891213141523[[#This Row],[累计净值]]/MAX(INDIRECT("B21:B" &amp; ROW()))-1,E214)</f>
        <v>-2.7917310664605788E-2</v>
      </c>
      <c r="F215" s="110">
        <f>表2_367162629303891213141523[[#This Row],[累计净值]]</f>
        <v>1.0206999999999999</v>
      </c>
      <c r="G215" s="20">
        <f>表2_367162629303891213141523[[#This Row],[累计净值]]/$B$21-1</f>
        <v>-8.8097102584194786E-4</v>
      </c>
    </row>
    <row r="216" spans="1:7">
      <c r="A216" s="15">
        <v>44316</v>
      </c>
      <c r="B216" s="112">
        <v>1.0206</v>
      </c>
      <c r="C216" s="108">
        <f t="shared" ref="C216:C217" si="63">IFERROR(B216-B215,0)</f>
        <v>-9.9999999999988987E-5</v>
      </c>
      <c r="D216" s="109">
        <f t="shared" ref="D216:D217" si="64">IF(C216&lt;0,C216,"/")</f>
        <v>-9.9999999999988987E-5</v>
      </c>
      <c r="E216" s="109">
        <f ca="1">IF(表2_367162629303891213141523[[#This Row],[累计净值]]/MAX(INDIRECT("B21:B" &amp; ROW()))-1&lt;E215,表2_367162629303891213141523[[#This Row],[累计净值]]/MAX(INDIRECT("B21:B" &amp; ROW()))-1,E215)</f>
        <v>-2.7917310664605788E-2</v>
      </c>
      <c r="F216" s="110">
        <f>表2_367162629303891213141523[[#This Row],[累计净值]]</f>
        <v>1.0206</v>
      </c>
      <c r="G216" s="20">
        <f>表2_367162629303891213141523[[#This Row],[累计净值]]/$B$21-1</f>
        <v>-9.7885669537989273E-4</v>
      </c>
    </row>
    <row r="217" spans="1:7">
      <c r="A217" s="15">
        <v>44322</v>
      </c>
      <c r="B217" s="112">
        <v>1.0201</v>
      </c>
      <c r="C217" s="108">
        <f t="shared" si="63"/>
        <v>-4.9999999999994493E-4</v>
      </c>
      <c r="D217" s="109">
        <f t="shared" si="64"/>
        <v>-4.9999999999994493E-4</v>
      </c>
      <c r="E217" s="109">
        <f ca="1">IF(表2_367162629303891213141523[[#This Row],[累计净值]]/MAX(INDIRECT("B21:B" &amp; ROW()))-1&lt;E216,表2_367162629303891213141523[[#This Row],[累计净值]]/MAX(INDIRECT("B21:B" &amp; ROW()))-1,E216)</f>
        <v>-2.7917310664605788E-2</v>
      </c>
      <c r="F217" s="110">
        <f>表2_367162629303891213141523[[#This Row],[累计净值]]</f>
        <v>1.0201</v>
      </c>
      <c r="G217" s="20">
        <f>表2_367162629303891213141523[[#This Row],[累计净值]]/$B$21-1</f>
        <v>-1.4682850430697281E-3</v>
      </c>
    </row>
    <row r="218" spans="1:7">
      <c r="A218" s="15">
        <v>44323</v>
      </c>
      <c r="B218" s="112">
        <v>1.0185999999999999</v>
      </c>
      <c r="C218" s="108">
        <f t="shared" ref="C218:C223" si="65">IFERROR(B218-B217,0)</f>
        <v>-1.5000000000000568E-3</v>
      </c>
      <c r="D218" s="109">
        <f t="shared" ref="D218:D223" si="66">IF(C218&lt;0,C218,"/")</f>
        <v>-1.5000000000000568E-3</v>
      </c>
      <c r="E218" s="109">
        <f ca="1">IF(表2_367162629303891213141523[[#This Row],[累计净值]]/MAX(INDIRECT("B21:B" &amp; ROW()))-1&lt;E217,表2_367162629303891213141523[[#This Row],[累计净值]]/MAX(INDIRECT("B21:B" &amp; ROW()))-1,E217)</f>
        <v>-2.7917310664605788E-2</v>
      </c>
      <c r="F218" s="110">
        <f>表2_367162629303891213141523[[#This Row],[累计净值]]</f>
        <v>1.0185999999999999</v>
      </c>
      <c r="G218" s="20">
        <f>表2_367162629303891213141523[[#This Row],[累计净值]]/$B$21-1</f>
        <v>-2.9365700861394561E-3</v>
      </c>
    </row>
    <row r="219" spans="1:7">
      <c r="A219" s="15">
        <v>44326</v>
      </c>
      <c r="B219" s="112">
        <v>1.0214000000000001</v>
      </c>
      <c r="C219" s="108">
        <f t="shared" si="65"/>
        <v>2.8000000000001357E-3</v>
      </c>
      <c r="D219" s="109" t="str">
        <f t="shared" si="66"/>
        <v>/</v>
      </c>
      <c r="E219" s="109">
        <f ca="1">IF(表2_367162629303891213141523[[#This Row],[累计净值]]/MAX(INDIRECT("B21:B" &amp; ROW()))-1&lt;E218,表2_367162629303891213141523[[#This Row],[累计净值]]/MAX(INDIRECT("B21:B" &amp; ROW()))-1,E218)</f>
        <v>-2.7917310664605788E-2</v>
      </c>
      <c r="F219" s="110">
        <f>表2_367162629303891213141523[[#This Row],[累计净值]]</f>
        <v>1.0214000000000001</v>
      </c>
      <c r="G219" s="20">
        <f>表2_367162629303891213141523[[#This Row],[累计净值]]/$B$21-1</f>
        <v>-1.9577133907588973E-4</v>
      </c>
    </row>
    <row r="220" spans="1:7">
      <c r="A220" s="15">
        <v>44327</v>
      </c>
      <c r="B220" s="112">
        <v>1.0209999999999999</v>
      </c>
      <c r="C220" s="108">
        <f t="shared" si="65"/>
        <v>-4.0000000000017799E-4</v>
      </c>
      <c r="D220" s="109">
        <f t="shared" si="66"/>
        <v>-4.0000000000017799E-4</v>
      </c>
      <c r="E220" s="109">
        <f ca="1">IF(表2_367162629303891213141523[[#This Row],[累计净值]]/MAX(INDIRECT("B21:B" &amp; ROW()))-1&lt;E219,表2_367162629303891213141523[[#This Row],[累计净值]]/MAX(INDIRECT("B21:B" &amp; ROW()))-1,E219)</f>
        <v>-2.7917310664605788E-2</v>
      </c>
      <c r="F220" s="110">
        <f>表2_367162629303891213141523[[#This Row],[累计净值]]</f>
        <v>1.0209999999999999</v>
      </c>
      <c r="G220" s="20">
        <f>表2_367162629303891213141523[[#This Row],[累计净值]]/$B$21-1</f>
        <v>-5.8731401722800225E-4</v>
      </c>
    </row>
    <row r="221" spans="1:7">
      <c r="A221" s="15">
        <v>44328</v>
      </c>
      <c r="B221" s="112">
        <v>1.0216000000000001</v>
      </c>
      <c r="C221" s="108">
        <f t="shared" si="65"/>
        <v>6.0000000000015596E-4</v>
      </c>
      <c r="D221" s="109" t="str">
        <f t="shared" si="66"/>
        <v>/</v>
      </c>
      <c r="E221" s="109">
        <f ca="1">IF(表2_367162629303891213141523[[#This Row],[累计净值]]/MAX(INDIRECT("B21:B" &amp; ROW()))-1&lt;E220,表2_367162629303891213141523[[#This Row],[累计净值]]/MAX(INDIRECT("B21:B" &amp; ROW()))-1,E220)</f>
        <v>-2.7917310664605788E-2</v>
      </c>
      <c r="F221" s="110">
        <f>表2_367162629303891213141523[[#This Row],[累计净值]]</f>
        <v>1.0216000000000001</v>
      </c>
      <c r="G221" s="20">
        <f>表2_367162629303891213141523[[#This Row],[累计净值]]/$B$21-1</f>
        <v>0</v>
      </c>
    </row>
    <row r="222" spans="1:7">
      <c r="A222" s="15">
        <v>44329</v>
      </c>
      <c r="B222" s="112">
        <v>1.0212000000000001</v>
      </c>
      <c r="C222" s="108">
        <f t="shared" si="65"/>
        <v>-3.9999999999995595E-4</v>
      </c>
      <c r="D222" s="109">
        <f t="shared" si="66"/>
        <v>-3.9999999999995595E-4</v>
      </c>
      <c r="E222" s="109">
        <f ca="1">IF(表2_367162629303891213141523[[#This Row],[累计净值]]/MAX(INDIRECT("B21:B" &amp; ROW()))-1&lt;E221,表2_367162629303891213141523[[#This Row],[累计净值]]/MAX(INDIRECT("B21:B" &amp; ROW()))-1,E221)</f>
        <v>-2.7917310664605788E-2</v>
      </c>
      <c r="F222" s="110">
        <f>表2_367162629303891213141523[[#This Row],[累计净值]]</f>
        <v>1.0212000000000001</v>
      </c>
      <c r="G222" s="20">
        <f>表2_367162629303891213141523[[#This Row],[累计净值]]/$B$21-1</f>
        <v>-3.9154267815189048E-4</v>
      </c>
    </row>
    <row r="223" spans="1:7">
      <c r="A223" s="15">
        <v>44330</v>
      </c>
      <c r="B223" s="112">
        <v>1.0205</v>
      </c>
      <c r="C223" s="108">
        <f t="shared" si="65"/>
        <v>-7.0000000000014495E-4</v>
      </c>
      <c r="D223" s="109">
        <f t="shared" si="66"/>
        <v>-7.0000000000014495E-4</v>
      </c>
      <c r="E223" s="109">
        <f ca="1">IF(表2_367162629303891213141523[[#This Row],[累计净值]]/MAX(INDIRECT("B21:B" &amp; ROW()))-1&lt;E222,表2_367162629303891213141523[[#This Row],[累计净值]]/MAX(INDIRECT("B21:B" &amp; ROW()))-1,E222)</f>
        <v>-2.7917310664605788E-2</v>
      </c>
      <c r="F223" s="110">
        <f>表2_367162629303891213141523[[#This Row],[累计净值]]</f>
        <v>1.0205</v>
      </c>
      <c r="G223" s="20">
        <f>表2_367162629303891213141523[[#This Row],[累计净值]]/$B$21-1</f>
        <v>-1.0767423649178376E-3</v>
      </c>
    </row>
    <row r="224" spans="1:7">
      <c r="A224" s="15">
        <v>44333</v>
      </c>
      <c r="B224" s="112">
        <v>1.0199</v>
      </c>
      <c r="C224" s="108">
        <f>IFERROR(B224-B223,0)</f>
        <v>-5.9999999999993392E-4</v>
      </c>
      <c r="D224" s="109">
        <f>IF(C224&lt;0,C224,"/")</f>
        <v>-5.9999999999993392E-4</v>
      </c>
      <c r="E224" s="109">
        <f ca="1">IF(表2_367162629303891213141523[[#This Row],[累计净值]]/MAX(INDIRECT("B21:B" &amp; ROW()))-1&lt;E223,表2_367162629303891213141523[[#This Row],[累计净值]]/MAX(INDIRECT("B21:B" &amp; ROW()))-1,E223)</f>
        <v>-2.7917310664605788E-2</v>
      </c>
      <c r="F224" s="110">
        <f>表2_367162629303891213141523[[#This Row],[累计净值]]</f>
        <v>1.0199</v>
      </c>
      <c r="G224" s="20">
        <f>表2_367162629303891213141523[[#This Row],[累计净值]]/$B$21-1</f>
        <v>-1.6640563821457288E-3</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K224"/>
  <sheetViews>
    <sheetView workbookViewId="0">
      <selection activeCell="H7" sqref="H7"/>
    </sheetView>
  </sheetViews>
  <sheetFormatPr baseColWidth="10" defaultColWidth="9" defaultRowHeight="15"/>
  <cols>
    <col min="1" max="1" width="21.6640625" style="1" customWidth="1"/>
    <col min="2" max="3" width="19.6640625" style="1" customWidth="1"/>
    <col min="4" max="4" width="14.33203125" style="1" customWidth="1"/>
    <col min="5" max="5" width="17" style="1" customWidth="1"/>
    <col min="6" max="6" width="16.33203125" style="1" customWidth="1"/>
    <col min="7" max="7" width="11.1640625" style="1" customWidth="1"/>
    <col min="8" max="8" width="18.83203125" style="2" customWidth="1"/>
    <col min="9" max="9" width="14.1640625" style="1" customWidth="1"/>
    <col min="10" max="10" width="12" style="1" bestFit="1" customWidth="1"/>
    <col min="11" max="16384" width="9" style="1"/>
  </cols>
  <sheetData>
    <row r="1" spans="1:8" ht="16" thickBot="1"/>
    <row r="2" spans="1:8" ht="16" thickBot="1">
      <c r="A2" s="23" t="s">
        <v>0</v>
      </c>
      <c r="B2" s="24">
        <f>COUNT(表2_36716262930389121314152324[每日盈亏])</f>
        <v>204</v>
      </c>
      <c r="C2" s="27"/>
      <c r="D2" s="27"/>
      <c r="E2" s="3" t="s">
        <v>1</v>
      </c>
      <c r="F2" s="28"/>
      <c r="G2" s="1" t="s">
        <v>2</v>
      </c>
      <c r="H2" s="400" t="s">
        <v>3</v>
      </c>
    </row>
    <row r="3" spans="1:8">
      <c r="A3" s="25" t="s">
        <v>4</v>
      </c>
      <c r="B3" s="26">
        <f>COUNTIF(表2_36716262930389121314152324[每日盈亏],"&gt;0")</f>
        <v>104</v>
      </c>
      <c r="C3" s="394"/>
      <c r="D3" s="29"/>
      <c r="E3" s="30" t="s">
        <v>5</v>
      </c>
      <c r="F3" s="31">
        <f>245^0.5*(B10-0.025/365)/F10</f>
        <v>0.22185349491967568</v>
      </c>
      <c r="H3" s="400"/>
    </row>
    <row r="4" spans="1:8">
      <c r="A4" s="25" t="s">
        <v>6</v>
      </c>
      <c r="B4" s="26">
        <f>COUNTIF(表2_36716262930389121314152324[每日盈亏],"&lt;0")</f>
        <v>95</v>
      </c>
      <c r="C4" s="394"/>
      <c r="D4" s="29"/>
      <c r="E4" s="32" t="s">
        <v>7</v>
      </c>
      <c r="F4" s="31">
        <f ca="1">-B9/F8</f>
        <v>0.6480682885372151</v>
      </c>
      <c r="H4" s="2">
        <f>LOOKUP(999^10,表2_36716262930389121314152324[累计净值])</f>
        <v>1.2010000000000001</v>
      </c>
    </row>
    <row r="5" spans="1:8">
      <c r="A5" s="25" t="s">
        <v>8</v>
      </c>
      <c r="B5" s="26">
        <f>B2-B3-B4</f>
        <v>5</v>
      </c>
      <c r="C5" s="394"/>
      <c r="D5" s="29"/>
      <c r="E5" s="33" t="s">
        <v>9</v>
      </c>
      <c r="F5" s="4">
        <f>245^0.5*(B10-0.025/365)/F9</f>
        <v>0.31077215952790038</v>
      </c>
    </row>
    <row r="6" spans="1:8" ht="16" thickBot="1">
      <c r="A6" s="34"/>
      <c r="B6" s="35"/>
      <c r="C6" s="35"/>
      <c r="D6" s="35"/>
      <c r="E6" s="35"/>
      <c r="F6" s="36"/>
    </row>
    <row r="7" spans="1:8" ht="16" thickBot="1">
      <c r="A7" s="5" t="s">
        <v>10</v>
      </c>
      <c r="B7" s="35"/>
      <c r="C7" s="35"/>
      <c r="D7" s="35"/>
      <c r="E7" s="3" t="s">
        <v>11</v>
      </c>
      <c r="F7" s="37"/>
    </row>
    <row r="8" spans="1:8">
      <c r="A8" s="38" t="s">
        <v>12</v>
      </c>
      <c r="B8" s="39">
        <f>LOOKUP(999^10,表2_36716262930389121314152324[累计净值])/$B$21-1</f>
        <v>4.9825174825175012E-2</v>
      </c>
      <c r="C8" s="395"/>
      <c r="D8" s="40"/>
      <c r="E8" s="30" t="s">
        <v>13</v>
      </c>
      <c r="F8" s="41">
        <f ca="1">MIN(表2_36716262930389121314152324[最大回撤])</f>
        <v>-9.2334494773519071E-2</v>
      </c>
    </row>
    <row r="9" spans="1:8">
      <c r="A9" s="25" t="s">
        <v>14</v>
      </c>
      <c r="B9" s="32">
        <f>B8*245/B2</f>
        <v>5.9839058000822933E-2</v>
      </c>
      <c r="C9" s="396"/>
      <c r="D9" s="40"/>
      <c r="E9" s="33" t="s">
        <v>15</v>
      </c>
      <c r="F9" s="6">
        <f>STDEV(表2_36716262930389121314152324[下跌幅度])</f>
        <v>1.0623211923846175E-2</v>
      </c>
    </row>
    <row r="10" spans="1:8">
      <c r="A10" s="42" t="s">
        <v>16</v>
      </c>
      <c r="B10" s="43">
        <f>AVERAGE(表2_36716262930389121314152324[每日盈亏])</f>
        <v>2.7941176470588317E-4</v>
      </c>
      <c r="C10" s="397"/>
      <c r="D10" s="44"/>
      <c r="E10" s="33" t="s">
        <v>17</v>
      </c>
      <c r="F10" s="6">
        <f>STDEV(表2_36716262930389121314152324[每日盈亏])</f>
        <v>1.4880984912550159E-2</v>
      </c>
    </row>
    <row r="11" spans="1:8">
      <c r="A11" s="7" t="s">
        <v>18</v>
      </c>
      <c r="B11" s="32">
        <f>B3/B2</f>
        <v>0.50980392156862742</v>
      </c>
      <c r="C11" s="396"/>
      <c r="D11" s="40"/>
      <c r="E11" s="32" t="s">
        <v>19</v>
      </c>
      <c r="F11" s="41">
        <f>245^0.5*F10</f>
        <v>0.23292425685627643</v>
      </c>
    </row>
    <row r="12" spans="1:8" ht="16" thickBot="1">
      <c r="A12" s="45" t="s">
        <v>20</v>
      </c>
      <c r="B12" s="46">
        <f>-(SUMIF(表2_36716262930389121314152324[每日盈亏],"&gt;=0")/B3)/(SUMIF(表2_36716262930389121314152324[每日盈亏],"&lt;0")/B4)</f>
        <v>0.95877686282386043</v>
      </c>
      <c r="C12" s="47"/>
      <c r="D12" s="47"/>
      <c r="E12" s="48"/>
      <c r="F12" s="49"/>
    </row>
    <row r="14" spans="1:8" ht="32">
      <c r="A14" s="50" t="s">
        <v>21</v>
      </c>
      <c r="B14" s="50" t="s">
        <v>14</v>
      </c>
      <c r="C14" s="398"/>
      <c r="D14" s="51" t="s">
        <v>19</v>
      </c>
      <c r="E14" s="51" t="s">
        <v>13</v>
      </c>
      <c r="F14" s="51" t="s">
        <v>5</v>
      </c>
      <c r="G14" s="51" t="s">
        <v>7</v>
      </c>
    </row>
    <row r="15" spans="1:8">
      <c r="A15" s="78">
        <f>B2</f>
        <v>204</v>
      </c>
      <c r="B15" s="53">
        <f>B9</f>
        <v>5.9839058000822933E-2</v>
      </c>
      <c r="C15" s="399"/>
      <c r="D15" s="53">
        <f>F11</f>
        <v>0.23292425685627643</v>
      </c>
      <c r="E15" s="53">
        <f ca="1">F8</f>
        <v>-9.2334494773519071E-2</v>
      </c>
      <c r="F15" s="54">
        <f>F3</f>
        <v>0.22185349491967568</v>
      </c>
      <c r="G15" s="54">
        <f ca="1">F4</f>
        <v>0.6480682885372151</v>
      </c>
    </row>
    <row r="19" spans="1:8">
      <c r="A19" s="8"/>
      <c r="B19" s="1" t="s">
        <v>22</v>
      </c>
    </row>
    <row r="20" spans="1:8" ht="16">
      <c r="A20" s="22" t="s">
        <v>23</v>
      </c>
      <c r="B20" s="22" t="s">
        <v>24</v>
      </c>
      <c r="C20" s="22" t="s">
        <v>113</v>
      </c>
      <c r="D20" s="22" t="s">
        <v>25</v>
      </c>
      <c r="E20" s="22" t="s">
        <v>26</v>
      </c>
      <c r="F20" s="22" t="s">
        <v>27</v>
      </c>
      <c r="G20" s="22" t="s">
        <v>28</v>
      </c>
      <c r="H20" s="22" t="s">
        <v>29</v>
      </c>
    </row>
    <row r="21" spans="1:8">
      <c r="A21" s="15">
        <v>44026</v>
      </c>
      <c r="B21" s="16">
        <v>1.1439999999999999</v>
      </c>
      <c r="C21" s="112"/>
      <c r="D21" s="11">
        <f t="shared" ref="D21:D29" si="0">IFERROR(B21-B20,0)</f>
        <v>0</v>
      </c>
      <c r="E21" s="12" t="str">
        <f t="shared" ref="E21:E29" si="1">IF(D21&lt;0,D21,"/")</f>
        <v>/</v>
      </c>
      <c r="F21" s="12">
        <f ca="1">IF(表2_36716262930389121314152324[[#This Row],[累计净值]]/MAX(INDIRECT("B21:B" &amp; ROW()))-1&lt;F20,表2_36716262930389121314152324[[#This Row],[累计净值]]/MAX(INDIRECT("B21:B" &amp; ROW()))-1,F20)</f>
        <v>0</v>
      </c>
      <c r="G21" s="13">
        <f>表2_36716262930389121314152324[[#This Row],[累计净值]]</f>
        <v>1.1439999999999999</v>
      </c>
      <c r="H21" s="194" t="s">
        <v>30</v>
      </c>
    </row>
    <row r="22" spans="1:8">
      <c r="A22" s="15">
        <v>44027</v>
      </c>
      <c r="B22" s="16">
        <v>1.117</v>
      </c>
      <c r="C22" s="112"/>
      <c r="D22" s="17">
        <f t="shared" si="0"/>
        <v>-2.6999999999999913E-2</v>
      </c>
      <c r="E22" s="18">
        <f t="shared" si="1"/>
        <v>-2.6999999999999913E-2</v>
      </c>
      <c r="F22" s="18">
        <f ca="1">IF(表2_36716262930389121314152324[[#This Row],[累计净值]]/MAX(INDIRECT("B21:B" &amp; ROW()))-1&lt;F21,表2_36716262930389121314152324[[#This Row],[累计净值]]/MAX(INDIRECT("B21:B" &amp; ROW()))-1,F21)</f>
        <v>-2.3601398601398538E-2</v>
      </c>
      <c r="G22" s="19">
        <f>表2_36716262930389121314152324[[#This Row],[累计净值]]</f>
        <v>1.117</v>
      </c>
      <c r="H22" s="20">
        <f>表2_36716262930389121314152324[[#This Row],[累计净值]]/$B$21-1</f>
        <v>-2.3601398601398538E-2</v>
      </c>
    </row>
    <row r="23" spans="1:8">
      <c r="A23" s="15">
        <v>44028</v>
      </c>
      <c r="B23" s="16">
        <v>1.0649999999999999</v>
      </c>
      <c r="C23" s="112"/>
      <c r="D23" s="73">
        <f t="shared" si="0"/>
        <v>-5.2000000000000046E-2</v>
      </c>
      <c r="E23" s="18">
        <f t="shared" si="1"/>
        <v>-5.2000000000000046E-2</v>
      </c>
      <c r="F23" s="18">
        <f ca="1">IF(表2_36716262930389121314152324[[#This Row],[累计净值]]/MAX(INDIRECT("B21:B" &amp; ROW()))-1&lt;F22,表2_36716262930389121314152324[[#This Row],[累计净值]]/MAX(INDIRECT("B21:B" &amp; ROW()))-1,F22)</f>
        <v>-6.9055944055944063E-2</v>
      </c>
      <c r="G23" s="62">
        <f>表2_36716262930389121314152324[[#This Row],[累计净值]]</f>
        <v>1.0649999999999999</v>
      </c>
      <c r="H23" s="20">
        <f>表2_36716262930389121314152324[[#This Row],[累计净值]]/$B$21-1</f>
        <v>-6.9055944055944063E-2</v>
      </c>
    </row>
    <row r="24" spans="1:8">
      <c r="A24" s="15">
        <v>44029</v>
      </c>
      <c r="B24" s="16">
        <v>1.0740000000000001</v>
      </c>
      <c r="C24" s="112">
        <v>1</v>
      </c>
      <c r="D24" s="73">
        <f t="shared" si="0"/>
        <v>9.000000000000119E-3</v>
      </c>
      <c r="E24" s="18" t="str">
        <f t="shared" si="1"/>
        <v>/</v>
      </c>
      <c r="F24" s="18">
        <f ca="1">IF(表2_36716262930389121314152324[[#This Row],[累计净值]]/MAX(INDIRECT("B21:B" &amp; ROW()))-1&lt;F23,表2_36716262930389121314152324[[#This Row],[累计净值]]/MAX(INDIRECT("B21:B" &amp; ROW()))-1,F23)</f>
        <v>-6.9055944055944063E-2</v>
      </c>
      <c r="G24" s="62">
        <f>表2_36716262930389121314152324[[#This Row],[累计净值]]</f>
        <v>1.0740000000000001</v>
      </c>
      <c r="H24" s="20">
        <f>表2_36716262930389121314152324[[#This Row],[累计净值]]/$B$21-1</f>
        <v>-6.1188811188811032E-2</v>
      </c>
    </row>
    <row r="25" spans="1:8">
      <c r="A25" s="15">
        <v>44032</v>
      </c>
      <c r="B25" s="112">
        <v>1.103</v>
      </c>
      <c r="C25" s="112">
        <f>C24*(1+表2_36716262930389121314152324[[#This Row],[每日盈亏]])</f>
        <v>1.0289999999999999</v>
      </c>
      <c r="D25" s="108">
        <f t="shared" si="0"/>
        <v>2.8999999999999915E-2</v>
      </c>
      <c r="E25" s="109" t="str">
        <f t="shared" si="1"/>
        <v>/</v>
      </c>
      <c r="F25" s="109">
        <f ca="1">IF(表2_36716262930389121314152324[[#This Row],[累计净值]]/MAX(INDIRECT("B21:B" &amp; ROW()))-1&lt;F24,表2_36716262930389121314152324[[#This Row],[累计净值]]/MAX(INDIRECT("B21:B" &amp; ROW()))-1,F24)</f>
        <v>-6.9055944055944063E-2</v>
      </c>
      <c r="G25" s="110">
        <f>表2_36716262930389121314152324[[#This Row],[累计净值]]</f>
        <v>1.103</v>
      </c>
      <c r="H25" s="20">
        <f>表2_36716262930389121314152324[[#This Row],[累计净值]]/$B$21-1</f>
        <v>-3.5839160839160722E-2</v>
      </c>
    </row>
    <row r="26" spans="1:8">
      <c r="A26" s="15">
        <v>44033</v>
      </c>
      <c r="B26" s="112">
        <v>1.1140000000000001</v>
      </c>
      <c r="C26" s="112">
        <f>C25*(1+表2_36716262930389121314152324[[#This Row],[每日盈亏]])</f>
        <v>1.040319</v>
      </c>
      <c r="D26" s="108">
        <f t="shared" si="0"/>
        <v>1.1000000000000121E-2</v>
      </c>
      <c r="E26" s="109" t="str">
        <f t="shared" si="1"/>
        <v>/</v>
      </c>
      <c r="F26" s="109">
        <f ca="1">IF(表2_36716262930389121314152324[[#This Row],[累计净值]]/MAX(INDIRECT("B21:B" &amp; ROW()))-1&lt;F25,表2_36716262930389121314152324[[#This Row],[累计净值]]/MAX(INDIRECT("B21:B" &amp; ROW()))-1,F25)</f>
        <v>-6.9055944055944063E-2</v>
      </c>
      <c r="G26" s="110">
        <f>表2_36716262930389121314152324[[#This Row],[累计净值]]</f>
        <v>1.1140000000000001</v>
      </c>
      <c r="H26" s="20">
        <f>表2_36716262930389121314152324[[#This Row],[累计净值]]/$B$21-1</f>
        <v>-2.622377622377603E-2</v>
      </c>
    </row>
    <row r="27" spans="1:8">
      <c r="A27" s="15">
        <v>44034</v>
      </c>
      <c r="B27" s="112">
        <v>1.1220000000000001</v>
      </c>
      <c r="C27" s="112">
        <f>C26*(1+表2_36716262930389121314152324[[#This Row],[每日盈亏]])</f>
        <v>1.0486415520000001</v>
      </c>
      <c r="D27" s="108">
        <f t="shared" si="0"/>
        <v>8.0000000000000071E-3</v>
      </c>
      <c r="E27" s="109" t="str">
        <f t="shared" si="1"/>
        <v>/</v>
      </c>
      <c r="F27" s="109">
        <f ca="1">IF(表2_36716262930389121314152324[[#This Row],[累计净值]]/MAX(INDIRECT("B21:B" &amp; ROW()))-1&lt;F26,表2_36716262930389121314152324[[#This Row],[累计净值]]/MAX(INDIRECT("B21:B" &amp; ROW()))-1,F26)</f>
        <v>-6.9055944055944063E-2</v>
      </c>
      <c r="G27" s="110">
        <f>表2_36716262930389121314152324[[#This Row],[累计净值]]</f>
        <v>1.1220000000000001</v>
      </c>
      <c r="H27" s="20">
        <f>表2_36716262930389121314152324[[#This Row],[累计净值]]/$B$21-1</f>
        <v>-1.9230769230769051E-2</v>
      </c>
    </row>
    <row r="28" spans="1:8">
      <c r="A28" s="15">
        <v>44035</v>
      </c>
      <c r="B28" s="112">
        <v>1.1200000000000001</v>
      </c>
      <c r="C28" s="112">
        <f>C27*(1+表2_36716262930389121314152324[[#This Row],[每日盈亏]])</f>
        <v>1.0465442688960001</v>
      </c>
      <c r="D28" s="108">
        <f t="shared" si="0"/>
        <v>-2.0000000000000018E-3</v>
      </c>
      <c r="E28" s="109">
        <f t="shared" si="1"/>
        <v>-2.0000000000000018E-3</v>
      </c>
      <c r="F28" s="109">
        <f ca="1">IF(表2_36716262930389121314152324[[#This Row],[累计净值]]/MAX(INDIRECT("B21:B" &amp; ROW()))-1&lt;F27,表2_36716262930389121314152324[[#This Row],[累计净值]]/MAX(INDIRECT("B21:B" &amp; ROW()))-1,F27)</f>
        <v>-6.9055944055944063E-2</v>
      </c>
      <c r="G28" s="110">
        <f>表2_36716262930389121314152324[[#This Row],[累计净值]]</f>
        <v>1.1200000000000001</v>
      </c>
      <c r="H28" s="20">
        <f>表2_36716262930389121314152324[[#This Row],[累计净值]]/$B$21-1</f>
        <v>-2.0979020979020824E-2</v>
      </c>
    </row>
    <row r="29" spans="1:8">
      <c r="A29" s="15">
        <v>44036</v>
      </c>
      <c r="B29" s="112">
        <v>1.0609999999999999</v>
      </c>
      <c r="C29" s="112">
        <f>C28*(1+表2_36716262930389121314152324[[#This Row],[每日盈亏]])</f>
        <v>0.98479815703113582</v>
      </c>
      <c r="D29" s="108">
        <f t="shared" si="0"/>
        <v>-5.9000000000000163E-2</v>
      </c>
      <c r="E29" s="109">
        <f t="shared" si="1"/>
        <v>-5.9000000000000163E-2</v>
      </c>
      <c r="F29" s="109">
        <f ca="1">IF(表2_36716262930389121314152324[[#This Row],[累计净值]]/MAX(INDIRECT("B21:B" &amp; ROW()))-1&lt;F28,表2_36716262930389121314152324[[#This Row],[累计净值]]/MAX(INDIRECT("B21:B" &amp; ROW()))-1,F28)</f>
        <v>-7.2552447552447497E-2</v>
      </c>
      <c r="G29" s="110">
        <f>表2_36716262930389121314152324[[#This Row],[累计净值]]</f>
        <v>1.0609999999999999</v>
      </c>
      <c r="H29" s="20">
        <f>表2_36716262930389121314152324[[#This Row],[累计净值]]/$B$21-1</f>
        <v>-7.2552447552447497E-2</v>
      </c>
    </row>
    <row r="30" spans="1:8">
      <c r="A30" s="15">
        <v>44039</v>
      </c>
      <c r="B30" s="112">
        <v>1.0649999999999999</v>
      </c>
      <c r="C30" s="112">
        <f>C29*(1+表2_36716262930389121314152324[[#This Row],[每日盈亏]])</f>
        <v>0.98873734965926041</v>
      </c>
      <c r="D30" s="108">
        <f t="shared" ref="D30:D35" si="2">IFERROR(B30-B29,0)</f>
        <v>4.0000000000000036E-3</v>
      </c>
      <c r="E30" s="109" t="str">
        <f t="shared" ref="E30:E35" si="3">IF(D30&lt;0,D30,"/")</f>
        <v>/</v>
      </c>
      <c r="F30" s="109">
        <f ca="1">IF(表2_36716262930389121314152324[[#This Row],[累计净值]]/MAX(INDIRECT("B21:B" &amp; ROW()))-1&lt;F29,表2_36716262930389121314152324[[#This Row],[累计净值]]/MAX(INDIRECT("B21:B" &amp; ROW()))-1,F29)</f>
        <v>-7.2552447552447497E-2</v>
      </c>
      <c r="G30" s="110">
        <f>表2_36716262930389121314152324[[#This Row],[累计净值]]</f>
        <v>1.0649999999999999</v>
      </c>
      <c r="H30" s="20">
        <f>表2_36716262930389121314152324[[#This Row],[累计净值]]/$B$21-1</f>
        <v>-6.9055944055944063E-2</v>
      </c>
    </row>
    <row r="31" spans="1:8">
      <c r="A31" s="15">
        <v>44040</v>
      </c>
      <c r="B31" s="112">
        <v>1.0780000000000001</v>
      </c>
      <c r="C31" s="112">
        <f>C30*(1+表2_36716262930389121314152324[[#This Row],[每日盈亏]])</f>
        <v>1.0015909352048309</v>
      </c>
      <c r="D31" s="108">
        <f t="shared" si="2"/>
        <v>1.3000000000000123E-2</v>
      </c>
      <c r="E31" s="109" t="str">
        <f t="shared" si="3"/>
        <v>/</v>
      </c>
      <c r="F31" s="109">
        <f ca="1">IF(表2_36716262930389121314152324[[#This Row],[累计净值]]/MAX(INDIRECT("B21:B" &amp; ROW()))-1&lt;F30,表2_36716262930389121314152324[[#This Row],[累计净值]]/MAX(INDIRECT("B21:B" &amp; ROW()))-1,F30)</f>
        <v>-7.2552447552447497E-2</v>
      </c>
      <c r="G31" s="110">
        <f>表2_36716262930389121314152324[[#This Row],[累计净值]]</f>
        <v>1.0780000000000001</v>
      </c>
      <c r="H31" s="20">
        <f>表2_36716262930389121314152324[[#This Row],[累计净值]]/$B$21-1</f>
        <v>-5.7692307692307598E-2</v>
      </c>
    </row>
    <row r="32" spans="1:8">
      <c r="A32" s="15">
        <v>44041</v>
      </c>
      <c r="B32" s="112">
        <v>1.109</v>
      </c>
      <c r="C32" s="112">
        <f>C31*(1+表2_36716262930389121314152324[[#This Row],[每日盈亏]])</f>
        <v>1.0326402541961806</v>
      </c>
      <c r="D32" s="108">
        <f t="shared" si="2"/>
        <v>3.0999999999999917E-2</v>
      </c>
      <c r="E32" s="109" t="str">
        <f t="shared" si="3"/>
        <v>/</v>
      </c>
      <c r="F32" s="109">
        <f ca="1">IF(表2_36716262930389121314152324[[#This Row],[累计净值]]/MAX(INDIRECT("B21:B" &amp; ROW()))-1&lt;F31,表2_36716262930389121314152324[[#This Row],[累计净值]]/MAX(INDIRECT("B21:B" &amp; ROW()))-1,F31)</f>
        <v>-7.2552447552447497E-2</v>
      </c>
      <c r="G32" s="110">
        <f>表2_36716262930389121314152324[[#This Row],[累计净值]]</f>
        <v>1.109</v>
      </c>
      <c r="H32" s="20">
        <f>表2_36716262930389121314152324[[#This Row],[累计净值]]/$B$21-1</f>
        <v>-3.0594405594405516E-2</v>
      </c>
    </row>
    <row r="33" spans="1:8">
      <c r="A33" s="15">
        <v>44042</v>
      </c>
      <c r="B33" s="112">
        <v>1.107</v>
      </c>
      <c r="C33" s="112">
        <f>C32*(1+表2_36716262930389121314152324[[#This Row],[每日盈亏]])</f>
        <v>1.0305749736877883</v>
      </c>
      <c r="D33" s="108">
        <f t="shared" si="2"/>
        <v>-2.0000000000000018E-3</v>
      </c>
      <c r="E33" s="109">
        <f t="shared" si="3"/>
        <v>-2.0000000000000018E-3</v>
      </c>
      <c r="F33" s="109">
        <f ca="1">IF(表2_36716262930389121314152324[[#This Row],[累计净值]]/MAX(INDIRECT("B21:B" &amp; ROW()))-1&lt;F32,表2_36716262930389121314152324[[#This Row],[累计净值]]/MAX(INDIRECT("B21:B" &amp; ROW()))-1,F32)</f>
        <v>-7.2552447552447497E-2</v>
      </c>
      <c r="G33" s="110">
        <f>表2_36716262930389121314152324[[#This Row],[累计净值]]</f>
        <v>1.107</v>
      </c>
      <c r="H33" s="20">
        <f>表2_36716262930389121314152324[[#This Row],[累计净值]]/$B$21-1</f>
        <v>-3.2342657342657288E-2</v>
      </c>
    </row>
    <row r="34" spans="1:8">
      <c r="A34" s="15">
        <v>44043</v>
      </c>
      <c r="B34" s="112">
        <v>1.117</v>
      </c>
      <c r="C34" s="112">
        <f>C33*(1+表2_36716262930389121314152324[[#This Row],[每日盈亏]])</f>
        <v>1.0408807234246662</v>
      </c>
      <c r="D34" s="108">
        <f t="shared" si="2"/>
        <v>1.0000000000000009E-2</v>
      </c>
      <c r="E34" s="109" t="str">
        <f t="shared" si="3"/>
        <v>/</v>
      </c>
      <c r="F34" s="109">
        <f ca="1">IF(表2_36716262930389121314152324[[#This Row],[累计净值]]/MAX(INDIRECT("B21:B" &amp; ROW()))-1&lt;F33,表2_36716262930389121314152324[[#This Row],[累计净值]]/MAX(INDIRECT("B21:B" &amp; ROW()))-1,F33)</f>
        <v>-7.2552447552447497E-2</v>
      </c>
      <c r="G34" s="110">
        <f>表2_36716262930389121314152324[[#This Row],[累计净值]]</f>
        <v>1.117</v>
      </c>
      <c r="H34" s="20">
        <f>表2_36716262930389121314152324[[#This Row],[累计净值]]/$B$21-1</f>
        <v>-2.3601398601398538E-2</v>
      </c>
    </row>
    <row r="35" spans="1:8">
      <c r="A35" s="15">
        <v>44046</v>
      </c>
      <c r="B35" s="112">
        <v>1.1419999999999999</v>
      </c>
      <c r="C35" s="112">
        <f>C34*(1+表2_36716262930389121314152324[[#This Row],[每日盈亏]])</f>
        <v>1.0669027415102827</v>
      </c>
      <c r="D35" s="108">
        <f t="shared" si="2"/>
        <v>2.4999999999999911E-2</v>
      </c>
      <c r="E35" s="109" t="str">
        <f t="shared" si="3"/>
        <v>/</v>
      </c>
      <c r="F35" s="109">
        <f ca="1">IF(表2_36716262930389121314152324[[#This Row],[累计净值]]/MAX(INDIRECT("B21:B" &amp; ROW()))-1&lt;F34,表2_36716262930389121314152324[[#This Row],[累计净值]]/MAX(INDIRECT("B21:B" &amp; ROW()))-1,F34)</f>
        <v>-7.2552447552447497E-2</v>
      </c>
      <c r="G35" s="110">
        <f>表2_36716262930389121314152324[[#This Row],[累计净值]]</f>
        <v>1.1419999999999999</v>
      </c>
      <c r="H35" s="20">
        <f>表2_36716262930389121314152324[[#This Row],[累计净值]]/$B$21-1</f>
        <v>-1.7482517482517723E-3</v>
      </c>
    </row>
    <row r="36" spans="1:8">
      <c r="A36" s="15">
        <v>44047</v>
      </c>
      <c r="B36" s="112">
        <v>1.1359999999999999</v>
      </c>
      <c r="C36" s="112">
        <f>C35*(1+表2_36716262930389121314152324[[#This Row],[每日盈亏]])</f>
        <v>1.060501325061221</v>
      </c>
      <c r="D36" s="108">
        <f t="shared" ref="D36:D41" si="4">IFERROR(B36-B35,0)</f>
        <v>-6.0000000000000053E-3</v>
      </c>
      <c r="E36" s="109">
        <f t="shared" ref="E36:E41" si="5">IF(D36&lt;0,D36,"/")</f>
        <v>-6.0000000000000053E-3</v>
      </c>
      <c r="F36" s="109">
        <f ca="1">IF(表2_36716262930389121314152324[[#This Row],[累计净值]]/MAX(INDIRECT("B21:B" &amp; ROW()))-1&lt;F35,表2_36716262930389121314152324[[#This Row],[累计净值]]/MAX(INDIRECT("B21:B" &amp; ROW()))-1,F35)</f>
        <v>-7.2552447552447497E-2</v>
      </c>
      <c r="G36" s="110">
        <f>表2_36716262930389121314152324[[#This Row],[累计净值]]</f>
        <v>1.1359999999999999</v>
      </c>
      <c r="H36" s="20">
        <f>表2_36716262930389121314152324[[#This Row],[累计净值]]/$B$21-1</f>
        <v>-6.9930069930069783E-3</v>
      </c>
    </row>
    <row r="37" spans="1:8">
      <c r="A37" s="15">
        <v>44048</v>
      </c>
      <c r="B37" s="112">
        <v>1.1479999999999999</v>
      </c>
      <c r="C37" s="112">
        <f>C36*(1+表2_36716262930389121314152324[[#This Row],[每日盈亏]])</f>
        <v>1.0732273409619557</v>
      </c>
      <c r="D37" s="108">
        <f t="shared" si="4"/>
        <v>1.2000000000000011E-2</v>
      </c>
      <c r="E37" s="109" t="str">
        <f t="shared" si="5"/>
        <v>/</v>
      </c>
      <c r="F37" s="109">
        <f ca="1">IF(表2_36716262930389121314152324[[#This Row],[累计净值]]/MAX(INDIRECT("B21:B" &amp; ROW()))-1&lt;F36,表2_36716262930389121314152324[[#This Row],[累计净值]]/MAX(INDIRECT("B21:B" &amp; ROW()))-1,F36)</f>
        <v>-7.2552447552447497E-2</v>
      </c>
      <c r="G37" s="110">
        <f>表2_36716262930389121314152324[[#This Row],[累计净值]]</f>
        <v>1.1479999999999999</v>
      </c>
      <c r="H37" s="20">
        <f>表2_36716262930389121314152324[[#This Row],[累计净值]]/$B$21-1</f>
        <v>3.4965034965035446E-3</v>
      </c>
    </row>
    <row r="38" spans="1:8">
      <c r="A38" s="15">
        <v>44049</v>
      </c>
      <c r="B38" s="112">
        <v>1.143</v>
      </c>
      <c r="C38" s="112">
        <f>C37*(1+表2_36716262930389121314152324[[#This Row],[每日盈亏]])</f>
        <v>1.067861204257146</v>
      </c>
      <c r="D38" s="108">
        <f t="shared" si="4"/>
        <v>-4.9999999999998934E-3</v>
      </c>
      <c r="E38" s="109">
        <f t="shared" si="5"/>
        <v>-4.9999999999998934E-3</v>
      </c>
      <c r="F38" s="109">
        <f ca="1">IF(表2_36716262930389121314152324[[#This Row],[累计净值]]/MAX(INDIRECT("B21:B" &amp; ROW()))-1&lt;F37,表2_36716262930389121314152324[[#This Row],[累计净值]]/MAX(INDIRECT("B21:B" &amp; ROW()))-1,F37)</f>
        <v>-7.2552447552447497E-2</v>
      </c>
      <c r="G38" s="110">
        <f>表2_36716262930389121314152324[[#This Row],[累计净值]]</f>
        <v>1.143</v>
      </c>
      <c r="H38" s="20">
        <f>表2_36716262930389121314152324[[#This Row],[累计净值]]/$B$21-1</f>
        <v>-8.7412587412583065E-4</v>
      </c>
    </row>
    <row r="39" spans="1:8">
      <c r="A39" s="15">
        <v>44050</v>
      </c>
      <c r="B39" s="112">
        <v>1.1279999999999999</v>
      </c>
      <c r="C39" s="112">
        <f>C38*(1+表2_36716262930389121314152324[[#This Row],[每日盈亏]])</f>
        <v>1.0518432861932887</v>
      </c>
      <c r="D39" s="108">
        <f t="shared" si="4"/>
        <v>-1.5000000000000124E-2</v>
      </c>
      <c r="E39" s="109">
        <f t="shared" si="5"/>
        <v>-1.5000000000000124E-2</v>
      </c>
      <c r="F39" s="109">
        <f ca="1">IF(表2_36716262930389121314152324[[#This Row],[累计净值]]/MAX(INDIRECT("B21:B" &amp; ROW()))-1&lt;F38,表2_36716262930389121314152324[[#This Row],[累计净值]]/MAX(INDIRECT("B21:B" &amp; ROW()))-1,F38)</f>
        <v>-7.2552447552447497E-2</v>
      </c>
      <c r="G39" s="110">
        <f>表2_36716262930389121314152324[[#This Row],[累计净值]]</f>
        <v>1.1279999999999999</v>
      </c>
      <c r="H39" s="20">
        <f>表2_36716262930389121314152324[[#This Row],[累计净值]]/$B$21-1</f>
        <v>-1.3986013986013957E-2</v>
      </c>
    </row>
    <row r="40" spans="1:8">
      <c r="A40" s="15">
        <v>44053</v>
      </c>
      <c r="B40" s="112">
        <v>1.1299999999999999</v>
      </c>
      <c r="C40" s="112">
        <f>C39*(1+表2_36716262930389121314152324[[#This Row],[每日盈亏]])</f>
        <v>1.0539469727656754</v>
      </c>
      <c r="D40" s="108">
        <f t="shared" si="4"/>
        <v>2.0000000000000018E-3</v>
      </c>
      <c r="E40" s="109" t="str">
        <f t="shared" si="5"/>
        <v>/</v>
      </c>
      <c r="F40" s="109">
        <f ca="1">IF(表2_36716262930389121314152324[[#This Row],[累计净值]]/MAX(INDIRECT("B21:B" &amp; ROW()))-1&lt;F39,表2_36716262930389121314152324[[#This Row],[累计净值]]/MAX(INDIRECT("B21:B" &amp; ROW()))-1,F39)</f>
        <v>-7.2552447552447497E-2</v>
      </c>
      <c r="G40" s="110">
        <f>表2_36716262930389121314152324[[#This Row],[累计净值]]</f>
        <v>1.1299999999999999</v>
      </c>
      <c r="H40" s="20">
        <f>表2_36716262930389121314152324[[#This Row],[累计净值]]/$B$21-1</f>
        <v>-1.2237762237762295E-2</v>
      </c>
    </row>
    <row r="41" spans="1:8">
      <c r="A41" s="15">
        <v>44054</v>
      </c>
      <c r="B41" s="112">
        <v>1.1100000000000001</v>
      </c>
      <c r="C41" s="112">
        <f>C40*(1+表2_36716262930389121314152324[[#This Row],[每日盈亏]])</f>
        <v>1.0328680333103621</v>
      </c>
      <c r="D41" s="108">
        <f t="shared" si="4"/>
        <v>-1.9999999999999796E-2</v>
      </c>
      <c r="E41" s="109">
        <f t="shared" si="5"/>
        <v>-1.9999999999999796E-2</v>
      </c>
      <c r="F41" s="109">
        <f ca="1">IF(表2_36716262930389121314152324[[#This Row],[累计净值]]/MAX(INDIRECT("B21:B" &amp; ROW()))-1&lt;F40,表2_36716262930389121314152324[[#This Row],[累计净值]]/MAX(INDIRECT("B21:B" &amp; ROW()))-1,F40)</f>
        <v>-7.2552447552447497E-2</v>
      </c>
      <c r="G41" s="110">
        <f>表2_36716262930389121314152324[[#This Row],[累计净值]]</f>
        <v>1.1100000000000001</v>
      </c>
      <c r="H41" s="20">
        <f>表2_36716262930389121314152324[[#This Row],[累计净值]]/$B$21-1</f>
        <v>-2.9720279720279574E-2</v>
      </c>
    </row>
    <row r="42" spans="1:8">
      <c r="A42" s="15">
        <v>44055</v>
      </c>
      <c r="B42" s="112">
        <v>1.0920000000000001</v>
      </c>
      <c r="C42" s="112">
        <f>C41*(1+表2_36716262930389121314152324[[#This Row],[每日盈亏]])</f>
        <v>1.0142764087107756</v>
      </c>
      <c r="D42" s="108">
        <f t="shared" ref="D42:D47" si="6">IFERROR(B42-B41,0)</f>
        <v>-1.8000000000000016E-2</v>
      </c>
      <c r="E42" s="109">
        <f t="shared" ref="E42:E47" si="7">IF(D42&lt;0,D42,"/")</f>
        <v>-1.8000000000000016E-2</v>
      </c>
      <c r="F42" s="109">
        <f ca="1">IF(表2_36716262930389121314152324[[#This Row],[累计净值]]/MAX(INDIRECT("B21:B" &amp; ROW()))-1&lt;F41,表2_36716262930389121314152324[[#This Row],[累计净值]]/MAX(INDIRECT("B21:B" &amp; ROW()))-1,F41)</f>
        <v>-7.2552447552447497E-2</v>
      </c>
      <c r="G42" s="110">
        <f>表2_36716262930389121314152324[[#This Row],[累计净值]]</f>
        <v>1.0920000000000001</v>
      </c>
      <c r="H42" s="20">
        <f>表2_36716262930389121314152324[[#This Row],[累计净值]]/$B$21-1</f>
        <v>-4.5454545454545303E-2</v>
      </c>
    </row>
    <row r="43" spans="1:8">
      <c r="A43" s="15">
        <v>44056</v>
      </c>
      <c r="B43" s="112">
        <v>1.0960000000000001</v>
      </c>
      <c r="C43" s="112">
        <f>C42*(1+表2_36716262930389121314152324[[#This Row],[每日盈亏]])</f>
        <v>1.0183335143456187</v>
      </c>
      <c r="D43" s="108">
        <f t="shared" si="6"/>
        <v>4.0000000000000036E-3</v>
      </c>
      <c r="E43" s="109" t="str">
        <f t="shared" si="7"/>
        <v>/</v>
      </c>
      <c r="F43" s="109">
        <f ca="1">IF(表2_36716262930389121314152324[[#This Row],[累计净值]]/MAX(INDIRECT("B21:B" &amp; ROW()))-1&lt;F42,表2_36716262930389121314152324[[#This Row],[累计净值]]/MAX(INDIRECT("B21:B" &amp; ROW()))-1,F42)</f>
        <v>-7.2552447552447497E-2</v>
      </c>
      <c r="G43" s="110">
        <f>表2_36716262930389121314152324[[#This Row],[累计净值]]</f>
        <v>1.0960000000000001</v>
      </c>
      <c r="H43" s="20">
        <f>表2_36716262930389121314152324[[#This Row],[累计净值]]/$B$21-1</f>
        <v>-4.1958041958041759E-2</v>
      </c>
    </row>
    <row r="44" spans="1:8">
      <c r="A44" s="15">
        <v>44057</v>
      </c>
      <c r="B44" s="112">
        <v>1.1140000000000001</v>
      </c>
      <c r="C44" s="112">
        <f>C43*(1+表2_36716262930389121314152324[[#This Row],[每日盈亏]])</f>
        <v>1.0366635176038399</v>
      </c>
      <c r="D44" s="108">
        <f t="shared" si="6"/>
        <v>1.8000000000000016E-2</v>
      </c>
      <c r="E44" s="109" t="str">
        <f t="shared" si="7"/>
        <v>/</v>
      </c>
      <c r="F44" s="109">
        <f ca="1">IF(表2_36716262930389121314152324[[#This Row],[累计净值]]/MAX(INDIRECT("B21:B" &amp; ROW()))-1&lt;F43,表2_36716262930389121314152324[[#This Row],[累计净值]]/MAX(INDIRECT("B21:B" &amp; ROW()))-1,F43)</f>
        <v>-7.2552447552447497E-2</v>
      </c>
      <c r="G44" s="110">
        <f>表2_36716262930389121314152324[[#This Row],[累计净值]]</f>
        <v>1.1140000000000001</v>
      </c>
      <c r="H44" s="20">
        <f>表2_36716262930389121314152324[[#This Row],[累计净值]]/$B$21-1</f>
        <v>-2.622377622377603E-2</v>
      </c>
    </row>
    <row r="45" spans="1:8">
      <c r="A45" s="15">
        <v>44060</v>
      </c>
      <c r="B45" s="112">
        <v>1.135</v>
      </c>
      <c r="C45" s="112">
        <f>C44*(1+表2_36716262930389121314152324[[#This Row],[每日盈亏]])</f>
        <v>1.0584334514735205</v>
      </c>
      <c r="D45" s="108">
        <f t="shared" si="6"/>
        <v>2.0999999999999908E-2</v>
      </c>
      <c r="E45" s="109" t="str">
        <f t="shared" si="7"/>
        <v>/</v>
      </c>
      <c r="F45" s="109">
        <f ca="1">IF(表2_36716262930389121314152324[[#This Row],[累计净值]]/MAX(INDIRECT("B21:B" &amp; ROW()))-1&lt;F44,表2_36716262930389121314152324[[#This Row],[累计净值]]/MAX(INDIRECT("B21:B" &amp; ROW()))-1,F44)</f>
        <v>-7.2552447552447497E-2</v>
      </c>
      <c r="G45" s="110">
        <f>表2_36716262930389121314152324[[#This Row],[累计净值]]</f>
        <v>1.135</v>
      </c>
      <c r="H45" s="20">
        <f>表2_36716262930389121314152324[[#This Row],[累计净值]]/$B$21-1</f>
        <v>-7.8671328671328089E-3</v>
      </c>
    </row>
    <row r="46" spans="1:8">
      <c r="A46" s="15">
        <v>44061</v>
      </c>
      <c r="B46" s="112">
        <v>1.1419999999999999</v>
      </c>
      <c r="C46" s="112">
        <f>C45*(1+表2_36716262930389121314152324[[#This Row],[每日盈亏]])</f>
        <v>1.0658424856338351</v>
      </c>
      <c r="D46" s="108">
        <f t="shared" si="6"/>
        <v>6.9999999999998952E-3</v>
      </c>
      <c r="E46" s="109" t="str">
        <f t="shared" si="7"/>
        <v>/</v>
      </c>
      <c r="F46" s="109">
        <f ca="1">IF(表2_36716262930389121314152324[[#This Row],[累计净值]]/MAX(INDIRECT("B21:B" &amp; ROW()))-1&lt;F45,表2_36716262930389121314152324[[#This Row],[累计净值]]/MAX(INDIRECT("B21:B" &amp; ROW()))-1,F45)</f>
        <v>-7.2552447552447497E-2</v>
      </c>
      <c r="G46" s="110">
        <f>表2_36716262930389121314152324[[#This Row],[累计净值]]</f>
        <v>1.1419999999999999</v>
      </c>
      <c r="H46" s="20">
        <f>表2_36716262930389121314152324[[#This Row],[累计净值]]/$B$21-1</f>
        <v>-1.7482517482517723E-3</v>
      </c>
    </row>
    <row r="47" spans="1:8">
      <c r="A47" s="15">
        <v>44062</v>
      </c>
      <c r="B47" s="112">
        <v>1.1279999999999999</v>
      </c>
      <c r="C47" s="112">
        <f>C46*(1+表2_36716262930389121314152324[[#This Row],[每日盈亏]])</f>
        <v>1.0509206908349613</v>
      </c>
      <c r="D47" s="108">
        <f t="shared" si="6"/>
        <v>-1.4000000000000012E-2</v>
      </c>
      <c r="E47" s="109">
        <f t="shared" si="7"/>
        <v>-1.4000000000000012E-2</v>
      </c>
      <c r="F47" s="109">
        <f ca="1">IF(表2_36716262930389121314152324[[#This Row],[累计净值]]/MAX(INDIRECT("B21:B" &amp; ROW()))-1&lt;F46,表2_36716262930389121314152324[[#This Row],[累计净值]]/MAX(INDIRECT("B21:B" &amp; ROW()))-1,F46)</f>
        <v>-7.2552447552447497E-2</v>
      </c>
      <c r="G47" s="110">
        <f>表2_36716262930389121314152324[[#This Row],[累计净值]]</f>
        <v>1.1279999999999999</v>
      </c>
      <c r="H47" s="20">
        <f>表2_36716262930389121314152324[[#This Row],[累计净值]]/$B$21-1</f>
        <v>-1.3986013986013957E-2</v>
      </c>
    </row>
    <row r="48" spans="1:8">
      <c r="A48" s="15">
        <v>44063</v>
      </c>
      <c r="B48" s="112">
        <v>1.1140000000000001</v>
      </c>
      <c r="C48" s="112">
        <f>C47*(1+表2_36716262930389121314152324[[#This Row],[每日盈亏]])</f>
        <v>1.036207801163272</v>
      </c>
      <c r="D48" s="108">
        <f t="shared" ref="D48:D53" si="8">IFERROR(B48-B47,0)</f>
        <v>-1.399999999999979E-2</v>
      </c>
      <c r="E48" s="109">
        <f t="shared" ref="E48:E53" si="9">IF(D48&lt;0,D48,"/")</f>
        <v>-1.399999999999979E-2</v>
      </c>
      <c r="F48" s="109">
        <f ca="1">IF(表2_36716262930389121314152324[[#This Row],[累计净值]]/MAX(INDIRECT("B21:B" &amp; ROW()))-1&lt;F47,表2_36716262930389121314152324[[#This Row],[累计净值]]/MAX(INDIRECT("B21:B" &amp; ROW()))-1,F47)</f>
        <v>-7.2552447552447497E-2</v>
      </c>
      <c r="G48" s="110">
        <f>表2_36716262930389121314152324[[#This Row],[累计净值]]</f>
        <v>1.1140000000000001</v>
      </c>
      <c r="H48" s="20">
        <f>表2_36716262930389121314152324[[#This Row],[累计净值]]/$B$21-1</f>
        <v>-2.622377622377603E-2</v>
      </c>
    </row>
    <row r="49" spans="1:11">
      <c r="A49" s="15">
        <v>44064</v>
      </c>
      <c r="B49" s="112">
        <v>1.1240000000000001</v>
      </c>
      <c r="C49" s="112">
        <f>C48*(1+表2_36716262930389121314152324[[#This Row],[每日盈亏]])</f>
        <v>1.0465698791749047</v>
      </c>
      <c r="D49" s="108">
        <f t="shared" si="8"/>
        <v>1.0000000000000009E-2</v>
      </c>
      <c r="E49" s="109" t="str">
        <f t="shared" si="9"/>
        <v>/</v>
      </c>
      <c r="F49" s="109">
        <f ca="1">IF(表2_36716262930389121314152324[[#This Row],[累计净值]]/MAX(INDIRECT("B21:B" &amp; ROW()))-1&lt;F48,表2_36716262930389121314152324[[#This Row],[累计净值]]/MAX(INDIRECT("B21:B" &amp; ROW()))-1,F48)</f>
        <v>-7.2552447552447497E-2</v>
      </c>
      <c r="G49" s="110">
        <f>表2_36716262930389121314152324[[#This Row],[累计净值]]</f>
        <v>1.1240000000000001</v>
      </c>
      <c r="H49" s="20">
        <f>表2_36716262930389121314152324[[#This Row],[累计净值]]/$B$21-1</f>
        <v>-1.7482517482517279E-2</v>
      </c>
    </row>
    <row r="50" spans="1:11">
      <c r="A50" s="15">
        <v>44067</v>
      </c>
      <c r="B50" s="112">
        <v>1.133</v>
      </c>
      <c r="C50" s="112">
        <f>C49*(1+表2_36716262930389121314152324[[#This Row],[每日盈亏]])</f>
        <v>1.0559890080874788</v>
      </c>
      <c r="D50" s="108">
        <f t="shared" si="8"/>
        <v>8.999999999999897E-3</v>
      </c>
      <c r="E50" s="109" t="str">
        <f t="shared" si="9"/>
        <v>/</v>
      </c>
      <c r="F50" s="109">
        <f ca="1">IF(表2_36716262930389121314152324[[#This Row],[累计净值]]/MAX(INDIRECT("B21:B" &amp; ROW()))-1&lt;F49,表2_36716262930389121314152324[[#This Row],[累计净值]]/MAX(INDIRECT("B21:B" &amp; ROW()))-1,F49)</f>
        <v>-7.2552447552447497E-2</v>
      </c>
      <c r="G50" s="110">
        <f>表2_36716262930389121314152324[[#This Row],[累计净值]]</f>
        <v>1.133</v>
      </c>
      <c r="H50" s="20">
        <f>表2_36716262930389121314152324[[#This Row],[累计净值]]/$B$21-1</f>
        <v>-9.6153846153845812E-3</v>
      </c>
    </row>
    <row r="51" spans="1:11">
      <c r="A51" s="15">
        <v>44068</v>
      </c>
      <c r="B51" s="112">
        <v>1.1279999999999999</v>
      </c>
      <c r="C51" s="112">
        <f>C50*(1+表2_36716262930389121314152324[[#This Row],[每日盈亏]])</f>
        <v>1.0507090630470413</v>
      </c>
      <c r="D51" s="108">
        <f t="shared" si="8"/>
        <v>-5.0000000000001155E-3</v>
      </c>
      <c r="E51" s="109">
        <f t="shared" si="9"/>
        <v>-5.0000000000001155E-3</v>
      </c>
      <c r="F51" s="109">
        <f ca="1">IF(表2_36716262930389121314152324[[#This Row],[累计净值]]/MAX(INDIRECT("B21:B" &amp; ROW()))-1&lt;F50,表2_36716262930389121314152324[[#This Row],[累计净值]]/MAX(INDIRECT("B21:B" &amp; ROW()))-1,F50)</f>
        <v>-7.2552447552447497E-2</v>
      </c>
      <c r="G51" s="110">
        <f>表2_36716262930389121314152324[[#This Row],[累计净值]]</f>
        <v>1.1279999999999999</v>
      </c>
      <c r="H51" s="20">
        <f>表2_36716262930389121314152324[[#This Row],[累计净值]]/$B$21-1</f>
        <v>-1.3986013986013957E-2</v>
      </c>
    </row>
    <row r="52" spans="1:11">
      <c r="A52" s="15">
        <v>44069</v>
      </c>
      <c r="B52" s="112">
        <v>1.107</v>
      </c>
      <c r="C52" s="112">
        <f>C51*(1+表2_36716262930389121314152324[[#This Row],[每日盈亏]])</f>
        <v>1.0286441727230535</v>
      </c>
      <c r="D52" s="108">
        <f t="shared" si="8"/>
        <v>-2.0999999999999908E-2</v>
      </c>
      <c r="E52" s="109">
        <f t="shared" si="9"/>
        <v>-2.0999999999999908E-2</v>
      </c>
      <c r="F52" s="109">
        <f ca="1">IF(表2_36716262930389121314152324[[#This Row],[累计净值]]/MAX(INDIRECT("B21:B" &amp; ROW()))-1&lt;F51,表2_36716262930389121314152324[[#This Row],[累计净值]]/MAX(INDIRECT("B21:B" &amp; ROW()))-1,F51)</f>
        <v>-7.2552447552447497E-2</v>
      </c>
      <c r="G52" s="110">
        <f>表2_36716262930389121314152324[[#This Row],[累计净值]]</f>
        <v>1.107</v>
      </c>
      <c r="H52" s="20">
        <f>表2_36716262930389121314152324[[#This Row],[累计净值]]/$B$21-1</f>
        <v>-3.2342657342657288E-2</v>
      </c>
    </row>
    <row r="53" spans="1:11">
      <c r="A53" s="15">
        <v>44070</v>
      </c>
      <c r="B53" s="112">
        <v>1.1200000000000001</v>
      </c>
      <c r="C53" s="112">
        <f>C52*(1+表2_36716262930389121314152324[[#This Row],[每日盈亏]])</f>
        <v>1.0420165469684532</v>
      </c>
      <c r="D53" s="108">
        <f t="shared" si="8"/>
        <v>1.3000000000000123E-2</v>
      </c>
      <c r="E53" s="109" t="str">
        <f t="shared" si="9"/>
        <v>/</v>
      </c>
      <c r="F53" s="109">
        <f ca="1">IF(表2_36716262930389121314152324[[#This Row],[累计净值]]/MAX(INDIRECT("B21:B" &amp; ROW()))-1&lt;F52,表2_36716262930389121314152324[[#This Row],[累计净值]]/MAX(INDIRECT("B21:B" &amp; ROW()))-1,F52)</f>
        <v>-7.2552447552447497E-2</v>
      </c>
      <c r="G53" s="110">
        <f>表2_36716262930389121314152324[[#This Row],[累计净值]]</f>
        <v>1.1200000000000001</v>
      </c>
      <c r="H53" s="20">
        <f>表2_36716262930389121314152324[[#This Row],[累计净值]]/$B$21-1</f>
        <v>-2.0979020979020824E-2</v>
      </c>
    </row>
    <row r="54" spans="1:11">
      <c r="A54" s="15">
        <v>44071</v>
      </c>
      <c r="B54" s="112">
        <v>1.1399999999999999</v>
      </c>
      <c r="C54" s="112">
        <f>C53*(1+表2_36716262930389121314152324[[#This Row],[每日盈亏]])</f>
        <v>1.062856877907822</v>
      </c>
      <c r="D54" s="108">
        <f t="shared" ref="D54:D59" si="10">IFERROR(B54-B53,0)</f>
        <v>1.9999999999999796E-2</v>
      </c>
      <c r="E54" s="109" t="str">
        <f t="shared" ref="E54:E59" si="11">IF(D54&lt;0,D54,"/")</f>
        <v>/</v>
      </c>
      <c r="F54" s="109">
        <f ca="1">IF(表2_36716262930389121314152324[[#This Row],[累计净值]]/MAX(INDIRECT("B21:B" &amp; ROW()))-1&lt;F53,表2_36716262930389121314152324[[#This Row],[累计净值]]/MAX(INDIRECT("B21:B" &amp; ROW()))-1,F53)</f>
        <v>-7.2552447552447497E-2</v>
      </c>
      <c r="G54" s="110">
        <f>表2_36716262930389121314152324[[#This Row],[累计净值]]</f>
        <v>1.1399999999999999</v>
      </c>
      <c r="H54" s="20">
        <f>表2_36716262930389121314152324[[#This Row],[累计净值]]/$B$21-1</f>
        <v>-3.4965034965035446E-3</v>
      </c>
    </row>
    <row r="55" spans="1:11">
      <c r="A55" s="15">
        <v>44074</v>
      </c>
      <c r="B55" s="112">
        <v>1.139</v>
      </c>
      <c r="C55" s="112">
        <f>C54*(1+表2_36716262930389121314152324[[#This Row],[每日盈亏]])</f>
        <v>1.0617940210299144</v>
      </c>
      <c r="D55" s="108">
        <f t="shared" si="10"/>
        <v>-9.9999999999988987E-4</v>
      </c>
      <c r="E55" s="109">
        <f t="shared" si="11"/>
        <v>-9.9999999999988987E-4</v>
      </c>
      <c r="F55" s="109">
        <f ca="1">IF(表2_36716262930389121314152324[[#This Row],[累计净值]]/MAX(INDIRECT("B21:B" &amp; ROW()))-1&lt;F54,表2_36716262930389121314152324[[#This Row],[累计净值]]/MAX(INDIRECT("B21:B" &amp; ROW()))-1,F54)</f>
        <v>-7.2552447552447497E-2</v>
      </c>
      <c r="G55" s="110">
        <f>表2_36716262930389121314152324[[#This Row],[累计净值]]</f>
        <v>1.139</v>
      </c>
      <c r="H55" s="20">
        <f>表2_36716262930389121314152324[[#This Row],[累计净值]]/$B$21-1</f>
        <v>-4.3706293706292643E-3</v>
      </c>
    </row>
    <row r="56" spans="1:11">
      <c r="A56" s="15">
        <v>44075</v>
      </c>
      <c r="B56" s="112">
        <v>1.147</v>
      </c>
      <c r="C56" s="112">
        <f>C55*(1+表2_36716262930389121314152324[[#This Row],[每日盈亏]])</f>
        <v>1.0702883731981536</v>
      </c>
      <c r="D56" s="108">
        <f t="shared" si="10"/>
        <v>8.0000000000000071E-3</v>
      </c>
      <c r="E56" s="109" t="str">
        <f t="shared" si="11"/>
        <v>/</v>
      </c>
      <c r="F56" s="109">
        <f ca="1">IF(表2_36716262930389121314152324[[#This Row],[累计净值]]/MAX(INDIRECT("B21:B" &amp; ROW()))-1&lt;F55,表2_36716262930389121314152324[[#This Row],[累计净值]]/MAX(INDIRECT("B21:B" &amp; ROW()))-1,F55)</f>
        <v>-7.2552447552447497E-2</v>
      </c>
      <c r="G56" s="110">
        <f>表2_36716262930389121314152324[[#This Row],[累计净值]]</f>
        <v>1.147</v>
      </c>
      <c r="H56" s="20">
        <f>表2_36716262930389121314152324[[#This Row],[累计净值]]/$B$21-1</f>
        <v>2.622377622377714E-3</v>
      </c>
      <c r="J56" s="60"/>
    </row>
    <row r="57" spans="1:11">
      <c r="A57" s="15">
        <v>44076</v>
      </c>
      <c r="B57" s="112">
        <v>1.1439999999999999</v>
      </c>
      <c r="C57" s="112">
        <f>C56*(1+表2_36716262930389121314152324[[#This Row],[每日盈亏]])</f>
        <v>1.0670775080785591</v>
      </c>
      <c r="D57" s="108">
        <f t="shared" si="10"/>
        <v>-3.0000000000001137E-3</v>
      </c>
      <c r="E57" s="109">
        <f t="shared" si="11"/>
        <v>-3.0000000000001137E-3</v>
      </c>
      <c r="F57" s="109">
        <f ca="1">IF(表2_36716262930389121314152324[[#This Row],[累计净值]]/MAX(INDIRECT("B21:B" &amp; ROW()))-1&lt;F56,表2_36716262930389121314152324[[#This Row],[累计净值]]/MAX(INDIRECT("B21:B" &amp; ROW()))-1,F56)</f>
        <v>-7.2552447552447497E-2</v>
      </c>
      <c r="G57" s="110">
        <f>表2_36716262930389121314152324[[#This Row],[累计净值]]</f>
        <v>1.1439999999999999</v>
      </c>
      <c r="H57" s="20">
        <f>表2_36716262930389121314152324[[#This Row],[累计净值]]/$B$21-1</f>
        <v>0</v>
      </c>
    </row>
    <row r="58" spans="1:11">
      <c r="A58" s="15">
        <v>44077</v>
      </c>
      <c r="B58" s="112">
        <v>1.137</v>
      </c>
      <c r="C58" s="112">
        <f>C57*(1+表2_36716262930389121314152324[[#This Row],[每日盈亏]])</f>
        <v>1.0596079655220092</v>
      </c>
      <c r="D58" s="108">
        <f t="shared" si="10"/>
        <v>-6.9999999999998952E-3</v>
      </c>
      <c r="E58" s="109">
        <f t="shared" si="11"/>
        <v>-6.9999999999998952E-3</v>
      </c>
      <c r="F58" s="109">
        <f ca="1">IF(表2_36716262930389121314152324[[#This Row],[累计净值]]/MAX(INDIRECT("B21:B" &amp; ROW()))-1&lt;F57,表2_36716262930389121314152324[[#This Row],[累计净值]]/MAX(INDIRECT("B21:B" &amp; ROW()))-1,F57)</f>
        <v>-7.2552447552447497E-2</v>
      </c>
      <c r="G58" s="110">
        <f>表2_36716262930389121314152324[[#This Row],[累计净值]]</f>
        <v>1.137</v>
      </c>
      <c r="H58" s="20">
        <f>表2_36716262930389121314152324[[#This Row],[累计净值]]/$B$21-1</f>
        <v>-6.1188811188810366E-3</v>
      </c>
      <c r="K58" s="198">
        <f>表2_36716262930389121314152324[[#This Row],[持有涨跌幅]]-H57</f>
        <v>-6.1188811188810366E-3</v>
      </c>
    </row>
    <row r="59" spans="1:11">
      <c r="A59" s="15">
        <v>44078</v>
      </c>
      <c r="B59" s="112">
        <v>1.127</v>
      </c>
      <c r="C59" s="112">
        <f>C58*(1+表2_36716262930389121314152324[[#This Row],[每日盈亏]])</f>
        <v>1.0490118858667892</v>
      </c>
      <c r="D59" s="108">
        <f t="shared" si="10"/>
        <v>-1.0000000000000009E-2</v>
      </c>
      <c r="E59" s="109">
        <f t="shared" si="11"/>
        <v>-1.0000000000000009E-2</v>
      </c>
      <c r="F59" s="109">
        <f ca="1">IF(表2_36716262930389121314152324[[#This Row],[累计净值]]/MAX(INDIRECT("B21:B" &amp; ROW()))-1&lt;F58,表2_36716262930389121314152324[[#This Row],[累计净值]]/MAX(INDIRECT("B21:B" &amp; ROW()))-1,F58)</f>
        <v>-7.2552447552447497E-2</v>
      </c>
      <c r="G59" s="110">
        <f>表2_36716262930389121314152324[[#This Row],[累计净值]]</f>
        <v>1.127</v>
      </c>
      <c r="H59" s="20">
        <f>表2_36716262930389121314152324[[#This Row],[累计净值]]/$B$21-1</f>
        <v>-1.4860139860139787E-2</v>
      </c>
      <c r="K59" s="198">
        <f>表2_36716262930389121314152324[[#This Row],[持有涨跌幅]]-H58</f>
        <v>-8.7412587412587506E-3</v>
      </c>
    </row>
    <row r="60" spans="1:11">
      <c r="A60" s="15">
        <v>44081</v>
      </c>
      <c r="B60" s="112">
        <v>1.093</v>
      </c>
      <c r="C60" s="112">
        <f>C59*(1+表2_36716262930389121314152324[[#This Row],[每日盈亏]])</f>
        <v>1.0133454817473182</v>
      </c>
      <c r="D60" s="108">
        <f t="shared" ref="D60:D65" si="12">IFERROR(B60-B59,0)</f>
        <v>-3.400000000000003E-2</v>
      </c>
      <c r="E60" s="109">
        <f t="shared" ref="E60:E65" si="13">IF(D60&lt;0,D60,"/")</f>
        <v>-3.400000000000003E-2</v>
      </c>
      <c r="F60" s="109">
        <f ca="1">IF(表2_36716262930389121314152324[[#This Row],[累计净值]]/MAX(INDIRECT("B21:B" &amp; ROW()))-1&lt;F59,表2_36716262930389121314152324[[#This Row],[累计净值]]/MAX(INDIRECT("B21:B" &amp; ROW()))-1,F59)</f>
        <v>-7.2552447552447497E-2</v>
      </c>
      <c r="G60" s="110">
        <f>表2_36716262930389121314152324[[#This Row],[累计净值]]</f>
        <v>1.093</v>
      </c>
      <c r="H60" s="20">
        <f>表2_36716262930389121314152324[[#This Row],[累计净值]]/$B$21-1</f>
        <v>-4.4580419580419473E-2</v>
      </c>
    </row>
    <row r="61" spans="1:11">
      <c r="A61" s="15">
        <v>44082</v>
      </c>
      <c r="B61" s="112">
        <v>1.0920000000000001</v>
      </c>
      <c r="C61" s="112">
        <f>C60*(1+表2_36716262930389121314152324[[#This Row],[每日盈亏]])</f>
        <v>1.0123321362655711</v>
      </c>
      <c r="D61" s="108">
        <f t="shared" si="12"/>
        <v>-9.9999999999988987E-4</v>
      </c>
      <c r="E61" s="109">
        <f t="shared" si="13"/>
        <v>-9.9999999999988987E-4</v>
      </c>
      <c r="F61" s="109">
        <f ca="1">IF(表2_36716262930389121314152324[[#This Row],[累计净值]]/MAX(INDIRECT("B21:B" &amp; ROW()))-1&lt;F60,表2_36716262930389121314152324[[#This Row],[累计净值]]/MAX(INDIRECT("B21:B" &amp; ROW()))-1,F60)</f>
        <v>-7.2552447552447497E-2</v>
      </c>
      <c r="G61" s="110">
        <f>表2_36716262930389121314152324[[#This Row],[累计净值]]</f>
        <v>1.0920000000000001</v>
      </c>
      <c r="H61" s="20">
        <f>表2_36716262930389121314152324[[#This Row],[累计净值]]/$B$21-1</f>
        <v>-4.5454545454545303E-2</v>
      </c>
    </row>
    <row r="62" spans="1:11">
      <c r="A62" s="15">
        <v>44083</v>
      </c>
      <c r="B62" s="112">
        <v>1.06</v>
      </c>
      <c r="C62" s="112">
        <f>C61*(1+表2_36716262930389121314152324[[#This Row],[每日盈亏]])</f>
        <v>0.97993750790507272</v>
      </c>
      <c r="D62" s="108">
        <f t="shared" si="12"/>
        <v>-3.2000000000000028E-2</v>
      </c>
      <c r="E62" s="109">
        <f t="shared" si="13"/>
        <v>-3.2000000000000028E-2</v>
      </c>
      <c r="F62" s="109">
        <f ca="1">IF(表2_36716262930389121314152324[[#This Row],[累计净值]]/MAX(INDIRECT("B21:B" &amp; ROW()))-1&lt;F61,表2_36716262930389121314152324[[#This Row],[累计净值]]/MAX(INDIRECT("B21:B" &amp; ROW()))-1,F61)</f>
        <v>-7.6655052264808288E-2</v>
      </c>
      <c r="G62" s="110">
        <f>表2_36716262930389121314152324[[#This Row],[累计净值]]</f>
        <v>1.06</v>
      </c>
      <c r="H62" s="20">
        <f>表2_36716262930389121314152324[[#This Row],[累计净值]]/$B$21-1</f>
        <v>-7.3426573426573327E-2</v>
      </c>
    </row>
    <row r="63" spans="1:11">
      <c r="A63" s="15">
        <v>44084</v>
      </c>
      <c r="B63" s="112">
        <v>1.0449999999999999</v>
      </c>
      <c r="C63" s="112">
        <f>C62*(1+表2_36716262930389121314152324[[#This Row],[每日盈亏]])</f>
        <v>0.96523844528649649</v>
      </c>
      <c r="D63" s="108">
        <f t="shared" si="12"/>
        <v>-1.5000000000000124E-2</v>
      </c>
      <c r="E63" s="109">
        <f t="shared" si="13"/>
        <v>-1.5000000000000124E-2</v>
      </c>
      <c r="F63" s="109">
        <f ca="1">IF(表2_36716262930389121314152324[[#This Row],[累计净值]]/MAX(INDIRECT("B21:B" &amp; ROW()))-1&lt;F62,表2_36716262930389121314152324[[#This Row],[累计净值]]/MAX(INDIRECT("B21:B" &amp; ROW()))-1,F62)</f>
        <v>-8.9721254355400681E-2</v>
      </c>
      <c r="G63" s="110">
        <f>表2_36716262930389121314152324[[#This Row],[累计净值]]</f>
        <v>1.0449999999999999</v>
      </c>
      <c r="H63" s="20">
        <f>表2_36716262930389121314152324[[#This Row],[累计净值]]/$B$21-1</f>
        <v>-8.6538461538461564E-2</v>
      </c>
    </row>
    <row r="64" spans="1:11">
      <c r="A64" s="15">
        <v>44085</v>
      </c>
      <c r="B64" s="112">
        <v>1.0620000000000001</v>
      </c>
      <c r="C64" s="112">
        <f>C63*(1+表2_36716262930389121314152324[[#This Row],[每日盈亏]])</f>
        <v>0.98164749885636704</v>
      </c>
      <c r="D64" s="108">
        <f t="shared" si="12"/>
        <v>1.7000000000000126E-2</v>
      </c>
      <c r="E64" s="109" t="str">
        <f t="shared" si="13"/>
        <v>/</v>
      </c>
      <c r="F64" s="109">
        <f ca="1">IF(表2_36716262930389121314152324[[#This Row],[累计净值]]/MAX(INDIRECT("B21:B" &amp; ROW()))-1&lt;F63,表2_36716262930389121314152324[[#This Row],[累计净值]]/MAX(INDIRECT("B21:B" &amp; ROW()))-1,F63)</f>
        <v>-8.9721254355400681E-2</v>
      </c>
      <c r="G64" s="110">
        <f>表2_36716262930389121314152324[[#This Row],[累计净值]]</f>
        <v>1.0620000000000001</v>
      </c>
      <c r="H64" s="20">
        <f>表2_36716262930389121314152324[[#This Row],[累计净值]]/$B$21-1</f>
        <v>-7.1678321678321555E-2</v>
      </c>
    </row>
    <row r="65" spans="1:8">
      <c r="A65" s="15">
        <v>44088</v>
      </c>
      <c r="B65" s="112">
        <v>1.0680000000000001</v>
      </c>
      <c r="C65" s="112">
        <f>C64*(1+表2_36716262930389121314152324[[#This Row],[每日盈亏]])</f>
        <v>0.98753738384950529</v>
      </c>
      <c r="D65" s="108">
        <f t="shared" si="12"/>
        <v>6.0000000000000053E-3</v>
      </c>
      <c r="E65" s="109" t="str">
        <f t="shared" si="13"/>
        <v>/</v>
      </c>
      <c r="F65" s="109">
        <f ca="1">IF(表2_36716262930389121314152324[[#This Row],[累计净值]]/MAX(INDIRECT("B21:B" &amp; ROW()))-1&lt;F64,表2_36716262930389121314152324[[#This Row],[累计净值]]/MAX(INDIRECT("B21:B" &amp; ROW()))-1,F64)</f>
        <v>-8.9721254355400681E-2</v>
      </c>
      <c r="G65" s="110">
        <f>表2_36716262930389121314152324[[#This Row],[累计净值]]</f>
        <v>1.0680000000000001</v>
      </c>
      <c r="H65" s="20">
        <f>表2_36716262930389121314152324[[#This Row],[累计净值]]/$B$21-1</f>
        <v>-6.6433566433566349E-2</v>
      </c>
    </row>
    <row r="66" spans="1:8">
      <c r="A66" s="15">
        <v>44089</v>
      </c>
      <c r="B66" s="112">
        <v>1.0760000000000001</v>
      </c>
      <c r="C66" s="112">
        <f>C65*(1+表2_36716262930389121314152324[[#This Row],[每日盈亏]])</f>
        <v>0.99543768292030133</v>
      </c>
      <c r="D66" s="108">
        <f t="shared" ref="D66:D71" si="14">IFERROR(B66-B65,0)</f>
        <v>8.0000000000000071E-3</v>
      </c>
      <c r="E66" s="109" t="str">
        <f t="shared" ref="E66:E71" si="15">IF(D66&lt;0,D66,"/")</f>
        <v>/</v>
      </c>
      <c r="F66" s="109">
        <f ca="1">IF(表2_36716262930389121314152324[[#This Row],[累计净值]]/MAX(INDIRECT("B21:B" &amp; ROW()))-1&lt;F65,表2_36716262930389121314152324[[#This Row],[累计净值]]/MAX(INDIRECT("B21:B" &amp; ROW()))-1,F65)</f>
        <v>-8.9721254355400681E-2</v>
      </c>
      <c r="G66" s="110">
        <f>表2_36716262930389121314152324[[#This Row],[累计净值]]</f>
        <v>1.0760000000000001</v>
      </c>
      <c r="H66" s="20">
        <f>表2_36716262930389121314152324[[#This Row],[累计净值]]/$B$21-1</f>
        <v>-5.944055944055926E-2</v>
      </c>
    </row>
    <row r="67" spans="1:8">
      <c r="A67" s="15">
        <v>44090</v>
      </c>
      <c r="B67" s="112">
        <v>1.0720000000000001</v>
      </c>
      <c r="C67" s="112">
        <f>C66*(1+表2_36716262930389121314152324[[#This Row],[每日盈亏]])</f>
        <v>0.99145593218862016</v>
      </c>
      <c r="D67" s="108">
        <f t="shared" si="14"/>
        <v>-4.0000000000000036E-3</v>
      </c>
      <c r="E67" s="109">
        <f t="shared" si="15"/>
        <v>-4.0000000000000036E-3</v>
      </c>
      <c r="F67" s="109">
        <f ca="1">IF(表2_36716262930389121314152324[[#This Row],[累计净值]]/MAX(INDIRECT("B21:B" &amp; ROW()))-1&lt;F66,表2_36716262930389121314152324[[#This Row],[累计净值]]/MAX(INDIRECT("B21:B" &amp; ROW()))-1,F66)</f>
        <v>-8.9721254355400681E-2</v>
      </c>
      <c r="G67" s="110">
        <f>表2_36716262930389121314152324[[#This Row],[累计净值]]</f>
        <v>1.0720000000000001</v>
      </c>
      <c r="H67" s="20">
        <f>表2_36716262930389121314152324[[#This Row],[累计净值]]/$B$21-1</f>
        <v>-6.2937062937062804E-2</v>
      </c>
    </row>
    <row r="68" spans="1:8">
      <c r="A68" s="15">
        <v>44091</v>
      </c>
      <c r="B68" s="112">
        <v>1.079</v>
      </c>
      <c r="C68" s="112">
        <f>C67*(1+表2_36716262930389121314152324[[#This Row],[每日盈亏]])</f>
        <v>0.99839612371394038</v>
      </c>
      <c r="D68" s="108">
        <f t="shared" si="14"/>
        <v>6.9999999999998952E-3</v>
      </c>
      <c r="E68" s="109" t="str">
        <f t="shared" si="15"/>
        <v>/</v>
      </c>
      <c r="F68" s="109">
        <f ca="1">IF(表2_36716262930389121314152324[[#This Row],[累计净值]]/MAX(INDIRECT("B21:B" &amp; ROW()))-1&lt;F67,表2_36716262930389121314152324[[#This Row],[累计净值]]/MAX(INDIRECT("B21:B" &amp; ROW()))-1,F67)</f>
        <v>-8.9721254355400681E-2</v>
      </c>
      <c r="G68" s="110">
        <f>表2_36716262930389121314152324[[#This Row],[累计净值]]</f>
        <v>1.079</v>
      </c>
      <c r="H68" s="20">
        <f>表2_36716262930389121314152324[[#This Row],[累计净值]]/$B$21-1</f>
        <v>-5.6818181818181768E-2</v>
      </c>
    </row>
    <row r="69" spans="1:8">
      <c r="A69" s="15">
        <v>44092</v>
      </c>
      <c r="B69" s="112">
        <v>1.097</v>
      </c>
      <c r="C69" s="112">
        <f>C68*(1+表2_36716262930389121314152324[[#This Row],[每日盈亏]])</f>
        <v>1.0163672539407913</v>
      </c>
      <c r="D69" s="108">
        <f t="shared" si="14"/>
        <v>1.8000000000000016E-2</v>
      </c>
      <c r="E69" s="109" t="str">
        <f t="shared" si="15"/>
        <v>/</v>
      </c>
      <c r="F69" s="109">
        <f ca="1">IF(表2_36716262930389121314152324[[#This Row],[累计净值]]/MAX(INDIRECT("B21:B" &amp; ROW()))-1&lt;F68,表2_36716262930389121314152324[[#This Row],[累计净值]]/MAX(INDIRECT("B21:B" &amp; ROW()))-1,F68)</f>
        <v>-8.9721254355400681E-2</v>
      </c>
      <c r="G69" s="110">
        <f>表2_36716262930389121314152324[[#This Row],[累计净值]]</f>
        <v>1.097</v>
      </c>
      <c r="H69" s="20">
        <f>表2_36716262930389121314152324[[#This Row],[累计净值]]/$B$21-1</f>
        <v>-4.1083916083916039E-2</v>
      </c>
    </row>
    <row r="70" spans="1:8">
      <c r="A70" s="15">
        <v>44095</v>
      </c>
      <c r="B70" s="112">
        <v>1.0940000000000001</v>
      </c>
      <c r="C70" s="112">
        <f>C69*(1+表2_36716262930389121314152324[[#This Row],[每日盈亏]])</f>
        <v>1.0133181521789691</v>
      </c>
      <c r="D70" s="108">
        <f t="shared" si="14"/>
        <v>-2.9999999999998916E-3</v>
      </c>
      <c r="E70" s="109">
        <f t="shared" si="15"/>
        <v>-2.9999999999998916E-3</v>
      </c>
      <c r="F70" s="109">
        <f ca="1">IF(表2_36716262930389121314152324[[#This Row],[累计净值]]/MAX(INDIRECT("B21:B" &amp; ROW()))-1&lt;F69,表2_36716262930389121314152324[[#This Row],[累计净值]]/MAX(INDIRECT("B21:B" &amp; ROW()))-1,F69)</f>
        <v>-8.9721254355400681E-2</v>
      </c>
      <c r="G70" s="110">
        <f>表2_36716262930389121314152324[[#This Row],[累计净值]]</f>
        <v>1.0940000000000001</v>
      </c>
      <c r="H70" s="20">
        <f>表2_36716262930389121314152324[[#This Row],[累计净值]]/$B$21-1</f>
        <v>-4.3706293706293531E-2</v>
      </c>
    </row>
    <row r="71" spans="1:8">
      <c r="A71" s="15">
        <v>44096</v>
      </c>
      <c r="B71" s="112">
        <v>1.0780000000000001</v>
      </c>
      <c r="C71" s="112">
        <f>C70*(1+表2_36716262930389121314152324[[#This Row],[每日盈亏]])</f>
        <v>0.99710506174410563</v>
      </c>
      <c r="D71" s="108">
        <f t="shared" si="14"/>
        <v>-1.6000000000000014E-2</v>
      </c>
      <c r="E71" s="109">
        <f t="shared" si="15"/>
        <v>-1.6000000000000014E-2</v>
      </c>
      <c r="F71" s="109">
        <f ca="1">IF(表2_36716262930389121314152324[[#This Row],[累计净值]]/MAX(INDIRECT("B21:B" &amp; ROW()))-1&lt;F70,表2_36716262930389121314152324[[#This Row],[累计净值]]/MAX(INDIRECT("B21:B" &amp; ROW()))-1,F70)</f>
        <v>-8.9721254355400681E-2</v>
      </c>
      <c r="G71" s="110">
        <f>表2_36716262930389121314152324[[#This Row],[累计净值]]</f>
        <v>1.0780000000000001</v>
      </c>
      <c r="H71" s="20">
        <f>表2_36716262930389121314152324[[#This Row],[累计净值]]/$B$21-1</f>
        <v>-5.7692307692307598E-2</v>
      </c>
    </row>
    <row r="72" spans="1:8">
      <c r="A72" s="15">
        <v>44097</v>
      </c>
      <c r="B72" s="112">
        <v>1.087</v>
      </c>
      <c r="C72" s="112">
        <f>C71*(1+表2_36716262930389121314152324[[#This Row],[每日盈亏]])</f>
        <v>1.0060790072998025</v>
      </c>
      <c r="D72" s="108">
        <f t="shared" ref="D72:D77" si="16">IFERROR(B72-B71,0)</f>
        <v>8.999999999999897E-3</v>
      </c>
      <c r="E72" s="109" t="str">
        <f t="shared" ref="E72:E77" si="17">IF(D72&lt;0,D72,"/")</f>
        <v>/</v>
      </c>
      <c r="F72" s="109">
        <f ca="1">IF(表2_36716262930389121314152324[[#This Row],[累计净值]]/MAX(INDIRECT("B21:B" &amp; ROW()))-1&lt;F71,表2_36716262930389121314152324[[#This Row],[累计净值]]/MAX(INDIRECT("B21:B" &amp; ROW()))-1,F71)</f>
        <v>-8.9721254355400681E-2</v>
      </c>
      <c r="G72" s="110">
        <f>表2_36716262930389121314152324[[#This Row],[累计净值]]</f>
        <v>1.087</v>
      </c>
      <c r="H72" s="20">
        <f>表2_36716262930389121314152324[[#This Row],[累计净值]]/$B$21-1</f>
        <v>-4.9825174825174789E-2</v>
      </c>
    </row>
    <row r="73" spans="1:8">
      <c r="A73" s="15">
        <v>44098</v>
      </c>
      <c r="B73" s="112">
        <v>1.0609999999999999</v>
      </c>
      <c r="C73" s="112">
        <f>C72*(1+表2_36716262930389121314152324[[#This Row],[每日盈亏]])</f>
        <v>0.9799209531100076</v>
      </c>
      <c r="D73" s="108">
        <f t="shared" si="16"/>
        <v>-2.6000000000000023E-2</v>
      </c>
      <c r="E73" s="109">
        <f t="shared" si="17"/>
        <v>-2.6000000000000023E-2</v>
      </c>
      <c r="F73" s="109">
        <f ca="1">IF(表2_36716262930389121314152324[[#This Row],[累计净值]]/MAX(INDIRECT("B21:B" &amp; ROW()))-1&lt;F72,表2_36716262930389121314152324[[#This Row],[累计净值]]/MAX(INDIRECT("B21:B" &amp; ROW()))-1,F72)</f>
        <v>-8.9721254355400681E-2</v>
      </c>
      <c r="G73" s="110">
        <f>表2_36716262930389121314152324[[#This Row],[累计净值]]</f>
        <v>1.0609999999999999</v>
      </c>
      <c r="H73" s="20">
        <f>表2_36716262930389121314152324[[#This Row],[累计净值]]/$B$21-1</f>
        <v>-7.2552447552447497E-2</v>
      </c>
    </row>
    <row r="74" spans="1:8">
      <c r="A74" s="15">
        <v>44099</v>
      </c>
      <c r="B74" s="112">
        <v>1.056</v>
      </c>
      <c r="C74" s="112">
        <f>C73*(1+表2_36716262930389121314152324[[#This Row],[每日盈亏]])</f>
        <v>0.97502134834445764</v>
      </c>
      <c r="D74" s="108">
        <f t="shared" si="16"/>
        <v>-4.9999999999998934E-3</v>
      </c>
      <c r="E74" s="109">
        <f t="shared" si="17"/>
        <v>-4.9999999999998934E-3</v>
      </c>
      <c r="F74" s="109">
        <f ca="1">IF(表2_36716262930389121314152324[[#This Row],[累计净值]]/MAX(INDIRECT("B21:B" &amp; ROW()))-1&lt;F73,表2_36716262930389121314152324[[#This Row],[累计净值]]/MAX(INDIRECT("B21:B" &amp; ROW()))-1,F73)</f>
        <v>-8.9721254355400681E-2</v>
      </c>
      <c r="G74" s="110">
        <f>表2_36716262930389121314152324[[#This Row],[累计净值]]</f>
        <v>1.056</v>
      </c>
      <c r="H74" s="20">
        <f>表2_36716262930389121314152324[[#This Row],[累计净值]]/$B$21-1</f>
        <v>-7.6923076923076761E-2</v>
      </c>
    </row>
    <row r="75" spans="1:8">
      <c r="A75" s="15">
        <v>44102</v>
      </c>
      <c r="B75" s="112">
        <v>1.048</v>
      </c>
      <c r="C75" s="112">
        <f>C74*(1+表2_36716262930389121314152324[[#This Row],[每日盈亏]])</f>
        <v>0.96722117755770198</v>
      </c>
      <c r="D75" s="108">
        <f t="shared" si="16"/>
        <v>-8.0000000000000071E-3</v>
      </c>
      <c r="E75" s="109">
        <f t="shared" si="17"/>
        <v>-8.0000000000000071E-3</v>
      </c>
      <c r="F75" s="109">
        <f ca="1">IF(表2_36716262930389121314152324[[#This Row],[累计净值]]/MAX(INDIRECT("B21:B" &amp; ROW()))-1&lt;F74,表2_36716262930389121314152324[[#This Row],[累计净值]]/MAX(INDIRECT("B21:B" &amp; ROW()))-1,F74)</f>
        <v>-8.9721254355400681E-2</v>
      </c>
      <c r="G75" s="110">
        <f>表2_36716262930389121314152324[[#This Row],[累计净值]]</f>
        <v>1.048</v>
      </c>
      <c r="H75" s="20">
        <f>表2_36716262930389121314152324[[#This Row],[累计净值]]/$B$21-1</f>
        <v>-8.391608391608385E-2</v>
      </c>
    </row>
    <row r="76" spans="1:8">
      <c r="A76" s="15">
        <v>44103</v>
      </c>
      <c r="B76" s="112">
        <v>1.0569999999999999</v>
      </c>
      <c r="C76" s="112">
        <f>C75*(1+表2_36716262930389121314152324[[#This Row],[每日盈亏]])</f>
        <v>0.9759261681557212</v>
      </c>
      <c r="D76" s="108">
        <f t="shared" si="16"/>
        <v>8.999999999999897E-3</v>
      </c>
      <c r="E76" s="109" t="str">
        <f t="shared" si="17"/>
        <v>/</v>
      </c>
      <c r="F76" s="109">
        <f ca="1">IF(表2_36716262930389121314152324[[#This Row],[累计净值]]/MAX(INDIRECT("B21:B" &amp; ROW()))-1&lt;F75,表2_36716262930389121314152324[[#This Row],[累计净值]]/MAX(INDIRECT("B21:B" &amp; ROW()))-1,F75)</f>
        <v>-8.9721254355400681E-2</v>
      </c>
      <c r="G76" s="110">
        <f>表2_36716262930389121314152324[[#This Row],[累计净值]]</f>
        <v>1.0569999999999999</v>
      </c>
      <c r="H76" s="20">
        <f>表2_36716262930389121314152324[[#This Row],[累计净值]]/$B$21-1</f>
        <v>-7.6048951048951041E-2</v>
      </c>
    </row>
    <row r="77" spans="1:8">
      <c r="A77" s="15">
        <v>44104</v>
      </c>
      <c r="B77" s="112">
        <v>1.054</v>
      </c>
      <c r="C77" s="112">
        <f>C76*(1+表2_36716262930389121314152324[[#This Row],[每日盈亏]])</f>
        <v>0.97299838965125418</v>
      </c>
      <c r="D77" s="108">
        <f t="shared" si="16"/>
        <v>-2.9999999999998916E-3</v>
      </c>
      <c r="E77" s="109">
        <f t="shared" si="17"/>
        <v>-2.9999999999998916E-3</v>
      </c>
      <c r="F77" s="109">
        <f ca="1">IF(表2_36716262930389121314152324[[#This Row],[累计净值]]/MAX(INDIRECT("B21:B" &amp; ROW()))-1&lt;F76,表2_36716262930389121314152324[[#This Row],[累计净值]]/MAX(INDIRECT("B21:B" &amp; ROW()))-1,F76)</f>
        <v>-8.9721254355400681E-2</v>
      </c>
      <c r="G77" s="110">
        <f>表2_36716262930389121314152324[[#This Row],[累计净值]]</f>
        <v>1.054</v>
      </c>
      <c r="H77" s="20">
        <f>表2_36716262930389121314152324[[#This Row],[累计净值]]/$B$21-1</f>
        <v>-7.8671328671328533E-2</v>
      </c>
    </row>
    <row r="78" spans="1:8">
      <c r="A78" s="15">
        <v>44113</v>
      </c>
      <c r="B78" s="112">
        <v>1.083</v>
      </c>
      <c r="C78" s="112">
        <f>C77*(1+表2_36716262930389121314152324[[#This Row],[每日盈亏]])</f>
        <v>1.0012153429511406</v>
      </c>
      <c r="D78" s="108">
        <f t="shared" ref="D78:D84" si="18">IFERROR(B78-B77,0)</f>
        <v>2.8999999999999915E-2</v>
      </c>
      <c r="E78" s="109" t="str">
        <f t="shared" ref="E78:E84" si="19">IF(D78&lt;0,D78,"/")</f>
        <v>/</v>
      </c>
      <c r="F78" s="109">
        <f ca="1">IF(表2_36716262930389121314152324[[#This Row],[累计净值]]/MAX(INDIRECT("B21:B" &amp; ROW()))-1&lt;F77,表2_36716262930389121314152324[[#This Row],[累计净值]]/MAX(INDIRECT("B21:B" &amp; ROW()))-1,F77)</f>
        <v>-8.9721254355400681E-2</v>
      </c>
      <c r="G78" s="110">
        <f>表2_36716262930389121314152324[[#This Row],[累计净值]]</f>
        <v>1.083</v>
      </c>
      <c r="H78" s="20">
        <f>表2_36716262930389121314152324[[#This Row],[累计净值]]/$B$21-1</f>
        <v>-5.3321678321678223E-2</v>
      </c>
    </row>
    <row r="79" spans="1:8">
      <c r="A79" s="15">
        <v>44116</v>
      </c>
      <c r="B79" s="112">
        <v>1.1120000000000001</v>
      </c>
      <c r="C79" s="112">
        <f>C78*(1+表2_36716262930389121314152324[[#This Row],[每日盈亏]])</f>
        <v>1.0302505878967239</v>
      </c>
      <c r="D79" s="108">
        <f t="shared" si="18"/>
        <v>2.9000000000000137E-2</v>
      </c>
      <c r="E79" s="109" t="str">
        <f t="shared" si="19"/>
        <v>/</v>
      </c>
      <c r="F79" s="109">
        <f ca="1">IF(表2_36716262930389121314152324[[#This Row],[累计净值]]/MAX(INDIRECT("B21:B" &amp; ROW()))-1&lt;F78,表2_36716262930389121314152324[[#This Row],[累计净值]]/MAX(INDIRECT("B21:B" &amp; ROW()))-1,F78)</f>
        <v>-8.9721254355400681E-2</v>
      </c>
      <c r="G79" s="110">
        <f>表2_36716262930389121314152324[[#This Row],[累计净值]]</f>
        <v>1.1120000000000001</v>
      </c>
      <c r="H79" s="20">
        <f>表2_36716262930389121314152324[[#This Row],[累计净值]]/$B$21-1</f>
        <v>-2.7972027972027802E-2</v>
      </c>
    </row>
    <row r="80" spans="1:8">
      <c r="A80" s="15">
        <v>44117</v>
      </c>
      <c r="B80" s="112">
        <v>1.119</v>
      </c>
      <c r="C80" s="112">
        <f>C79*(1+表2_36716262930389121314152324[[#This Row],[每日盈亏]])</f>
        <v>1.0374623420120008</v>
      </c>
      <c r="D80" s="108">
        <f t="shared" si="18"/>
        <v>6.9999999999998952E-3</v>
      </c>
      <c r="E80" s="109" t="str">
        <f t="shared" si="19"/>
        <v>/</v>
      </c>
      <c r="F80" s="109">
        <f ca="1">IF(表2_36716262930389121314152324[[#This Row],[累计净值]]/MAX(INDIRECT("B21:B" &amp; ROW()))-1&lt;F79,表2_36716262930389121314152324[[#This Row],[累计净值]]/MAX(INDIRECT("B21:B" &amp; ROW()))-1,F79)</f>
        <v>-8.9721254355400681E-2</v>
      </c>
      <c r="G80" s="110">
        <f>表2_36716262930389121314152324[[#This Row],[累计净值]]</f>
        <v>1.119</v>
      </c>
      <c r="H80" s="20">
        <f>表2_36716262930389121314152324[[#This Row],[累计净值]]/$B$21-1</f>
        <v>-2.1853146853146765E-2</v>
      </c>
    </row>
    <row r="81" spans="1:8">
      <c r="A81" s="15">
        <v>44118</v>
      </c>
      <c r="B81" s="112">
        <v>1.1120000000000001</v>
      </c>
      <c r="C81" s="112">
        <f>C80*(1+表2_36716262930389121314152324[[#This Row],[每日盈亏]])</f>
        <v>1.0302001056179169</v>
      </c>
      <c r="D81" s="108">
        <f t="shared" si="18"/>
        <v>-6.9999999999998952E-3</v>
      </c>
      <c r="E81" s="109">
        <f t="shared" si="19"/>
        <v>-6.9999999999998952E-3</v>
      </c>
      <c r="F81" s="109">
        <f ca="1">IF(表2_36716262930389121314152324[[#This Row],[累计净值]]/MAX(INDIRECT("B21:B" &amp; ROW()))-1&lt;F80,表2_36716262930389121314152324[[#This Row],[累计净值]]/MAX(INDIRECT("B21:B" &amp; ROW()))-1,F80)</f>
        <v>-8.9721254355400681E-2</v>
      </c>
      <c r="G81" s="110">
        <f>表2_36716262930389121314152324[[#This Row],[累计净值]]</f>
        <v>1.1120000000000001</v>
      </c>
      <c r="H81" s="20">
        <f>表2_36716262930389121314152324[[#This Row],[累计净值]]/$B$21-1</f>
        <v>-2.7972027972027802E-2</v>
      </c>
    </row>
    <row r="82" spans="1:8">
      <c r="A82" s="15">
        <v>44119</v>
      </c>
      <c r="B82" s="112">
        <v>1.103</v>
      </c>
      <c r="C82" s="112">
        <f>C81*(1+表2_36716262930389121314152324[[#This Row],[每日盈亏]])</f>
        <v>1.0209283046673554</v>
      </c>
      <c r="D82" s="108">
        <f t="shared" si="18"/>
        <v>-9.000000000000119E-3</v>
      </c>
      <c r="E82" s="109">
        <f t="shared" si="19"/>
        <v>-9.000000000000119E-3</v>
      </c>
      <c r="F82" s="109">
        <f ca="1">IF(表2_36716262930389121314152324[[#This Row],[累计净值]]/MAX(INDIRECT("B21:B" &amp; ROW()))-1&lt;F81,表2_36716262930389121314152324[[#This Row],[累计净值]]/MAX(INDIRECT("B21:B" &amp; ROW()))-1,F81)</f>
        <v>-8.9721254355400681E-2</v>
      </c>
      <c r="G82" s="110">
        <f>表2_36716262930389121314152324[[#This Row],[累计净值]]</f>
        <v>1.103</v>
      </c>
      <c r="H82" s="20">
        <f>表2_36716262930389121314152324[[#This Row],[累计净值]]/$B$21-1</f>
        <v>-3.5839160839160722E-2</v>
      </c>
    </row>
    <row r="83" spans="1:8">
      <c r="A83" s="15">
        <v>44120</v>
      </c>
      <c r="B83" s="112">
        <v>1.099</v>
      </c>
      <c r="C83" s="112">
        <f>C82*(1+表2_36716262930389121314152324[[#This Row],[每日盈亏]])</f>
        <v>1.0168445914486859</v>
      </c>
      <c r="D83" s="108">
        <f t="shared" si="18"/>
        <v>-4.0000000000000036E-3</v>
      </c>
      <c r="E83" s="109">
        <f t="shared" si="19"/>
        <v>-4.0000000000000036E-3</v>
      </c>
      <c r="F83" s="109">
        <f ca="1">IF(表2_36716262930389121314152324[[#This Row],[累计净值]]/MAX(INDIRECT("B21:B" &amp; ROW()))-1&lt;F82,表2_36716262930389121314152324[[#This Row],[累计净值]]/MAX(INDIRECT("B21:B" &amp; ROW()))-1,F82)</f>
        <v>-8.9721254355400681E-2</v>
      </c>
      <c r="G83" s="110">
        <f>表2_36716262930389121314152324[[#This Row],[累计净值]]</f>
        <v>1.099</v>
      </c>
      <c r="H83" s="20">
        <f>表2_36716262930389121314152324[[#This Row],[累计净值]]/$B$21-1</f>
        <v>-3.9335664335664267E-2</v>
      </c>
    </row>
    <row r="84" spans="1:8">
      <c r="A84" s="15">
        <v>44123</v>
      </c>
      <c r="B84" s="112">
        <v>1.085</v>
      </c>
      <c r="C84" s="112">
        <f>C83*(1+表2_36716262930389121314152324[[#This Row],[每日盈亏]])</f>
        <v>1.0026087671684043</v>
      </c>
      <c r="D84" s="108">
        <f t="shared" si="18"/>
        <v>-1.4000000000000012E-2</v>
      </c>
      <c r="E84" s="109">
        <f t="shared" si="19"/>
        <v>-1.4000000000000012E-2</v>
      </c>
      <c r="F84" s="109">
        <f ca="1">IF(表2_36716262930389121314152324[[#This Row],[累计净值]]/MAX(INDIRECT("B21:B" &amp; ROW()))-1&lt;F83,表2_36716262930389121314152324[[#This Row],[累计净值]]/MAX(INDIRECT("B21:B" &amp; ROW()))-1,F83)</f>
        <v>-8.9721254355400681E-2</v>
      </c>
      <c r="G84" s="110">
        <f>表2_36716262930389121314152324[[#This Row],[累计净值]]</f>
        <v>1.085</v>
      </c>
      <c r="H84" s="20">
        <f>表2_36716262930389121314152324[[#This Row],[累计净值]]/$B$21-1</f>
        <v>-5.1573426573426562E-2</v>
      </c>
    </row>
    <row r="85" spans="1:8">
      <c r="A85" s="15">
        <v>44124</v>
      </c>
      <c r="B85" s="112">
        <v>1.095</v>
      </c>
      <c r="C85" s="112">
        <f>C84*(1+表2_36716262930389121314152324[[#This Row],[每日盈亏]])</f>
        <v>1.0126348548400883</v>
      </c>
      <c r="D85" s="108">
        <f t="shared" ref="D85:D90" si="20">IFERROR(B85-B84,0)</f>
        <v>1.0000000000000009E-2</v>
      </c>
      <c r="E85" s="109" t="str">
        <f t="shared" ref="E85:E90" si="21">IF(D85&lt;0,D85,"/")</f>
        <v>/</v>
      </c>
      <c r="F85" s="109">
        <f ca="1">IF(表2_36716262930389121314152324[[#This Row],[累计净值]]/MAX(INDIRECT("B21:B" &amp; ROW()))-1&lt;F84,表2_36716262930389121314152324[[#This Row],[累计净值]]/MAX(INDIRECT("B21:B" &amp; ROW()))-1,F84)</f>
        <v>-8.9721254355400681E-2</v>
      </c>
      <c r="G85" s="110">
        <f>表2_36716262930389121314152324[[#This Row],[累计净值]]</f>
        <v>1.095</v>
      </c>
      <c r="H85" s="20">
        <f>表2_36716262930389121314152324[[#This Row],[累计净值]]/$B$21-1</f>
        <v>-4.2832167832167811E-2</v>
      </c>
    </row>
    <row r="86" spans="1:8">
      <c r="A86" s="15">
        <v>44125</v>
      </c>
      <c r="B86" s="112">
        <v>1.081</v>
      </c>
      <c r="C86" s="112">
        <f>C85*(1+表2_36716262930389121314152324[[#This Row],[每日盈亏]])</f>
        <v>0.99845796687232702</v>
      </c>
      <c r="D86" s="108">
        <f t="shared" si="20"/>
        <v>-1.4000000000000012E-2</v>
      </c>
      <c r="E86" s="109">
        <f t="shared" si="21"/>
        <v>-1.4000000000000012E-2</v>
      </c>
      <c r="F86" s="109">
        <f ca="1">IF(表2_36716262930389121314152324[[#This Row],[累计净值]]/MAX(INDIRECT("B21:B" &amp; ROW()))-1&lt;F85,表2_36716262930389121314152324[[#This Row],[累计净值]]/MAX(INDIRECT("B21:B" &amp; ROW()))-1,F85)</f>
        <v>-8.9721254355400681E-2</v>
      </c>
      <c r="G86" s="110">
        <f>表2_36716262930389121314152324[[#This Row],[累计净值]]</f>
        <v>1.081</v>
      </c>
      <c r="H86" s="20">
        <f>表2_36716262930389121314152324[[#This Row],[累计净值]]/$B$21-1</f>
        <v>-5.5069930069929995E-2</v>
      </c>
    </row>
    <row r="87" spans="1:8">
      <c r="A87" s="15">
        <v>44126</v>
      </c>
      <c r="B87" s="112">
        <v>1.0720000000000001</v>
      </c>
      <c r="C87" s="112">
        <f>C86*(1+表2_36716262930389121314152324[[#This Row],[每日盈亏]])</f>
        <v>0.98947184517047615</v>
      </c>
      <c r="D87" s="108">
        <f t="shared" si="20"/>
        <v>-8.999999999999897E-3</v>
      </c>
      <c r="E87" s="109">
        <f t="shared" si="21"/>
        <v>-8.999999999999897E-3</v>
      </c>
      <c r="F87" s="109">
        <f ca="1">IF(表2_36716262930389121314152324[[#This Row],[累计净值]]/MAX(INDIRECT("B21:B" &amp; ROW()))-1&lt;F86,表2_36716262930389121314152324[[#This Row],[累计净值]]/MAX(INDIRECT("B21:B" &amp; ROW()))-1,F86)</f>
        <v>-8.9721254355400681E-2</v>
      </c>
      <c r="G87" s="110">
        <f>表2_36716262930389121314152324[[#This Row],[累计净值]]</f>
        <v>1.0720000000000001</v>
      </c>
      <c r="H87" s="20">
        <f>表2_36716262930389121314152324[[#This Row],[累计净值]]/$B$21-1</f>
        <v>-6.2937062937062804E-2</v>
      </c>
    </row>
    <row r="88" spans="1:8">
      <c r="A88" s="15">
        <v>44127</v>
      </c>
      <c r="B88" s="112">
        <v>1.046</v>
      </c>
      <c r="C88" s="112">
        <f>C87*(1+表2_36716262930389121314152324[[#This Row],[每日盈亏]])</f>
        <v>0.9637455771960437</v>
      </c>
      <c r="D88" s="108">
        <f t="shared" si="20"/>
        <v>-2.6000000000000023E-2</v>
      </c>
      <c r="E88" s="109">
        <f t="shared" si="21"/>
        <v>-2.6000000000000023E-2</v>
      </c>
      <c r="F88" s="109">
        <f ca="1">IF(表2_36716262930389121314152324[[#This Row],[累计净值]]/MAX(INDIRECT("B21:B" &amp; ROW()))-1&lt;F87,表2_36716262930389121314152324[[#This Row],[累计净值]]/MAX(INDIRECT("B21:B" &amp; ROW()))-1,F87)</f>
        <v>-8.9721254355400681E-2</v>
      </c>
      <c r="G88" s="110">
        <f>表2_36716262930389121314152324[[#This Row],[累计净值]]</f>
        <v>1.046</v>
      </c>
      <c r="H88" s="20">
        <f>表2_36716262930389121314152324[[#This Row],[累计净值]]/$B$21-1</f>
        <v>-8.5664335664335511E-2</v>
      </c>
    </row>
    <row r="89" spans="1:8">
      <c r="A89" s="15">
        <v>44130</v>
      </c>
      <c r="B89" s="112">
        <v>1.05</v>
      </c>
      <c r="C89" s="112">
        <f>C88*(1+表2_36716262930389121314152324[[#This Row],[每日盈亏]])</f>
        <v>0.96760055950482793</v>
      </c>
      <c r="D89" s="108">
        <f t="shared" si="20"/>
        <v>4.0000000000000036E-3</v>
      </c>
      <c r="E89" s="109" t="str">
        <f t="shared" si="21"/>
        <v>/</v>
      </c>
      <c r="F89" s="109">
        <f ca="1">IF(表2_36716262930389121314152324[[#This Row],[累计净值]]/MAX(INDIRECT("B21:B" &amp; ROW()))-1&lt;F88,表2_36716262930389121314152324[[#This Row],[累计净值]]/MAX(INDIRECT("B21:B" &amp; ROW()))-1,F88)</f>
        <v>-8.9721254355400681E-2</v>
      </c>
      <c r="G89" s="110">
        <f>表2_36716262930389121314152324[[#This Row],[累计净值]]</f>
        <v>1.05</v>
      </c>
      <c r="H89" s="20">
        <f>表2_36716262930389121314152324[[#This Row],[累计净值]]/$B$21-1</f>
        <v>-8.2167832167832078E-2</v>
      </c>
    </row>
    <row r="90" spans="1:8">
      <c r="A90" s="15">
        <v>44131</v>
      </c>
      <c r="B90" s="112">
        <v>1.054</v>
      </c>
      <c r="C90" s="112">
        <f>C89*(1+表2_36716262930389121314152324[[#This Row],[每日盈亏]])</f>
        <v>0.97147096174284719</v>
      </c>
      <c r="D90" s="108">
        <f t="shared" si="20"/>
        <v>4.0000000000000036E-3</v>
      </c>
      <c r="E90" s="109" t="str">
        <f t="shared" si="21"/>
        <v>/</v>
      </c>
      <c r="F90" s="109">
        <f ca="1">IF(表2_36716262930389121314152324[[#This Row],[累计净值]]/MAX(INDIRECT("B21:B" &amp; ROW()))-1&lt;F89,表2_36716262930389121314152324[[#This Row],[累计净值]]/MAX(INDIRECT("B21:B" &amp; ROW()))-1,F89)</f>
        <v>-8.9721254355400681E-2</v>
      </c>
      <c r="G90" s="110">
        <f>表2_36716262930389121314152324[[#This Row],[累计净值]]</f>
        <v>1.054</v>
      </c>
      <c r="H90" s="20">
        <f>表2_36716262930389121314152324[[#This Row],[累计净值]]/$B$21-1</f>
        <v>-7.8671328671328533E-2</v>
      </c>
    </row>
    <row r="91" spans="1:8">
      <c r="A91" s="15">
        <v>44132</v>
      </c>
      <c r="B91" s="112">
        <v>1.0620000000000001</v>
      </c>
      <c r="C91" s="112">
        <f>C90*(1+表2_36716262930389121314152324[[#This Row],[每日盈亏]])</f>
        <v>0.97924272943679003</v>
      </c>
      <c r="D91" s="108">
        <f t="shared" ref="D91:D96" si="22">IFERROR(B91-B90,0)</f>
        <v>8.0000000000000071E-3</v>
      </c>
      <c r="E91" s="109" t="str">
        <f t="shared" ref="E91:E96" si="23">IF(D91&lt;0,D91,"/")</f>
        <v>/</v>
      </c>
      <c r="F91" s="109">
        <f ca="1">IF(表2_36716262930389121314152324[[#This Row],[累计净值]]/MAX(INDIRECT("B21:B" &amp; ROW()))-1&lt;F90,表2_36716262930389121314152324[[#This Row],[累计净值]]/MAX(INDIRECT("B21:B" &amp; ROW()))-1,F90)</f>
        <v>-8.9721254355400681E-2</v>
      </c>
      <c r="G91" s="110">
        <f>表2_36716262930389121314152324[[#This Row],[累计净值]]</f>
        <v>1.0620000000000001</v>
      </c>
      <c r="H91" s="20">
        <f>表2_36716262930389121314152324[[#This Row],[累计净值]]/$B$21-1</f>
        <v>-7.1678321678321555E-2</v>
      </c>
    </row>
    <row r="92" spans="1:8">
      <c r="A92" s="15">
        <v>44133</v>
      </c>
      <c r="B92" s="112">
        <v>1.0640000000000001</v>
      </c>
      <c r="C92" s="112">
        <f>C91*(1+表2_36716262930389121314152324[[#This Row],[每日盈亏]])</f>
        <v>0.98120121489566359</v>
      </c>
      <c r="D92" s="108">
        <f t="shared" si="22"/>
        <v>2.0000000000000018E-3</v>
      </c>
      <c r="E92" s="109" t="str">
        <f t="shared" si="23"/>
        <v>/</v>
      </c>
      <c r="F92" s="109">
        <f ca="1">IF(表2_36716262930389121314152324[[#This Row],[累计净值]]/MAX(INDIRECT("B21:B" &amp; ROW()))-1&lt;F91,表2_36716262930389121314152324[[#This Row],[累计净值]]/MAX(INDIRECT("B21:B" &amp; ROW()))-1,F91)</f>
        <v>-8.9721254355400681E-2</v>
      </c>
      <c r="G92" s="110">
        <f>表2_36716262930389121314152324[[#This Row],[累计净值]]</f>
        <v>1.0640000000000001</v>
      </c>
      <c r="H92" s="20">
        <f>表2_36716262930389121314152324[[#This Row],[累计净值]]/$B$21-1</f>
        <v>-6.9930069930069783E-2</v>
      </c>
    </row>
    <row r="93" spans="1:8">
      <c r="A93" s="15">
        <v>44134</v>
      </c>
      <c r="B93" s="112">
        <v>1.042</v>
      </c>
      <c r="C93" s="112">
        <f>C92*(1+表2_36716262930389121314152324[[#This Row],[每日盈亏]])</f>
        <v>0.95961478816795898</v>
      </c>
      <c r="D93" s="108">
        <f t="shared" si="22"/>
        <v>-2.200000000000002E-2</v>
      </c>
      <c r="E93" s="109">
        <f t="shared" si="23"/>
        <v>-2.200000000000002E-2</v>
      </c>
      <c r="F93" s="109">
        <f ca="1">IF(表2_36716262930389121314152324[[#This Row],[累计净值]]/MAX(INDIRECT("B21:B" &amp; ROW()))-1&lt;F92,表2_36716262930389121314152324[[#This Row],[累计净值]]/MAX(INDIRECT("B21:B" &amp; ROW()))-1,F92)</f>
        <v>-9.2334494773519071E-2</v>
      </c>
      <c r="G93" s="110">
        <f>表2_36716262930389121314152324[[#This Row],[累计净值]]</f>
        <v>1.042</v>
      </c>
      <c r="H93" s="20">
        <f>表2_36716262930389121314152324[[#This Row],[累计净值]]/$B$21-1</f>
        <v>-8.9160839160839056E-2</v>
      </c>
    </row>
    <row r="94" spans="1:8">
      <c r="A94" s="15">
        <v>44137</v>
      </c>
      <c r="B94" s="112">
        <v>1.048</v>
      </c>
      <c r="C94" s="112">
        <f>C93*(1+表2_36716262930389121314152324[[#This Row],[每日盈亏]])</f>
        <v>0.9653724768969667</v>
      </c>
      <c r="D94" s="108">
        <f t="shared" si="22"/>
        <v>6.0000000000000053E-3</v>
      </c>
      <c r="E94" s="109" t="str">
        <f t="shared" si="23"/>
        <v>/</v>
      </c>
      <c r="F94" s="109">
        <f ca="1">IF(表2_36716262930389121314152324[[#This Row],[累计净值]]/MAX(INDIRECT("B21:B" &amp; ROW()))-1&lt;F93,表2_36716262930389121314152324[[#This Row],[累计净值]]/MAX(INDIRECT("B21:B" &amp; ROW()))-1,F93)</f>
        <v>-9.2334494773519071E-2</v>
      </c>
      <c r="G94" s="110">
        <f>表2_36716262930389121314152324[[#This Row],[累计净值]]</f>
        <v>1.048</v>
      </c>
      <c r="H94" s="20">
        <f>表2_36716262930389121314152324[[#This Row],[累计净值]]/$B$21-1</f>
        <v>-8.391608391608385E-2</v>
      </c>
    </row>
    <row r="95" spans="1:8">
      <c r="A95" s="15">
        <v>44138</v>
      </c>
      <c r="B95" s="112">
        <v>1.0620000000000001</v>
      </c>
      <c r="C95" s="112">
        <f>C94*(1+表2_36716262930389121314152324[[#This Row],[每日盈亏]])</f>
        <v>0.97888769157352429</v>
      </c>
      <c r="D95" s="108">
        <f t="shared" si="22"/>
        <v>1.4000000000000012E-2</v>
      </c>
      <c r="E95" s="109" t="str">
        <f t="shared" si="23"/>
        <v>/</v>
      </c>
      <c r="F95" s="109">
        <f ca="1">IF(表2_36716262930389121314152324[[#This Row],[累计净值]]/MAX(INDIRECT("B21:B" &amp; ROW()))-1&lt;F94,表2_36716262930389121314152324[[#This Row],[累计净值]]/MAX(INDIRECT("B21:B" &amp; ROW()))-1,F94)</f>
        <v>-9.2334494773519071E-2</v>
      </c>
      <c r="G95" s="110">
        <f>表2_36716262930389121314152324[[#This Row],[累计净值]]</f>
        <v>1.0620000000000001</v>
      </c>
      <c r="H95" s="20">
        <f>表2_36716262930389121314152324[[#This Row],[累计净值]]/$B$21-1</f>
        <v>-7.1678321678321555E-2</v>
      </c>
    </row>
    <row r="96" spans="1:8">
      <c r="A96" s="15">
        <v>44139</v>
      </c>
      <c r="B96" s="112">
        <v>1.0629999999999999</v>
      </c>
      <c r="C96" s="112">
        <f>C95*(1+表2_36716262930389121314152324[[#This Row],[每日盈亏]])</f>
        <v>0.97986657926509768</v>
      </c>
      <c r="D96" s="108">
        <f t="shared" si="22"/>
        <v>9.9999999999988987E-4</v>
      </c>
      <c r="E96" s="109" t="str">
        <f t="shared" si="23"/>
        <v>/</v>
      </c>
      <c r="F96" s="109">
        <f ca="1">IF(表2_36716262930389121314152324[[#This Row],[累计净值]]/MAX(INDIRECT("B21:B" &amp; ROW()))-1&lt;F95,表2_36716262930389121314152324[[#This Row],[累计净值]]/MAX(INDIRECT("B21:B" &amp; ROW()))-1,F95)</f>
        <v>-9.2334494773519071E-2</v>
      </c>
      <c r="G96" s="110">
        <f>表2_36716262930389121314152324[[#This Row],[累计净值]]</f>
        <v>1.0629999999999999</v>
      </c>
      <c r="H96" s="20">
        <f>表2_36716262930389121314152324[[#This Row],[累计净值]]/$B$21-1</f>
        <v>-7.0804195804195724E-2</v>
      </c>
    </row>
    <row r="97" spans="1:8">
      <c r="A97" s="15">
        <v>44140</v>
      </c>
      <c r="B97" s="112">
        <v>1.0840000000000001</v>
      </c>
      <c r="C97" s="112">
        <f>C96*(1+表2_36716262930389121314152324[[#This Row],[每日盈亏]])</f>
        <v>1.0004437774296648</v>
      </c>
      <c r="D97" s="108">
        <f t="shared" ref="D97:D102" si="24">IFERROR(B97-B96,0)</f>
        <v>2.100000000000013E-2</v>
      </c>
      <c r="E97" s="109" t="str">
        <f t="shared" ref="E97:E102" si="25">IF(D97&lt;0,D97,"/")</f>
        <v>/</v>
      </c>
      <c r="F97" s="109">
        <f ca="1">IF(表2_36716262930389121314152324[[#This Row],[累计净值]]/MAX(INDIRECT("B21:B" &amp; ROW()))-1&lt;F96,表2_36716262930389121314152324[[#This Row],[累计净值]]/MAX(INDIRECT("B21:B" &amp; ROW()))-1,F96)</f>
        <v>-9.2334494773519071E-2</v>
      </c>
      <c r="G97" s="110">
        <f>表2_36716262930389121314152324[[#This Row],[累计净值]]</f>
        <v>1.0840000000000001</v>
      </c>
      <c r="H97" s="20">
        <f>表2_36716262930389121314152324[[#This Row],[累计净值]]/$B$21-1</f>
        <v>-5.2447552447552281E-2</v>
      </c>
    </row>
    <row r="98" spans="1:8">
      <c r="A98" s="15">
        <v>44141</v>
      </c>
      <c r="B98" s="112">
        <v>1.0740000000000001</v>
      </c>
      <c r="C98" s="112">
        <f>C97*(1+表2_36716262930389121314152324[[#This Row],[每日盈亏]])</f>
        <v>0.99043933965536823</v>
      </c>
      <c r="D98" s="108">
        <f t="shared" si="24"/>
        <v>-1.0000000000000009E-2</v>
      </c>
      <c r="E98" s="109">
        <f t="shared" si="25"/>
        <v>-1.0000000000000009E-2</v>
      </c>
      <c r="F98" s="109">
        <f ca="1">IF(表2_36716262930389121314152324[[#This Row],[累计净值]]/MAX(INDIRECT("B21:B" &amp; ROW()))-1&lt;F97,表2_36716262930389121314152324[[#This Row],[累计净值]]/MAX(INDIRECT("B21:B" &amp; ROW()))-1,F97)</f>
        <v>-9.2334494773519071E-2</v>
      </c>
      <c r="G98" s="110">
        <f>表2_36716262930389121314152324[[#This Row],[累计净值]]</f>
        <v>1.0740000000000001</v>
      </c>
      <c r="H98" s="20">
        <f>表2_36716262930389121314152324[[#This Row],[累计净值]]/$B$21-1</f>
        <v>-6.1188811188811032E-2</v>
      </c>
    </row>
    <row r="99" spans="1:8">
      <c r="A99" s="15">
        <v>44144</v>
      </c>
      <c r="B99" s="112">
        <v>1.097</v>
      </c>
      <c r="C99" s="112">
        <f>C98*(1+表2_36716262930389121314152324[[#This Row],[每日盈亏]])</f>
        <v>1.0132194444674416</v>
      </c>
      <c r="D99" s="108">
        <f t="shared" si="24"/>
        <v>2.2999999999999909E-2</v>
      </c>
      <c r="E99" s="109" t="str">
        <f t="shared" si="25"/>
        <v>/</v>
      </c>
      <c r="F99" s="109">
        <f ca="1">IF(表2_36716262930389121314152324[[#This Row],[累计净值]]/MAX(INDIRECT("B21:B" &amp; ROW()))-1&lt;F98,表2_36716262930389121314152324[[#This Row],[累计净值]]/MAX(INDIRECT("B21:B" &amp; ROW()))-1,F98)</f>
        <v>-9.2334494773519071E-2</v>
      </c>
      <c r="G99" s="110">
        <f>表2_36716262930389121314152324[[#This Row],[累计净值]]</f>
        <v>1.097</v>
      </c>
      <c r="H99" s="20">
        <f>表2_36716262930389121314152324[[#This Row],[累计净值]]/$B$21-1</f>
        <v>-4.1083916083916039E-2</v>
      </c>
    </row>
    <row r="100" spans="1:8">
      <c r="A100" s="15">
        <v>44145</v>
      </c>
      <c r="B100" s="112">
        <v>1.0860000000000001</v>
      </c>
      <c r="C100" s="112">
        <f>C99*(1+表2_36716262930389121314152324[[#This Row],[每日盈亏]])</f>
        <v>1.0020740305782998</v>
      </c>
      <c r="D100" s="108">
        <f t="shared" si="24"/>
        <v>-1.0999999999999899E-2</v>
      </c>
      <c r="E100" s="109">
        <f t="shared" si="25"/>
        <v>-1.0999999999999899E-2</v>
      </c>
      <c r="F100" s="109">
        <f ca="1">IF(表2_36716262930389121314152324[[#This Row],[累计净值]]/MAX(INDIRECT("B21:B" &amp; ROW()))-1&lt;F99,表2_36716262930389121314152324[[#This Row],[累计净值]]/MAX(INDIRECT("B21:B" &amp; ROW()))-1,F99)</f>
        <v>-9.2334494773519071E-2</v>
      </c>
      <c r="G100" s="110">
        <f>表2_36716262930389121314152324[[#This Row],[累计净值]]</f>
        <v>1.0860000000000001</v>
      </c>
      <c r="H100" s="20">
        <f>表2_36716262930389121314152324[[#This Row],[累计净值]]/$B$21-1</f>
        <v>-5.0699300699300509E-2</v>
      </c>
    </row>
    <row r="101" spans="1:8">
      <c r="A101" s="15">
        <v>44146</v>
      </c>
      <c r="B101" s="112">
        <v>1.07</v>
      </c>
      <c r="C101" s="112">
        <f>C100*(1+表2_36716262930389121314152324[[#This Row],[每日盈亏]])</f>
        <v>0.98604084608904696</v>
      </c>
      <c r="D101" s="108">
        <f t="shared" si="24"/>
        <v>-1.6000000000000014E-2</v>
      </c>
      <c r="E101" s="109">
        <f t="shared" si="25"/>
        <v>-1.6000000000000014E-2</v>
      </c>
      <c r="F101" s="109">
        <f ca="1">IF(表2_36716262930389121314152324[[#This Row],[累计净值]]/MAX(INDIRECT("B21:B" &amp; ROW()))-1&lt;F100,表2_36716262930389121314152324[[#This Row],[累计净值]]/MAX(INDIRECT("B21:B" &amp; ROW()))-1,F100)</f>
        <v>-9.2334494773519071E-2</v>
      </c>
      <c r="G101" s="110">
        <f>表2_36716262930389121314152324[[#This Row],[累计净值]]</f>
        <v>1.07</v>
      </c>
      <c r="H101" s="20">
        <f>表2_36716262930389121314152324[[#This Row],[累计净值]]/$B$21-1</f>
        <v>-6.4685314685314577E-2</v>
      </c>
    </row>
    <row r="102" spans="1:8">
      <c r="A102" s="15">
        <v>44147</v>
      </c>
      <c r="B102" s="112">
        <v>1.0740000000000001</v>
      </c>
      <c r="C102" s="112">
        <f>C101*(1+表2_36716262930389121314152324[[#This Row],[每日盈亏]])</f>
        <v>0.98998500947340318</v>
      </c>
      <c r="D102" s="108">
        <f t="shared" si="24"/>
        <v>4.0000000000000036E-3</v>
      </c>
      <c r="E102" s="109" t="str">
        <f t="shared" si="25"/>
        <v>/</v>
      </c>
      <c r="F102" s="109">
        <f ca="1">IF(表2_36716262930389121314152324[[#This Row],[累计净值]]/MAX(INDIRECT("B21:B" &amp; ROW()))-1&lt;F101,表2_36716262930389121314152324[[#This Row],[累计净值]]/MAX(INDIRECT("B21:B" &amp; ROW()))-1,F101)</f>
        <v>-9.2334494773519071E-2</v>
      </c>
      <c r="G102" s="110">
        <f>表2_36716262930389121314152324[[#This Row],[累计净值]]</f>
        <v>1.0740000000000001</v>
      </c>
      <c r="H102" s="20">
        <f>表2_36716262930389121314152324[[#This Row],[累计净值]]/$B$21-1</f>
        <v>-6.1188811188811032E-2</v>
      </c>
    </row>
    <row r="103" spans="1:8">
      <c r="A103" s="15">
        <v>44148</v>
      </c>
      <c r="B103" s="112">
        <v>1.0720000000000001</v>
      </c>
      <c r="C103" s="112">
        <f>C102*(1+表2_36716262930389121314152324[[#This Row],[每日盈亏]])</f>
        <v>0.98800503945445639</v>
      </c>
      <c r="D103" s="108">
        <f t="shared" ref="D103:D108" si="26">IFERROR(B103-B102,0)</f>
        <v>-2.0000000000000018E-3</v>
      </c>
      <c r="E103" s="109">
        <f t="shared" ref="E103:E108" si="27">IF(D103&lt;0,D103,"/")</f>
        <v>-2.0000000000000018E-3</v>
      </c>
      <c r="F103" s="109">
        <f ca="1">IF(表2_36716262930389121314152324[[#This Row],[累计净值]]/MAX(INDIRECT("B21:B" &amp; ROW()))-1&lt;F102,表2_36716262930389121314152324[[#This Row],[累计净值]]/MAX(INDIRECT("B21:B" &amp; ROW()))-1,F102)</f>
        <v>-9.2334494773519071E-2</v>
      </c>
      <c r="G103" s="110">
        <f>表2_36716262930389121314152324[[#This Row],[累计净值]]</f>
        <v>1.0720000000000001</v>
      </c>
      <c r="H103" s="20">
        <f>表2_36716262930389121314152324[[#This Row],[累计净值]]/$B$21-1</f>
        <v>-6.2937062937062804E-2</v>
      </c>
    </row>
    <row r="104" spans="1:8">
      <c r="A104" s="15">
        <v>44151</v>
      </c>
      <c r="B104" s="112">
        <v>1.079</v>
      </c>
      <c r="C104" s="112">
        <f>C103*(1+表2_36716262930389121314152324[[#This Row],[每日盈亏]])</f>
        <v>0.99492107473063751</v>
      </c>
      <c r="D104" s="108">
        <f t="shared" si="26"/>
        <v>6.9999999999998952E-3</v>
      </c>
      <c r="E104" s="109" t="str">
        <f t="shared" si="27"/>
        <v>/</v>
      </c>
      <c r="F104" s="109">
        <f ca="1">IF(表2_36716262930389121314152324[[#This Row],[累计净值]]/MAX(INDIRECT("B21:B" &amp; ROW()))-1&lt;F103,表2_36716262930389121314152324[[#This Row],[累计净值]]/MAX(INDIRECT("B21:B" &amp; ROW()))-1,F103)</f>
        <v>-9.2334494773519071E-2</v>
      </c>
      <c r="G104" s="110">
        <f>表2_36716262930389121314152324[[#This Row],[累计净值]]</f>
        <v>1.079</v>
      </c>
      <c r="H104" s="20">
        <f>表2_36716262930389121314152324[[#This Row],[累计净值]]/$B$21-1</f>
        <v>-5.6818181818181768E-2</v>
      </c>
    </row>
    <row r="105" spans="1:8">
      <c r="A105" s="15">
        <v>44152</v>
      </c>
      <c r="B105" s="112">
        <v>1.071</v>
      </c>
      <c r="C105" s="112">
        <f>C104*(1+表2_36716262930389121314152324[[#This Row],[每日盈亏]])</f>
        <v>0.98696170613279244</v>
      </c>
      <c r="D105" s="108">
        <f t="shared" si="26"/>
        <v>-8.0000000000000071E-3</v>
      </c>
      <c r="E105" s="109">
        <f t="shared" si="27"/>
        <v>-8.0000000000000071E-3</v>
      </c>
      <c r="F105" s="109">
        <f ca="1">IF(表2_36716262930389121314152324[[#This Row],[累计净值]]/MAX(INDIRECT("B21:B" &amp; ROW()))-1&lt;F104,表2_36716262930389121314152324[[#This Row],[累计净值]]/MAX(INDIRECT("B21:B" &amp; ROW()))-1,F104)</f>
        <v>-9.2334494773519071E-2</v>
      </c>
      <c r="G105" s="110">
        <f>表2_36716262930389121314152324[[#This Row],[累计净值]]</f>
        <v>1.071</v>
      </c>
      <c r="H105" s="20">
        <f>表2_36716262930389121314152324[[#This Row],[累计净值]]/$B$21-1</f>
        <v>-6.3811188811188746E-2</v>
      </c>
    </row>
    <row r="106" spans="1:8">
      <c r="A106" s="15">
        <v>44153</v>
      </c>
      <c r="B106" s="112">
        <v>1.0720000000000001</v>
      </c>
      <c r="C106" s="112">
        <f>C105*(1+表2_36716262930389121314152324[[#This Row],[每日盈亏]])</f>
        <v>0.98794866783892532</v>
      </c>
      <c r="D106" s="108">
        <f t="shared" si="26"/>
        <v>1.0000000000001119E-3</v>
      </c>
      <c r="E106" s="109" t="str">
        <f t="shared" si="27"/>
        <v>/</v>
      </c>
      <c r="F106" s="109">
        <f ca="1">IF(表2_36716262930389121314152324[[#This Row],[累计净值]]/MAX(INDIRECT("B21:B" &amp; ROW()))-1&lt;F105,表2_36716262930389121314152324[[#This Row],[累计净值]]/MAX(INDIRECT("B21:B" &amp; ROW()))-1,F105)</f>
        <v>-9.2334494773519071E-2</v>
      </c>
      <c r="G106" s="110">
        <f>表2_36716262930389121314152324[[#This Row],[累计净值]]</f>
        <v>1.0720000000000001</v>
      </c>
      <c r="H106" s="20">
        <f>表2_36716262930389121314152324[[#This Row],[累计净值]]/$B$21-1</f>
        <v>-6.2937062937062804E-2</v>
      </c>
    </row>
    <row r="107" spans="1:8">
      <c r="A107" s="15">
        <v>44154</v>
      </c>
      <c r="B107" s="112">
        <v>1.0780000000000001</v>
      </c>
      <c r="C107" s="112">
        <f>C106*(1+表2_36716262930389121314152324[[#This Row],[每日盈亏]])</f>
        <v>0.9938763598459589</v>
      </c>
      <c r="D107" s="108">
        <f t="shared" si="26"/>
        <v>6.0000000000000053E-3</v>
      </c>
      <c r="E107" s="109" t="str">
        <f t="shared" si="27"/>
        <v>/</v>
      </c>
      <c r="F107" s="109">
        <f ca="1">IF(表2_36716262930389121314152324[[#This Row],[累计净值]]/MAX(INDIRECT("B21:B" &amp; ROW()))-1&lt;F106,表2_36716262930389121314152324[[#This Row],[累计净值]]/MAX(INDIRECT("B21:B" &amp; ROW()))-1,F106)</f>
        <v>-9.2334494773519071E-2</v>
      </c>
      <c r="G107" s="110">
        <f>表2_36716262930389121314152324[[#This Row],[累计净值]]</f>
        <v>1.0780000000000001</v>
      </c>
      <c r="H107" s="20">
        <f>表2_36716262930389121314152324[[#This Row],[累计净值]]/$B$21-1</f>
        <v>-5.7692307692307598E-2</v>
      </c>
    </row>
    <row r="108" spans="1:8">
      <c r="A108" s="15">
        <v>44155</v>
      </c>
      <c r="B108" s="112">
        <v>1.0860000000000001</v>
      </c>
      <c r="C108" s="112">
        <f>C107*(1+表2_36716262930389121314152324[[#This Row],[每日盈亏]])</f>
        <v>1.0018273707247265</v>
      </c>
      <c r="D108" s="108">
        <f t="shared" si="26"/>
        <v>8.0000000000000071E-3</v>
      </c>
      <c r="E108" s="109" t="str">
        <f t="shared" si="27"/>
        <v>/</v>
      </c>
      <c r="F108" s="109">
        <f ca="1">IF(表2_36716262930389121314152324[[#This Row],[累计净值]]/MAX(INDIRECT("B21:B" &amp; ROW()))-1&lt;F107,表2_36716262930389121314152324[[#This Row],[累计净值]]/MAX(INDIRECT("B21:B" &amp; ROW()))-1,F107)</f>
        <v>-9.2334494773519071E-2</v>
      </c>
      <c r="G108" s="110">
        <f>表2_36716262930389121314152324[[#This Row],[累计净值]]</f>
        <v>1.0860000000000001</v>
      </c>
      <c r="H108" s="20">
        <f>表2_36716262930389121314152324[[#This Row],[累计净值]]/$B$21-1</f>
        <v>-5.0699300699300509E-2</v>
      </c>
    </row>
    <row r="109" spans="1:8">
      <c r="A109" s="15">
        <v>44158</v>
      </c>
      <c r="B109" s="112">
        <v>1.095</v>
      </c>
      <c r="C109" s="112">
        <f>C108*(1+表2_36716262930389121314152324[[#This Row],[每日盈亏]])</f>
        <v>1.010843817061249</v>
      </c>
      <c r="D109" s="108">
        <f t="shared" ref="D109:D114" si="28">IFERROR(B109-B108,0)</f>
        <v>8.999999999999897E-3</v>
      </c>
      <c r="E109" s="109" t="str">
        <f t="shared" ref="E109:E114" si="29">IF(D109&lt;0,D109,"/")</f>
        <v>/</v>
      </c>
      <c r="F109" s="109">
        <f ca="1">IF(表2_36716262930389121314152324[[#This Row],[累计净值]]/MAX(INDIRECT("B21:B" &amp; ROW()))-1&lt;F108,表2_36716262930389121314152324[[#This Row],[累计净值]]/MAX(INDIRECT("B21:B" &amp; ROW()))-1,F108)</f>
        <v>-9.2334494773519071E-2</v>
      </c>
      <c r="G109" s="110">
        <f>表2_36716262930389121314152324[[#This Row],[累计净值]]</f>
        <v>1.095</v>
      </c>
      <c r="H109" s="20">
        <f>表2_36716262930389121314152324[[#This Row],[累计净值]]/$B$21-1</f>
        <v>-4.2832167832167811E-2</v>
      </c>
    </row>
    <row r="110" spans="1:8">
      <c r="A110" s="15">
        <v>44159</v>
      </c>
      <c r="B110" s="112">
        <v>1.095</v>
      </c>
      <c r="C110" s="112">
        <f>C109*(1+表2_36716262930389121314152324[[#This Row],[每日盈亏]])</f>
        <v>1.010843817061249</v>
      </c>
      <c r="D110" s="108">
        <f t="shared" si="28"/>
        <v>0</v>
      </c>
      <c r="E110" s="109" t="str">
        <f t="shared" si="29"/>
        <v>/</v>
      </c>
      <c r="F110" s="109">
        <f ca="1">IF(表2_36716262930389121314152324[[#This Row],[累计净值]]/MAX(INDIRECT("B21:B" &amp; ROW()))-1&lt;F109,表2_36716262930389121314152324[[#This Row],[累计净值]]/MAX(INDIRECT("B21:B" &amp; ROW()))-1,F109)</f>
        <v>-9.2334494773519071E-2</v>
      </c>
      <c r="G110" s="110">
        <f>表2_36716262930389121314152324[[#This Row],[累计净值]]</f>
        <v>1.095</v>
      </c>
      <c r="H110" s="20">
        <f>表2_36716262930389121314152324[[#This Row],[累计净值]]/$B$21-1</f>
        <v>-4.2832167832167811E-2</v>
      </c>
    </row>
    <row r="111" spans="1:8">
      <c r="A111" s="15">
        <v>44160</v>
      </c>
      <c r="B111" s="112">
        <v>1.077</v>
      </c>
      <c r="C111" s="112">
        <f>C110*(1+表2_36716262930389121314152324[[#This Row],[每日盈亏]])</f>
        <v>0.99264862835414658</v>
      </c>
      <c r="D111" s="108">
        <f t="shared" si="28"/>
        <v>-1.8000000000000016E-2</v>
      </c>
      <c r="E111" s="109">
        <f t="shared" si="29"/>
        <v>-1.8000000000000016E-2</v>
      </c>
      <c r="F111" s="109">
        <f ca="1">IF(表2_36716262930389121314152324[[#This Row],[累计净值]]/MAX(INDIRECT("B21:B" &amp; ROW()))-1&lt;F110,表2_36716262930389121314152324[[#This Row],[累计净值]]/MAX(INDIRECT("B21:B" &amp; ROW()))-1,F110)</f>
        <v>-9.2334494773519071E-2</v>
      </c>
      <c r="G111" s="110">
        <f>表2_36716262930389121314152324[[#This Row],[累计净值]]</f>
        <v>1.077</v>
      </c>
      <c r="H111" s="20">
        <f>表2_36716262930389121314152324[[#This Row],[累计净值]]/$B$21-1</f>
        <v>-5.856643356643354E-2</v>
      </c>
    </row>
    <row r="112" spans="1:8">
      <c r="A112" s="15">
        <v>44161</v>
      </c>
      <c r="B112" s="112">
        <v>1.0720000000000001</v>
      </c>
      <c r="C112" s="112">
        <f>C111*(1+表2_36716262930389121314152324[[#This Row],[每日盈亏]])</f>
        <v>0.98768538521237592</v>
      </c>
      <c r="D112" s="108">
        <f t="shared" si="28"/>
        <v>-4.9999999999998934E-3</v>
      </c>
      <c r="E112" s="109">
        <f t="shared" si="29"/>
        <v>-4.9999999999998934E-3</v>
      </c>
      <c r="F112" s="109">
        <f ca="1">IF(表2_36716262930389121314152324[[#This Row],[累计净值]]/MAX(INDIRECT("B21:B" &amp; ROW()))-1&lt;F111,表2_36716262930389121314152324[[#This Row],[累计净值]]/MAX(INDIRECT("B21:B" &amp; ROW()))-1,F111)</f>
        <v>-9.2334494773519071E-2</v>
      </c>
      <c r="G112" s="110">
        <f>表2_36716262930389121314152324[[#This Row],[累计净值]]</f>
        <v>1.0720000000000001</v>
      </c>
      <c r="H112" s="20">
        <f>表2_36716262930389121314152324[[#This Row],[累计净值]]/$B$21-1</f>
        <v>-6.2937062937062804E-2</v>
      </c>
    </row>
    <row r="113" spans="1:8">
      <c r="A113" s="15">
        <v>44162</v>
      </c>
      <c r="B113" s="112">
        <v>1.069</v>
      </c>
      <c r="C113" s="112">
        <f>C112*(1+表2_36716262930389121314152324[[#This Row],[每日盈亏]])</f>
        <v>0.98472232905673873</v>
      </c>
      <c r="D113" s="108">
        <f t="shared" si="28"/>
        <v>-3.0000000000001137E-3</v>
      </c>
      <c r="E113" s="109">
        <f t="shared" si="29"/>
        <v>-3.0000000000001137E-3</v>
      </c>
      <c r="F113" s="109">
        <f ca="1">IF(表2_36716262930389121314152324[[#This Row],[累计净值]]/MAX(INDIRECT("B21:B" &amp; ROW()))-1&lt;F112,表2_36716262930389121314152324[[#This Row],[累计净值]]/MAX(INDIRECT("B21:B" &amp; ROW()))-1,F112)</f>
        <v>-9.2334494773519071E-2</v>
      </c>
      <c r="G113" s="110">
        <f>表2_36716262930389121314152324[[#This Row],[累计净值]]</f>
        <v>1.069</v>
      </c>
      <c r="H113" s="20">
        <f>表2_36716262930389121314152324[[#This Row],[累计净值]]/$B$21-1</f>
        <v>-6.5559440559440518E-2</v>
      </c>
    </row>
    <row r="114" spans="1:8">
      <c r="A114" s="15">
        <v>44165</v>
      </c>
      <c r="B114" s="112">
        <v>1.0620000000000001</v>
      </c>
      <c r="C114" s="112">
        <f>C113*(1+表2_36716262930389121314152324[[#This Row],[每日盈亏]])</f>
        <v>0.97782927275334164</v>
      </c>
      <c r="D114" s="108">
        <f t="shared" si="28"/>
        <v>-6.9999999999998952E-3</v>
      </c>
      <c r="E114" s="109">
        <f t="shared" si="29"/>
        <v>-6.9999999999998952E-3</v>
      </c>
      <c r="F114" s="109">
        <f ca="1">IF(表2_36716262930389121314152324[[#This Row],[累计净值]]/MAX(INDIRECT("B21:B" &amp; ROW()))-1&lt;F113,表2_36716262930389121314152324[[#This Row],[累计净值]]/MAX(INDIRECT("B21:B" &amp; ROW()))-1,F113)</f>
        <v>-9.2334494773519071E-2</v>
      </c>
      <c r="G114" s="110">
        <f>表2_36716262930389121314152324[[#This Row],[累计净值]]</f>
        <v>1.0620000000000001</v>
      </c>
      <c r="H114" s="20">
        <f>表2_36716262930389121314152324[[#This Row],[累计净值]]/$B$21-1</f>
        <v>-7.1678321678321555E-2</v>
      </c>
    </row>
    <row r="115" spans="1:8">
      <c r="A115" s="15">
        <v>44166</v>
      </c>
      <c r="B115" s="112">
        <v>1.0760000000000001</v>
      </c>
      <c r="C115" s="112">
        <f>C114*(1+表2_36716262930389121314152324[[#This Row],[每日盈亏]])</f>
        <v>0.99151888257188847</v>
      </c>
      <c r="D115" s="108">
        <f t="shared" ref="D115:D120" si="30">IFERROR(B115-B114,0)</f>
        <v>1.4000000000000012E-2</v>
      </c>
      <c r="E115" s="109" t="str">
        <f t="shared" ref="E115:E120" si="31">IF(D115&lt;0,D115,"/")</f>
        <v>/</v>
      </c>
      <c r="F115" s="109">
        <f ca="1">IF(表2_36716262930389121314152324[[#This Row],[累计净值]]/MAX(INDIRECT("B21:B" &amp; ROW()))-1&lt;F114,表2_36716262930389121314152324[[#This Row],[累计净值]]/MAX(INDIRECT("B21:B" &amp; ROW()))-1,F114)</f>
        <v>-9.2334494773519071E-2</v>
      </c>
      <c r="G115" s="110">
        <f>表2_36716262930389121314152324[[#This Row],[累计净值]]</f>
        <v>1.0760000000000001</v>
      </c>
      <c r="H115" s="20">
        <f>表2_36716262930389121314152324[[#This Row],[累计净值]]/$B$21-1</f>
        <v>-5.944055944055926E-2</v>
      </c>
    </row>
    <row r="116" spans="1:8">
      <c r="A116" s="15">
        <v>44167</v>
      </c>
      <c r="B116" s="112">
        <v>1.0820000000000001</v>
      </c>
      <c r="C116" s="112">
        <f>C115*(1+表2_36716262930389121314152324[[#This Row],[每日盈亏]])</f>
        <v>0.99746799586731982</v>
      </c>
      <c r="D116" s="108">
        <f t="shared" si="30"/>
        <v>6.0000000000000053E-3</v>
      </c>
      <c r="E116" s="109" t="str">
        <f t="shared" si="31"/>
        <v>/</v>
      </c>
      <c r="F116" s="109">
        <f ca="1">IF(表2_36716262930389121314152324[[#This Row],[累计净值]]/MAX(INDIRECT("B21:B" &amp; ROW()))-1&lt;F115,表2_36716262930389121314152324[[#This Row],[累计净值]]/MAX(INDIRECT("B21:B" &amp; ROW()))-1,F115)</f>
        <v>-9.2334494773519071E-2</v>
      </c>
      <c r="G116" s="110">
        <f>表2_36716262930389121314152324[[#This Row],[累计净值]]</f>
        <v>1.0820000000000001</v>
      </c>
      <c r="H116" s="20">
        <f>表2_36716262930389121314152324[[#This Row],[累计净值]]/$B$21-1</f>
        <v>-5.4195804195804054E-2</v>
      </c>
    </row>
    <row r="117" spans="1:8">
      <c r="A117" s="15">
        <v>44168</v>
      </c>
      <c r="B117" s="112">
        <v>1.081</v>
      </c>
      <c r="C117" s="112">
        <f>C116*(1+表2_36716262930389121314152324[[#This Row],[每日盈亏]])</f>
        <v>0.99647052787145241</v>
      </c>
      <c r="D117" s="108">
        <f t="shared" si="30"/>
        <v>-1.0000000000001119E-3</v>
      </c>
      <c r="E117" s="109">
        <f t="shared" si="31"/>
        <v>-1.0000000000001119E-3</v>
      </c>
      <c r="F117" s="109">
        <f ca="1">IF(表2_36716262930389121314152324[[#This Row],[累计净值]]/MAX(INDIRECT("B21:B" &amp; ROW()))-1&lt;F116,表2_36716262930389121314152324[[#This Row],[累计净值]]/MAX(INDIRECT("B21:B" &amp; ROW()))-1,F116)</f>
        <v>-9.2334494773519071E-2</v>
      </c>
      <c r="G117" s="110">
        <f>表2_36716262930389121314152324[[#This Row],[累计净值]]</f>
        <v>1.081</v>
      </c>
      <c r="H117" s="20">
        <f>表2_36716262930389121314152324[[#This Row],[累计净值]]/$B$21-1</f>
        <v>-5.5069930069929995E-2</v>
      </c>
    </row>
    <row r="118" spans="1:8">
      <c r="A118" s="15">
        <v>44169</v>
      </c>
      <c r="B118" s="112">
        <v>1.0920000000000001</v>
      </c>
      <c r="C118" s="112">
        <f>C117*(1+表2_36716262930389121314152324[[#This Row],[每日盈亏]])</f>
        <v>1.0074317036780385</v>
      </c>
      <c r="D118" s="108">
        <f t="shared" si="30"/>
        <v>1.1000000000000121E-2</v>
      </c>
      <c r="E118" s="109" t="str">
        <f t="shared" si="31"/>
        <v>/</v>
      </c>
      <c r="F118" s="109">
        <f ca="1">IF(表2_36716262930389121314152324[[#This Row],[累计净值]]/MAX(INDIRECT("B21:B" &amp; ROW()))-1&lt;F117,表2_36716262930389121314152324[[#This Row],[累计净值]]/MAX(INDIRECT("B21:B" &amp; ROW()))-1,F117)</f>
        <v>-9.2334494773519071E-2</v>
      </c>
      <c r="G118" s="110">
        <f>表2_36716262930389121314152324[[#This Row],[累计净值]]</f>
        <v>1.0920000000000001</v>
      </c>
      <c r="H118" s="20">
        <f>表2_36716262930389121314152324[[#This Row],[累计净值]]/$B$21-1</f>
        <v>-4.5454545454545303E-2</v>
      </c>
    </row>
    <row r="119" spans="1:8">
      <c r="A119" s="15">
        <v>44172</v>
      </c>
      <c r="B119" s="112">
        <v>1.0960000000000001</v>
      </c>
      <c r="C119" s="112">
        <f>C118*(1+表2_36716262930389121314152324[[#This Row],[每日盈亏]])</f>
        <v>1.0114614304927507</v>
      </c>
      <c r="D119" s="108">
        <f t="shared" si="30"/>
        <v>4.0000000000000036E-3</v>
      </c>
      <c r="E119" s="109" t="str">
        <f t="shared" si="31"/>
        <v>/</v>
      </c>
      <c r="F119" s="109">
        <f ca="1">IF(表2_36716262930389121314152324[[#This Row],[累计净值]]/MAX(INDIRECT("B21:B" &amp; ROW()))-1&lt;F118,表2_36716262930389121314152324[[#This Row],[累计净值]]/MAX(INDIRECT("B21:B" &amp; ROW()))-1,F118)</f>
        <v>-9.2334494773519071E-2</v>
      </c>
      <c r="G119" s="110">
        <f>表2_36716262930389121314152324[[#This Row],[累计净值]]</f>
        <v>1.0960000000000001</v>
      </c>
      <c r="H119" s="20">
        <f>表2_36716262930389121314152324[[#This Row],[累计净值]]/$B$21-1</f>
        <v>-4.1958041958041759E-2</v>
      </c>
    </row>
    <row r="120" spans="1:8">
      <c r="A120" s="15">
        <v>44173</v>
      </c>
      <c r="B120" s="112">
        <v>1.0900000000000001</v>
      </c>
      <c r="C120" s="112">
        <f>C119*(1+表2_36716262930389121314152324[[#This Row],[每日盈亏]])</f>
        <v>1.0053926619097941</v>
      </c>
      <c r="D120" s="108">
        <f t="shared" si="30"/>
        <v>-6.0000000000000053E-3</v>
      </c>
      <c r="E120" s="109">
        <f t="shared" si="31"/>
        <v>-6.0000000000000053E-3</v>
      </c>
      <c r="F120" s="109">
        <f ca="1">IF(表2_36716262930389121314152324[[#This Row],[累计净值]]/MAX(INDIRECT("B21:B" &amp; ROW()))-1&lt;F119,表2_36716262930389121314152324[[#This Row],[累计净值]]/MAX(INDIRECT("B21:B" &amp; ROW()))-1,F119)</f>
        <v>-9.2334494773519071E-2</v>
      </c>
      <c r="G120" s="110">
        <f>表2_36716262930389121314152324[[#This Row],[累计净值]]</f>
        <v>1.0900000000000001</v>
      </c>
      <c r="H120" s="20">
        <f>表2_36716262930389121314152324[[#This Row],[累计净值]]/$B$21-1</f>
        <v>-4.7202797202797075E-2</v>
      </c>
    </row>
    <row r="121" spans="1:8">
      <c r="A121" s="15">
        <v>44174</v>
      </c>
      <c r="B121" s="112">
        <v>1.08</v>
      </c>
      <c r="C121" s="112">
        <f>C120*(1+表2_36716262930389121314152324[[#This Row],[每日盈亏]])</f>
        <v>0.99533873529069616</v>
      </c>
      <c r="D121" s="108">
        <f t="shared" ref="D121:D126" si="32">IFERROR(B121-B120,0)</f>
        <v>-1.0000000000000009E-2</v>
      </c>
      <c r="E121" s="109">
        <f t="shared" ref="E121:E126" si="33">IF(D121&lt;0,D121,"/")</f>
        <v>-1.0000000000000009E-2</v>
      </c>
      <c r="F121" s="109">
        <f ca="1">IF(表2_36716262930389121314152324[[#This Row],[累计净值]]/MAX(INDIRECT("B21:B" &amp; ROW()))-1&lt;F120,表2_36716262930389121314152324[[#This Row],[累计净值]]/MAX(INDIRECT("B21:B" &amp; ROW()))-1,F120)</f>
        <v>-9.2334494773519071E-2</v>
      </c>
      <c r="G121" s="110">
        <f>表2_36716262930389121314152324[[#This Row],[累计净值]]</f>
        <v>1.08</v>
      </c>
      <c r="H121" s="20">
        <f>表2_36716262930389121314152324[[#This Row],[累计净值]]/$B$21-1</f>
        <v>-5.5944055944055826E-2</v>
      </c>
    </row>
    <row r="122" spans="1:8">
      <c r="A122" s="15">
        <v>44175</v>
      </c>
      <c r="B122" s="112">
        <v>1.091</v>
      </c>
      <c r="C122" s="112">
        <f>C121*(1+表2_36716262930389121314152324[[#This Row],[每日盈亏]])</f>
        <v>1.0062874613788937</v>
      </c>
      <c r="D122" s="108">
        <f t="shared" si="32"/>
        <v>1.0999999999999899E-2</v>
      </c>
      <c r="E122" s="109" t="str">
        <f t="shared" si="33"/>
        <v>/</v>
      </c>
      <c r="F122" s="109">
        <f ca="1">IF(表2_36716262930389121314152324[[#This Row],[累计净值]]/MAX(INDIRECT("B21:B" &amp; ROW()))-1&lt;F121,表2_36716262930389121314152324[[#This Row],[累计净值]]/MAX(INDIRECT("B21:B" &amp; ROW()))-1,F121)</f>
        <v>-9.2334494773519071E-2</v>
      </c>
      <c r="G122" s="110">
        <f>表2_36716262930389121314152324[[#This Row],[累计净值]]</f>
        <v>1.091</v>
      </c>
      <c r="H122" s="20">
        <f>表2_36716262930389121314152324[[#This Row],[累计净值]]/$B$21-1</f>
        <v>-4.6328671328671245E-2</v>
      </c>
    </row>
    <row r="123" spans="1:8">
      <c r="A123" s="15">
        <v>44176</v>
      </c>
      <c r="B123" s="112">
        <v>1.0820000000000001</v>
      </c>
      <c r="C123" s="112">
        <f>C122*(1+表2_36716262930389121314152324[[#This Row],[每日盈亏]])</f>
        <v>0.99723087422648371</v>
      </c>
      <c r="D123" s="108">
        <f t="shared" si="32"/>
        <v>-8.999999999999897E-3</v>
      </c>
      <c r="E123" s="109">
        <f t="shared" si="33"/>
        <v>-8.999999999999897E-3</v>
      </c>
      <c r="F123" s="109">
        <f ca="1">IF(表2_36716262930389121314152324[[#This Row],[累计净值]]/MAX(INDIRECT("B21:B" &amp; ROW()))-1&lt;F122,表2_36716262930389121314152324[[#This Row],[累计净值]]/MAX(INDIRECT("B21:B" &amp; ROW()))-1,F122)</f>
        <v>-9.2334494773519071E-2</v>
      </c>
      <c r="G123" s="110">
        <f>表2_36716262930389121314152324[[#This Row],[累计净值]]</f>
        <v>1.0820000000000001</v>
      </c>
      <c r="H123" s="20">
        <f>表2_36716262930389121314152324[[#This Row],[累计净值]]/$B$21-1</f>
        <v>-5.4195804195804054E-2</v>
      </c>
    </row>
    <row r="124" spans="1:8">
      <c r="A124" s="15">
        <v>44179</v>
      </c>
      <c r="B124" s="112">
        <v>1.0820000000000001</v>
      </c>
      <c r="C124" s="112">
        <f>C123*(1+表2_36716262930389121314152324[[#This Row],[每日盈亏]])</f>
        <v>0.99723087422648371</v>
      </c>
      <c r="D124" s="108">
        <f t="shared" si="32"/>
        <v>0</v>
      </c>
      <c r="E124" s="109" t="str">
        <f t="shared" si="33"/>
        <v>/</v>
      </c>
      <c r="F124" s="109">
        <f ca="1">IF(表2_36716262930389121314152324[[#This Row],[累计净值]]/MAX(INDIRECT("B21:B" &amp; ROW()))-1&lt;F123,表2_36716262930389121314152324[[#This Row],[累计净值]]/MAX(INDIRECT("B21:B" &amp; ROW()))-1,F123)</f>
        <v>-9.2334494773519071E-2</v>
      </c>
      <c r="G124" s="110">
        <f>表2_36716262930389121314152324[[#This Row],[累计净值]]</f>
        <v>1.0820000000000001</v>
      </c>
      <c r="H124" s="20">
        <f>表2_36716262930389121314152324[[#This Row],[累计净值]]/$B$21-1</f>
        <v>-5.4195804195804054E-2</v>
      </c>
    </row>
    <row r="125" spans="1:8">
      <c r="A125" s="15">
        <v>44180</v>
      </c>
      <c r="B125" s="112">
        <v>1.079</v>
      </c>
      <c r="C125" s="112">
        <f>C124*(1+表2_36716262930389121314152324[[#This Row],[每日盈亏]])</f>
        <v>0.9942391816038042</v>
      </c>
      <c r="D125" s="108">
        <f t="shared" si="32"/>
        <v>-3.0000000000001137E-3</v>
      </c>
      <c r="E125" s="109">
        <f t="shared" si="33"/>
        <v>-3.0000000000001137E-3</v>
      </c>
      <c r="F125" s="109">
        <f ca="1">IF(表2_36716262930389121314152324[[#This Row],[累计净值]]/MAX(INDIRECT("B21:B" &amp; ROW()))-1&lt;F124,表2_36716262930389121314152324[[#This Row],[累计净值]]/MAX(INDIRECT("B21:B" &amp; ROW()))-1,F124)</f>
        <v>-9.2334494773519071E-2</v>
      </c>
      <c r="G125" s="110">
        <f>表2_36716262930389121314152324[[#This Row],[累计净值]]</f>
        <v>1.079</v>
      </c>
      <c r="H125" s="20">
        <f>表2_36716262930389121314152324[[#This Row],[累计净值]]/$B$21-1</f>
        <v>-5.6818181818181768E-2</v>
      </c>
    </row>
    <row r="126" spans="1:8">
      <c r="A126" s="15">
        <v>44181</v>
      </c>
      <c r="B126" s="112">
        <v>1.0780000000000001</v>
      </c>
      <c r="C126" s="112">
        <f>C125*(1+表2_36716262930389121314152324[[#This Row],[每日盈亏]])</f>
        <v>0.99324494242220052</v>
      </c>
      <c r="D126" s="108">
        <f t="shared" si="32"/>
        <v>-9.9999999999988987E-4</v>
      </c>
      <c r="E126" s="109">
        <f t="shared" si="33"/>
        <v>-9.9999999999988987E-4</v>
      </c>
      <c r="F126" s="109">
        <f ca="1">IF(表2_36716262930389121314152324[[#This Row],[累计净值]]/MAX(INDIRECT("B21:B" &amp; ROW()))-1&lt;F125,表2_36716262930389121314152324[[#This Row],[累计净值]]/MAX(INDIRECT("B21:B" &amp; ROW()))-1,F125)</f>
        <v>-9.2334494773519071E-2</v>
      </c>
      <c r="G126" s="110">
        <f>表2_36716262930389121314152324[[#This Row],[累计净值]]</f>
        <v>1.0780000000000001</v>
      </c>
      <c r="H126" s="20">
        <f>表2_36716262930389121314152324[[#This Row],[累计净值]]/$B$21-1</f>
        <v>-5.7692307692307598E-2</v>
      </c>
    </row>
    <row r="127" spans="1:8">
      <c r="A127" s="15">
        <v>44182</v>
      </c>
      <c r="B127" s="112">
        <v>1.083</v>
      </c>
      <c r="C127" s="112">
        <f>C126*(1+表2_36716262930389121314152324[[#This Row],[每日盈亏]])</f>
        <v>0.99821116713431146</v>
      </c>
      <c r="D127" s="108">
        <f>IFERROR(B127-B126,0)</f>
        <v>4.9999999999998934E-3</v>
      </c>
      <c r="E127" s="109" t="str">
        <f>IF(D127&lt;0,D127,"/")</f>
        <v>/</v>
      </c>
      <c r="F127" s="109">
        <f ca="1">IF(表2_36716262930389121314152324[[#This Row],[累计净值]]/MAX(INDIRECT("B21:B" &amp; ROW()))-1&lt;F126,表2_36716262930389121314152324[[#This Row],[累计净值]]/MAX(INDIRECT("B21:B" &amp; ROW()))-1,F126)</f>
        <v>-9.2334494773519071E-2</v>
      </c>
      <c r="G127" s="110">
        <f>表2_36716262930389121314152324[[#This Row],[累计净值]]</f>
        <v>1.083</v>
      </c>
      <c r="H127" s="20">
        <f>表2_36716262930389121314152324[[#This Row],[累计净值]]/$B$21-1</f>
        <v>-5.3321678321678223E-2</v>
      </c>
    </row>
    <row r="128" spans="1:8">
      <c r="A128" s="15">
        <v>44183</v>
      </c>
      <c r="B128" s="112">
        <v>1.085</v>
      </c>
      <c r="C128" s="112">
        <f>C127*(1+表2_36716262930389121314152324[[#This Row],[每日盈亏]])</f>
        <v>1.00020758946858</v>
      </c>
      <c r="D128" s="108">
        <f>IFERROR(B128-B127,0)</f>
        <v>2.0000000000000018E-3</v>
      </c>
      <c r="E128" s="109" t="str">
        <f>IF(D128&lt;0,D128,"/")</f>
        <v>/</v>
      </c>
      <c r="F128" s="109">
        <f ca="1">IF(表2_36716262930389121314152324[[#This Row],[累计净值]]/MAX(INDIRECT("B21:B" &amp; ROW()))-1&lt;F127,表2_36716262930389121314152324[[#This Row],[累计净值]]/MAX(INDIRECT("B21:B" &amp; ROW()))-1,F127)</f>
        <v>-9.2334494773519071E-2</v>
      </c>
      <c r="G128" s="110">
        <f>表2_36716262930389121314152324[[#This Row],[累计净值]]</f>
        <v>1.085</v>
      </c>
      <c r="H128" s="20">
        <f>表2_36716262930389121314152324[[#This Row],[累计净值]]/$B$21-1</f>
        <v>-5.1573426573426562E-2</v>
      </c>
    </row>
    <row r="129" spans="1:8">
      <c r="A129" s="15">
        <v>44186</v>
      </c>
      <c r="B129" s="112">
        <v>1.1100000000000001</v>
      </c>
      <c r="C129" s="112">
        <f>C128*(1+表2_36716262930389121314152324[[#This Row],[每日盈亏]])</f>
        <v>1.0252127792052947</v>
      </c>
      <c r="D129" s="108">
        <f>IFERROR(B129-B128,0)</f>
        <v>2.5000000000000133E-2</v>
      </c>
      <c r="E129" s="109" t="str">
        <f>IF(D129&lt;0,D129,"/")</f>
        <v>/</v>
      </c>
      <c r="F129" s="109">
        <f ca="1">IF(表2_36716262930389121314152324[[#This Row],[累计净值]]/MAX(INDIRECT("B21:B" &amp; ROW()))-1&lt;F128,表2_36716262930389121314152324[[#This Row],[累计净值]]/MAX(INDIRECT("B21:B" &amp; ROW()))-1,F128)</f>
        <v>-9.2334494773519071E-2</v>
      </c>
      <c r="G129" s="110">
        <f>表2_36716262930389121314152324[[#This Row],[累计净值]]</f>
        <v>1.1100000000000001</v>
      </c>
      <c r="H129" s="20">
        <f>表2_36716262930389121314152324[[#This Row],[累计净值]]/$B$21-1</f>
        <v>-2.9720279720279574E-2</v>
      </c>
    </row>
    <row r="130" spans="1:8">
      <c r="A130" s="15">
        <v>44187</v>
      </c>
      <c r="B130" s="112">
        <v>1.0900000000000001</v>
      </c>
      <c r="C130" s="112">
        <f>C129*(1+表2_36716262930389121314152324[[#This Row],[每日盈亏]])</f>
        <v>1.0047085236211888</v>
      </c>
      <c r="D130" s="108">
        <f>IFERROR(B130-B129,0)</f>
        <v>-2.0000000000000018E-2</v>
      </c>
      <c r="E130" s="109">
        <f>IF(D130&lt;0,D130,"/")</f>
        <v>-2.0000000000000018E-2</v>
      </c>
      <c r="F130" s="109">
        <f ca="1">IF(表2_36716262930389121314152324[[#This Row],[累计净值]]/MAX(INDIRECT("B21:B" &amp; ROW()))-1&lt;F129,表2_36716262930389121314152324[[#This Row],[累计净值]]/MAX(INDIRECT("B21:B" &amp; ROW()))-1,F129)</f>
        <v>-9.2334494773519071E-2</v>
      </c>
      <c r="G130" s="110">
        <f>表2_36716262930389121314152324[[#This Row],[累计净值]]</f>
        <v>1.0900000000000001</v>
      </c>
      <c r="H130" s="20">
        <f>表2_36716262930389121314152324[[#This Row],[累计净值]]/$B$21-1</f>
        <v>-4.7202797202797075E-2</v>
      </c>
    </row>
    <row r="131" spans="1:8">
      <c r="A131" s="15">
        <v>44188</v>
      </c>
      <c r="B131" s="112">
        <v>1.095</v>
      </c>
      <c r="C131" s="112">
        <f>C130*(1+表2_36716262930389121314152324[[#This Row],[每日盈亏]])</f>
        <v>1.0097320662392946</v>
      </c>
      <c r="D131" s="108">
        <f>IFERROR(B131-B130,0)</f>
        <v>4.9999999999998934E-3</v>
      </c>
      <c r="E131" s="109" t="str">
        <f>IF(D131&lt;0,D131,"/")</f>
        <v>/</v>
      </c>
      <c r="F131" s="109">
        <f ca="1">IF(表2_36716262930389121314152324[[#This Row],[累计净值]]/MAX(INDIRECT("B21:B" &amp; ROW()))-1&lt;F130,表2_36716262930389121314152324[[#This Row],[累计净值]]/MAX(INDIRECT("B21:B" &amp; ROW()))-1,F130)</f>
        <v>-9.2334494773519071E-2</v>
      </c>
      <c r="G131" s="110">
        <f>表2_36716262930389121314152324[[#This Row],[累计净值]]</f>
        <v>1.095</v>
      </c>
      <c r="H131" s="20">
        <f>表2_36716262930389121314152324[[#This Row],[累计净值]]/$B$21-1</f>
        <v>-4.2832167832167811E-2</v>
      </c>
    </row>
    <row r="132" spans="1:8">
      <c r="A132" s="15">
        <v>44189</v>
      </c>
      <c r="B132" s="112">
        <v>1.0820000000000001</v>
      </c>
      <c r="C132" s="112">
        <f>C131*(1+表2_36716262930389121314152324[[#This Row],[每日盈亏]])</f>
        <v>0.9966055493781838</v>
      </c>
      <c r="D132" s="108">
        <f t="shared" ref="D132:D133" si="34">IFERROR(B132-B131,0)</f>
        <v>-1.2999999999999901E-2</v>
      </c>
      <c r="E132" s="109">
        <f t="shared" ref="E132:E133" si="35">IF(D132&lt;0,D132,"/")</f>
        <v>-1.2999999999999901E-2</v>
      </c>
      <c r="F132" s="109">
        <f ca="1">IF(表2_36716262930389121314152324[[#This Row],[累计净值]]/MAX(INDIRECT("B21:B" &amp; ROW()))-1&lt;F131,表2_36716262930389121314152324[[#This Row],[累计净值]]/MAX(INDIRECT("B21:B" &amp; ROW()))-1,F131)</f>
        <v>-9.2334494773519071E-2</v>
      </c>
      <c r="G132" s="110">
        <f>表2_36716262930389121314152324[[#This Row],[累计净值]]</f>
        <v>1.0820000000000001</v>
      </c>
      <c r="H132" s="20">
        <f>表2_36716262930389121314152324[[#This Row],[累计净值]]/$B$21-1</f>
        <v>-5.4195804195804054E-2</v>
      </c>
    </row>
    <row r="133" spans="1:8">
      <c r="A133" s="15">
        <v>44190</v>
      </c>
      <c r="B133" s="112">
        <v>1.093</v>
      </c>
      <c r="C133" s="112">
        <f>C132*(1+表2_36716262930389121314152324[[#This Row],[每日盈亏]])</f>
        <v>1.0075682104213437</v>
      </c>
      <c r="D133" s="108">
        <f t="shared" si="34"/>
        <v>1.0999999999999899E-2</v>
      </c>
      <c r="E133" s="109" t="str">
        <f t="shared" si="35"/>
        <v>/</v>
      </c>
      <c r="F133" s="109">
        <f ca="1">IF(表2_36716262930389121314152324[[#This Row],[累计净值]]/MAX(INDIRECT("B21:B" &amp; ROW()))-1&lt;F132,表2_36716262930389121314152324[[#This Row],[累计净值]]/MAX(INDIRECT("B21:B" &amp; ROW()))-1,F132)</f>
        <v>-9.2334494773519071E-2</v>
      </c>
      <c r="G133" s="110">
        <f>表2_36716262930389121314152324[[#This Row],[累计净值]]</f>
        <v>1.093</v>
      </c>
      <c r="H133" s="20">
        <f>表2_36716262930389121314152324[[#This Row],[累计净值]]/$B$21-1</f>
        <v>-4.4580419580419473E-2</v>
      </c>
    </row>
    <row r="134" spans="1:8">
      <c r="A134" s="15">
        <v>44193</v>
      </c>
      <c r="B134" s="112">
        <v>1.0880000000000001</v>
      </c>
      <c r="C134" s="112">
        <f>C133*(1+表2_36716262930389121314152324[[#This Row],[每日盈亏]])</f>
        <v>1.0025303693692371</v>
      </c>
      <c r="D134" s="108">
        <f t="shared" ref="D134:D140" si="36">IFERROR(B134-B133,0)</f>
        <v>-4.9999999999998934E-3</v>
      </c>
      <c r="E134" s="109">
        <f t="shared" ref="E134:E140" si="37">IF(D134&lt;0,D134,"/")</f>
        <v>-4.9999999999998934E-3</v>
      </c>
      <c r="F134" s="109">
        <f ca="1">IF(表2_36716262930389121314152324[[#This Row],[累计净值]]/MAX(INDIRECT("B21:B" &amp; ROW()))-1&lt;F133,表2_36716262930389121314152324[[#This Row],[累计净值]]/MAX(INDIRECT("B21:B" &amp; ROW()))-1,F133)</f>
        <v>-9.2334494773519071E-2</v>
      </c>
      <c r="G134" s="110">
        <f>表2_36716262930389121314152324[[#This Row],[累计净值]]</f>
        <v>1.0880000000000001</v>
      </c>
      <c r="H134" s="20">
        <f>表2_36716262930389121314152324[[#This Row],[累计净值]]/$B$21-1</f>
        <v>-4.8951048951048848E-2</v>
      </c>
    </row>
    <row r="135" spans="1:8">
      <c r="A135" s="15">
        <v>44194</v>
      </c>
      <c r="B135" s="112">
        <v>1.0780000000000001</v>
      </c>
      <c r="C135" s="112">
        <f>C134*(1+表2_36716262930389121314152324[[#This Row],[每日盈亏]])</f>
        <v>0.99250506567554475</v>
      </c>
      <c r="D135" s="108">
        <f t="shared" si="36"/>
        <v>-1.0000000000000009E-2</v>
      </c>
      <c r="E135" s="109">
        <f t="shared" si="37"/>
        <v>-1.0000000000000009E-2</v>
      </c>
      <c r="F135" s="109">
        <f ca="1">IF(表2_36716262930389121314152324[[#This Row],[累计净值]]/MAX(INDIRECT("B21:B" &amp; ROW()))-1&lt;F134,表2_36716262930389121314152324[[#This Row],[累计净值]]/MAX(INDIRECT("B21:B" &amp; ROW()))-1,F134)</f>
        <v>-9.2334494773519071E-2</v>
      </c>
      <c r="G135" s="110">
        <f>表2_36716262930389121314152324[[#This Row],[累计净值]]</f>
        <v>1.0780000000000001</v>
      </c>
      <c r="H135" s="20">
        <f>表2_36716262930389121314152324[[#This Row],[累计净值]]/$B$21-1</f>
        <v>-5.7692307692307598E-2</v>
      </c>
    </row>
    <row r="136" spans="1:8">
      <c r="A136" s="15">
        <v>44195</v>
      </c>
      <c r="B136" s="112">
        <v>1.091</v>
      </c>
      <c r="C136" s="112">
        <f>C135*(1+表2_36716262930389121314152324[[#This Row],[每日盈亏]])</f>
        <v>1.0054076315293268</v>
      </c>
      <c r="D136" s="108">
        <f t="shared" si="36"/>
        <v>1.2999999999999901E-2</v>
      </c>
      <c r="E136" s="109" t="str">
        <f t="shared" si="37"/>
        <v>/</v>
      </c>
      <c r="F136" s="109">
        <f ca="1">IF(表2_36716262930389121314152324[[#This Row],[累计净值]]/MAX(INDIRECT("B21:B" &amp; ROW()))-1&lt;F135,表2_36716262930389121314152324[[#This Row],[累计净值]]/MAX(INDIRECT("B21:B" &amp; ROW()))-1,F135)</f>
        <v>-9.2334494773519071E-2</v>
      </c>
      <c r="G136" s="110">
        <f>表2_36716262930389121314152324[[#This Row],[累计净值]]</f>
        <v>1.091</v>
      </c>
      <c r="H136" s="20">
        <f>表2_36716262930389121314152324[[#This Row],[累计净值]]/$B$21-1</f>
        <v>-4.6328671328671245E-2</v>
      </c>
    </row>
    <row r="137" spans="1:8">
      <c r="A137" s="15">
        <v>44196</v>
      </c>
      <c r="B137" s="112">
        <v>1.1120000000000001</v>
      </c>
      <c r="C137" s="112">
        <f>C136*(1+表2_36716262930389121314152324[[#This Row],[每日盈亏]])</f>
        <v>1.0265211917914427</v>
      </c>
      <c r="D137" s="108">
        <f t="shared" si="36"/>
        <v>2.100000000000013E-2</v>
      </c>
      <c r="E137" s="109" t="str">
        <f t="shared" si="37"/>
        <v>/</v>
      </c>
      <c r="F137" s="109">
        <f ca="1">IF(表2_36716262930389121314152324[[#This Row],[累计净值]]/MAX(INDIRECT("B21:B" &amp; ROW()))-1&lt;F136,表2_36716262930389121314152324[[#This Row],[累计净值]]/MAX(INDIRECT("B21:B" &amp; ROW()))-1,F136)</f>
        <v>-9.2334494773519071E-2</v>
      </c>
      <c r="G137" s="110">
        <f>表2_36716262930389121314152324[[#This Row],[累计净值]]</f>
        <v>1.1120000000000001</v>
      </c>
      <c r="H137" s="20">
        <f>表2_36716262930389121314152324[[#This Row],[累计净值]]/$B$21-1</f>
        <v>-2.7972027972027802E-2</v>
      </c>
    </row>
    <row r="138" spans="1:8">
      <c r="A138" s="15">
        <v>44200</v>
      </c>
      <c r="B138" s="112">
        <v>1.135</v>
      </c>
      <c r="C138" s="112">
        <f>C137*(1+表2_36716262930389121314152324[[#This Row],[每日盈亏]])</f>
        <v>1.0501311792026458</v>
      </c>
      <c r="D138" s="108">
        <f t="shared" si="36"/>
        <v>2.2999999999999909E-2</v>
      </c>
      <c r="E138" s="109" t="str">
        <f t="shared" si="37"/>
        <v>/</v>
      </c>
      <c r="F138" s="109">
        <f ca="1">IF(表2_36716262930389121314152324[[#This Row],[累计净值]]/MAX(INDIRECT("B21:B" &amp; ROW()))-1&lt;F137,表2_36716262930389121314152324[[#This Row],[累计净值]]/MAX(INDIRECT("B21:B" &amp; ROW()))-1,F137)</f>
        <v>-9.2334494773519071E-2</v>
      </c>
      <c r="G138" s="110">
        <f>表2_36716262930389121314152324[[#This Row],[累计净值]]</f>
        <v>1.135</v>
      </c>
      <c r="H138" s="20">
        <f>表2_36716262930389121314152324[[#This Row],[累计净值]]/$B$21-1</f>
        <v>-7.8671328671328089E-3</v>
      </c>
    </row>
    <row r="139" spans="1:8">
      <c r="A139" s="15">
        <v>44201</v>
      </c>
      <c r="B139" s="112">
        <v>1.145</v>
      </c>
      <c r="C139" s="112">
        <f>C138*(1+表2_36716262930389121314152324[[#This Row],[每日盈亏]])</f>
        <v>1.0606324909946723</v>
      </c>
      <c r="D139" s="108">
        <f t="shared" si="36"/>
        <v>1.0000000000000009E-2</v>
      </c>
      <c r="E139" s="109" t="str">
        <f t="shared" si="37"/>
        <v>/</v>
      </c>
      <c r="F139" s="109">
        <f ca="1">IF(表2_36716262930389121314152324[[#This Row],[累计净值]]/MAX(INDIRECT("B21:B" &amp; ROW()))-1&lt;F138,表2_36716262930389121314152324[[#This Row],[累计净值]]/MAX(INDIRECT("B21:B" &amp; ROW()))-1,F138)</f>
        <v>-9.2334494773519071E-2</v>
      </c>
      <c r="G139" s="110">
        <f>表2_36716262930389121314152324[[#This Row],[累计净值]]</f>
        <v>1.145</v>
      </c>
      <c r="H139" s="20">
        <f>表2_36716262930389121314152324[[#This Row],[累计净值]]/$B$21-1</f>
        <v>8.7412587412605269E-4</v>
      </c>
    </row>
    <row r="140" spans="1:8">
      <c r="A140" s="15">
        <v>44202</v>
      </c>
      <c r="B140" s="112">
        <v>1.135</v>
      </c>
      <c r="C140" s="112">
        <f>C139*(1+表2_36716262930389121314152324[[#This Row],[每日盈亏]])</f>
        <v>1.0500261660847254</v>
      </c>
      <c r="D140" s="108">
        <f t="shared" si="36"/>
        <v>-1.0000000000000009E-2</v>
      </c>
      <c r="E140" s="109">
        <f t="shared" si="37"/>
        <v>-1.0000000000000009E-2</v>
      </c>
      <c r="F140" s="109">
        <f ca="1">IF(表2_36716262930389121314152324[[#This Row],[累计净值]]/MAX(INDIRECT("B21:B" &amp; ROW()))-1&lt;F139,表2_36716262930389121314152324[[#This Row],[累计净值]]/MAX(INDIRECT("B21:B" &amp; ROW()))-1,F139)</f>
        <v>-9.2334494773519071E-2</v>
      </c>
      <c r="G140" s="110">
        <f>表2_36716262930389121314152324[[#This Row],[累计净值]]</f>
        <v>1.135</v>
      </c>
      <c r="H140" s="20">
        <f>表2_36716262930389121314152324[[#This Row],[累计净值]]/$B$21-1</f>
        <v>-7.8671328671328089E-3</v>
      </c>
    </row>
    <row r="141" spans="1:8">
      <c r="A141" s="15">
        <v>44203</v>
      </c>
      <c r="B141" s="112">
        <v>1.127</v>
      </c>
      <c r="C141" s="112">
        <f>C140*(1+表2_36716262930389121314152324[[#This Row],[每日盈亏]])</f>
        <v>1.0416259567560475</v>
      </c>
      <c r="D141" s="108">
        <f t="shared" ref="D141:D142" si="38">IFERROR(B141-B140,0)</f>
        <v>-8.0000000000000071E-3</v>
      </c>
      <c r="E141" s="109">
        <f t="shared" ref="E141:E142" si="39">IF(D141&lt;0,D141,"/")</f>
        <v>-8.0000000000000071E-3</v>
      </c>
      <c r="F141" s="109">
        <f ca="1">IF(表2_36716262930389121314152324[[#This Row],[累计净值]]/MAX(INDIRECT("B21:B" &amp; ROW()))-1&lt;F140,表2_36716262930389121314152324[[#This Row],[累计净值]]/MAX(INDIRECT("B21:B" &amp; ROW()))-1,F140)</f>
        <v>-9.2334494773519071E-2</v>
      </c>
      <c r="G141" s="110">
        <f>表2_36716262930389121314152324[[#This Row],[累计净值]]</f>
        <v>1.127</v>
      </c>
      <c r="H141" s="20">
        <f>表2_36716262930389121314152324[[#This Row],[累计净值]]/$B$21-1</f>
        <v>-1.4860139860139787E-2</v>
      </c>
    </row>
    <row r="142" spans="1:8">
      <c r="A142" s="15">
        <v>44204</v>
      </c>
      <c r="B142" s="112">
        <v>1.1259999999999999</v>
      </c>
      <c r="C142" s="112">
        <f>C141*(1+表2_36716262930389121314152324[[#This Row],[每日盈亏]])</f>
        <v>1.0405843307992915</v>
      </c>
      <c r="D142" s="108">
        <f t="shared" si="38"/>
        <v>-1.0000000000001119E-3</v>
      </c>
      <c r="E142" s="109">
        <f t="shared" si="39"/>
        <v>-1.0000000000001119E-3</v>
      </c>
      <c r="F142" s="109">
        <f ca="1">IF(表2_36716262930389121314152324[[#This Row],[累计净值]]/MAX(INDIRECT("B21:B" &amp; ROW()))-1&lt;F141,表2_36716262930389121314152324[[#This Row],[累计净值]]/MAX(INDIRECT("B21:B" &amp; ROW()))-1,F141)</f>
        <v>-9.2334494773519071E-2</v>
      </c>
      <c r="G142" s="110">
        <f>表2_36716262930389121314152324[[#This Row],[累计净值]]</f>
        <v>1.1259999999999999</v>
      </c>
      <c r="H142" s="20">
        <f>表2_36716262930389121314152324[[#This Row],[累计净值]]/$B$21-1</f>
        <v>-1.5734265734265729E-2</v>
      </c>
    </row>
    <row r="143" spans="1:8">
      <c r="A143" s="15">
        <v>44207</v>
      </c>
      <c r="B143" s="112">
        <v>1.123</v>
      </c>
      <c r="C143" s="112">
        <f>C142*(1+表2_36716262930389121314152324[[#This Row],[每日盈亏]])</f>
        <v>1.0374625778068938</v>
      </c>
      <c r="D143" s="108">
        <f t="shared" ref="D143:D148" si="40">IFERROR(B143-B142,0)</f>
        <v>-2.9999999999998916E-3</v>
      </c>
      <c r="E143" s="109">
        <f t="shared" ref="E143:E148" si="41">IF(D143&lt;0,D143,"/")</f>
        <v>-2.9999999999998916E-3</v>
      </c>
      <c r="F143" s="109">
        <f ca="1">IF(表2_36716262930389121314152324[[#This Row],[累计净值]]/MAX(INDIRECT("B21:B" &amp; ROW()))-1&lt;F142,表2_36716262930389121314152324[[#This Row],[累计净值]]/MAX(INDIRECT("B21:B" &amp; ROW()))-1,F142)</f>
        <v>-9.2334494773519071E-2</v>
      </c>
      <c r="G143" s="110">
        <f>表2_36716262930389121314152324[[#This Row],[累计净值]]</f>
        <v>1.123</v>
      </c>
      <c r="H143" s="20">
        <f>表2_36716262930389121314152324[[#This Row],[累计净值]]/$B$21-1</f>
        <v>-1.8356643356643332E-2</v>
      </c>
    </row>
    <row r="144" spans="1:8">
      <c r="A144" s="15">
        <v>44208</v>
      </c>
      <c r="B144" s="112">
        <v>1.145</v>
      </c>
      <c r="C144" s="112">
        <f>C143*(1+表2_36716262930389121314152324[[#This Row],[每日盈亏]])</f>
        <v>1.0602867545186454</v>
      </c>
      <c r="D144" s="108">
        <f t="shared" si="40"/>
        <v>2.200000000000002E-2</v>
      </c>
      <c r="E144" s="109" t="str">
        <f t="shared" si="41"/>
        <v>/</v>
      </c>
      <c r="F144" s="109">
        <f ca="1">IF(表2_36716262930389121314152324[[#This Row],[累计净值]]/MAX(INDIRECT("B21:B" &amp; ROW()))-1&lt;F143,表2_36716262930389121314152324[[#This Row],[累计净值]]/MAX(INDIRECT("B21:B" &amp; ROW()))-1,F143)</f>
        <v>-9.2334494773519071E-2</v>
      </c>
      <c r="G144" s="110">
        <f>表2_36716262930389121314152324[[#This Row],[累计净值]]</f>
        <v>1.145</v>
      </c>
      <c r="H144" s="20">
        <f>表2_36716262930389121314152324[[#This Row],[累计净值]]/$B$21-1</f>
        <v>8.7412587412605269E-4</v>
      </c>
    </row>
    <row r="145" spans="1:8">
      <c r="A145" s="15">
        <v>44209</v>
      </c>
      <c r="B145" s="112">
        <v>1.1439999999999999</v>
      </c>
      <c r="C145" s="112">
        <f>C144*(1+表2_36716262930389121314152324[[#This Row],[每日盈亏]])</f>
        <v>1.0592264677641265</v>
      </c>
      <c r="D145" s="108">
        <f t="shared" si="40"/>
        <v>-1.0000000000001119E-3</v>
      </c>
      <c r="E145" s="109">
        <f t="shared" si="41"/>
        <v>-1.0000000000001119E-3</v>
      </c>
      <c r="F145" s="109">
        <f ca="1">IF(表2_36716262930389121314152324[[#This Row],[累计净值]]/MAX(INDIRECT("B21:B" &amp; ROW()))-1&lt;F144,表2_36716262930389121314152324[[#This Row],[累计净值]]/MAX(INDIRECT("B21:B" &amp; ROW()))-1,F144)</f>
        <v>-9.2334494773519071E-2</v>
      </c>
      <c r="G145" s="110">
        <f>表2_36716262930389121314152324[[#This Row],[累计净值]]</f>
        <v>1.1439999999999999</v>
      </c>
      <c r="H145" s="20">
        <f>表2_36716262930389121314152324[[#This Row],[累计净值]]/$B$21-1</f>
        <v>0</v>
      </c>
    </row>
    <row r="146" spans="1:8">
      <c r="A146" s="15">
        <v>44210</v>
      </c>
      <c r="B146" s="112">
        <v>1.125</v>
      </c>
      <c r="C146" s="112">
        <f>C145*(1+表2_36716262930389121314152324[[#This Row],[每日盈亏]])</f>
        <v>1.0391011648766082</v>
      </c>
      <c r="D146" s="108">
        <f t="shared" si="40"/>
        <v>-1.8999999999999906E-2</v>
      </c>
      <c r="E146" s="109">
        <f t="shared" si="41"/>
        <v>-1.8999999999999906E-2</v>
      </c>
      <c r="F146" s="109">
        <f ca="1">IF(表2_36716262930389121314152324[[#This Row],[累计净值]]/MAX(INDIRECT("B21:B" &amp; ROW()))-1&lt;F145,表2_36716262930389121314152324[[#This Row],[累计净值]]/MAX(INDIRECT("B21:B" &amp; ROW()))-1,F145)</f>
        <v>-9.2334494773519071E-2</v>
      </c>
      <c r="G146" s="110">
        <f>表2_36716262930389121314152324[[#This Row],[累计净值]]</f>
        <v>1.125</v>
      </c>
      <c r="H146" s="20">
        <f>表2_36716262930389121314152324[[#This Row],[累计净值]]/$B$21-1</f>
        <v>-1.6608391608391559E-2</v>
      </c>
    </row>
    <row r="147" spans="1:8">
      <c r="A147" s="15">
        <v>44211</v>
      </c>
      <c r="B147" s="112">
        <v>1.1319999999999999</v>
      </c>
      <c r="C147" s="112">
        <f>C146*(1+表2_36716262930389121314152324[[#This Row],[每日盈亏]])</f>
        <v>1.0463748730307443</v>
      </c>
      <c r="D147" s="108">
        <f t="shared" si="40"/>
        <v>6.9999999999998952E-3</v>
      </c>
      <c r="E147" s="109" t="str">
        <f t="shared" si="41"/>
        <v>/</v>
      </c>
      <c r="F147" s="109">
        <f ca="1">IF(表2_36716262930389121314152324[[#This Row],[累计净值]]/MAX(INDIRECT("B21:B" &amp; ROW()))-1&lt;F146,表2_36716262930389121314152324[[#This Row],[累计净值]]/MAX(INDIRECT("B21:B" &amp; ROW()))-1,F146)</f>
        <v>-9.2334494773519071E-2</v>
      </c>
      <c r="G147" s="110">
        <f>表2_36716262930389121314152324[[#This Row],[累计净值]]</f>
        <v>1.1319999999999999</v>
      </c>
      <c r="H147" s="20">
        <f>表2_36716262930389121314152324[[#This Row],[累计净值]]/$B$21-1</f>
        <v>-1.0489510489510523E-2</v>
      </c>
    </row>
    <row r="148" spans="1:8">
      <c r="A148" s="15">
        <v>44214</v>
      </c>
      <c r="B148" s="112">
        <v>1.1519999999999999</v>
      </c>
      <c r="C148" s="112">
        <f>C147*(1+表2_36716262930389121314152324[[#This Row],[每日盈亏]])</f>
        <v>1.0673023704913591</v>
      </c>
      <c r="D148" s="108">
        <f t="shared" si="40"/>
        <v>2.0000000000000018E-2</v>
      </c>
      <c r="E148" s="109" t="str">
        <f t="shared" si="41"/>
        <v>/</v>
      </c>
      <c r="F148" s="109">
        <f ca="1">IF(表2_36716262930389121314152324[[#This Row],[累计净值]]/MAX(INDIRECT("B21:B" &amp; ROW()))-1&lt;F147,表2_36716262930389121314152324[[#This Row],[累计净值]]/MAX(INDIRECT("B21:B" &amp; ROW()))-1,F147)</f>
        <v>-9.2334494773519071E-2</v>
      </c>
      <c r="G148" s="110">
        <f>表2_36716262930389121314152324[[#This Row],[累计净值]]</f>
        <v>1.1519999999999999</v>
      </c>
      <c r="H148" s="20">
        <f>表2_36716262930389121314152324[[#This Row],[累计净值]]/$B$21-1</f>
        <v>6.9930069930070893E-3</v>
      </c>
    </row>
    <row r="149" spans="1:8">
      <c r="A149" s="15">
        <v>44215</v>
      </c>
      <c r="B149" s="112">
        <v>1.1319999999999999</v>
      </c>
      <c r="C149" s="112">
        <f>C148*(1+表2_36716262930389121314152324[[#This Row],[每日盈亏]])</f>
        <v>1.0459563230815319</v>
      </c>
      <c r="D149" s="108">
        <f t="shared" ref="D149:D154" si="42">IFERROR(B149-B148,0)</f>
        <v>-2.0000000000000018E-2</v>
      </c>
      <c r="E149" s="109">
        <f t="shared" ref="E149:E154" si="43">IF(D149&lt;0,D149,"/")</f>
        <v>-2.0000000000000018E-2</v>
      </c>
      <c r="F149" s="109">
        <f ca="1">IF(表2_36716262930389121314152324[[#This Row],[累计净值]]/MAX(INDIRECT("B21:B" &amp; ROW()))-1&lt;F148,表2_36716262930389121314152324[[#This Row],[累计净值]]/MAX(INDIRECT("B21:B" &amp; ROW()))-1,F148)</f>
        <v>-9.2334494773519071E-2</v>
      </c>
      <c r="G149" s="110">
        <f>表2_36716262930389121314152324[[#This Row],[累计净值]]</f>
        <v>1.1319999999999999</v>
      </c>
      <c r="H149" s="20">
        <f>表2_36716262930389121314152324[[#This Row],[累计净值]]/$B$21-1</f>
        <v>-1.0489510489510523E-2</v>
      </c>
    </row>
    <row r="150" spans="1:8">
      <c r="A150" s="15">
        <v>44216</v>
      </c>
      <c r="B150" s="112">
        <v>1.143</v>
      </c>
      <c r="C150" s="112">
        <f>C149*(1+表2_36716262930389121314152324[[#This Row],[每日盈亏]])</f>
        <v>1.0574618426354288</v>
      </c>
      <c r="D150" s="108">
        <f t="shared" si="42"/>
        <v>1.1000000000000121E-2</v>
      </c>
      <c r="E150" s="109" t="str">
        <f t="shared" si="43"/>
        <v>/</v>
      </c>
      <c r="F150" s="109">
        <f ca="1">IF(表2_36716262930389121314152324[[#This Row],[累计净值]]/MAX(INDIRECT("B21:B" &amp; ROW()))-1&lt;F149,表2_36716262930389121314152324[[#This Row],[累计净值]]/MAX(INDIRECT("B21:B" &amp; ROW()))-1,F149)</f>
        <v>-9.2334494773519071E-2</v>
      </c>
      <c r="G150" s="110">
        <f>表2_36716262930389121314152324[[#This Row],[累计净值]]</f>
        <v>1.143</v>
      </c>
      <c r="H150" s="20">
        <f>表2_36716262930389121314152324[[#This Row],[累计净值]]/$B$21-1</f>
        <v>-8.7412587412583065E-4</v>
      </c>
    </row>
    <row r="151" spans="1:8">
      <c r="A151" s="15">
        <v>44217</v>
      </c>
      <c r="B151" s="112">
        <v>1.157</v>
      </c>
      <c r="C151" s="112">
        <f>C150*(1+表2_36716262930389121314152324[[#This Row],[每日盈亏]])</f>
        <v>1.0722663084323247</v>
      </c>
      <c r="D151" s="108">
        <f t="shared" si="42"/>
        <v>1.4000000000000012E-2</v>
      </c>
      <c r="E151" s="109" t="str">
        <f t="shared" si="43"/>
        <v>/</v>
      </c>
      <c r="F151" s="109">
        <f ca="1">IF(表2_36716262930389121314152324[[#This Row],[累计净值]]/MAX(INDIRECT("B21:B" &amp; ROW()))-1&lt;F150,表2_36716262930389121314152324[[#This Row],[累计净值]]/MAX(INDIRECT("B21:B" &amp; ROW()))-1,F150)</f>
        <v>-9.2334494773519071E-2</v>
      </c>
      <c r="G151" s="110">
        <f>表2_36716262930389121314152324[[#This Row],[累计净值]]</f>
        <v>1.157</v>
      </c>
      <c r="H151" s="20">
        <f>表2_36716262930389121314152324[[#This Row],[累计净值]]/$B$21-1</f>
        <v>1.1363636363636465E-2</v>
      </c>
    </row>
    <row r="152" spans="1:8">
      <c r="A152" s="15">
        <v>44218</v>
      </c>
      <c r="B152" s="112">
        <v>1.1659999999999999</v>
      </c>
      <c r="C152" s="112">
        <f>C151*(1+表2_36716262930389121314152324[[#This Row],[每日盈亏]])</f>
        <v>1.0819167052082155</v>
      </c>
      <c r="D152" s="108">
        <f t="shared" si="42"/>
        <v>8.999999999999897E-3</v>
      </c>
      <c r="E152" s="109" t="str">
        <f t="shared" si="43"/>
        <v>/</v>
      </c>
      <c r="F152" s="109">
        <f ca="1">IF(表2_36716262930389121314152324[[#This Row],[累计净值]]/MAX(INDIRECT("B21:B" &amp; ROW()))-1&lt;F151,表2_36716262930389121314152324[[#This Row],[累计净值]]/MAX(INDIRECT("B21:B" &amp; ROW()))-1,F151)</f>
        <v>-9.2334494773519071E-2</v>
      </c>
      <c r="G152" s="110">
        <f>表2_36716262930389121314152324[[#This Row],[累计净值]]</f>
        <v>1.1659999999999999</v>
      </c>
      <c r="H152" s="20">
        <f>表2_36716262930389121314152324[[#This Row],[累计净值]]/$B$21-1</f>
        <v>1.9230769230769162E-2</v>
      </c>
    </row>
    <row r="153" spans="1:8">
      <c r="A153" s="15">
        <v>44221</v>
      </c>
      <c r="B153" s="112">
        <v>1.1719999999999999</v>
      </c>
      <c r="C153" s="112">
        <f>C152*(1+表2_36716262930389121314152324[[#This Row],[每日盈亏]])</f>
        <v>1.0884082054394648</v>
      </c>
      <c r="D153" s="108">
        <f t="shared" si="42"/>
        <v>6.0000000000000053E-3</v>
      </c>
      <c r="E153" s="109" t="str">
        <f t="shared" si="43"/>
        <v>/</v>
      </c>
      <c r="F153" s="109">
        <f ca="1">IF(表2_36716262930389121314152324[[#This Row],[累计净值]]/MAX(INDIRECT("B21:B" &amp; ROW()))-1&lt;F152,表2_36716262930389121314152324[[#This Row],[累计净值]]/MAX(INDIRECT("B21:B" &amp; ROW()))-1,F152)</f>
        <v>-9.2334494773519071E-2</v>
      </c>
      <c r="G153" s="110">
        <f>表2_36716262930389121314152324[[#This Row],[累计净值]]</f>
        <v>1.1719999999999999</v>
      </c>
      <c r="H153" s="20">
        <f>表2_36716262930389121314152324[[#This Row],[累计净值]]/$B$21-1</f>
        <v>2.447552447552459E-2</v>
      </c>
    </row>
    <row r="154" spans="1:8">
      <c r="A154" s="15">
        <v>44222</v>
      </c>
      <c r="B154" s="112">
        <v>1.1639999999999999</v>
      </c>
      <c r="C154" s="112">
        <f>C153*(1+表2_36716262930389121314152324[[#This Row],[每日盈亏]])</f>
        <v>1.0797009397959492</v>
      </c>
      <c r="D154" s="108">
        <f t="shared" si="42"/>
        <v>-8.0000000000000071E-3</v>
      </c>
      <c r="E154" s="109">
        <f t="shared" si="43"/>
        <v>-8.0000000000000071E-3</v>
      </c>
      <c r="F154" s="109">
        <f ca="1">IF(表2_36716262930389121314152324[[#This Row],[累计净值]]/MAX(INDIRECT("B21:B" &amp; ROW()))-1&lt;F153,表2_36716262930389121314152324[[#This Row],[累计净值]]/MAX(INDIRECT("B21:B" &amp; ROW()))-1,F153)</f>
        <v>-9.2334494773519071E-2</v>
      </c>
      <c r="G154" s="110">
        <f>表2_36716262930389121314152324[[#This Row],[累计净值]]</f>
        <v>1.1639999999999999</v>
      </c>
      <c r="H154" s="20">
        <f>表2_36716262930389121314152324[[#This Row],[累计净值]]/$B$21-1</f>
        <v>1.7482517482517501E-2</v>
      </c>
    </row>
    <row r="155" spans="1:8">
      <c r="A155" s="15">
        <v>44223</v>
      </c>
      <c r="B155" s="112">
        <v>1.17</v>
      </c>
      <c r="C155" s="112">
        <f>C154*(1+表2_36716262930389121314152324[[#This Row],[每日盈亏]])</f>
        <v>1.0861791454347249</v>
      </c>
      <c r="D155" s="108">
        <f t="shared" ref="D155:D160" si="44">IFERROR(B155-B154,0)</f>
        <v>6.0000000000000053E-3</v>
      </c>
      <c r="E155" s="109" t="str">
        <f t="shared" ref="E155:E160" si="45">IF(D155&lt;0,D155,"/")</f>
        <v>/</v>
      </c>
      <c r="F155" s="109">
        <f ca="1">IF(表2_36716262930389121314152324[[#This Row],[累计净值]]/MAX(INDIRECT("B21:B" &amp; ROW()))-1&lt;F154,表2_36716262930389121314152324[[#This Row],[累计净值]]/MAX(INDIRECT("B21:B" &amp; ROW()))-1,F154)</f>
        <v>-9.2334494773519071E-2</v>
      </c>
      <c r="G155" s="110">
        <f>表2_36716262930389121314152324[[#This Row],[累计净值]]</f>
        <v>1.17</v>
      </c>
      <c r="H155" s="20">
        <f>表2_36716262930389121314152324[[#This Row],[累计净值]]/$B$21-1</f>
        <v>2.2727272727272707E-2</v>
      </c>
    </row>
    <row r="156" spans="1:8">
      <c r="A156" s="15">
        <v>44224</v>
      </c>
      <c r="B156" s="112">
        <v>1.1359999999999999</v>
      </c>
      <c r="C156" s="112">
        <f>C155*(1+表2_36716262930389121314152324[[#This Row],[每日盈亏]])</f>
        <v>1.0492490544899442</v>
      </c>
      <c r="D156" s="108">
        <f t="shared" si="44"/>
        <v>-3.400000000000003E-2</v>
      </c>
      <c r="E156" s="109">
        <f t="shared" si="45"/>
        <v>-3.400000000000003E-2</v>
      </c>
      <c r="F156" s="109">
        <f ca="1">IF(表2_36716262930389121314152324[[#This Row],[累计净值]]/MAX(INDIRECT("B21:B" &amp; ROW()))-1&lt;F155,表2_36716262930389121314152324[[#This Row],[累计净值]]/MAX(INDIRECT("B21:B" &amp; ROW()))-1,F155)</f>
        <v>-9.2334494773519071E-2</v>
      </c>
      <c r="G156" s="110">
        <f>表2_36716262930389121314152324[[#This Row],[累计净值]]</f>
        <v>1.1359999999999999</v>
      </c>
      <c r="H156" s="20">
        <f>表2_36716262930389121314152324[[#This Row],[累计净值]]/$B$21-1</f>
        <v>-6.9930069930069783E-3</v>
      </c>
    </row>
    <row r="157" spans="1:8">
      <c r="A157" s="15">
        <v>44225</v>
      </c>
      <c r="B157" s="112">
        <v>1.1160000000000001</v>
      </c>
      <c r="C157" s="112">
        <f>C156*(1+表2_36716262930389121314152324[[#This Row],[每日盈亏]])</f>
        <v>1.0282640734001456</v>
      </c>
      <c r="D157" s="108">
        <f t="shared" si="44"/>
        <v>-1.9999999999999796E-2</v>
      </c>
      <c r="E157" s="109">
        <f t="shared" si="45"/>
        <v>-1.9999999999999796E-2</v>
      </c>
      <c r="F157" s="109">
        <f ca="1">IF(表2_36716262930389121314152324[[#This Row],[累计净值]]/MAX(INDIRECT("B21:B" &amp; ROW()))-1&lt;F156,表2_36716262930389121314152324[[#This Row],[累计净值]]/MAX(INDIRECT("B21:B" &amp; ROW()))-1,F156)</f>
        <v>-9.2334494773519071E-2</v>
      </c>
      <c r="G157" s="110">
        <f>表2_36716262930389121314152324[[#This Row],[累计净值]]</f>
        <v>1.1160000000000001</v>
      </c>
      <c r="H157" s="20">
        <f>表2_36716262930389121314152324[[#This Row],[累计净值]]/$B$21-1</f>
        <v>-2.4475524475524257E-2</v>
      </c>
    </row>
    <row r="158" spans="1:8">
      <c r="A158" s="15">
        <v>44228</v>
      </c>
      <c r="B158" s="112">
        <v>1.133</v>
      </c>
      <c r="C158" s="112">
        <f>C157*(1+表2_36716262930389121314152324[[#This Row],[每日盈亏]])</f>
        <v>1.045744562647948</v>
      </c>
      <c r="D158" s="108">
        <f t="shared" si="44"/>
        <v>1.6999999999999904E-2</v>
      </c>
      <c r="E158" s="109" t="str">
        <f t="shared" si="45"/>
        <v>/</v>
      </c>
      <c r="F158" s="109">
        <f ca="1">IF(表2_36716262930389121314152324[[#This Row],[累计净值]]/MAX(INDIRECT("B21:B" &amp; ROW()))-1&lt;F157,表2_36716262930389121314152324[[#This Row],[累计净值]]/MAX(INDIRECT("B21:B" &amp; ROW()))-1,F157)</f>
        <v>-9.2334494773519071E-2</v>
      </c>
      <c r="G158" s="110">
        <f>表2_36716262930389121314152324[[#This Row],[累计净值]]</f>
        <v>1.133</v>
      </c>
      <c r="H158" s="20">
        <f>表2_36716262930389121314152324[[#This Row],[累计净值]]/$B$21-1</f>
        <v>-9.6153846153845812E-3</v>
      </c>
    </row>
    <row r="159" spans="1:8">
      <c r="A159" s="15">
        <v>44229</v>
      </c>
      <c r="B159" s="112">
        <v>1.141</v>
      </c>
      <c r="C159" s="112">
        <f>C158*(1+表2_36716262930389121314152324[[#This Row],[每日盈亏]])</f>
        <v>1.0541105191491316</v>
      </c>
      <c r="D159" s="108">
        <f t="shared" si="44"/>
        <v>8.0000000000000071E-3</v>
      </c>
      <c r="E159" s="109" t="str">
        <f t="shared" si="45"/>
        <v>/</v>
      </c>
      <c r="F159" s="109">
        <f ca="1">IF(表2_36716262930389121314152324[[#This Row],[累计净值]]/MAX(INDIRECT("B21:B" &amp; ROW()))-1&lt;F158,表2_36716262930389121314152324[[#This Row],[累计净值]]/MAX(INDIRECT("B21:B" &amp; ROW()))-1,F158)</f>
        <v>-9.2334494773519071E-2</v>
      </c>
      <c r="G159" s="110">
        <f>表2_36716262930389121314152324[[#This Row],[累计净值]]</f>
        <v>1.141</v>
      </c>
      <c r="H159" s="20">
        <f>表2_36716262930389121314152324[[#This Row],[累计净值]]/$B$21-1</f>
        <v>-2.6223776223774919E-3</v>
      </c>
    </row>
    <row r="160" spans="1:8">
      <c r="A160" s="15">
        <v>44230</v>
      </c>
      <c r="B160" s="112">
        <v>1.129</v>
      </c>
      <c r="C160" s="112">
        <f>C159*(1+表2_36716262930389121314152324[[#This Row],[每日盈亏]])</f>
        <v>1.041461192919342</v>
      </c>
      <c r="D160" s="108">
        <f t="shared" si="44"/>
        <v>-1.2000000000000011E-2</v>
      </c>
      <c r="E160" s="109">
        <f t="shared" si="45"/>
        <v>-1.2000000000000011E-2</v>
      </c>
      <c r="F160" s="109">
        <f ca="1">IF(表2_36716262930389121314152324[[#This Row],[累计净值]]/MAX(INDIRECT("B21:B" &amp; ROW()))-1&lt;F159,表2_36716262930389121314152324[[#This Row],[累计净值]]/MAX(INDIRECT("B21:B" &amp; ROW()))-1,F159)</f>
        <v>-9.2334494773519071E-2</v>
      </c>
      <c r="G160" s="110">
        <f>表2_36716262930389121314152324[[#This Row],[累计净值]]</f>
        <v>1.129</v>
      </c>
      <c r="H160" s="20">
        <f>表2_36716262930389121314152324[[#This Row],[累计净值]]/$B$21-1</f>
        <v>-1.3111888111888015E-2</v>
      </c>
    </row>
    <row r="161" spans="1:8">
      <c r="A161" s="15">
        <v>44231</v>
      </c>
      <c r="B161" s="112">
        <v>1.1160000000000001</v>
      </c>
      <c r="C161" s="112">
        <f>C160*(1+表2_36716262930389121314152324[[#This Row],[每日盈亏]])</f>
        <v>1.0279221974113908</v>
      </c>
      <c r="D161" s="108">
        <f t="shared" ref="D161:D167" si="46">IFERROR(B161-B160,0)</f>
        <v>-1.2999999999999901E-2</v>
      </c>
      <c r="E161" s="109">
        <f t="shared" ref="E161:E167" si="47">IF(D161&lt;0,D161,"/")</f>
        <v>-1.2999999999999901E-2</v>
      </c>
      <c r="F161" s="109">
        <f ca="1">IF(表2_36716262930389121314152324[[#This Row],[累计净值]]/MAX(INDIRECT("B21:B" &amp; ROW()))-1&lt;F160,表2_36716262930389121314152324[[#This Row],[累计净值]]/MAX(INDIRECT("B21:B" &amp; ROW()))-1,F160)</f>
        <v>-9.2334494773519071E-2</v>
      </c>
      <c r="G161" s="110">
        <f>表2_36716262930389121314152324[[#This Row],[累计净值]]</f>
        <v>1.1160000000000001</v>
      </c>
      <c r="H161" s="20">
        <f>表2_36716262930389121314152324[[#This Row],[累计净值]]/$B$21-1</f>
        <v>-2.4475524475524257E-2</v>
      </c>
    </row>
    <row r="162" spans="1:8">
      <c r="A162" s="15">
        <v>44232</v>
      </c>
      <c r="B162" s="112">
        <v>1.101</v>
      </c>
      <c r="C162" s="112">
        <f>C161*(1+表2_36716262930389121314152324[[#This Row],[每日盈亏]])</f>
        <v>1.0125033644502197</v>
      </c>
      <c r="D162" s="108">
        <f t="shared" si="46"/>
        <v>-1.5000000000000124E-2</v>
      </c>
      <c r="E162" s="109">
        <f t="shared" si="47"/>
        <v>-1.5000000000000124E-2</v>
      </c>
      <c r="F162" s="109">
        <f ca="1">IF(表2_36716262930389121314152324[[#This Row],[累计净值]]/MAX(INDIRECT("B21:B" &amp; ROW()))-1&lt;F161,表2_36716262930389121314152324[[#This Row],[累计净值]]/MAX(INDIRECT("B21:B" &amp; ROW()))-1,F161)</f>
        <v>-9.2334494773519071E-2</v>
      </c>
      <c r="G162" s="110">
        <f>表2_36716262930389121314152324[[#This Row],[累计净值]]</f>
        <v>1.101</v>
      </c>
      <c r="H162" s="20">
        <f>表2_36716262930389121314152324[[#This Row],[累计净值]]/$B$21-1</f>
        <v>-3.7587412587412494E-2</v>
      </c>
    </row>
    <row r="163" spans="1:8">
      <c r="A163" s="15">
        <v>44235</v>
      </c>
      <c r="B163" s="112">
        <v>1.125</v>
      </c>
      <c r="C163" s="112">
        <f>C162*(1+表2_36716262930389121314152324[[#This Row],[每日盈亏]])</f>
        <v>1.0368034451970249</v>
      </c>
      <c r="D163" s="108">
        <f t="shared" si="46"/>
        <v>2.4000000000000021E-2</v>
      </c>
      <c r="E163" s="109" t="str">
        <f t="shared" si="47"/>
        <v>/</v>
      </c>
      <c r="F163" s="109">
        <f ca="1">IF(表2_36716262930389121314152324[[#This Row],[累计净值]]/MAX(INDIRECT("B21:B" &amp; ROW()))-1&lt;F162,表2_36716262930389121314152324[[#This Row],[累计净值]]/MAX(INDIRECT("B21:B" &amp; ROW()))-1,F162)</f>
        <v>-9.2334494773519071E-2</v>
      </c>
      <c r="G163" s="110">
        <f>表2_36716262930389121314152324[[#This Row],[累计净值]]</f>
        <v>1.125</v>
      </c>
      <c r="H163" s="20">
        <f>表2_36716262930389121314152324[[#This Row],[累计净值]]/$B$21-1</f>
        <v>-1.6608391608391559E-2</v>
      </c>
    </row>
    <row r="164" spans="1:8">
      <c r="A164" s="15">
        <v>44236</v>
      </c>
      <c r="B164" s="112">
        <v>1.1519999999999999</v>
      </c>
      <c r="C164" s="112">
        <f>C163*(1+表2_36716262930389121314152324[[#This Row],[每日盈亏]])</f>
        <v>1.0647971382173445</v>
      </c>
      <c r="D164" s="108">
        <f t="shared" si="46"/>
        <v>2.6999999999999913E-2</v>
      </c>
      <c r="E164" s="109" t="str">
        <f t="shared" si="47"/>
        <v>/</v>
      </c>
      <c r="F164" s="109">
        <f ca="1">IF(表2_36716262930389121314152324[[#This Row],[累计净值]]/MAX(INDIRECT("B21:B" &amp; ROW()))-1&lt;F163,表2_36716262930389121314152324[[#This Row],[累计净值]]/MAX(INDIRECT("B21:B" &amp; ROW()))-1,F163)</f>
        <v>-9.2334494773519071E-2</v>
      </c>
      <c r="G164" s="110">
        <f>表2_36716262930389121314152324[[#This Row],[累计净值]]</f>
        <v>1.1519999999999999</v>
      </c>
      <c r="H164" s="20">
        <f>表2_36716262930389121314152324[[#This Row],[累计净值]]/$B$21-1</f>
        <v>6.9930069930070893E-3</v>
      </c>
    </row>
    <row r="165" spans="1:8">
      <c r="A165" s="15">
        <v>44237</v>
      </c>
      <c r="B165" s="112">
        <v>1.167</v>
      </c>
      <c r="C165" s="112">
        <f>C164*(1+表2_36716262930389121314152324[[#This Row],[每日盈亏]])</f>
        <v>1.0807690952906048</v>
      </c>
      <c r="D165" s="108">
        <f t="shared" si="46"/>
        <v>1.5000000000000124E-2</v>
      </c>
      <c r="E165" s="109" t="str">
        <f t="shared" si="47"/>
        <v>/</v>
      </c>
      <c r="F165" s="109">
        <f ca="1">IF(表2_36716262930389121314152324[[#This Row],[累计净值]]/MAX(INDIRECT("B21:B" &amp; ROW()))-1&lt;F164,表2_36716262930389121314152324[[#This Row],[累计净值]]/MAX(INDIRECT("B21:B" &amp; ROW()))-1,F164)</f>
        <v>-9.2334494773519071E-2</v>
      </c>
      <c r="G165" s="110">
        <f>表2_36716262930389121314152324[[#This Row],[累计净值]]</f>
        <v>1.167</v>
      </c>
      <c r="H165" s="20">
        <f>表2_36716262930389121314152324[[#This Row],[累计净值]]/$B$21-1</f>
        <v>2.0104895104895215E-2</v>
      </c>
    </row>
    <row r="166" spans="1:8">
      <c r="A166" s="15">
        <v>44245</v>
      </c>
      <c r="B166" s="112">
        <v>1.1850000000000001</v>
      </c>
      <c r="C166" s="112">
        <f>C165*(1+表2_36716262930389121314152324[[#This Row],[每日盈亏]])</f>
        <v>1.1002229390058358</v>
      </c>
      <c r="D166" s="108">
        <f t="shared" si="46"/>
        <v>1.8000000000000016E-2</v>
      </c>
      <c r="E166" s="109" t="str">
        <f t="shared" si="47"/>
        <v>/</v>
      </c>
      <c r="F166" s="109">
        <f ca="1">IF(表2_36716262930389121314152324[[#This Row],[累计净值]]/MAX(INDIRECT("B21:B" &amp; ROW()))-1&lt;F165,表2_36716262930389121314152324[[#This Row],[累计净值]]/MAX(INDIRECT("B21:B" &amp; ROW()))-1,F165)</f>
        <v>-9.2334494773519071E-2</v>
      </c>
      <c r="G166" s="110">
        <f>表2_36716262930389121314152324[[#This Row],[累计净值]]</f>
        <v>1.1850000000000001</v>
      </c>
      <c r="H166" s="20">
        <f>表2_36716262930389121314152324[[#This Row],[累计净值]]/$B$21-1</f>
        <v>3.5839160839161055E-2</v>
      </c>
    </row>
    <row r="167" spans="1:8">
      <c r="A167" s="15">
        <v>44246</v>
      </c>
      <c r="B167" s="112">
        <v>1.204</v>
      </c>
      <c r="C167" s="112">
        <f>C166*(1+表2_36716262930389121314152324[[#This Row],[每日盈亏]])</f>
        <v>1.1211271748469465</v>
      </c>
      <c r="D167" s="108">
        <f t="shared" si="46"/>
        <v>1.8999999999999906E-2</v>
      </c>
      <c r="E167" s="109" t="str">
        <f t="shared" si="47"/>
        <v>/</v>
      </c>
      <c r="F167" s="109">
        <f ca="1">IF(表2_36716262930389121314152324[[#This Row],[累计净值]]/MAX(INDIRECT("B21:B" &amp; ROW()))-1&lt;F166,表2_36716262930389121314152324[[#This Row],[累计净值]]/MAX(INDIRECT("B21:B" &amp; ROW()))-1,F166)</f>
        <v>-9.2334494773519071E-2</v>
      </c>
      <c r="G167" s="110">
        <f>表2_36716262930389121314152324[[#This Row],[累计净值]]</f>
        <v>1.204</v>
      </c>
      <c r="H167" s="20">
        <f>表2_36716262930389121314152324[[#This Row],[累计净值]]/$B$21-1</f>
        <v>5.2447552447552503E-2</v>
      </c>
    </row>
    <row r="168" spans="1:8">
      <c r="A168" s="15">
        <v>44249</v>
      </c>
      <c r="B168" s="112">
        <v>1.206</v>
      </c>
      <c r="C168" s="112">
        <f>C167*(1+表2_36716262930389121314152324[[#This Row],[每日盈亏]])</f>
        <v>1.1233694291966403</v>
      </c>
      <c r="D168" s="108">
        <f>IFERROR(B168-B167,0)</f>
        <v>2.0000000000000018E-3</v>
      </c>
      <c r="E168" s="109" t="str">
        <f>IF(D168&lt;0,D168,"/")</f>
        <v>/</v>
      </c>
      <c r="F168" s="109">
        <f ca="1">IF(表2_36716262930389121314152324[[#This Row],[累计净值]]/MAX(INDIRECT("B21:B" &amp; ROW()))-1&lt;F167,表2_36716262930389121314152324[[#This Row],[累计净值]]/MAX(INDIRECT("B21:B" &amp; ROW()))-1,F167)</f>
        <v>-9.2334494773519071E-2</v>
      </c>
      <c r="G168" s="110">
        <f>表2_36716262930389121314152324[[#This Row],[累计净值]]</f>
        <v>1.206</v>
      </c>
      <c r="H168" s="20">
        <f>表2_36716262930389121314152324[[#This Row],[累计净值]]/$B$21-1</f>
        <v>5.4195804195804165E-2</v>
      </c>
    </row>
    <row r="169" spans="1:8">
      <c r="A169" s="15">
        <v>44250</v>
      </c>
      <c r="B169" s="112">
        <v>1.2010000000000001</v>
      </c>
      <c r="C169" s="112">
        <f>C168*(1+表2_36716262930389121314152324[[#This Row],[每日盈亏]])</f>
        <v>1.1177525820506573</v>
      </c>
      <c r="D169" s="108">
        <f t="shared" ref="D169:D172" si="48">IFERROR(B169-B168,0)</f>
        <v>-4.9999999999998934E-3</v>
      </c>
      <c r="E169" s="109">
        <f t="shared" ref="E169:E172" si="49">IF(D169&lt;0,D169,"/")</f>
        <v>-4.9999999999998934E-3</v>
      </c>
      <c r="F169" s="109">
        <f ca="1">IF(表2_36716262930389121314152324[[#This Row],[累计净值]]/MAX(INDIRECT("B21:B" &amp; ROW()))-1&lt;F168,表2_36716262930389121314152324[[#This Row],[累计净值]]/MAX(INDIRECT("B21:B" &amp; ROW()))-1,F168)</f>
        <v>-9.2334494773519071E-2</v>
      </c>
      <c r="G169" s="110">
        <f>表2_36716262930389121314152324[[#This Row],[累计净值]]</f>
        <v>1.2010000000000001</v>
      </c>
      <c r="H169" s="20">
        <f>表2_36716262930389121314152324[[#This Row],[累计净值]]/$B$21-1</f>
        <v>4.9825174825175012E-2</v>
      </c>
    </row>
    <row r="170" spans="1:8">
      <c r="A170" s="15">
        <v>44251</v>
      </c>
      <c r="B170" s="112">
        <v>1.1779999999999999</v>
      </c>
      <c r="C170" s="112">
        <f>C169*(1+表2_36716262930389121314152324[[#This Row],[每日盈亏]])</f>
        <v>1.092044272663492</v>
      </c>
      <c r="D170" s="108">
        <f t="shared" si="48"/>
        <v>-2.3000000000000131E-2</v>
      </c>
      <c r="E170" s="109">
        <f t="shared" si="49"/>
        <v>-2.3000000000000131E-2</v>
      </c>
      <c r="F170" s="109">
        <f ca="1">IF(表2_36716262930389121314152324[[#This Row],[累计净值]]/MAX(INDIRECT("B21:B" &amp; ROW()))-1&lt;F169,表2_36716262930389121314152324[[#This Row],[累计净值]]/MAX(INDIRECT("B21:B" &amp; ROW()))-1,F169)</f>
        <v>-9.2334494773519071E-2</v>
      </c>
      <c r="G170" s="110">
        <f>表2_36716262930389121314152324[[#This Row],[累计净值]]</f>
        <v>1.1779999999999999</v>
      </c>
      <c r="H170" s="20">
        <f>表2_36716262930389121314152324[[#This Row],[累计净值]]/$B$21-1</f>
        <v>2.9720279720279796E-2</v>
      </c>
    </row>
    <row r="171" spans="1:8">
      <c r="A171" s="15">
        <v>44252</v>
      </c>
      <c r="B171" s="112">
        <v>1.18</v>
      </c>
      <c r="C171" s="112">
        <f>C170*(1+表2_36716262930389121314152324[[#This Row],[每日盈亏]])</f>
        <v>1.0942283612088191</v>
      </c>
      <c r="D171" s="108">
        <f t="shared" si="48"/>
        <v>2.0000000000000018E-3</v>
      </c>
      <c r="E171" s="109" t="str">
        <f t="shared" si="49"/>
        <v>/</v>
      </c>
      <c r="F171" s="109">
        <f ca="1">IF(表2_36716262930389121314152324[[#This Row],[累计净值]]/MAX(INDIRECT("B21:B" &amp; ROW()))-1&lt;F170,表2_36716262930389121314152324[[#This Row],[累计净值]]/MAX(INDIRECT("B21:B" &amp; ROW()))-1,F170)</f>
        <v>-9.2334494773519071E-2</v>
      </c>
      <c r="G171" s="110">
        <f>表2_36716262930389121314152324[[#This Row],[累计净值]]</f>
        <v>1.18</v>
      </c>
      <c r="H171" s="20">
        <f>表2_36716262930389121314152324[[#This Row],[累计净值]]/$B$21-1</f>
        <v>3.1468531468531458E-2</v>
      </c>
    </row>
    <row r="172" spans="1:8">
      <c r="A172" s="15">
        <v>44253</v>
      </c>
      <c r="B172" s="112">
        <v>1.159</v>
      </c>
      <c r="C172" s="112">
        <f>C171*(1+表2_36716262930389121314152324[[#This Row],[每日盈亏]])</f>
        <v>1.071249565623434</v>
      </c>
      <c r="D172" s="108">
        <f t="shared" si="48"/>
        <v>-2.0999999999999908E-2</v>
      </c>
      <c r="E172" s="109">
        <f t="shared" si="49"/>
        <v>-2.0999999999999908E-2</v>
      </c>
      <c r="F172" s="109">
        <f ca="1">IF(表2_36716262930389121314152324[[#This Row],[累计净值]]/MAX(INDIRECT("B21:B" &amp; ROW()))-1&lt;F171,表2_36716262930389121314152324[[#This Row],[累计净值]]/MAX(INDIRECT("B21:B" &amp; ROW()))-1,F171)</f>
        <v>-9.2334494773519071E-2</v>
      </c>
      <c r="G172" s="110">
        <f>表2_36716262930389121314152324[[#This Row],[累计净值]]</f>
        <v>1.159</v>
      </c>
      <c r="H172" s="20">
        <f>表2_36716262930389121314152324[[#This Row],[累计净值]]/$B$21-1</f>
        <v>1.3111888111888126E-2</v>
      </c>
    </row>
    <row r="173" spans="1:8">
      <c r="A173" s="15">
        <v>44256</v>
      </c>
      <c r="B173" s="226">
        <v>1.1879999999999999</v>
      </c>
      <c r="C173" s="112">
        <f>C172*(1+表2_36716262930389121314152324[[#This Row],[每日盈亏]])</f>
        <v>1.1023158030265134</v>
      </c>
      <c r="D173" s="108">
        <f t="shared" ref="D173:D174" si="50">IFERROR(B173-B172,0)</f>
        <v>2.8999999999999915E-2</v>
      </c>
      <c r="E173" s="109" t="str">
        <f t="shared" ref="E173:E174" si="51">IF(D173&lt;0,D173,"/")</f>
        <v>/</v>
      </c>
      <c r="F173" s="109">
        <f ca="1">IF(表2_36716262930389121314152324[[#This Row],[累计净值]]/MAX(INDIRECT("B21:B" &amp; ROW()))-1&lt;F172,表2_36716262930389121314152324[[#This Row],[累计净值]]/MAX(INDIRECT("B21:B" &amp; ROW()))-1,F172)</f>
        <v>-9.2334494773519071E-2</v>
      </c>
      <c r="G173" s="110">
        <f>表2_36716262930389121314152324[[#This Row],[累计净值]]</f>
        <v>1.1879999999999999</v>
      </c>
      <c r="H173" s="20">
        <f>表2_36716262930389121314152324[[#This Row],[累计净值]]/$B$21-1</f>
        <v>3.8461538461538547E-2</v>
      </c>
    </row>
    <row r="174" spans="1:8">
      <c r="A174" s="15">
        <v>44257</v>
      </c>
      <c r="B174" s="112">
        <v>1.173</v>
      </c>
      <c r="C174" s="112">
        <f>C173*(1+表2_36716262930389121314152324[[#This Row],[每日盈亏]])</f>
        <v>1.0857810659811158</v>
      </c>
      <c r="D174" s="108">
        <f t="shared" si="50"/>
        <v>-1.4999999999999902E-2</v>
      </c>
      <c r="E174" s="109">
        <f t="shared" si="51"/>
        <v>-1.4999999999999902E-2</v>
      </c>
      <c r="F174" s="109">
        <f ca="1">IF(表2_36716262930389121314152324[[#This Row],[累计净值]]/MAX(INDIRECT("B21:B" &amp; ROW()))-1&lt;F173,表2_36716262930389121314152324[[#This Row],[累计净值]]/MAX(INDIRECT("B21:B" &amp; ROW()))-1,F173)</f>
        <v>-9.2334494773519071E-2</v>
      </c>
      <c r="G174" s="110">
        <f>表2_36716262930389121314152324[[#This Row],[累计净值]]</f>
        <v>1.173</v>
      </c>
      <c r="H174" s="20">
        <f>表2_36716262930389121314152324[[#This Row],[累计净值]]/$B$21-1</f>
        <v>2.5349650349650421E-2</v>
      </c>
    </row>
    <row r="175" spans="1:8">
      <c r="A175" s="15">
        <v>44258</v>
      </c>
      <c r="B175" s="112">
        <v>1.196</v>
      </c>
      <c r="C175" s="112">
        <f>C174*(1+表2_36716262930389121314152324[[#This Row],[每日盈亏]])</f>
        <v>1.1107540304986814</v>
      </c>
      <c r="D175" s="108">
        <f t="shared" ref="D175:D176" si="52">IFERROR(B175-B174,0)</f>
        <v>2.2999999999999909E-2</v>
      </c>
      <c r="E175" s="109" t="str">
        <f t="shared" ref="E175:E176" si="53">IF(D175&lt;0,D175,"/")</f>
        <v>/</v>
      </c>
      <c r="F175" s="109">
        <f ca="1">IF(表2_36716262930389121314152324[[#This Row],[累计净值]]/MAX(INDIRECT("B21:B" &amp; ROW()))-1&lt;F174,表2_36716262930389121314152324[[#This Row],[累计净值]]/MAX(INDIRECT("B21:B" &amp; ROW()))-1,F174)</f>
        <v>-9.2334494773519071E-2</v>
      </c>
      <c r="G175" s="110">
        <f>表2_36716262930389121314152324[[#This Row],[累计净值]]</f>
        <v>1.196</v>
      </c>
      <c r="H175" s="20">
        <f>表2_36716262930389121314152324[[#This Row],[累计净值]]/$B$21-1</f>
        <v>4.5454545454545414E-2</v>
      </c>
    </row>
    <row r="176" spans="1:8">
      <c r="A176" s="15">
        <v>44259</v>
      </c>
      <c r="B176" s="112">
        <v>1.1739999999999999</v>
      </c>
      <c r="C176" s="112">
        <f>C175*(1+表2_36716262930389121314152324[[#This Row],[每日盈亏]])</f>
        <v>1.0863174418277104</v>
      </c>
      <c r="D176" s="108">
        <f t="shared" si="52"/>
        <v>-2.200000000000002E-2</v>
      </c>
      <c r="E176" s="109">
        <f t="shared" si="53"/>
        <v>-2.200000000000002E-2</v>
      </c>
      <c r="F176" s="109">
        <f ca="1">IF(表2_36716262930389121314152324[[#This Row],[累计净值]]/MAX(INDIRECT("B21:B" &amp; ROW()))-1&lt;F175,表2_36716262930389121314152324[[#This Row],[累计净值]]/MAX(INDIRECT("B21:B" &amp; ROW()))-1,F175)</f>
        <v>-9.2334494773519071E-2</v>
      </c>
      <c r="G176" s="110">
        <f>表2_36716262930389121314152324[[#This Row],[累计净值]]</f>
        <v>1.1739999999999999</v>
      </c>
      <c r="H176" s="20">
        <f>表2_36716262930389121314152324[[#This Row],[累计净值]]/$B$21-1</f>
        <v>2.6223776223776252E-2</v>
      </c>
    </row>
    <row r="177" spans="1:8">
      <c r="A177" s="15">
        <v>44260</v>
      </c>
      <c r="B177" s="112">
        <v>1.167</v>
      </c>
      <c r="C177" s="112">
        <f>C176*(1+表2_36716262930389121314152324[[#This Row],[每日盈亏]])</f>
        <v>1.0787132197349165</v>
      </c>
      <c r="D177" s="108">
        <f>IFERROR(B177-B176,0)</f>
        <v>-6.9999999999998952E-3</v>
      </c>
      <c r="E177" s="109">
        <f>IF(D177&lt;0,D177,"/")</f>
        <v>-6.9999999999998952E-3</v>
      </c>
      <c r="F177" s="109">
        <f ca="1">IF(表2_36716262930389121314152324[[#This Row],[累计净值]]/MAX(INDIRECT("B21:B" &amp; ROW()))-1&lt;F176,表2_36716262930389121314152324[[#This Row],[累计净值]]/MAX(INDIRECT("B21:B" &amp; ROW()))-1,F176)</f>
        <v>-9.2334494773519071E-2</v>
      </c>
      <c r="G177" s="110">
        <f>表2_36716262930389121314152324[[#This Row],[累计净值]]</f>
        <v>1.167</v>
      </c>
      <c r="H177" s="20">
        <f>表2_36716262930389121314152324[[#This Row],[累计净值]]/$B$21-1</f>
        <v>2.0104895104895215E-2</v>
      </c>
    </row>
    <row r="178" spans="1:8">
      <c r="A178" s="15">
        <v>44263</v>
      </c>
      <c r="B178" s="112">
        <v>1.153</v>
      </c>
      <c r="C178" s="112">
        <f>C177*(1+表2_36716262930389121314152324[[#This Row],[每日盈亏]])</f>
        <v>1.0636112346586277</v>
      </c>
      <c r="D178" s="108">
        <f t="shared" ref="D178:D182" si="54">IFERROR(B178-B177,0)</f>
        <v>-1.4000000000000012E-2</v>
      </c>
      <c r="E178" s="109">
        <f t="shared" ref="E178:E182" si="55">IF(D178&lt;0,D178,"/")</f>
        <v>-1.4000000000000012E-2</v>
      </c>
      <c r="F178" s="109">
        <f ca="1">IF(表2_36716262930389121314152324[[#This Row],[累计净值]]/MAX(INDIRECT("B21:B" &amp; ROW()))-1&lt;F177,表2_36716262930389121314152324[[#This Row],[累计净值]]/MAX(INDIRECT("B21:B" &amp; ROW()))-1,F177)</f>
        <v>-9.2334494773519071E-2</v>
      </c>
      <c r="G178" s="110">
        <f>表2_36716262930389121314152324[[#This Row],[累计净值]]</f>
        <v>1.153</v>
      </c>
      <c r="H178" s="20">
        <f>表2_36716262930389121314152324[[#This Row],[累计净值]]/$B$21-1</f>
        <v>7.8671328671329199E-3</v>
      </c>
    </row>
    <row r="179" spans="1:8">
      <c r="A179" s="15">
        <v>44264</v>
      </c>
      <c r="B179" s="112">
        <v>1.1299999999999999</v>
      </c>
      <c r="C179" s="112">
        <f>C178*(1+表2_36716262930389121314152324[[#This Row],[每日盈亏]])</f>
        <v>1.0391481762614792</v>
      </c>
      <c r="D179" s="108">
        <f t="shared" si="54"/>
        <v>-2.3000000000000131E-2</v>
      </c>
      <c r="E179" s="109">
        <f t="shared" si="55"/>
        <v>-2.3000000000000131E-2</v>
      </c>
      <c r="F179" s="109">
        <f ca="1">IF(表2_36716262930389121314152324[[#This Row],[累计净值]]/MAX(INDIRECT("B21:B" &amp; ROW()))-1&lt;F178,表2_36716262930389121314152324[[#This Row],[累计净值]]/MAX(INDIRECT("B21:B" &amp; ROW()))-1,F178)</f>
        <v>-9.2334494773519071E-2</v>
      </c>
      <c r="G179" s="110">
        <f>表2_36716262930389121314152324[[#This Row],[累计净值]]</f>
        <v>1.1299999999999999</v>
      </c>
      <c r="H179" s="20">
        <f>表2_36716262930389121314152324[[#This Row],[累计净值]]/$B$21-1</f>
        <v>-1.2237762237762295E-2</v>
      </c>
    </row>
    <row r="180" spans="1:8">
      <c r="A180" s="15">
        <v>44265</v>
      </c>
      <c r="B180" s="112">
        <v>1.1180000000000001</v>
      </c>
      <c r="C180" s="112">
        <f>C179*(1+表2_36716262930389121314152324[[#This Row],[每日盈亏]])</f>
        <v>1.0266783981463417</v>
      </c>
      <c r="D180" s="108">
        <f t="shared" si="54"/>
        <v>-1.1999999999999789E-2</v>
      </c>
      <c r="E180" s="109">
        <f t="shared" si="55"/>
        <v>-1.1999999999999789E-2</v>
      </c>
      <c r="F180" s="109">
        <f ca="1">IF(表2_36716262930389121314152324[[#This Row],[累计净值]]/MAX(INDIRECT("B21:B" &amp; ROW()))-1&lt;F179,表2_36716262930389121314152324[[#This Row],[累计净值]]/MAX(INDIRECT("B21:B" &amp; ROW()))-1,F179)</f>
        <v>-9.2334494773519071E-2</v>
      </c>
      <c r="G180" s="110">
        <f>表2_36716262930389121314152324[[#This Row],[累计净值]]</f>
        <v>1.1180000000000001</v>
      </c>
      <c r="H180" s="20">
        <f>表2_36716262930389121314152324[[#This Row],[累计净值]]/$B$21-1</f>
        <v>-2.2727272727272596E-2</v>
      </c>
    </row>
    <row r="181" spans="1:8">
      <c r="A181" s="15">
        <v>44266</v>
      </c>
      <c r="B181" s="112">
        <v>1.151</v>
      </c>
      <c r="C181" s="112">
        <f>C180*(1+表2_36716262930389121314152324[[#This Row],[每日盈亏]])</f>
        <v>1.0605587852851708</v>
      </c>
      <c r="D181" s="108">
        <f t="shared" si="54"/>
        <v>3.2999999999999918E-2</v>
      </c>
      <c r="E181" s="109" t="str">
        <f t="shared" si="55"/>
        <v>/</v>
      </c>
      <c r="F181" s="109">
        <f ca="1">IF(表2_36716262930389121314152324[[#This Row],[累计净值]]/MAX(INDIRECT("B21:B" &amp; ROW()))-1&lt;F180,表2_36716262930389121314152324[[#This Row],[累计净值]]/MAX(INDIRECT("B21:B" &amp; ROW()))-1,F180)</f>
        <v>-9.2334494773519071E-2</v>
      </c>
      <c r="G181" s="110">
        <f>表2_36716262930389121314152324[[#This Row],[累计净值]]</f>
        <v>1.151</v>
      </c>
      <c r="H181" s="20">
        <f>表2_36716262930389121314152324[[#This Row],[累计净值]]/$B$21-1</f>
        <v>6.1188811188812586E-3</v>
      </c>
    </row>
    <row r="182" spans="1:8">
      <c r="A182" s="15">
        <v>44267</v>
      </c>
      <c r="B182" s="112">
        <v>1.163</v>
      </c>
      <c r="C182" s="112">
        <f>C181*(1+表2_36716262930389121314152324[[#This Row],[每日盈亏]])</f>
        <v>1.0732854907085929</v>
      </c>
      <c r="D182" s="108">
        <f t="shared" si="54"/>
        <v>1.2000000000000011E-2</v>
      </c>
      <c r="E182" s="109" t="str">
        <f t="shared" si="55"/>
        <v>/</v>
      </c>
      <c r="F182" s="109">
        <f ca="1">IF(表2_36716262930389121314152324[[#This Row],[累计净值]]/MAX(INDIRECT("B21:B" &amp; ROW()))-1&lt;F181,表2_36716262930389121314152324[[#This Row],[累计净值]]/MAX(INDIRECT("B21:B" &amp; ROW()))-1,F181)</f>
        <v>-9.2334494773519071E-2</v>
      </c>
      <c r="G182" s="110">
        <f>表2_36716262930389121314152324[[#This Row],[累计净值]]</f>
        <v>1.163</v>
      </c>
      <c r="H182" s="20">
        <f>表2_36716262930389121314152324[[#This Row],[累计净值]]/$B$21-1</f>
        <v>1.6608391608391671E-2</v>
      </c>
    </row>
    <row r="183" spans="1:8">
      <c r="A183" s="15">
        <v>44270</v>
      </c>
      <c r="B183" s="112">
        <v>1.1559999999999999</v>
      </c>
      <c r="C183" s="112">
        <f>C182*(1+表2_36716262930389121314152324[[#This Row],[每日盈亏]])</f>
        <v>1.0657724922736327</v>
      </c>
      <c r="D183" s="108">
        <f t="shared" ref="D183:D188" si="56">IFERROR(B183-B182,0)</f>
        <v>-7.0000000000001172E-3</v>
      </c>
      <c r="E183" s="109">
        <f t="shared" ref="E183:E188" si="57">IF(D183&lt;0,D183,"/")</f>
        <v>-7.0000000000001172E-3</v>
      </c>
      <c r="F183" s="109">
        <f ca="1">IF(表2_36716262930389121314152324[[#This Row],[累计净值]]/MAX(INDIRECT("B21:B" &amp; ROW()))-1&lt;F182,表2_36716262930389121314152324[[#This Row],[累计净值]]/MAX(INDIRECT("B21:B" &amp; ROW()))-1,F182)</f>
        <v>-9.2334494773519071E-2</v>
      </c>
      <c r="G183" s="110">
        <f>表2_36716262930389121314152324[[#This Row],[累计净值]]</f>
        <v>1.1559999999999999</v>
      </c>
      <c r="H183" s="20">
        <f>表2_36716262930389121314152324[[#This Row],[累计净值]]/$B$21-1</f>
        <v>1.0489510489510412E-2</v>
      </c>
    </row>
    <row r="184" spans="1:8">
      <c r="A184" s="15">
        <v>44271</v>
      </c>
      <c r="B184" s="112">
        <v>1.1599999999999999</v>
      </c>
      <c r="C184" s="112">
        <f>C183*(1+表2_36716262930389121314152324[[#This Row],[每日盈亏]])</f>
        <v>1.0700355822427272</v>
      </c>
      <c r="D184" s="108">
        <f t="shared" si="56"/>
        <v>4.0000000000000036E-3</v>
      </c>
      <c r="E184" s="109" t="str">
        <f t="shared" si="57"/>
        <v>/</v>
      </c>
      <c r="F184" s="109">
        <f ca="1">IF(表2_36716262930389121314152324[[#This Row],[累计净值]]/MAX(INDIRECT("B21:B" &amp; ROW()))-1&lt;F183,表2_36716262930389121314152324[[#This Row],[累计净值]]/MAX(INDIRECT("B21:B" &amp; ROW()))-1,F183)</f>
        <v>-9.2334494773519071E-2</v>
      </c>
      <c r="G184" s="110">
        <f>表2_36716262930389121314152324[[#This Row],[累计净值]]</f>
        <v>1.1599999999999999</v>
      </c>
      <c r="H184" s="20">
        <f>表2_36716262930389121314152324[[#This Row],[累计净值]]/$B$21-1</f>
        <v>1.3986013986013957E-2</v>
      </c>
    </row>
    <row r="185" spans="1:8">
      <c r="A185" s="15">
        <v>44272</v>
      </c>
      <c r="B185" s="112">
        <v>1.163</v>
      </c>
      <c r="C185" s="112">
        <f>C184*(1+表2_36716262930389121314152324[[#This Row],[每日盈亏]])</f>
        <v>1.0732456889894555</v>
      </c>
      <c r="D185" s="108">
        <f t="shared" si="56"/>
        <v>3.0000000000001137E-3</v>
      </c>
      <c r="E185" s="109" t="str">
        <f t="shared" si="57"/>
        <v>/</v>
      </c>
      <c r="F185" s="109">
        <f ca="1">IF(表2_36716262930389121314152324[[#This Row],[累计净值]]/MAX(INDIRECT("B21:B" &amp; ROW()))-1&lt;F184,表2_36716262930389121314152324[[#This Row],[累计净值]]/MAX(INDIRECT("B21:B" &amp; ROW()))-1,F184)</f>
        <v>-9.2334494773519071E-2</v>
      </c>
      <c r="G185" s="110">
        <f>表2_36716262930389121314152324[[#This Row],[累计净值]]</f>
        <v>1.163</v>
      </c>
      <c r="H185" s="20">
        <f>表2_36716262930389121314152324[[#This Row],[累计净值]]/$B$21-1</f>
        <v>1.6608391608391671E-2</v>
      </c>
    </row>
    <row r="186" spans="1:8">
      <c r="A186" s="15">
        <v>44273</v>
      </c>
      <c r="B186" s="112">
        <v>1.169</v>
      </c>
      <c r="C186" s="112">
        <f>C185*(1+表2_36716262930389121314152324[[#This Row],[每日盈亏]])</f>
        <v>1.0796851631233921</v>
      </c>
      <c r="D186" s="108">
        <f t="shared" si="56"/>
        <v>6.0000000000000053E-3</v>
      </c>
      <c r="E186" s="109" t="str">
        <f t="shared" si="57"/>
        <v>/</v>
      </c>
      <c r="F186" s="109">
        <f ca="1">IF(表2_36716262930389121314152324[[#This Row],[累计净值]]/MAX(INDIRECT("B21:B" &amp; ROW()))-1&lt;F185,表2_36716262930389121314152324[[#This Row],[累计净值]]/MAX(INDIRECT("B21:B" &amp; ROW()))-1,F185)</f>
        <v>-9.2334494773519071E-2</v>
      </c>
      <c r="G186" s="110">
        <f>表2_36716262930389121314152324[[#This Row],[累计净值]]</f>
        <v>1.169</v>
      </c>
      <c r="H186" s="20">
        <f>表2_36716262930389121314152324[[#This Row],[累计净值]]/$B$21-1</f>
        <v>2.1853146853146876E-2</v>
      </c>
    </row>
    <row r="187" spans="1:8">
      <c r="A187" s="15">
        <v>44274</v>
      </c>
      <c r="B187" s="112">
        <v>1.157</v>
      </c>
      <c r="C187" s="112">
        <f>C186*(1+表2_36716262930389121314152324[[#This Row],[每日盈亏]])</f>
        <v>1.0667289411659113</v>
      </c>
      <c r="D187" s="108">
        <f t="shared" si="56"/>
        <v>-1.2000000000000011E-2</v>
      </c>
      <c r="E187" s="109">
        <f t="shared" si="57"/>
        <v>-1.2000000000000011E-2</v>
      </c>
      <c r="F187" s="109">
        <f ca="1">IF(表2_36716262930389121314152324[[#This Row],[累计净值]]/MAX(INDIRECT("B21:B" &amp; ROW()))-1&lt;F186,表2_36716262930389121314152324[[#This Row],[累计净值]]/MAX(INDIRECT("B21:B" &amp; ROW()))-1,F186)</f>
        <v>-9.2334494773519071E-2</v>
      </c>
      <c r="G187" s="110">
        <f>表2_36716262930389121314152324[[#This Row],[累计净值]]</f>
        <v>1.157</v>
      </c>
      <c r="H187" s="20">
        <f>表2_36716262930389121314152324[[#This Row],[累计净值]]/$B$21-1</f>
        <v>1.1363636363636465E-2</v>
      </c>
    </row>
    <row r="188" spans="1:8">
      <c r="A188" s="15">
        <v>44277</v>
      </c>
      <c r="B188" s="112">
        <v>1.173</v>
      </c>
      <c r="C188" s="112">
        <f>C187*(1+表2_36716262930389121314152324[[#This Row],[每日盈亏]])</f>
        <v>1.0837966042245659</v>
      </c>
      <c r="D188" s="108">
        <f t="shared" si="56"/>
        <v>1.6000000000000014E-2</v>
      </c>
      <c r="E188" s="109" t="str">
        <f t="shared" si="57"/>
        <v>/</v>
      </c>
      <c r="F188" s="109">
        <f ca="1">IF(表2_36716262930389121314152324[[#This Row],[累计净值]]/MAX(INDIRECT("B21:B" &amp; ROW()))-1&lt;F187,表2_36716262930389121314152324[[#This Row],[累计净值]]/MAX(INDIRECT("B21:B" &amp; ROW()))-1,F187)</f>
        <v>-9.2334494773519071E-2</v>
      </c>
      <c r="G188" s="110">
        <f>表2_36716262930389121314152324[[#This Row],[累计净值]]</f>
        <v>1.173</v>
      </c>
      <c r="H188" s="20">
        <f>表2_36716262930389121314152324[[#This Row],[累计净值]]/$B$21-1</f>
        <v>2.5349650349650421E-2</v>
      </c>
    </row>
    <row r="189" spans="1:8">
      <c r="A189" s="15">
        <v>44278</v>
      </c>
      <c r="B189" s="112">
        <v>1.145</v>
      </c>
      <c r="C189" s="112">
        <f>C188*(1+表2_36716262930389121314152324[[#This Row],[每日盈亏]])</f>
        <v>1.053450299306278</v>
      </c>
      <c r="D189" s="108">
        <f>IFERROR(B189-B188,0)</f>
        <v>-2.8000000000000025E-2</v>
      </c>
      <c r="E189" s="109">
        <f>IF(D189&lt;0,D189,"/")</f>
        <v>-2.8000000000000025E-2</v>
      </c>
      <c r="F189" s="109">
        <f ca="1">IF(表2_36716262930389121314152324[[#This Row],[累计净值]]/MAX(INDIRECT("B21:B" &amp; ROW()))-1&lt;F188,表2_36716262930389121314152324[[#This Row],[累计净值]]/MAX(INDIRECT("B21:B" &amp; ROW()))-1,F188)</f>
        <v>-9.2334494773519071E-2</v>
      </c>
      <c r="G189" s="110">
        <f>表2_36716262930389121314152324[[#This Row],[累计净值]]</f>
        <v>1.145</v>
      </c>
      <c r="H189" s="20">
        <f>表2_36716262930389121314152324[[#This Row],[累计净值]]/$B$21-1</f>
        <v>8.7412587412605269E-4</v>
      </c>
    </row>
    <row r="190" spans="1:8">
      <c r="A190" s="15">
        <v>44279</v>
      </c>
      <c r="B190" s="112">
        <v>1.1200000000000001</v>
      </c>
      <c r="C190" s="112">
        <f>C189*(1+表2_36716262930389121314152324[[#This Row],[每日盈亏]])</f>
        <v>1.0271140418236211</v>
      </c>
      <c r="D190" s="108">
        <f t="shared" ref="D190:D192" si="58">IFERROR(B190-B189,0)</f>
        <v>-2.4999999999999911E-2</v>
      </c>
      <c r="E190" s="109">
        <f t="shared" ref="E190:E192" si="59">IF(D190&lt;0,D190,"/")</f>
        <v>-2.4999999999999911E-2</v>
      </c>
      <c r="F190" s="109">
        <f ca="1">IF(表2_36716262930389121314152324[[#This Row],[累计净值]]/MAX(INDIRECT("B21:B" &amp; ROW()))-1&lt;F189,表2_36716262930389121314152324[[#This Row],[累计净值]]/MAX(INDIRECT("B21:B" &amp; ROW()))-1,F189)</f>
        <v>-9.2334494773519071E-2</v>
      </c>
      <c r="G190" s="110">
        <f>表2_36716262930389121314152324[[#This Row],[累计净值]]</f>
        <v>1.1200000000000001</v>
      </c>
      <c r="H190" s="20">
        <f>表2_36716262930389121314152324[[#This Row],[累计净值]]/$B$21-1</f>
        <v>-2.0979020979020824E-2</v>
      </c>
    </row>
    <row r="191" spans="1:8">
      <c r="A191" s="15">
        <v>44280</v>
      </c>
      <c r="B191" s="112">
        <v>1.119</v>
      </c>
      <c r="C191" s="112">
        <f>C190*(1+表2_36716262930389121314152324[[#This Row],[每日盈亏]])</f>
        <v>1.0260869277817974</v>
      </c>
      <c r="D191" s="108">
        <f t="shared" si="58"/>
        <v>-1.0000000000001119E-3</v>
      </c>
      <c r="E191" s="109">
        <f t="shared" si="59"/>
        <v>-1.0000000000001119E-3</v>
      </c>
      <c r="F191" s="109">
        <f ca="1">IF(表2_36716262930389121314152324[[#This Row],[累计净值]]/MAX(INDIRECT("B21:B" &amp; ROW()))-1&lt;F190,表2_36716262930389121314152324[[#This Row],[累计净值]]/MAX(INDIRECT("B21:B" &amp; ROW()))-1,F190)</f>
        <v>-9.2334494773519071E-2</v>
      </c>
      <c r="G191" s="110">
        <f>表2_36716262930389121314152324[[#This Row],[累计净值]]</f>
        <v>1.119</v>
      </c>
      <c r="H191" s="20">
        <f>表2_36716262930389121314152324[[#This Row],[累计净值]]/$B$21-1</f>
        <v>-2.1853146853146765E-2</v>
      </c>
    </row>
    <row r="192" spans="1:8">
      <c r="A192" s="15">
        <v>44281</v>
      </c>
      <c r="B192" s="112">
        <v>1.135</v>
      </c>
      <c r="C192" s="112">
        <f>C191*(1+表2_36716262930389121314152324[[#This Row],[每日盈亏]])</f>
        <v>1.0425043186263063</v>
      </c>
      <c r="D192" s="108">
        <f t="shared" si="58"/>
        <v>1.6000000000000014E-2</v>
      </c>
      <c r="E192" s="109" t="str">
        <f t="shared" si="59"/>
        <v>/</v>
      </c>
      <c r="F192" s="109">
        <f ca="1">IF(表2_36716262930389121314152324[[#This Row],[累计净值]]/MAX(INDIRECT("B21:B" &amp; ROW()))-1&lt;F191,表2_36716262930389121314152324[[#This Row],[累计净值]]/MAX(INDIRECT("B21:B" &amp; ROW()))-1,F191)</f>
        <v>-9.2334494773519071E-2</v>
      </c>
      <c r="G192" s="110">
        <f>表2_36716262930389121314152324[[#This Row],[累计净值]]</f>
        <v>1.135</v>
      </c>
      <c r="H192" s="20">
        <f>表2_36716262930389121314152324[[#This Row],[累计净值]]/$B$21-1</f>
        <v>-7.8671328671328089E-3</v>
      </c>
    </row>
    <row r="193" spans="1:8">
      <c r="A193" s="15">
        <v>44284</v>
      </c>
      <c r="B193" s="112">
        <v>1.137</v>
      </c>
      <c r="C193" s="112">
        <f>C192*(1+表2_36716262930389121314152324[[#This Row],[每日盈亏]])</f>
        <v>1.0445893272635589</v>
      </c>
      <c r="D193" s="108">
        <f t="shared" ref="D193:D198" si="60">IFERROR(B193-B192,0)</f>
        <v>2.0000000000000018E-3</v>
      </c>
      <c r="E193" s="109" t="str">
        <f t="shared" ref="E193:E198" si="61">IF(D193&lt;0,D193,"/")</f>
        <v>/</v>
      </c>
      <c r="F193" s="109">
        <f ca="1">IF(表2_36716262930389121314152324[[#This Row],[累计净值]]/MAX(INDIRECT("B21:B" &amp; ROW()))-1&lt;F192,表2_36716262930389121314152324[[#This Row],[累计净值]]/MAX(INDIRECT("B21:B" &amp; ROW()))-1,F192)</f>
        <v>-9.2334494773519071E-2</v>
      </c>
      <c r="G193" s="110">
        <f>表2_36716262930389121314152324[[#This Row],[累计净值]]</f>
        <v>1.137</v>
      </c>
      <c r="H193" s="20">
        <f>表2_36716262930389121314152324[[#This Row],[累计净值]]/$B$21-1</f>
        <v>-6.1188811188810366E-3</v>
      </c>
    </row>
    <row r="194" spans="1:8">
      <c r="A194" s="15">
        <v>44285</v>
      </c>
      <c r="B194" s="112">
        <v>1.135</v>
      </c>
      <c r="C194" s="112">
        <f>C193*(1+表2_36716262930389121314152324[[#This Row],[每日盈亏]])</f>
        <v>1.0425001486090317</v>
      </c>
      <c r="D194" s="108">
        <f t="shared" si="60"/>
        <v>-2.0000000000000018E-3</v>
      </c>
      <c r="E194" s="109">
        <f t="shared" si="61"/>
        <v>-2.0000000000000018E-3</v>
      </c>
      <c r="F194" s="109">
        <f ca="1">IF(表2_36716262930389121314152324[[#This Row],[累计净值]]/MAX(INDIRECT("B21:B" &amp; ROW()))-1&lt;F193,表2_36716262930389121314152324[[#This Row],[累计净值]]/MAX(INDIRECT("B21:B" &amp; ROW()))-1,F193)</f>
        <v>-9.2334494773519071E-2</v>
      </c>
      <c r="G194" s="110">
        <f>表2_36716262930389121314152324[[#This Row],[累计净值]]</f>
        <v>1.135</v>
      </c>
      <c r="H194" s="20">
        <f>表2_36716262930389121314152324[[#This Row],[累计净值]]/$B$21-1</f>
        <v>-7.8671328671328089E-3</v>
      </c>
    </row>
    <row r="195" spans="1:8">
      <c r="A195" s="15">
        <v>44286</v>
      </c>
      <c r="B195" s="112">
        <v>1.135</v>
      </c>
      <c r="C195" s="112">
        <f>C194*(1+表2_36716262930389121314152324[[#This Row],[每日盈亏]])</f>
        <v>1.0425001486090317</v>
      </c>
      <c r="D195" s="108">
        <f t="shared" si="60"/>
        <v>0</v>
      </c>
      <c r="E195" s="109" t="str">
        <f t="shared" si="61"/>
        <v>/</v>
      </c>
      <c r="F195" s="109">
        <f ca="1">IF(表2_36716262930389121314152324[[#This Row],[累计净值]]/MAX(INDIRECT("B21:B" &amp; ROW()))-1&lt;F194,表2_36716262930389121314152324[[#This Row],[累计净值]]/MAX(INDIRECT("B21:B" &amp; ROW()))-1,F194)</f>
        <v>-9.2334494773519071E-2</v>
      </c>
      <c r="G195" s="110">
        <f>表2_36716262930389121314152324[[#This Row],[累计净值]]</f>
        <v>1.135</v>
      </c>
      <c r="H195" s="20">
        <f>表2_36716262930389121314152324[[#This Row],[累计净值]]/$B$21-1</f>
        <v>-7.8671328671328089E-3</v>
      </c>
    </row>
    <row r="196" spans="1:8">
      <c r="A196" s="15">
        <v>44287</v>
      </c>
      <c r="B196" s="112">
        <v>1.143</v>
      </c>
      <c r="C196" s="112">
        <f>C195*(1+表2_36716262930389121314152324[[#This Row],[每日盈亏]])</f>
        <v>1.0508401497979041</v>
      </c>
      <c r="D196" s="108">
        <f t="shared" si="60"/>
        <v>8.0000000000000071E-3</v>
      </c>
      <c r="E196" s="109" t="str">
        <f t="shared" si="61"/>
        <v>/</v>
      </c>
      <c r="F196" s="109">
        <f ca="1">IF(表2_36716262930389121314152324[[#This Row],[累计净值]]/MAX(INDIRECT("B21:B" &amp; ROW()))-1&lt;F195,表2_36716262930389121314152324[[#This Row],[累计净值]]/MAX(INDIRECT("B21:B" &amp; ROW()))-1,F195)</f>
        <v>-9.2334494773519071E-2</v>
      </c>
      <c r="G196" s="110">
        <f>表2_36716262930389121314152324[[#This Row],[累计净值]]</f>
        <v>1.143</v>
      </c>
      <c r="H196" s="20">
        <f>表2_36716262930389121314152324[[#This Row],[累计净值]]/$B$21-1</f>
        <v>-8.7412587412583065E-4</v>
      </c>
    </row>
    <row r="197" spans="1:8">
      <c r="A197" s="15">
        <v>44288</v>
      </c>
      <c r="B197" s="112">
        <v>1.1479999999999999</v>
      </c>
      <c r="C197" s="112">
        <f>C196*(1+表2_36716262930389121314152324[[#This Row],[每日盈亏]])</f>
        <v>1.0560943505468934</v>
      </c>
      <c r="D197" s="108">
        <f t="shared" si="60"/>
        <v>4.9999999999998934E-3</v>
      </c>
      <c r="E197" s="109" t="str">
        <f t="shared" si="61"/>
        <v>/</v>
      </c>
      <c r="F197" s="109">
        <f ca="1">IF(表2_36716262930389121314152324[[#This Row],[累计净值]]/MAX(INDIRECT("B21:B" &amp; ROW()))-1&lt;F196,表2_36716262930389121314152324[[#This Row],[累计净值]]/MAX(INDIRECT("B21:B" &amp; ROW()))-1,F196)</f>
        <v>-9.2334494773519071E-2</v>
      </c>
      <c r="G197" s="110">
        <f>表2_36716262930389121314152324[[#This Row],[累计净值]]</f>
        <v>1.1479999999999999</v>
      </c>
      <c r="H197" s="20">
        <f>表2_36716262930389121314152324[[#This Row],[累计净值]]/$B$21-1</f>
        <v>3.4965034965035446E-3</v>
      </c>
    </row>
    <row r="198" spans="1:8">
      <c r="A198" s="15">
        <v>44292</v>
      </c>
      <c r="B198" s="112">
        <v>1.157</v>
      </c>
      <c r="C198" s="112">
        <f>C197*(1+表2_36716262930389121314152324[[#This Row],[每日盈亏]])</f>
        <v>1.0655991997018155</v>
      </c>
      <c r="D198" s="108">
        <f t="shared" si="60"/>
        <v>9.000000000000119E-3</v>
      </c>
      <c r="E198" s="109" t="str">
        <f t="shared" si="61"/>
        <v>/</v>
      </c>
      <c r="F198" s="109">
        <f ca="1">IF(表2_36716262930389121314152324[[#This Row],[累计净值]]/MAX(INDIRECT("B21:B" &amp; ROW()))-1&lt;F197,表2_36716262930389121314152324[[#This Row],[累计净值]]/MAX(INDIRECT("B21:B" &amp; ROW()))-1,F197)</f>
        <v>-9.2334494773519071E-2</v>
      </c>
      <c r="G198" s="110">
        <f>表2_36716262930389121314152324[[#This Row],[累计净值]]</f>
        <v>1.157</v>
      </c>
      <c r="H198" s="20">
        <f>表2_36716262930389121314152324[[#This Row],[累计净值]]/$B$21-1</f>
        <v>1.1363636363636465E-2</v>
      </c>
    </row>
    <row r="199" spans="1:8">
      <c r="A199" s="15">
        <v>44293</v>
      </c>
      <c r="B199" s="112">
        <v>1.1579999999999999</v>
      </c>
      <c r="C199" s="112">
        <f>C198*(1+表2_36716262930389121314152324[[#This Row],[每日盈亏]])</f>
        <v>1.0666647989015172</v>
      </c>
      <c r="D199" s="108">
        <f t="shared" ref="D199:D204" si="62">IFERROR(B199-B198,0)</f>
        <v>9.9999999999988987E-4</v>
      </c>
      <c r="E199" s="109" t="str">
        <f t="shared" ref="E199:E204" si="63">IF(D199&lt;0,D199,"/")</f>
        <v>/</v>
      </c>
      <c r="F199" s="109">
        <f ca="1">IF(表2_36716262930389121314152324[[#This Row],[累计净值]]/MAX(INDIRECT("B21:B" &amp; ROW()))-1&lt;F198,表2_36716262930389121314152324[[#This Row],[累计净值]]/MAX(INDIRECT("B21:B" &amp; ROW()))-1,F198)</f>
        <v>-9.2334494773519071E-2</v>
      </c>
      <c r="G199" s="110">
        <f>表2_36716262930389121314152324[[#This Row],[累计净值]]</f>
        <v>1.1579999999999999</v>
      </c>
      <c r="H199" s="20">
        <f>表2_36716262930389121314152324[[#This Row],[累计净值]]/$B$21-1</f>
        <v>1.2237762237762295E-2</v>
      </c>
    </row>
    <row r="200" spans="1:8">
      <c r="A200" s="15">
        <v>44294</v>
      </c>
      <c r="B200" s="112">
        <v>1.157</v>
      </c>
      <c r="C200" s="112">
        <f>C199*(1+表2_36716262930389121314152324[[#This Row],[每日盈亏]])</f>
        <v>1.0655981341026157</v>
      </c>
      <c r="D200" s="108">
        <f t="shared" si="62"/>
        <v>-9.9999999999988987E-4</v>
      </c>
      <c r="E200" s="109">
        <f t="shared" si="63"/>
        <v>-9.9999999999988987E-4</v>
      </c>
      <c r="F200" s="109">
        <f ca="1">IF(表2_36716262930389121314152324[[#This Row],[累计净值]]/MAX(INDIRECT("B21:B" &amp; ROW()))-1&lt;F199,表2_36716262930389121314152324[[#This Row],[累计净值]]/MAX(INDIRECT("B21:B" &amp; ROW()))-1,F199)</f>
        <v>-9.2334494773519071E-2</v>
      </c>
      <c r="G200" s="110">
        <f>表2_36716262930389121314152324[[#This Row],[累计净值]]</f>
        <v>1.157</v>
      </c>
      <c r="H200" s="20">
        <f>表2_36716262930389121314152324[[#This Row],[累计净值]]/$B$21-1</f>
        <v>1.1363636363636465E-2</v>
      </c>
    </row>
    <row r="201" spans="1:8">
      <c r="A201" s="15">
        <v>44295</v>
      </c>
      <c r="B201" s="112">
        <v>1.1539999999999999</v>
      </c>
      <c r="C201" s="112">
        <f>C200*(1+表2_36716262930389121314152324[[#This Row],[每日盈亏]])</f>
        <v>1.0624013397003078</v>
      </c>
      <c r="D201" s="108">
        <f t="shared" si="62"/>
        <v>-3.0000000000001137E-3</v>
      </c>
      <c r="E201" s="109">
        <f t="shared" si="63"/>
        <v>-3.0000000000001137E-3</v>
      </c>
      <c r="F201" s="109">
        <f ca="1">IF(表2_36716262930389121314152324[[#This Row],[累计净值]]/MAX(INDIRECT("B21:B" &amp; ROW()))-1&lt;F200,表2_36716262930389121314152324[[#This Row],[累计净值]]/MAX(INDIRECT("B21:B" &amp; ROW()))-1,F200)</f>
        <v>-9.2334494773519071E-2</v>
      </c>
      <c r="G201" s="110">
        <f>表2_36716262930389121314152324[[#This Row],[累计净值]]</f>
        <v>1.1539999999999999</v>
      </c>
      <c r="H201" s="20">
        <f>表2_36716262930389121314152324[[#This Row],[累计净值]]/$B$21-1</f>
        <v>8.7412587412587506E-3</v>
      </c>
    </row>
    <row r="202" spans="1:8">
      <c r="A202" s="15">
        <v>44298</v>
      </c>
      <c r="B202" s="112">
        <v>1.127</v>
      </c>
      <c r="C202" s="112">
        <f>C201*(1+表2_36716262930389121314152324[[#This Row],[每日盈亏]])</f>
        <v>1.0337165035283995</v>
      </c>
      <c r="D202" s="108">
        <f t="shared" si="62"/>
        <v>-2.6999999999999913E-2</v>
      </c>
      <c r="E202" s="109">
        <f t="shared" si="63"/>
        <v>-2.6999999999999913E-2</v>
      </c>
      <c r="F202" s="109">
        <f ca="1">IF(表2_36716262930389121314152324[[#This Row],[累计净值]]/MAX(INDIRECT("B21:B" &amp; ROW()))-1&lt;F201,表2_36716262930389121314152324[[#This Row],[累计净值]]/MAX(INDIRECT("B21:B" &amp; ROW()))-1,F201)</f>
        <v>-9.2334494773519071E-2</v>
      </c>
      <c r="G202" s="110">
        <f>表2_36716262930389121314152324[[#This Row],[累计净值]]</f>
        <v>1.127</v>
      </c>
      <c r="H202" s="20">
        <f>表2_36716262930389121314152324[[#This Row],[累计净值]]/$B$21-1</f>
        <v>-1.4860139860139787E-2</v>
      </c>
    </row>
    <row r="203" spans="1:8">
      <c r="A203" s="15">
        <v>44299</v>
      </c>
      <c r="B203" s="112">
        <v>1.123</v>
      </c>
      <c r="C203" s="112">
        <f>C202*(1+表2_36716262930389121314152324[[#This Row],[每日盈亏]])</f>
        <v>1.0295816375142859</v>
      </c>
      <c r="D203" s="108">
        <f t="shared" si="62"/>
        <v>-4.0000000000000036E-3</v>
      </c>
      <c r="E203" s="109">
        <f t="shared" si="63"/>
        <v>-4.0000000000000036E-3</v>
      </c>
      <c r="F203" s="109">
        <f ca="1">IF(表2_36716262930389121314152324[[#This Row],[累计净值]]/MAX(INDIRECT("B21:B" &amp; ROW()))-1&lt;F202,表2_36716262930389121314152324[[#This Row],[累计净值]]/MAX(INDIRECT("B21:B" &amp; ROW()))-1,F202)</f>
        <v>-9.2334494773519071E-2</v>
      </c>
      <c r="G203" s="110">
        <f>表2_36716262930389121314152324[[#This Row],[累计净值]]</f>
        <v>1.123</v>
      </c>
      <c r="H203" s="20">
        <f>表2_36716262930389121314152324[[#This Row],[累计净值]]/$B$21-1</f>
        <v>-1.8356643356643332E-2</v>
      </c>
    </row>
    <row r="204" spans="1:8">
      <c r="A204" s="15">
        <v>44300</v>
      </c>
      <c r="B204" s="112">
        <v>1.135</v>
      </c>
      <c r="C204" s="112">
        <f>C203*(1+表2_36716262930389121314152324[[#This Row],[每日盈亏]])</f>
        <v>1.0419366171644573</v>
      </c>
      <c r="D204" s="108">
        <f t="shared" si="62"/>
        <v>1.2000000000000011E-2</v>
      </c>
      <c r="E204" s="109" t="str">
        <f t="shared" si="63"/>
        <v>/</v>
      </c>
      <c r="F204" s="109">
        <f ca="1">IF(表2_36716262930389121314152324[[#This Row],[累计净值]]/MAX(INDIRECT("B21:B" &amp; ROW()))-1&lt;F203,表2_36716262930389121314152324[[#This Row],[累计净值]]/MAX(INDIRECT("B21:B" &amp; ROW()))-1,F203)</f>
        <v>-9.2334494773519071E-2</v>
      </c>
      <c r="G204" s="110">
        <f>表2_36716262930389121314152324[[#This Row],[累计净值]]</f>
        <v>1.135</v>
      </c>
      <c r="H204" s="20">
        <f>表2_36716262930389121314152324[[#This Row],[累计净值]]/$B$21-1</f>
        <v>-7.8671328671328089E-3</v>
      </c>
    </row>
    <row r="205" spans="1:8">
      <c r="A205" s="15">
        <v>44301</v>
      </c>
      <c r="B205" s="112">
        <v>1.1319999999999999</v>
      </c>
      <c r="C205" s="112">
        <f>C204*(1+表2_36716262930389121314152324[[#This Row],[每日盈亏]])</f>
        <v>1.0388108073129638</v>
      </c>
      <c r="D205" s="108">
        <f t="shared" ref="D205:D210" si="64">IFERROR(B205-B204,0)</f>
        <v>-3.0000000000001137E-3</v>
      </c>
      <c r="E205" s="109">
        <f t="shared" ref="E205:E210" si="65">IF(D205&lt;0,D205,"/")</f>
        <v>-3.0000000000001137E-3</v>
      </c>
      <c r="F205" s="109">
        <f ca="1">IF(表2_36716262930389121314152324[[#This Row],[累计净值]]/MAX(INDIRECT("B21:B" &amp; ROW()))-1&lt;F204,表2_36716262930389121314152324[[#This Row],[累计净值]]/MAX(INDIRECT("B21:B" &amp; ROW()))-1,F204)</f>
        <v>-9.2334494773519071E-2</v>
      </c>
      <c r="G205" s="110">
        <f>表2_36716262930389121314152324[[#This Row],[累计净值]]</f>
        <v>1.1319999999999999</v>
      </c>
      <c r="H205" s="20">
        <f>表2_36716262930389121314152324[[#This Row],[累计净值]]/$B$21-1</f>
        <v>-1.0489510489510523E-2</v>
      </c>
    </row>
    <row r="206" spans="1:8">
      <c r="A206" s="15">
        <v>44302</v>
      </c>
      <c r="B206" s="112">
        <v>1.143</v>
      </c>
      <c r="C206" s="112">
        <f>C205*(1+表2_36716262930389121314152324[[#This Row],[每日盈亏]])</f>
        <v>1.0502377261934066</v>
      </c>
      <c r="D206" s="108">
        <f t="shared" si="64"/>
        <v>1.1000000000000121E-2</v>
      </c>
      <c r="E206" s="109" t="str">
        <f t="shared" si="65"/>
        <v>/</v>
      </c>
      <c r="F206" s="109">
        <f ca="1">IF(表2_36716262930389121314152324[[#This Row],[累计净值]]/MAX(INDIRECT("B21:B" &amp; ROW()))-1&lt;F205,表2_36716262930389121314152324[[#This Row],[累计净值]]/MAX(INDIRECT("B21:B" &amp; ROW()))-1,F205)</f>
        <v>-9.2334494773519071E-2</v>
      </c>
      <c r="G206" s="110">
        <f>表2_36716262930389121314152324[[#This Row],[累计净值]]</f>
        <v>1.143</v>
      </c>
      <c r="H206" s="20">
        <f>表2_36716262930389121314152324[[#This Row],[累计净值]]/$B$21-1</f>
        <v>-8.7412587412583065E-4</v>
      </c>
    </row>
    <row r="207" spans="1:8">
      <c r="A207" s="15">
        <v>44305</v>
      </c>
      <c r="B207" s="112">
        <v>1.155</v>
      </c>
      <c r="C207" s="112">
        <f>C206*(1+表2_36716262930389121314152324[[#This Row],[每日盈亏]])</f>
        <v>1.0628405789077275</v>
      </c>
      <c r="D207" s="108">
        <f t="shared" si="64"/>
        <v>1.2000000000000011E-2</v>
      </c>
      <c r="E207" s="109" t="str">
        <f t="shared" si="65"/>
        <v>/</v>
      </c>
      <c r="F207" s="109">
        <f ca="1">IF(表2_36716262930389121314152324[[#This Row],[累计净值]]/MAX(INDIRECT("B21:B" &amp; ROW()))-1&lt;F206,表2_36716262930389121314152324[[#This Row],[累计净值]]/MAX(INDIRECT("B21:B" &amp; ROW()))-1,F206)</f>
        <v>-9.2334494773519071E-2</v>
      </c>
      <c r="G207" s="110">
        <f>表2_36716262930389121314152324[[#This Row],[累计净值]]</f>
        <v>1.155</v>
      </c>
      <c r="H207" s="20">
        <f>表2_36716262930389121314152324[[#This Row],[累计净值]]/$B$21-1</f>
        <v>9.6153846153848033E-3</v>
      </c>
    </row>
    <row r="208" spans="1:8">
      <c r="A208" s="15">
        <v>44306</v>
      </c>
      <c r="B208" s="112">
        <v>1.1559999999999999</v>
      </c>
      <c r="C208" s="112">
        <f>C207*(1+表2_36716262930389121314152324[[#This Row],[每日盈亏]])</f>
        <v>1.0639034194866352</v>
      </c>
      <c r="D208" s="108">
        <f t="shared" si="64"/>
        <v>9.9999999999988987E-4</v>
      </c>
      <c r="E208" s="109" t="str">
        <f t="shared" si="65"/>
        <v>/</v>
      </c>
      <c r="F208" s="109">
        <f ca="1">IF(表2_36716262930389121314152324[[#This Row],[累计净值]]/MAX(INDIRECT("B21:B" &amp; ROW()))-1&lt;F207,表2_36716262930389121314152324[[#This Row],[累计净值]]/MAX(INDIRECT("B21:B" &amp; ROW()))-1,F207)</f>
        <v>-9.2334494773519071E-2</v>
      </c>
      <c r="G208" s="110">
        <f>表2_36716262930389121314152324[[#This Row],[累计净值]]</f>
        <v>1.1559999999999999</v>
      </c>
      <c r="H208" s="20">
        <f>表2_36716262930389121314152324[[#This Row],[累计净值]]/$B$21-1</f>
        <v>1.0489510489510412E-2</v>
      </c>
    </row>
    <row r="209" spans="1:8">
      <c r="A209" s="15">
        <v>44307</v>
      </c>
      <c r="B209" s="112">
        <v>1.1539999999999999</v>
      </c>
      <c r="C209" s="112">
        <f>C208*(1+表2_36716262930389121314152324[[#This Row],[每日盈亏]])</f>
        <v>1.0617756126476621</v>
      </c>
      <c r="D209" s="108">
        <f t="shared" si="64"/>
        <v>-2.0000000000000018E-3</v>
      </c>
      <c r="E209" s="109">
        <f t="shared" si="65"/>
        <v>-2.0000000000000018E-3</v>
      </c>
      <c r="F209" s="109">
        <f ca="1">IF(表2_36716262930389121314152324[[#This Row],[累计净值]]/MAX(INDIRECT("B21:B" &amp; ROW()))-1&lt;F208,表2_36716262930389121314152324[[#This Row],[累计净值]]/MAX(INDIRECT("B21:B" &amp; ROW()))-1,F208)</f>
        <v>-9.2334494773519071E-2</v>
      </c>
      <c r="G209" s="110">
        <f>表2_36716262930389121314152324[[#This Row],[累计净值]]</f>
        <v>1.1539999999999999</v>
      </c>
      <c r="H209" s="20">
        <f>表2_36716262930389121314152324[[#This Row],[累计净值]]/$B$21-1</f>
        <v>8.7412587412587506E-3</v>
      </c>
    </row>
    <row r="210" spans="1:8">
      <c r="A210" s="15">
        <v>44308</v>
      </c>
      <c r="B210" s="112">
        <v>1.159</v>
      </c>
      <c r="C210" s="112">
        <f>C209*(1+表2_36716262930389121314152324[[#This Row],[每日盈亏]])</f>
        <v>1.0670844907109005</v>
      </c>
      <c r="D210" s="108">
        <f t="shared" si="64"/>
        <v>5.0000000000001155E-3</v>
      </c>
      <c r="E210" s="109" t="str">
        <f t="shared" si="65"/>
        <v>/</v>
      </c>
      <c r="F210" s="109">
        <f ca="1">IF(表2_36716262930389121314152324[[#This Row],[累计净值]]/MAX(INDIRECT("B21:B" &amp; ROW()))-1&lt;F209,表2_36716262930389121314152324[[#This Row],[累计净值]]/MAX(INDIRECT("B21:B" &amp; ROW()))-1,F209)</f>
        <v>-9.2334494773519071E-2</v>
      </c>
      <c r="G210" s="110">
        <f>表2_36716262930389121314152324[[#This Row],[累计净值]]</f>
        <v>1.159</v>
      </c>
      <c r="H210" s="20">
        <f>表2_36716262930389121314152324[[#This Row],[累计净值]]/$B$21-1</f>
        <v>1.3111888111888126E-2</v>
      </c>
    </row>
    <row r="211" spans="1:8">
      <c r="A211" s="15">
        <v>44309</v>
      </c>
      <c r="B211" s="112">
        <v>1.165</v>
      </c>
      <c r="C211" s="112">
        <f>C210*(1+表2_36716262930389121314152324[[#This Row],[每日盈亏]])</f>
        <v>1.073486997655166</v>
      </c>
      <c r="D211" s="108">
        <f>IFERROR(B211-B210,0)</f>
        <v>6.0000000000000053E-3</v>
      </c>
      <c r="E211" s="109" t="str">
        <f>IF(D211&lt;0,D211,"/")</f>
        <v>/</v>
      </c>
      <c r="F211" s="109">
        <f ca="1">IF(表2_36716262930389121314152324[[#This Row],[累计净值]]/MAX(INDIRECT("B21:B" &amp; ROW()))-1&lt;F210,表2_36716262930389121314152324[[#This Row],[累计净值]]/MAX(INDIRECT("B21:B" &amp; ROW()))-1,F210)</f>
        <v>-9.2334494773519071E-2</v>
      </c>
      <c r="G211" s="110">
        <f>表2_36716262930389121314152324[[#This Row],[累计净值]]</f>
        <v>1.165</v>
      </c>
      <c r="H211" s="20">
        <f>表2_36716262930389121314152324[[#This Row],[累计净值]]/$B$21-1</f>
        <v>1.8356643356643554E-2</v>
      </c>
    </row>
    <row r="212" spans="1:8">
      <c r="A212" s="15">
        <v>44312</v>
      </c>
      <c r="B212" s="112">
        <v>1.1679999999999999</v>
      </c>
      <c r="C212" s="112">
        <f>C211*(1+表2_36716262930389121314152324[[#This Row],[每日盈亏]])</f>
        <v>1.0767074586481313</v>
      </c>
      <c r="D212" s="108">
        <f>IFERROR(B212-B211,0)</f>
        <v>2.9999999999998916E-3</v>
      </c>
      <c r="E212" s="109" t="str">
        <f>IF(D212&lt;0,D212,"/")</f>
        <v>/</v>
      </c>
      <c r="F212" s="109">
        <f ca="1">IF(表2_36716262930389121314152324[[#This Row],[累计净值]]/MAX(INDIRECT("B21:B" &amp; ROW()))-1&lt;F211,表2_36716262930389121314152324[[#This Row],[累计净值]]/MAX(INDIRECT("B21:B" &amp; ROW()))-1,F211)</f>
        <v>-9.2334494773519071E-2</v>
      </c>
      <c r="G212" s="110">
        <f>表2_36716262930389121314152324[[#This Row],[累计净值]]</f>
        <v>1.1679999999999999</v>
      </c>
      <c r="H212" s="20">
        <f>表2_36716262930389121314152324[[#This Row],[累计净值]]/$B$21-1</f>
        <v>2.0979020979021046E-2</v>
      </c>
    </row>
    <row r="213" spans="1:8">
      <c r="A213" s="15">
        <v>44313</v>
      </c>
      <c r="B213" s="112">
        <v>1.1659999999999999</v>
      </c>
      <c r="C213" s="112">
        <f>C212*(1+表2_36716262930389121314152324[[#This Row],[每日盈亏]])</f>
        <v>1.074554043730835</v>
      </c>
      <c r="D213" s="108">
        <f>IFERROR(B213-B212,0)</f>
        <v>-2.0000000000000018E-3</v>
      </c>
      <c r="E213" s="109">
        <f>IF(D213&lt;0,D213,"/")</f>
        <v>-2.0000000000000018E-3</v>
      </c>
      <c r="F213" s="109">
        <f ca="1">IF(表2_36716262930389121314152324[[#This Row],[累计净值]]/MAX(INDIRECT("B21:B" &amp; ROW()))-1&lt;F212,表2_36716262930389121314152324[[#This Row],[累计净值]]/MAX(INDIRECT("B21:B" &amp; ROW()))-1,F212)</f>
        <v>-9.2334494773519071E-2</v>
      </c>
      <c r="G213" s="110">
        <f>表2_36716262930389121314152324[[#This Row],[累计净值]]</f>
        <v>1.1659999999999999</v>
      </c>
      <c r="H213" s="20">
        <f>表2_36716262930389121314152324[[#This Row],[累计净值]]/$B$21-1</f>
        <v>1.9230769230769162E-2</v>
      </c>
    </row>
    <row r="214" spans="1:8">
      <c r="A214" s="15">
        <v>44314</v>
      </c>
      <c r="B214" s="112">
        <v>1.175</v>
      </c>
      <c r="C214" s="112">
        <f>C213*(1+表2_36716262930389121314152324[[#This Row],[每日盈亏]])</f>
        <v>1.0842250301244125</v>
      </c>
      <c r="D214" s="108">
        <f>IFERROR(B214-B213,0)</f>
        <v>9.000000000000119E-3</v>
      </c>
      <c r="E214" s="109" t="str">
        <f>IF(D214&lt;0,D214,"/")</f>
        <v>/</v>
      </c>
      <c r="F214" s="109">
        <f ca="1">IF(表2_36716262930389121314152324[[#This Row],[累计净值]]/MAX(INDIRECT("B21:B" &amp; ROW()))-1&lt;F213,表2_36716262930389121314152324[[#This Row],[累计净值]]/MAX(INDIRECT("B21:B" &amp; ROW()))-1,F213)</f>
        <v>-9.2334494773519071E-2</v>
      </c>
      <c r="G214" s="110">
        <f>表2_36716262930389121314152324[[#This Row],[累计净值]]</f>
        <v>1.175</v>
      </c>
      <c r="H214" s="20">
        <f>表2_36716262930389121314152324[[#This Row],[累计净值]]/$B$21-1</f>
        <v>2.7097902097902304E-2</v>
      </c>
    </row>
    <row r="215" spans="1:8">
      <c r="A215" s="15">
        <v>44315</v>
      </c>
      <c r="B215" s="112">
        <v>1.175</v>
      </c>
      <c r="C215" s="112">
        <f>C214*(1+表2_36716262930389121314152324[[#This Row],[每日盈亏]])</f>
        <v>1.0842250301244125</v>
      </c>
      <c r="D215" s="108">
        <f>IFERROR(B215-B214,0)</f>
        <v>0</v>
      </c>
      <c r="E215" s="109" t="str">
        <f>IF(D215&lt;0,D215,"/")</f>
        <v>/</v>
      </c>
      <c r="F215" s="109">
        <f ca="1">IF(表2_36716262930389121314152324[[#This Row],[累计净值]]/MAX(INDIRECT("B21:B" &amp; ROW()))-1&lt;F214,表2_36716262930389121314152324[[#This Row],[累计净值]]/MAX(INDIRECT("B21:B" &amp; ROW()))-1,F214)</f>
        <v>-9.2334494773519071E-2</v>
      </c>
      <c r="G215" s="110">
        <f>表2_36716262930389121314152324[[#This Row],[累计净值]]</f>
        <v>1.175</v>
      </c>
      <c r="H215" s="20">
        <f>表2_36716262930389121314152324[[#This Row],[累计净值]]/$B$21-1</f>
        <v>2.7097902097902304E-2</v>
      </c>
    </row>
    <row r="216" spans="1:8">
      <c r="A216" s="15">
        <v>44316</v>
      </c>
      <c r="B216" s="112">
        <v>1.1659999999999999</v>
      </c>
      <c r="C216" s="112">
        <f>C215*(1+表2_36716262930389121314152324[[#This Row],[每日盈亏]])</f>
        <v>1.0744670048532927</v>
      </c>
      <c r="D216" s="108">
        <f t="shared" ref="D216:D217" si="66">IFERROR(B216-B215,0)</f>
        <v>-9.000000000000119E-3</v>
      </c>
      <c r="E216" s="109">
        <f t="shared" ref="E216:E217" si="67">IF(D216&lt;0,D216,"/")</f>
        <v>-9.000000000000119E-3</v>
      </c>
      <c r="F216" s="109">
        <f ca="1">IF(表2_36716262930389121314152324[[#This Row],[累计净值]]/MAX(INDIRECT("B21:B" &amp; ROW()))-1&lt;F215,表2_36716262930389121314152324[[#This Row],[累计净值]]/MAX(INDIRECT("B21:B" &amp; ROW()))-1,F215)</f>
        <v>-9.2334494773519071E-2</v>
      </c>
      <c r="G216" s="110">
        <f>表2_36716262930389121314152324[[#This Row],[累计净值]]</f>
        <v>1.1659999999999999</v>
      </c>
      <c r="H216" s="20">
        <f>表2_36716262930389121314152324[[#This Row],[累计净值]]/$B$21-1</f>
        <v>1.9230769230769162E-2</v>
      </c>
    </row>
    <row r="217" spans="1:8">
      <c r="A217" s="15">
        <v>44322</v>
      </c>
      <c r="B217" s="112">
        <v>1.1879999999999999</v>
      </c>
      <c r="C217" s="112">
        <f>C216*(1+表2_36716262930389121314152324[[#This Row],[每日盈亏]])</f>
        <v>1.0981052789600652</v>
      </c>
      <c r="D217" s="108">
        <f t="shared" si="66"/>
        <v>2.200000000000002E-2</v>
      </c>
      <c r="E217" s="109" t="str">
        <f t="shared" si="67"/>
        <v>/</v>
      </c>
      <c r="F217" s="109">
        <f ca="1">IF(表2_36716262930389121314152324[[#This Row],[累计净值]]/MAX(INDIRECT("B21:B" &amp; ROW()))-1&lt;F216,表2_36716262930389121314152324[[#This Row],[累计净值]]/MAX(INDIRECT("B21:B" &amp; ROW()))-1,F216)</f>
        <v>-9.2334494773519071E-2</v>
      </c>
      <c r="G217" s="110">
        <f>表2_36716262930389121314152324[[#This Row],[累计净值]]</f>
        <v>1.1879999999999999</v>
      </c>
      <c r="H217" s="20">
        <f>表2_36716262930389121314152324[[#This Row],[累计净值]]/$B$21-1</f>
        <v>3.8461538461538547E-2</v>
      </c>
    </row>
    <row r="218" spans="1:8">
      <c r="A218" s="15">
        <v>44323</v>
      </c>
      <c r="B218" s="112">
        <v>1.179</v>
      </c>
      <c r="C218" s="112">
        <f>C217*(1+表2_36716262930389121314152324[[#This Row],[每日盈亏]])</f>
        <v>1.0882223314494246</v>
      </c>
      <c r="D218" s="108">
        <f t="shared" ref="D218:D224" si="68">IFERROR(B218-B217,0)</f>
        <v>-8.999999999999897E-3</v>
      </c>
      <c r="E218" s="109">
        <f t="shared" ref="E218:E224" si="69">IF(D218&lt;0,D218,"/")</f>
        <v>-8.999999999999897E-3</v>
      </c>
      <c r="F218" s="109">
        <f ca="1">IF(表2_36716262930389121314152324[[#This Row],[累计净值]]/MAX(INDIRECT("B21:B" &amp; ROW()))-1&lt;F217,表2_36716262930389121314152324[[#This Row],[累计净值]]/MAX(INDIRECT("B21:B" &amp; ROW()))-1,F217)</f>
        <v>-9.2334494773519071E-2</v>
      </c>
      <c r="G218" s="110">
        <f>表2_36716262930389121314152324[[#This Row],[累计净值]]</f>
        <v>1.179</v>
      </c>
      <c r="H218" s="20">
        <f>表2_36716262930389121314152324[[#This Row],[累计净值]]/$B$21-1</f>
        <v>3.0594405594405627E-2</v>
      </c>
    </row>
    <row r="219" spans="1:8">
      <c r="A219" s="15">
        <v>44326</v>
      </c>
      <c r="B219" s="112">
        <v>1.1830000000000001</v>
      </c>
      <c r="C219" s="112">
        <f>C218*(1+表2_36716262930389121314152324[[#This Row],[每日盈亏]])</f>
        <v>1.0925752207752224</v>
      </c>
      <c r="D219" s="108">
        <f t="shared" si="68"/>
        <v>4.0000000000000036E-3</v>
      </c>
      <c r="E219" s="109" t="str">
        <f t="shared" si="69"/>
        <v>/</v>
      </c>
      <c r="F219" s="109">
        <f ca="1">IF(表2_36716262930389121314152324[[#This Row],[累计净值]]/MAX(INDIRECT("B21:B" &amp; ROW()))-1&lt;F218,表2_36716262930389121314152324[[#This Row],[累计净值]]/MAX(INDIRECT("B21:B" &amp; ROW()))-1,F218)</f>
        <v>-9.2334494773519071E-2</v>
      </c>
      <c r="G219" s="110">
        <f>表2_36716262930389121314152324[[#This Row],[累计净值]]</f>
        <v>1.1830000000000001</v>
      </c>
      <c r="H219" s="20">
        <f>表2_36716262930389121314152324[[#This Row],[累计净值]]/$B$21-1</f>
        <v>3.4090909090909172E-2</v>
      </c>
    </row>
    <row r="220" spans="1:8">
      <c r="A220" s="15">
        <v>44327</v>
      </c>
      <c r="B220" s="112">
        <v>1.179</v>
      </c>
      <c r="C220" s="112">
        <f>C219*(1+表2_36716262930389121314152324[[#This Row],[每日盈亏]])</f>
        <v>1.0882049198921215</v>
      </c>
      <c r="D220" s="108">
        <f t="shared" si="68"/>
        <v>-4.0000000000000036E-3</v>
      </c>
      <c r="E220" s="109">
        <f t="shared" si="69"/>
        <v>-4.0000000000000036E-3</v>
      </c>
      <c r="F220" s="109">
        <f ca="1">IF(表2_36716262930389121314152324[[#This Row],[累计净值]]/MAX(INDIRECT("B21:B" &amp; ROW()))-1&lt;F219,表2_36716262930389121314152324[[#This Row],[累计净值]]/MAX(INDIRECT("B21:B" &amp; ROW()))-1,F219)</f>
        <v>-9.2334494773519071E-2</v>
      </c>
      <c r="G220" s="110">
        <f>表2_36716262930389121314152324[[#This Row],[累计净值]]</f>
        <v>1.179</v>
      </c>
      <c r="H220" s="20">
        <f>表2_36716262930389121314152324[[#This Row],[累计净值]]/$B$21-1</f>
        <v>3.0594405594405627E-2</v>
      </c>
    </row>
    <row r="221" spans="1:8">
      <c r="A221" s="15">
        <v>44328</v>
      </c>
      <c r="B221" s="112">
        <v>1.1970000000000001</v>
      </c>
      <c r="C221" s="112">
        <f>C220*(1+表2_36716262930389121314152324[[#This Row],[每日盈亏]])</f>
        <v>1.1077926084501797</v>
      </c>
      <c r="D221" s="108">
        <f t="shared" si="68"/>
        <v>1.8000000000000016E-2</v>
      </c>
      <c r="E221" s="109" t="str">
        <f t="shared" si="69"/>
        <v>/</v>
      </c>
      <c r="F221" s="109">
        <f ca="1">IF(表2_36716262930389121314152324[[#This Row],[累计净值]]/MAX(INDIRECT("B21:B" &amp; ROW()))-1&lt;F220,表2_36716262930389121314152324[[#This Row],[累计净值]]/MAX(INDIRECT("B21:B" &amp; ROW()))-1,F220)</f>
        <v>-9.2334494773519071E-2</v>
      </c>
      <c r="G221" s="110">
        <f>表2_36716262930389121314152324[[#This Row],[累计净值]]</f>
        <v>1.1970000000000001</v>
      </c>
      <c r="H221" s="20">
        <f>表2_36716262930389121314152324[[#This Row],[累计净值]]/$B$21-1</f>
        <v>4.6328671328671467E-2</v>
      </c>
    </row>
    <row r="222" spans="1:8">
      <c r="A222" s="15">
        <v>44329</v>
      </c>
      <c r="B222" s="112">
        <v>1.1839999999999999</v>
      </c>
      <c r="C222" s="112">
        <f>C221*(1+表2_36716262930389121314152324[[#This Row],[每日盈亏]])</f>
        <v>1.0933913045403272</v>
      </c>
      <c r="D222" s="108">
        <f t="shared" si="68"/>
        <v>-1.3000000000000123E-2</v>
      </c>
      <c r="E222" s="109">
        <f t="shared" si="69"/>
        <v>-1.3000000000000123E-2</v>
      </c>
      <c r="F222" s="109">
        <f ca="1">IF(表2_36716262930389121314152324[[#This Row],[累计净值]]/MAX(INDIRECT("B21:B" &amp; ROW()))-1&lt;F221,表2_36716262930389121314152324[[#This Row],[累计净值]]/MAX(INDIRECT("B21:B" &amp; ROW()))-1,F221)</f>
        <v>-9.2334494773519071E-2</v>
      </c>
      <c r="G222" s="110">
        <f>表2_36716262930389121314152324[[#This Row],[累计净值]]</f>
        <v>1.1839999999999999</v>
      </c>
      <c r="H222" s="20">
        <f>表2_36716262930389121314152324[[#This Row],[累计净值]]/$B$21-1</f>
        <v>3.4965034965035002E-2</v>
      </c>
    </row>
    <row r="223" spans="1:8">
      <c r="A223" s="15">
        <v>44330</v>
      </c>
      <c r="B223" s="112">
        <v>1.1919999999999999</v>
      </c>
      <c r="C223" s="112">
        <f>C222*(1+表2_36716262930389121314152324[[#This Row],[每日盈亏]])</f>
        <v>1.1021384349766499</v>
      </c>
      <c r="D223" s="108">
        <f t="shared" si="68"/>
        <v>8.0000000000000071E-3</v>
      </c>
      <c r="E223" s="109" t="str">
        <f t="shared" si="69"/>
        <v>/</v>
      </c>
      <c r="F223" s="109">
        <f ca="1">IF(表2_36716262930389121314152324[[#This Row],[累计净值]]/MAX(INDIRECT("B21:B" &amp; ROW()))-1&lt;F222,表2_36716262930389121314152324[[#This Row],[累计净值]]/MAX(INDIRECT("B21:B" &amp; ROW()))-1,F222)</f>
        <v>-9.2334494773519071E-2</v>
      </c>
      <c r="G223" s="110">
        <f>表2_36716262930389121314152324[[#This Row],[累计净值]]</f>
        <v>1.1919999999999999</v>
      </c>
      <c r="H223" s="20">
        <f>表2_36716262930389121314152324[[#This Row],[累计净值]]/$B$21-1</f>
        <v>4.1958041958042092E-2</v>
      </c>
    </row>
    <row r="224" spans="1:8">
      <c r="A224" s="15">
        <v>44333</v>
      </c>
      <c r="B224" s="112">
        <v>1.2010000000000001</v>
      </c>
      <c r="C224" s="112">
        <f>C223*(1+表2_36716262930389121314152324[[#This Row],[每日盈亏]])</f>
        <v>1.1120576808914397</v>
      </c>
      <c r="D224" s="108">
        <f t="shared" si="68"/>
        <v>9.000000000000119E-3</v>
      </c>
      <c r="E224" s="109" t="str">
        <f t="shared" si="69"/>
        <v>/</v>
      </c>
      <c r="F224" s="109">
        <f ca="1">IF(表2_36716262930389121314152324[[#This Row],[累计净值]]/MAX(INDIRECT("B21:B" &amp; ROW()))-1&lt;F223,表2_36716262930389121314152324[[#This Row],[累计净值]]/MAX(INDIRECT("B21:B" &amp; ROW()))-1,F223)</f>
        <v>-9.2334494773519071E-2</v>
      </c>
      <c r="G224" s="110">
        <f>表2_36716262930389121314152324[[#This Row],[累计净值]]</f>
        <v>1.2010000000000001</v>
      </c>
      <c r="H224" s="20">
        <f>表2_36716262930389121314152324[[#This Row],[累计净值]]/$B$21-1</f>
        <v>4.9825174825175012E-2</v>
      </c>
    </row>
  </sheetData>
  <mergeCells count="1">
    <mergeCell ref="H2:H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21"/>
  <sheetViews>
    <sheetView tabSelected="1" workbookViewId="0">
      <selection activeCell="D17" sqref="D17"/>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COUNT(表2_3671626293038912131415232425[每日盈亏])</f>
        <v>201</v>
      </c>
      <c r="C2" s="27"/>
      <c r="D2" s="3" t="s">
        <v>1</v>
      </c>
      <c r="E2" s="28"/>
      <c r="F2" s="1" t="s">
        <v>2</v>
      </c>
      <c r="G2" s="400" t="s">
        <v>3</v>
      </c>
    </row>
    <row r="3" spans="1:7">
      <c r="A3" s="25" t="s">
        <v>4</v>
      </c>
      <c r="B3" s="26">
        <f>COUNTIF(表2_3671626293038912131415232425[每日盈亏],"&gt;0")</f>
        <v>108</v>
      </c>
      <c r="C3" s="29"/>
      <c r="D3" s="30" t="s">
        <v>5</v>
      </c>
      <c r="E3" s="31">
        <f>245^0.5*(B10-0.025/365)/E10</f>
        <v>0.46443616802263715</v>
      </c>
      <c r="G3" s="400"/>
    </row>
    <row r="4" spans="1:7">
      <c r="A4" s="25" t="s">
        <v>6</v>
      </c>
      <c r="B4" s="26">
        <f>COUNTIF(表2_3671626293038912131415232425[每日盈亏],"&lt;0")</f>
        <v>87</v>
      </c>
      <c r="C4" s="29"/>
      <c r="D4" s="32" t="s">
        <v>7</v>
      </c>
      <c r="E4" s="31">
        <f ca="1">-B9/E8</f>
        <v>0.77641095009660654</v>
      </c>
      <c r="G4" s="2">
        <f>LOOKUP(999^10,表2_3671626293038912131415232425[累计净值])</f>
        <v>1.329</v>
      </c>
    </row>
    <row r="5" spans="1:7">
      <c r="A5" s="25" t="s">
        <v>8</v>
      </c>
      <c r="B5" s="26">
        <f>B2-B3-B4</f>
        <v>6</v>
      </c>
      <c r="C5" s="29"/>
      <c r="D5" s="33" t="s">
        <v>9</v>
      </c>
      <c r="E5" s="4">
        <f>245^0.5*(B10-0.025/365)/E9</f>
        <v>0.71067509549474872</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LOOKUP(999^10,表2_3671626293038912131415232425[累计净值])/$B$21-1</f>
        <v>9.8347107438016446E-2</v>
      </c>
      <c r="C8" s="40"/>
      <c r="D8" s="30" t="s">
        <v>13</v>
      </c>
      <c r="E8" s="41">
        <f ca="1">MIN(表2_3671626293038912131415232425[最大回撤])</f>
        <v>-0.15439739413680775</v>
      </c>
    </row>
    <row r="9" spans="1:7">
      <c r="A9" s="25" t="s">
        <v>14</v>
      </c>
      <c r="B9" s="32">
        <f>B8*245/B2</f>
        <v>0.11987582747419914</v>
      </c>
      <c r="C9" s="40"/>
      <c r="D9" s="33" t="s">
        <v>15</v>
      </c>
      <c r="E9" s="6">
        <f>STDEV(表2_3671626293038912131415232425[下跌幅度])</f>
        <v>1.1531009526504947E-2</v>
      </c>
    </row>
    <row r="10" spans="1:7">
      <c r="A10" s="42" t="s">
        <v>16</v>
      </c>
      <c r="B10" s="43">
        <f>AVERAGE(表2_3671626293038912131415232425[每日盈亏])</f>
        <v>5.920398009950248E-4</v>
      </c>
      <c r="C10" s="44"/>
      <c r="D10" s="33" t="s">
        <v>17</v>
      </c>
      <c r="E10" s="6">
        <f>STDEV(表2_3671626293038912131415232425[每日盈亏])</f>
        <v>1.7644623439405212E-2</v>
      </c>
    </row>
    <row r="11" spans="1:7">
      <c r="A11" s="7" t="s">
        <v>18</v>
      </c>
      <c r="B11" s="32">
        <f>B3/B2</f>
        <v>0.53731343283582089</v>
      </c>
      <c r="C11" s="40"/>
      <c r="D11" s="32" t="s">
        <v>19</v>
      </c>
      <c r="E11" s="41">
        <f>245^0.5*E10</f>
        <v>0.27618204213527336</v>
      </c>
    </row>
    <row r="12" spans="1:7" ht="16" thickBot="1">
      <c r="A12" s="45" t="s">
        <v>20</v>
      </c>
      <c r="B12" s="46">
        <f>-(SUMIF(表2_3671626293038912131415232425[每日盈亏],"&gt;=0")/B3)/(SUMIF(表2_3671626293038912131415232425[每日盈亏],"&lt;0")/B4)</f>
        <v>0.87709369817578775</v>
      </c>
      <c r="C12" s="47"/>
      <c r="D12" s="48"/>
      <c r="E12" s="49"/>
    </row>
    <row r="14" spans="1:7" ht="32">
      <c r="A14" s="50" t="s">
        <v>21</v>
      </c>
      <c r="B14" s="50" t="s">
        <v>14</v>
      </c>
      <c r="C14" s="51" t="s">
        <v>19</v>
      </c>
      <c r="D14" s="51" t="s">
        <v>13</v>
      </c>
      <c r="E14" s="51" t="s">
        <v>5</v>
      </c>
      <c r="F14" s="51" t="s">
        <v>7</v>
      </c>
    </row>
    <row r="15" spans="1:7">
      <c r="A15" s="78">
        <f>B2</f>
        <v>201</v>
      </c>
      <c r="B15" s="53">
        <f>B9</f>
        <v>0.11987582747419914</v>
      </c>
      <c r="C15" s="53">
        <f>E11</f>
        <v>0.27618204213527336</v>
      </c>
      <c r="D15" s="53">
        <f ca="1">E8</f>
        <v>-0.15439739413680775</v>
      </c>
      <c r="E15" s="54">
        <f>E3</f>
        <v>0.46443616802263715</v>
      </c>
      <c r="F15" s="54">
        <f ca="1">E4</f>
        <v>0.77641095009660654</v>
      </c>
    </row>
    <row r="19" spans="1:8">
      <c r="A19" s="8"/>
      <c r="B19" s="1" t="s">
        <v>22</v>
      </c>
    </row>
    <row r="20" spans="1:8" ht="16">
      <c r="A20" s="22" t="s">
        <v>23</v>
      </c>
      <c r="B20" s="22" t="s">
        <v>24</v>
      </c>
      <c r="C20" s="22" t="s">
        <v>113</v>
      </c>
      <c r="D20" s="22" t="s">
        <v>25</v>
      </c>
      <c r="E20" s="22" t="s">
        <v>26</v>
      </c>
      <c r="F20" s="22" t="s">
        <v>27</v>
      </c>
      <c r="G20" s="22" t="s">
        <v>28</v>
      </c>
      <c r="H20" s="22" t="s">
        <v>29</v>
      </c>
    </row>
    <row r="21" spans="1:8">
      <c r="A21" s="15">
        <v>44029</v>
      </c>
      <c r="B21" s="16">
        <v>1.21</v>
      </c>
      <c r="C21" s="112">
        <v>1</v>
      </c>
      <c r="D21" s="11">
        <f>IFERROR(B21-B20,0)</f>
        <v>0</v>
      </c>
      <c r="E21" s="12" t="str">
        <f t="shared" ref="E21:E26" si="0">IF(D21&lt;0,D21,"/")</f>
        <v>/</v>
      </c>
      <c r="F21" s="12">
        <f ca="1">IF(表2_3671626293038912131415232425[[#This Row],[累计净值]]/MAX(INDIRECT("B21:B" &amp; ROW()))-1&lt;F20,表2_3671626293038912131415232425[[#This Row],[累计净值]]/MAX(INDIRECT("B21:B" &amp; ROW()))-1,F20)</f>
        <v>0</v>
      </c>
      <c r="G21" s="13">
        <f>表2_3671626293038912131415232425[[#This Row],[累计净值]]-0.21</f>
        <v>1</v>
      </c>
      <c r="H21" s="194" t="s">
        <v>30</v>
      </c>
    </row>
    <row r="22" spans="1:8">
      <c r="A22" s="15">
        <v>44032</v>
      </c>
      <c r="B22" s="16">
        <v>1.2270000000000001</v>
      </c>
      <c r="C22" s="112">
        <f>C21*(1+表2_3671626293038912131415232425[[#This Row],[每日盈亏]])</f>
        <v>1.0170000000000001</v>
      </c>
      <c r="D22" s="17">
        <f>IFERROR(B22-B21,0)</f>
        <v>1.7000000000000126E-2</v>
      </c>
      <c r="E22" s="18" t="str">
        <f t="shared" si="0"/>
        <v>/</v>
      </c>
      <c r="F22" s="18">
        <f ca="1">IF(表2_3671626293038912131415232425[[#This Row],[累计净值]]/MAX(INDIRECT("B21:B" &amp; ROW()))-1&lt;F21,表2_3671626293038912131415232425[[#This Row],[累计净值]]/MAX(INDIRECT("B21:B" &amp; ROW()))-1,F21)</f>
        <v>0</v>
      </c>
      <c r="G22" s="19">
        <f>表2_3671626293038912131415232425[[#This Row],[累计净值]]-0.21</f>
        <v>1.0170000000000001</v>
      </c>
      <c r="H22" s="20">
        <f>表2_3671626293038912131415232425[[#This Row],[累计净值]]/$B$21-1</f>
        <v>1.4049586776859524E-2</v>
      </c>
    </row>
    <row r="23" spans="1:8">
      <c r="A23" s="15">
        <v>44033</v>
      </c>
      <c r="B23" s="16">
        <v>1.258</v>
      </c>
      <c r="C23" s="112">
        <f>C22*(1+表2_3671626293038912131415232425[[#This Row],[每日盈亏]])</f>
        <v>1.048527</v>
      </c>
      <c r="D23" s="73">
        <f>IFERROR(B23-B22,0)</f>
        <v>3.0999999999999917E-2</v>
      </c>
      <c r="E23" s="18" t="str">
        <f t="shared" si="0"/>
        <v>/</v>
      </c>
      <c r="F23" s="18">
        <f ca="1">IF(表2_3671626293038912131415232425[[#This Row],[累计净值]]/MAX(INDIRECT("B21:B" &amp; ROW()))-1&lt;F22,表2_3671626293038912131415232425[[#This Row],[累计净值]]/MAX(INDIRECT("B21:B" &amp; ROW()))-1,F22)</f>
        <v>0</v>
      </c>
      <c r="G23" s="62">
        <f>表2_3671626293038912131415232425[[#This Row],[累计净值]]-0.21</f>
        <v>1.048</v>
      </c>
      <c r="H23" s="20">
        <f>表2_3671626293038912131415232425[[#This Row],[累计净值]]/$B$21-1</f>
        <v>3.966942148760344E-2</v>
      </c>
    </row>
    <row r="24" spans="1:8">
      <c r="A24" s="15">
        <v>44034</v>
      </c>
      <c r="B24" s="16">
        <v>1.2330000000000001</v>
      </c>
      <c r="C24" s="112">
        <f>C23*(1+表2_3671626293038912131415232425[[#This Row],[每日盈亏]])</f>
        <v>1.0223138250000001</v>
      </c>
      <c r="D24" s="73">
        <f>IFERROR(B24-B23,0)</f>
        <v>-2.4999999999999911E-2</v>
      </c>
      <c r="E24" s="18">
        <f t="shared" si="0"/>
        <v>-2.4999999999999911E-2</v>
      </c>
      <c r="F24" s="18">
        <f ca="1">IF(表2_3671626293038912131415232425[[#This Row],[累计净值]]/MAX(INDIRECT("B21:B" &amp; ROW()))-1&lt;F23,表2_3671626293038912131415232425[[#This Row],[累计净值]]/MAX(INDIRECT("B21:B" &amp; ROW()))-1,F23)</f>
        <v>-1.9872813990460925E-2</v>
      </c>
      <c r="G24" s="62">
        <f>表2_3671626293038912131415232425[[#This Row],[累计净值]]-0.21</f>
        <v>1.0230000000000001</v>
      </c>
      <c r="H24" s="20">
        <f>表2_3671626293038912131415232425[[#This Row],[累计净值]]/$B$21-1</f>
        <v>1.9008264462810009E-2</v>
      </c>
    </row>
    <row r="25" spans="1:8">
      <c r="A25" s="15">
        <v>44035</v>
      </c>
      <c r="B25" s="112">
        <v>1.258</v>
      </c>
      <c r="C25" s="112">
        <f>C24*(1+表2_3671626293038912131415232425[[#This Row],[每日盈亏]])</f>
        <v>1.047871670625</v>
      </c>
      <c r="D25" s="108">
        <f>IFERROR(B25-B24,0)</f>
        <v>2.4999999999999911E-2</v>
      </c>
      <c r="E25" s="109" t="str">
        <f t="shared" si="0"/>
        <v>/</v>
      </c>
      <c r="F25" s="109">
        <f ca="1">IF(表2_3671626293038912131415232425[[#This Row],[累计净值]]/MAX(INDIRECT("B21:B" &amp; ROW()))-1&lt;F24,表2_3671626293038912131415232425[[#This Row],[累计净值]]/MAX(INDIRECT("B21:B" &amp; ROW()))-1,F24)</f>
        <v>-1.9872813990460925E-2</v>
      </c>
      <c r="G25" s="110">
        <f>表2_3671626293038912131415232425[[#This Row],[累计净值]]-0.21</f>
        <v>1.048</v>
      </c>
      <c r="H25" s="20">
        <f>表2_3671626293038912131415232425[[#This Row],[累计净值]]/$B$21-1</f>
        <v>3.966942148760344E-2</v>
      </c>
    </row>
    <row r="26" spans="1:8">
      <c r="A26" s="15">
        <v>44036</v>
      </c>
      <c r="B26" s="112">
        <v>1.202</v>
      </c>
      <c r="C26" s="112">
        <f>C25*(1+表2_3671626293038912131415232425[[#This Row],[每日盈亏]])</f>
        <v>0.98919085706999987</v>
      </c>
      <c r="D26" s="108">
        <f>IFERROR(B26-B25,0)</f>
        <v>-5.600000000000005E-2</v>
      </c>
      <c r="E26" s="109">
        <f t="shared" si="0"/>
        <v>-5.600000000000005E-2</v>
      </c>
      <c r="F26" s="109">
        <f ca="1">IF(表2_3671626293038912131415232425[[#This Row],[累计净值]]/MAX(INDIRECT("B21:B" &amp; ROW()))-1&lt;F25,表2_3671626293038912131415232425[[#This Row],[累计净值]]/MAX(INDIRECT("B21:B" &amp; ROW()))-1,F25)</f>
        <v>-4.4515103338632844E-2</v>
      </c>
      <c r="G26" s="110">
        <f>表2_3671626293038912131415232425[[#This Row],[累计净值]]-0.21</f>
        <v>0.99199999999999999</v>
      </c>
      <c r="H26" s="20">
        <f>表2_3671626293038912131415232425[[#This Row],[累计净值]]/$B$21-1</f>
        <v>-6.6115702479339067E-3</v>
      </c>
    </row>
    <row r="27" spans="1:8">
      <c r="A27" s="15">
        <v>44039</v>
      </c>
      <c r="B27" s="112">
        <v>1.198</v>
      </c>
      <c r="C27" s="112">
        <f>C26*(1+表2_3671626293038912131415232425[[#This Row],[每日盈亏]])</f>
        <v>0.98523409364171988</v>
      </c>
      <c r="D27" s="108">
        <f>IFERROR(B27-B26,0)</f>
        <v>-4.0000000000000036E-3</v>
      </c>
      <c r="E27" s="109">
        <f t="shared" ref="E27:E32" si="1">IF(D27&lt;0,D27,"/")</f>
        <v>-4.0000000000000036E-3</v>
      </c>
      <c r="F27" s="109">
        <f ca="1">IF(表2_3671626293038912131415232425[[#This Row],[累计净值]]/MAX(INDIRECT("B21:B" &amp; ROW()))-1&lt;F26,表2_3671626293038912131415232425[[#This Row],[累计净值]]/MAX(INDIRECT("B21:B" &amp; ROW()))-1,F26)</f>
        <v>-4.7694753577106508E-2</v>
      </c>
      <c r="G27" s="110">
        <f>表2_3671626293038912131415232425[[#This Row],[累计净值]]-0.21</f>
        <v>0.98799999999999999</v>
      </c>
      <c r="H27" s="20">
        <f>表2_3671626293038912131415232425[[#This Row],[累计净值]]/$B$21-1</f>
        <v>-9.91735537190086E-3</v>
      </c>
    </row>
    <row r="28" spans="1:8">
      <c r="A28" s="15">
        <v>44040</v>
      </c>
      <c r="B28" s="112">
        <v>1.2230000000000001</v>
      </c>
      <c r="C28" s="112">
        <f>C27*(1+表2_3671626293038912131415232425[[#This Row],[每日盈亏]])</f>
        <v>1.0098649459827631</v>
      </c>
      <c r="D28" s="108">
        <f>IFERROR(B28-B27,0)</f>
        <v>2.5000000000000133E-2</v>
      </c>
      <c r="E28" s="109" t="str">
        <f t="shared" si="1"/>
        <v>/</v>
      </c>
      <c r="F28" s="109">
        <f ca="1">IF(表2_3671626293038912131415232425[[#This Row],[累计净值]]/MAX(INDIRECT("B21:B" &amp; ROW()))-1&lt;F27,表2_3671626293038912131415232425[[#This Row],[累计净值]]/MAX(INDIRECT("B21:B" &amp; ROW()))-1,F27)</f>
        <v>-4.7694753577106508E-2</v>
      </c>
      <c r="G28" s="110">
        <f>表2_3671626293038912131415232425[[#This Row],[累计净值]]-0.21</f>
        <v>1.0130000000000001</v>
      </c>
      <c r="H28" s="20">
        <f>表2_3671626293038912131415232425[[#This Row],[累计净值]]/$B$21-1</f>
        <v>1.0743801652892682E-2</v>
      </c>
    </row>
    <row r="29" spans="1:8">
      <c r="A29" s="15">
        <v>44041</v>
      </c>
      <c r="B29" s="112">
        <v>1.23</v>
      </c>
      <c r="C29" s="112">
        <f>C28*(1+表2_3671626293038912131415232425[[#This Row],[每日盈亏]])</f>
        <v>1.0169340006046423</v>
      </c>
      <c r="D29" s="108">
        <f>IFERROR(B29-B28,0)</f>
        <v>6.9999999999998952E-3</v>
      </c>
      <c r="E29" s="109" t="str">
        <f t="shared" si="1"/>
        <v>/</v>
      </c>
      <c r="F29" s="109">
        <f ca="1">IF(表2_3671626293038912131415232425[[#This Row],[累计净值]]/MAX(INDIRECT("B21:B" &amp; ROW()))-1&lt;F28,表2_3671626293038912131415232425[[#This Row],[累计净值]]/MAX(INDIRECT("B21:B" &amp; ROW()))-1,F28)</f>
        <v>-4.7694753577106508E-2</v>
      </c>
      <c r="G29" s="110">
        <f>表2_3671626293038912131415232425[[#This Row],[累计净值]]-0.21</f>
        <v>1.02</v>
      </c>
      <c r="H29" s="20">
        <f>表2_3671626293038912131415232425[[#This Row],[累计净值]]/$B$21-1</f>
        <v>1.6528925619834656E-2</v>
      </c>
    </row>
    <row r="30" spans="1:8">
      <c r="A30" s="15">
        <v>44042</v>
      </c>
      <c r="B30" s="112">
        <v>1.2310000000000001</v>
      </c>
      <c r="C30" s="112">
        <f>C29*(1+表2_3671626293038912131415232425[[#This Row],[每日盈亏]])</f>
        <v>1.0179509346052471</v>
      </c>
      <c r="D30" s="108">
        <f>IFERROR(B30-B29,0)</f>
        <v>1.0000000000001119E-3</v>
      </c>
      <c r="E30" s="109" t="str">
        <f t="shared" si="1"/>
        <v>/</v>
      </c>
      <c r="F30" s="109">
        <f ca="1">IF(表2_3671626293038912131415232425[[#This Row],[累计净值]]/MAX(INDIRECT("B21:B" &amp; ROW()))-1&lt;F29,表2_3671626293038912131415232425[[#This Row],[累计净值]]/MAX(INDIRECT("B21:B" &amp; ROW()))-1,F29)</f>
        <v>-4.7694753577106508E-2</v>
      </c>
      <c r="G30" s="110">
        <f>表2_3671626293038912131415232425[[#This Row],[累计净值]]-0.21</f>
        <v>1.0210000000000001</v>
      </c>
      <c r="H30" s="20">
        <f>表2_3671626293038912131415232425[[#This Row],[累计净值]]/$B$21-1</f>
        <v>1.7355371900826588E-2</v>
      </c>
    </row>
    <row r="31" spans="1:8">
      <c r="A31" s="15">
        <v>44043</v>
      </c>
      <c r="B31" s="112">
        <v>1.2330000000000001</v>
      </c>
      <c r="C31" s="112">
        <f>C30*(1+表2_3671626293038912131415232425[[#This Row],[每日盈亏]])</f>
        <v>1.0199868364744575</v>
      </c>
      <c r="D31" s="108">
        <f>IFERROR(B31-B30,0)</f>
        <v>2.0000000000000018E-3</v>
      </c>
      <c r="E31" s="109" t="str">
        <f t="shared" si="1"/>
        <v>/</v>
      </c>
      <c r="F31" s="109">
        <f ca="1">IF(表2_3671626293038912131415232425[[#This Row],[累计净值]]/MAX(INDIRECT("B21:B" &amp; ROW()))-1&lt;F30,表2_3671626293038912131415232425[[#This Row],[累计净值]]/MAX(INDIRECT("B21:B" &amp; ROW()))-1,F30)</f>
        <v>-4.7694753577106508E-2</v>
      </c>
      <c r="G31" s="110">
        <f>表2_3671626293038912131415232425[[#This Row],[累计净值]]-0.21</f>
        <v>1.0230000000000001</v>
      </c>
      <c r="H31" s="20">
        <f>表2_3671626293038912131415232425[[#This Row],[累计净值]]/$B$21-1</f>
        <v>1.9008264462810009E-2</v>
      </c>
    </row>
    <row r="32" spans="1:8">
      <c r="A32" s="15">
        <v>44046</v>
      </c>
      <c r="B32" s="112">
        <v>1.252</v>
      </c>
      <c r="C32" s="112">
        <f>C31*(1+表2_3671626293038912131415232425[[#This Row],[每日盈亏]])</f>
        <v>1.0393665863674721</v>
      </c>
      <c r="D32" s="108">
        <f>IFERROR(B32-B31,0)</f>
        <v>1.8999999999999906E-2</v>
      </c>
      <c r="E32" s="109" t="str">
        <f t="shared" si="1"/>
        <v>/</v>
      </c>
      <c r="F32" s="109">
        <f ca="1">IF(表2_3671626293038912131415232425[[#This Row],[累计净值]]/MAX(INDIRECT("B21:B" &amp; ROW()))-1&lt;F31,表2_3671626293038912131415232425[[#This Row],[累计净值]]/MAX(INDIRECT("B21:B" &amp; ROW()))-1,F31)</f>
        <v>-4.7694753577106508E-2</v>
      </c>
      <c r="G32" s="110">
        <f>表2_3671626293038912131415232425[[#This Row],[累计净值]]-0.21</f>
        <v>1.042</v>
      </c>
      <c r="H32" s="20">
        <f>表2_3671626293038912131415232425[[#This Row],[累计净值]]/$B$21-1</f>
        <v>3.4710743801652955E-2</v>
      </c>
    </row>
    <row r="33" spans="1:8">
      <c r="A33" s="15">
        <v>44047</v>
      </c>
      <c r="B33" s="112">
        <v>1.2729999999999999</v>
      </c>
      <c r="C33" s="112">
        <f>C32*(1+表2_3671626293038912131415232425[[#This Row],[每日盈亏]])</f>
        <v>1.0611932846811889</v>
      </c>
      <c r="D33" s="108">
        <f>IFERROR(B33-B32,0)</f>
        <v>2.0999999999999908E-2</v>
      </c>
      <c r="E33" s="109" t="str">
        <f t="shared" ref="E33:E38" si="2">IF(D33&lt;0,D33,"/")</f>
        <v>/</v>
      </c>
      <c r="F33" s="109">
        <f ca="1">IF(表2_3671626293038912131415232425[[#This Row],[累计净值]]/MAX(INDIRECT("B21:B" &amp; ROW()))-1&lt;F32,表2_3671626293038912131415232425[[#This Row],[累计净值]]/MAX(INDIRECT("B21:B" &amp; ROW()))-1,F32)</f>
        <v>-4.7694753577106508E-2</v>
      </c>
      <c r="G33" s="110">
        <f>表2_3671626293038912131415232425[[#This Row],[累计净值]]-0.21</f>
        <v>1.0629999999999999</v>
      </c>
      <c r="H33" s="20">
        <f>表2_3671626293038912131415232425[[#This Row],[累计净值]]/$B$21-1</f>
        <v>5.2066115702479321E-2</v>
      </c>
    </row>
    <row r="34" spans="1:8">
      <c r="A34" s="15">
        <v>44048</v>
      </c>
      <c r="B34" s="112">
        <v>1.2769999999999999</v>
      </c>
      <c r="C34" s="112">
        <f>C33*(1+表2_3671626293038912131415232425[[#This Row],[每日盈亏]])</f>
        <v>1.0654380578199136</v>
      </c>
      <c r="D34" s="108">
        <f>IFERROR(B34-B33,0)</f>
        <v>4.0000000000000036E-3</v>
      </c>
      <c r="E34" s="109" t="str">
        <f t="shared" si="2"/>
        <v>/</v>
      </c>
      <c r="F34" s="109">
        <f ca="1">IF(表2_3671626293038912131415232425[[#This Row],[累计净值]]/MAX(INDIRECT("B21:B" &amp; ROW()))-1&lt;F33,表2_3671626293038912131415232425[[#This Row],[累计净值]]/MAX(INDIRECT("B21:B" &amp; ROW()))-1,F33)</f>
        <v>-4.7694753577106508E-2</v>
      </c>
      <c r="G34" s="110">
        <f>表2_3671626293038912131415232425[[#This Row],[累计净值]]-0.21</f>
        <v>1.0669999999999999</v>
      </c>
      <c r="H34" s="20">
        <f>表2_3671626293038912131415232425[[#This Row],[累计净值]]/$B$21-1</f>
        <v>5.5371900826446163E-2</v>
      </c>
    </row>
    <row r="35" spans="1:8">
      <c r="A35" s="15">
        <v>44049</v>
      </c>
      <c r="B35" s="112">
        <v>1.2669999999999999</v>
      </c>
      <c r="C35" s="112">
        <f>C34*(1+表2_3671626293038912131415232425[[#This Row],[每日盈亏]])</f>
        <v>1.0547836772417145</v>
      </c>
      <c r="D35" s="108">
        <f>IFERROR(B35-B34,0)</f>
        <v>-1.0000000000000009E-2</v>
      </c>
      <c r="E35" s="109">
        <f t="shared" si="2"/>
        <v>-1.0000000000000009E-2</v>
      </c>
      <c r="F35" s="109">
        <f ca="1">IF(表2_3671626293038912131415232425[[#This Row],[累计净值]]/MAX(INDIRECT("B21:B" &amp; ROW()))-1&lt;F34,表2_3671626293038912131415232425[[#This Row],[累计净值]]/MAX(INDIRECT("B21:B" &amp; ROW()))-1,F34)</f>
        <v>-4.7694753577106508E-2</v>
      </c>
      <c r="G35" s="110">
        <f>表2_3671626293038912131415232425[[#This Row],[累计净值]]-0.21</f>
        <v>1.0569999999999999</v>
      </c>
      <c r="H35" s="20">
        <f>表2_3671626293038912131415232425[[#This Row],[累计净值]]/$B$21-1</f>
        <v>4.7107438016528835E-2</v>
      </c>
    </row>
    <row r="36" spans="1:8">
      <c r="A36" s="15">
        <v>44050</v>
      </c>
      <c r="B36" s="112">
        <v>1.25</v>
      </c>
      <c r="C36" s="112">
        <f>C35*(1+表2_3671626293038912131415232425[[#This Row],[每日盈亏]])</f>
        <v>1.0368523547286055</v>
      </c>
      <c r="D36" s="108">
        <f>IFERROR(B36-B35,0)</f>
        <v>-1.6999999999999904E-2</v>
      </c>
      <c r="E36" s="109">
        <f t="shared" si="2"/>
        <v>-1.6999999999999904E-2</v>
      </c>
      <c r="F36" s="109">
        <f ca="1">IF(表2_3671626293038912131415232425[[#This Row],[累计净值]]/MAX(INDIRECT("B21:B" &amp; ROW()))-1&lt;F35,表2_3671626293038912131415232425[[#This Row],[累计净值]]/MAX(INDIRECT("B21:B" &amp; ROW()))-1,F35)</f>
        <v>-4.7694753577106508E-2</v>
      </c>
      <c r="G36" s="110">
        <f>表2_3671626293038912131415232425[[#This Row],[累计净值]]-0.21</f>
        <v>1.04</v>
      </c>
      <c r="H36" s="20">
        <f>表2_3671626293038912131415232425[[#This Row],[累计净值]]/$B$21-1</f>
        <v>3.3057851239669533E-2</v>
      </c>
    </row>
    <row r="37" spans="1:8">
      <c r="A37" s="15">
        <v>44053</v>
      </c>
      <c r="B37" s="112">
        <v>1.242</v>
      </c>
      <c r="C37" s="112">
        <f>C36*(1+表2_3671626293038912131415232425[[#This Row],[每日盈亏]])</f>
        <v>1.0285575358907766</v>
      </c>
      <c r="D37" s="108">
        <f>IFERROR(B37-B36,0)</f>
        <v>-8.0000000000000071E-3</v>
      </c>
      <c r="E37" s="109">
        <f t="shared" si="2"/>
        <v>-8.0000000000000071E-3</v>
      </c>
      <c r="F37" s="109">
        <f ca="1">IF(表2_3671626293038912131415232425[[#This Row],[累计净值]]/MAX(INDIRECT("B21:B" &amp; ROW()))-1&lt;F36,表2_3671626293038912131415232425[[#This Row],[累计净值]]/MAX(INDIRECT("B21:B" &amp; ROW()))-1,F36)</f>
        <v>-4.7694753577106508E-2</v>
      </c>
      <c r="G37" s="110">
        <f>表2_3671626293038912131415232425[[#This Row],[累计净值]]-0.21</f>
        <v>1.032</v>
      </c>
      <c r="H37" s="20">
        <f>表2_3671626293038912131415232425[[#This Row],[累计净值]]/$B$21-1</f>
        <v>2.6446280991735627E-2</v>
      </c>
    </row>
    <row r="38" spans="1:8">
      <c r="A38" s="15">
        <v>44054</v>
      </c>
      <c r="B38" s="112">
        <v>1.2470000000000001</v>
      </c>
      <c r="C38" s="112">
        <f>C37*(1+表2_3671626293038912131415232425[[#This Row],[每日盈亏]])</f>
        <v>1.0337003235702307</v>
      </c>
      <c r="D38" s="108">
        <f>IFERROR(B38-B37,0)</f>
        <v>5.0000000000001155E-3</v>
      </c>
      <c r="E38" s="109" t="str">
        <f t="shared" si="2"/>
        <v>/</v>
      </c>
      <c r="F38" s="109">
        <f ca="1">IF(表2_3671626293038912131415232425[[#This Row],[累计净值]]/MAX(INDIRECT("B21:B" &amp; ROW()))-1&lt;F37,表2_3671626293038912131415232425[[#This Row],[累计净值]]/MAX(INDIRECT("B21:B" &amp; ROW()))-1,F37)</f>
        <v>-4.7694753577106508E-2</v>
      </c>
      <c r="G38" s="110">
        <f>表2_3671626293038912131415232425[[#This Row],[累计净值]]-0.21</f>
        <v>1.0370000000000001</v>
      </c>
      <c r="H38" s="20">
        <f>表2_3671626293038912131415232425[[#This Row],[累计净值]]/$B$21-1</f>
        <v>3.0578512396694402E-2</v>
      </c>
    </row>
    <row r="39" spans="1:8">
      <c r="A39" s="15">
        <v>44055</v>
      </c>
      <c r="B39" s="112">
        <v>1.23</v>
      </c>
      <c r="C39" s="112">
        <f>C38*(1+表2_3671626293038912131415232425[[#This Row],[每日盈亏]])</f>
        <v>1.0161274180695365</v>
      </c>
      <c r="D39" s="108">
        <f>IFERROR(B39-B38,0)</f>
        <v>-1.7000000000000126E-2</v>
      </c>
      <c r="E39" s="109">
        <f t="shared" ref="E39:E44" si="3">IF(D39&lt;0,D39,"/")</f>
        <v>-1.7000000000000126E-2</v>
      </c>
      <c r="F39" s="109">
        <f ca="1">IF(表2_3671626293038912131415232425[[#This Row],[累计净值]]/MAX(INDIRECT("B21:B" &amp; ROW()))-1&lt;F38,表2_3671626293038912131415232425[[#This Row],[累计净值]]/MAX(INDIRECT("B21:B" &amp; ROW()))-1,F38)</f>
        <v>-4.7694753577106508E-2</v>
      </c>
      <c r="G39" s="110">
        <f>表2_3671626293038912131415232425[[#This Row],[累计净值]]-0.21</f>
        <v>1.02</v>
      </c>
      <c r="H39" s="20">
        <f>表2_3671626293038912131415232425[[#This Row],[累计净值]]/$B$21-1</f>
        <v>1.6528925619834656E-2</v>
      </c>
    </row>
    <row r="40" spans="1:8">
      <c r="A40" s="15">
        <v>44056</v>
      </c>
      <c r="B40" s="112">
        <v>1.228</v>
      </c>
      <c r="C40" s="112">
        <f>C39*(1+表2_3671626293038912131415232425[[#This Row],[每日盈亏]])</f>
        <v>1.0140951632333974</v>
      </c>
      <c r="D40" s="108">
        <f>IFERROR(B40-B39,0)</f>
        <v>-2.0000000000000018E-3</v>
      </c>
      <c r="E40" s="109">
        <f t="shared" si="3"/>
        <v>-2.0000000000000018E-3</v>
      </c>
      <c r="F40" s="109">
        <f ca="1">IF(表2_3671626293038912131415232425[[#This Row],[累计净值]]/MAX(INDIRECT("B21:B" &amp; ROW()))-1&lt;F39,表2_3671626293038912131415232425[[#This Row],[累计净值]]/MAX(INDIRECT("B21:B" &amp; ROW()))-1,F39)</f>
        <v>-4.7694753577106508E-2</v>
      </c>
      <c r="G40" s="110">
        <f>表2_3671626293038912131415232425[[#This Row],[累计净值]]-0.21</f>
        <v>1.018</v>
      </c>
      <c r="H40" s="20">
        <f>表2_3671626293038912131415232425[[#This Row],[累计净值]]/$B$21-1</f>
        <v>1.4876033057851235E-2</v>
      </c>
    </row>
    <row r="41" spans="1:8">
      <c r="A41" s="15">
        <v>44057</v>
      </c>
      <c r="B41" s="112">
        <v>1.248</v>
      </c>
      <c r="C41" s="112">
        <f>C40*(1+表2_3671626293038912131415232425[[#This Row],[每日盈亏]])</f>
        <v>1.0343770664980654</v>
      </c>
      <c r="D41" s="108">
        <f>IFERROR(B41-B40,0)</f>
        <v>2.0000000000000018E-2</v>
      </c>
      <c r="E41" s="109" t="str">
        <f t="shared" si="3"/>
        <v>/</v>
      </c>
      <c r="F41" s="109">
        <f ca="1">IF(表2_3671626293038912131415232425[[#This Row],[累计净值]]/MAX(INDIRECT("B21:B" &amp; ROW()))-1&lt;F40,表2_3671626293038912131415232425[[#This Row],[累计净值]]/MAX(INDIRECT("B21:B" &amp; ROW()))-1,F40)</f>
        <v>-4.7694753577106508E-2</v>
      </c>
      <c r="G41" s="110">
        <f>表2_3671626293038912131415232425[[#This Row],[累计净值]]-0.21</f>
        <v>1.038</v>
      </c>
      <c r="H41" s="20">
        <f>表2_3671626293038912131415232425[[#This Row],[累计净值]]/$B$21-1</f>
        <v>3.140495867768589E-2</v>
      </c>
    </row>
    <row r="42" spans="1:8">
      <c r="A42" s="15">
        <v>44060</v>
      </c>
      <c r="B42" s="112">
        <v>1.2529999999999999</v>
      </c>
      <c r="C42" s="112">
        <f>C41*(1+表2_3671626293038912131415232425[[#This Row],[每日盈亏]])</f>
        <v>1.0395489518305556</v>
      </c>
      <c r="D42" s="108">
        <f>IFERROR(B42-B41,0)</f>
        <v>4.9999999999998934E-3</v>
      </c>
      <c r="E42" s="109" t="str">
        <f t="shared" si="3"/>
        <v>/</v>
      </c>
      <c r="F42" s="109">
        <f ca="1">IF(表2_3671626293038912131415232425[[#This Row],[累计净值]]/MAX(INDIRECT("B21:B" &amp; ROW()))-1&lt;F41,表2_3671626293038912131415232425[[#This Row],[累计净值]]/MAX(INDIRECT("B21:B" &amp; ROW()))-1,F41)</f>
        <v>-4.7694753577106508E-2</v>
      </c>
      <c r="G42" s="110">
        <f>表2_3671626293038912131415232425[[#This Row],[累计净值]]-0.21</f>
        <v>1.0429999999999999</v>
      </c>
      <c r="H42" s="20">
        <f>表2_3671626293038912131415232425[[#This Row],[累计净值]]/$B$21-1</f>
        <v>3.5537190082644665E-2</v>
      </c>
    </row>
    <row r="43" spans="1:8">
      <c r="A43" s="15">
        <v>44061</v>
      </c>
      <c r="B43" s="112">
        <v>1.2669999999999999</v>
      </c>
      <c r="C43" s="112">
        <f>C42*(1+表2_3671626293038912131415232425[[#This Row],[每日盈亏]])</f>
        <v>1.0541026371561835</v>
      </c>
      <c r="D43" s="108">
        <f>IFERROR(B43-B42,0)</f>
        <v>1.4000000000000012E-2</v>
      </c>
      <c r="E43" s="109" t="str">
        <f t="shared" si="3"/>
        <v>/</v>
      </c>
      <c r="F43" s="109">
        <f ca="1">IF(表2_3671626293038912131415232425[[#This Row],[累计净值]]/MAX(INDIRECT("B21:B" &amp; ROW()))-1&lt;F42,表2_3671626293038912131415232425[[#This Row],[累计净值]]/MAX(INDIRECT("B21:B" &amp; ROW()))-1,F42)</f>
        <v>-4.7694753577106508E-2</v>
      </c>
      <c r="G43" s="110">
        <f>表2_3671626293038912131415232425[[#This Row],[累计净值]]-0.21</f>
        <v>1.0569999999999999</v>
      </c>
      <c r="H43" s="20">
        <f>表2_3671626293038912131415232425[[#This Row],[累计净值]]/$B$21-1</f>
        <v>4.7107438016528835E-2</v>
      </c>
    </row>
    <row r="44" spans="1:8">
      <c r="A44" s="15">
        <v>44062</v>
      </c>
      <c r="B44" s="112">
        <v>1.248</v>
      </c>
      <c r="C44" s="112">
        <f>C43*(1+表2_3671626293038912131415232425[[#This Row],[每日盈亏]])</f>
        <v>1.034074687050216</v>
      </c>
      <c r="D44" s="108">
        <f>IFERROR(B44-B43,0)</f>
        <v>-1.8999999999999906E-2</v>
      </c>
      <c r="E44" s="109">
        <f t="shared" si="3"/>
        <v>-1.8999999999999906E-2</v>
      </c>
      <c r="F44" s="109">
        <f ca="1">IF(表2_3671626293038912131415232425[[#This Row],[累计净值]]/MAX(INDIRECT("B21:B" &amp; ROW()))-1&lt;F43,表2_3671626293038912131415232425[[#This Row],[累计净值]]/MAX(INDIRECT("B21:B" &amp; ROW()))-1,F43)</f>
        <v>-4.7694753577106508E-2</v>
      </c>
      <c r="G44" s="110">
        <f>表2_3671626293038912131415232425[[#This Row],[累计净值]]-0.21</f>
        <v>1.038</v>
      </c>
      <c r="H44" s="20">
        <f>表2_3671626293038912131415232425[[#This Row],[累计净值]]/$B$21-1</f>
        <v>3.140495867768589E-2</v>
      </c>
    </row>
    <row r="45" spans="1:8">
      <c r="A45" s="15">
        <v>44063</v>
      </c>
      <c r="B45" s="112">
        <v>1.2370000000000001</v>
      </c>
      <c r="C45" s="112">
        <f>C44*(1+表2_3671626293038912131415232425[[#This Row],[每日盈亏]])</f>
        <v>1.0226998654926638</v>
      </c>
      <c r="D45" s="108">
        <f>IFERROR(B45-B44,0)</f>
        <v>-1.0999999999999899E-2</v>
      </c>
      <c r="E45" s="109">
        <f t="shared" ref="E45:E50" si="4">IF(D45&lt;0,D45,"/")</f>
        <v>-1.0999999999999899E-2</v>
      </c>
      <c r="F45" s="109">
        <f ca="1">IF(表2_3671626293038912131415232425[[#This Row],[累计净值]]/MAX(INDIRECT("B21:B" &amp; ROW()))-1&lt;F44,表2_3671626293038912131415232425[[#This Row],[累计净值]]/MAX(INDIRECT("B21:B" &amp; ROW()))-1,F44)</f>
        <v>-4.7694753577106508E-2</v>
      </c>
      <c r="G45" s="110">
        <f>表2_3671626293038912131415232425[[#This Row],[累计净值]]-0.21</f>
        <v>1.0270000000000001</v>
      </c>
      <c r="H45" s="20">
        <f>表2_3671626293038912131415232425[[#This Row],[累计净值]]/$B$21-1</f>
        <v>2.2314049586777074E-2</v>
      </c>
    </row>
    <row r="46" spans="1:8">
      <c r="A46" s="15">
        <v>44064</v>
      </c>
      <c r="B46" s="112">
        <v>1.258</v>
      </c>
      <c r="C46" s="112">
        <f>C45*(1+表2_3671626293038912131415232425[[#This Row],[每日盈亏]])</f>
        <v>1.0441765626680097</v>
      </c>
      <c r="D46" s="108">
        <f>IFERROR(B46-B45,0)</f>
        <v>2.0999999999999908E-2</v>
      </c>
      <c r="E46" s="109" t="str">
        <f t="shared" si="4"/>
        <v>/</v>
      </c>
      <c r="F46" s="109">
        <f ca="1">IF(表2_3671626293038912131415232425[[#This Row],[累计净值]]/MAX(INDIRECT("B21:B" &amp; ROW()))-1&lt;F45,表2_3671626293038912131415232425[[#This Row],[累计净值]]/MAX(INDIRECT("B21:B" &amp; ROW()))-1,F45)</f>
        <v>-4.7694753577106508E-2</v>
      </c>
      <c r="G46" s="110">
        <f>表2_3671626293038912131415232425[[#This Row],[累计净值]]-0.21</f>
        <v>1.048</v>
      </c>
      <c r="H46" s="20">
        <f>表2_3671626293038912131415232425[[#This Row],[累计净值]]/$B$21-1</f>
        <v>3.966942148760344E-2</v>
      </c>
    </row>
    <row r="47" spans="1:8">
      <c r="A47" s="15">
        <v>44067</v>
      </c>
      <c r="B47" s="112">
        <v>1.2949999999999999</v>
      </c>
      <c r="C47" s="112">
        <f>C46*(1+表2_3671626293038912131415232425[[#This Row],[每日盈亏]])</f>
        <v>1.082811095486726</v>
      </c>
      <c r="D47" s="108">
        <f>IFERROR(B47-B46,0)</f>
        <v>3.6999999999999922E-2</v>
      </c>
      <c r="E47" s="109" t="str">
        <f t="shared" si="4"/>
        <v>/</v>
      </c>
      <c r="F47" s="109">
        <f ca="1">IF(表2_3671626293038912131415232425[[#This Row],[累计净值]]/MAX(INDIRECT("B21:B" &amp; ROW()))-1&lt;F46,表2_3671626293038912131415232425[[#This Row],[累计净值]]/MAX(INDIRECT("B21:B" &amp; ROW()))-1,F46)</f>
        <v>-4.7694753577106508E-2</v>
      </c>
      <c r="G47" s="110">
        <f>表2_3671626293038912131415232425[[#This Row],[累计净值]]-0.21</f>
        <v>1.085</v>
      </c>
      <c r="H47" s="20">
        <f>表2_3671626293038912131415232425[[#This Row],[累计净值]]/$B$21-1</f>
        <v>7.0247933884297398E-2</v>
      </c>
    </row>
    <row r="48" spans="1:8">
      <c r="A48" s="15">
        <v>44068</v>
      </c>
      <c r="B48" s="112">
        <v>1.294</v>
      </c>
      <c r="C48" s="112">
        <f>C47*(1+表2_3671626293038912131415232425[[#This Row],[每日盈亏]])</f>
        <v>1.0817282843912395</v>
      </c>
      <c r="D48" s="108">
        <f>IFERROR(B48-B47,0)</f>
        <v>-9.9999999999988987E-4</v>
      </c>
      <c r="E48" s="109">
        <f t="shared" si="4"/>
        <v>-9.9999999999988987E-4</v>
      </c>
      <c r="F48" s="109">
        <f ca="1">IF(表2_3671626293038912131415232425[[#This Row],[累计净值]]/MAX(INDIRECT("B21:B" &amp; ROW()))-1&lt;F47,表2_3671626293038912131415232425[[#This Row],[累计净值]]/MAX(INDIRECT("B21:B" &amp; ROW()))-1,F47)</f>
        <v>-4.7694753577106508E-2</v>
      </c>
      <c r="G48" s="110">
        <f>表2_3671626293038912131415232425[[#This Row],[累计净值]]-0.21</f>
        <v>1.0840000000000001</v>
      </c>
      <c r="H48" s="20">
        <f>表2_3671626293038912131415232425[[#This Row],[累计净值]]/$B$21-1</f>
        <v>6.9421487603305909E-2</v>
      </c>
    </row>
    <row r="49" spans="1:8">
      <c r="A49" s="15">
        <v>44069</v>
      </c>
      <c r="B49" s="112">
        <v>1.2969999999999999</v>
      </c>
      <c r="C49" s="112">
        <f>C48*(1+表2_3671626293038912131415232425[[#This Row],[每日盈亏]])</f>
        <v>1.0849734692444131</v>
      </c>
      <c r="D49" s="108">
        <f>IFERROR(B49-B48,0)</f>
        <v>2.9999999999998916E-3</v>
      </c>
      <c r="E49" s="109" t="str">
        <f t="shared" si="4"/>
        <v>/</v>
      </c>
      <c r="F49" s="109">
        <f ca="1">IF(表2_3671626293038912131415232425[[#This Row],[累计净值]]/MAX(INDIRECT("B21:B" &amp; ROW()))-1&lt;F48,表2_3671626293038912131415232425[[#This Row],[累计净值]]/MAX(INDIRECT("B21:B" &amp; ROW()))-1,F48)</f>
        <v>-4.7694753577106508E-2</v>
      </c>
      <c r="G49" s="110">
        <f>表2_3671626293038912131415232425[[#This Row],[累计净值]]-0.21</f>
        <v>1.087</v>
      </c>
      <c r="H49" s="20">
        <f>表2_3671626293038912131415232425[[#This Row],[累计净值]]/$B$21-1</f>
        <v>7.1900826446281041E-2</v>
      </c>
    </row>
    <row r="50" spans="1:8">
      <c r="A50" s="15">
        <v>44070</v>
      </c>
      <c r="B50" s="112">
        <v>1.3109999999999999</v>
      </c>
      <c r="C50" s="112">
        <f>C49*(1+表2_3671626293038912131415232425[[#This Row],[每日盈亏]])</f>
        <v>1.1001630978138348</v>
      </c>
      <c r="D50" s="108">
        <f>IFERROR(B50-B49,0)</f>
        <v>1.4000000000000012E-2</v>
      </c>
      <c r="E50" s="109" t="str">
        <f t="shared" si="4"/>
        <v>/</v>
      </c>
      <c r="F50" s="109">
        <f ca="1">IF(表2_3671626293038912131415232425[[#This Row],[累计净值]]/MAX(INDIRECT("B21:B" &amp; ROW()))-1&lt;F49,表2_3671626293038912131415232425[[#This Row],[累计净值]]/MAX(INDIRECT("B21:B" &amp; ROW()))-1,F49)</f>
        <v>-4.7694753577106508E-2</v>
      </c>
      <c r="G50" s="110">
        <f>表2_3671626293038912131415232425[[#This Row],[累计净值]]-0.21</f>
        <v>1.101</v>
      </c>
      <c r="H50" s="20">
        <f>表2_3671626293038912131415232425[[#This Row],[累计净值]]/$B$21-1</f>
        <v>8.3471074380165211E-2</v>
      </c>
    </row>
    <row r="51" spans="1:8">
      <c r="A51" s="15">
        <v>44071</v>
      </c>
      <c r="B51" s="112">
        <v>1.3149999999999999</v>
      </c>
      <c r="C51" s="112">
        <f>C50*(1+表2_3671626293038912131415232425[[#This Row],[每日盈亏]])</f>
        <v>1.1045637502050902</v>
      </c>
      <c r="D51" s="108">
        <f>IFERROR(B51-B50,0)</f>
        <v>4.0000000000000036E-3</v>
      </c>
      <c r="E51" s="109" t="str">
        <f t="shared" ref="E51:E56" si="5">IF(D51&lt;0,D51,"/")</f>
        <v>/</v>
      </c>
      <c r="F51" s="109">
        <f ca="1">IF(表2_3671626293038912131415232425[[#This Row],[累计净值]]/MAX(INDIRECT("B21:B" &amp; ROW()))-1&lt;F50,表2_3671626293038912131415232425[[#This Row],[累计净值]]/MAX(INDIRECT("B21:B" &amp; ROW()))-1,F50)</f>
        <v>-4.7694753577106508E-2</v>
      </c>
      <c r="G51" s="110">
        <f>表2_3671626293038912131415232425[[#This Row],[累计净值]]-0.21</f>
        <v>1.105</v>
      </c>
      <c r="H51" s="20">
        <f>表2_3671626293038912131415232425[[#This Row],[累计净值]]/$B$21-1</f>
        <v>8.6776859504132275E-2</v>
      </c>
    </row>
    <row r="52" spans="1:8">
      <c r="A52" s="15">
        <v>44074</v>
      </c>
      <c r="B52" s="112">
        <v>1.294</v>
      </c>
      <c r="C52" s="112">
        <f>C51*(1+表2_3671626293038912131415232425[[#This Row],[每日盈亏]])</f>
        <v>1.0813679114507835</v>
      </c>
      <c r="D52" s="108">
        <f>IFERROR(B52-B51,0)</f>
        <v>-2.0999999999999908E-2</v>
      </c>
      <c r="E52" s="109">
        <f t="shared" si="5"/>
        <v>-2.0999999999999908E-2</v>
      </c>
      <c r="F52" s="109">
        <f ca="1">IF(表2_3671626293038912131415232425[[#This Row],[累计净值]]/MAX(INDIRECT("B21:B" &amp; ROW()))-1&lt;F51,表2_3671626293038912131415232425[[#This Row],[累计净值]]/MAX(INDIRECT("B21:B" &amp; ROW()))-1,F51)</f>
        <v>-4.7694753577106508E-2</v>
      </c>
      <c r="G52" s="110">
        <f>表2_3671626293038912131415232425[[#This Row],[累计净值]]-0.21</f>
        <v>1.0840000000000001</v>
      </c>
      <c r="H52" s="20">
        <f>表2_3671626293038912131415232425[[#This Row],[累计净值]]/$B$21-1</f>
        <v>6.9421487603305909E-2</v>
      </c>
    </row>
    <row r="53" spans="1:8">
      <c r="A53" s="15">
        <v>44075</v>
      </c>
      <c r="B53" s="112">
        <v>1.3089999999999999</v>
      </c>
      <c r="C53" s="112">
        <f>C52*(1+表2_3671626293038912131415232425[[#This Row],[每日盈亏]])</f>
        <v>1.0975884301225451</v>
      </c>
      <c r="D53" s="108">
        <f>IFERROR(B53-B52,0)</f>
        <v>1.4999999999999902E-2</v>
      </c>
      <c r="E53" s="109" t="str">
        <f t="shared" si="5"/>
        <v>/</v>
      </c>
      <c r="F53" s="109">
        <f ca="1">IF(表2_3671626293038912131415232425[[#This Row],[累计净值]]/MAX(INDIRECT("B21:B" &amp; ROW()))-1&lt;F52,表2_3671626293038912131415232425[[#This Row],[累计净值]]/MAX(INDIRECT("B21:B" &amp; ROW()))-1,F52)</f>
        <v>-4.7694753577106508E-2</v>
      </c>
      <c r="G53" s="110">
        <f>表2_3671626293038912131415232425[[#This Row],[累计净值]]-0.21</f>
        <v>1.099</v>
      </c>
      <c r="H53" s="20">
        <f>表2_3671626293038912131415232425[[#This Row],[累计净值]]/$B$21-1</f>
        <v>8.181818181818179E-2</v>
      </c>
    </row>
    <row r="54" spans="1:8">
      <c r="A54" s="15">
        <v>44076</v>
      </c>
      <c r="B54" s="117">
        <v>1.321</v>
      </c>
      <c r="C54" s="112">
        <f>C53*(1+表2_3671626293038912131415232425[[#This Row],[每日盈亏]])</f>
        <v>1.1107594912840157</v>
      </c>
      <c r="D54" s="108">
        <f>IFERROR(B54-B53,0)</f>
        <v>1.2000000000000011E-2</v>
      </c>
      <c r="E54" s="109" t="str">
        <f t="shared" si="5"/>
        <v>/</v>
      </c>
      <c r="F54" s="109">
        <f ca="1">IF(表2_3671626293038912131415232425[[#This Row],[累计净值]]/MAX(INDIRECT("B21:B" &amp; ROW()))-1&lt;F53,表2_3671626293038912131415232425[[#This Row],[累计净值]]/MAX(INDIRECT("B21:B" &amp; ROW()))-1,F53)</f>
        <v>-4.7694753577106508E-2</v>
      </c>
      <c r="G54" s="110">
        <f>表2_3671626293038912131415232425[[#This Row],[累计净值]]-0.21</f>
        <v>1.111</v>
      </c>
      <c r="H54" s="20">
        <f>表2_3671626293038912131415232425[[#This Row],[累计净值]]/$B$21-1</f>
        <v>9.1735537190082539E-2</v>
      </c>
    </row>
    <row r="55" spans="1:8">
      <c r="A55" s="15">
        <v>44077</v>
      </c>
      <c r="B55" s="112">
        <v>1.2969999999999999</v>
      </c>
      <c r="C55" s="112">
        <f>C54*(1+表2_3671626293038912131415232425[[#This Row],[每日盈亏]])</f>
        <v>1.0841012634931992</v>
      </c>
      <c r="D55" s="108">
        <f>IFERROR(B55-B54,0)</f>
        <v>-2.4000000000000021E-2</v>
      </c>
      <c r="E55" s="109">
        <f t="shared" si="5"/>
        <v>-2.4000000000000021E-2</v>
      </c>
      <c r="F55" s="109">
        <f ca="1">IF(表2_3671626293038912131415232425[[#This Row],[累计净值]]/MAX(INDIRECT("B21:B" &amp; ROW()))-1&lt;F54,表2_3671626293038912131415232425[[#This Row],[累计净值]]/MAX(INDIRECT("B21:B" &amp; ROW()))-1,F54)</f>
        <v>-4.7694753577106508E-2</v>
      </c>
      <c r="G55" s="110">
        <f>表2_3671626293038912131415232425[[#This Row],[累计净值]]-0.21</f>
        <v>1.087</v>
      </c>
      <c r="H55" s="20">
        <f>表2_3671626293038912131415232425[[#This Row],[累计净值]]/$B$21-1</f>
        <v>7.1900826446281041E-2</v>
      </c>
    </row>
    <row r="56" spans="1:8">
      <c r="A56" s="15">
        <v>44078</v>
      </c>
      <c r="B56" s="112">
        <v>1.28</v>
      </c>
      <c r="C56" s="112">
        <f>C55*(1+表2_3671626293038912131415232425[[#This Row],[每日盈亏]])</f>
        <v>1.065671542013815</v>
      </c>
      <c r="D56" s="108">
        <f>IFERROR(B56-B55,0)</f>
        <v>-1.6999999999999904E-2</v>
      </c>
      <c r="E56" s="109">
        <f t="shared" si="5"/>
        <v>-1.6999999999999904E-2</v>
      </c>
      <c r="F56" s="109">
        <f ca="1">IF(表2_3671626293038912131415232425[[#This Row],[累计净值]]/MAX(INDIRECT("B21:B" &amp; ROW()))-1&lt;F55,表2_3671626293038912131415232425[[#This Row],[累计净值]]/MAX(INDIRECT("B21:B" &amp; ROW()))-1,F55)</f>
        <v>-4.7694753577106508E-2</v>
      </c>
      <c r="G56" s="110">
        <f>表2_3671626293038912131415232425[[#This Row],[累计净值]]-0.21</f>
        <v>1.07</v>
      </c>
      <c r="H56" s="20">
        <f>表2_3671626293038912131415232425[[#This Row],[累计净值]]/$B$21-1</f>
        <v>5.7851239669421517E-2</v>
      </c>
    </row>
    <row r="57" spans="1:8">
      <c r="A57" s="15">
        <v>44081</v>
      </c>
      <c r="B57" s="112">
        <v>1.2569999999999999</v>
      </c>
      <c r="C57" s="112">
        <f>C56*(1+表2_3671626293038912131415232425[[#This Row],[每日盈亏]])</f>
        <v>1.0411610965474971</v>
      </c>
      <c r="D57" s="108">
        <f>IFERROR(B57-B56,0)</f>
        <v>-2.3000000000000131E-2</v>
      </c>
      <c r="E57" s="109">
        <f t="shared" ref="E57:E62" si="6">IF(D57&lt;0,D57,"/")</f>
        <v>-2.3000000000000131E-2</v>
      </c>
      <c r="F57" s="109">
        <f ca="1">IF(表2_3671626293038912131415232425[[#This Row],[累计净值]]/MAX(INDIRECT("B21:B" &amp; ROW()))-1&lt;F56,表2_3671626293038912131415232425[[#This Row],[累计净值]]/MAX(INDIRECT("B21:B" &amp; ROW()))-1,F56)</f>
        <v>-4.8448145344436089E-2</v>
      </c>
      <c r="G57" s="110">
        <f>表2_3671626293038912131415232425[[#This Row],[累计净值]]-0.21</f>
        <v>1.0469999999999999</v>
      </c>
      <c r="H57" s="20">
        <f>表2_3671626293038912131415232425[[#This Row],[累计净值]]/$B$21-1</f>
        <v>3.8842975206611507E-2</v>
      </c>
    </row>
    <row r="58" spans="1:8">
      <c r="A58" s="15">
        <v>44082</v>
      </c>
      <c r="B58" s="112">
        <v>1.252</v>
      </c>
      <c r="C58" s="112">
        <f>C57*(1+表2_3671626293038912131415232425[[#This Row],[每日盈亏]])</f>
        <v>1.0359552910647598</v>
      </c>
      <c r="D58" s="108">
        <f>IFERROR(B58-B57,0)</f>
        <v>-4.9999999999998934E-3</v>
      </c>
      <c r="E58" s="109">
        <f t="shared" si="6"/>
        <v>-4.9999999999998934E-3</v>
      </c>
      <c r="F58" s="109">
        <f ca="1">IF(表2_3671626293038912131415232425[[#This Row],[累计净值]]/MAX(INDIRECT("B21:B" &amp; ROW()))-1&lt;F57,表2_3671626293038912131415232425[[#This Row],[累计净值]]/MAX(INDIRECT("B21:B" &amp; ROW()))-1,F57)</f>
        <v>-5.223315669947004E-2</v>
      </c>
      <c r="G58" s="110">
        <f>表2_3671626293038912131415232425[[#This Row],[累计净值]]-0.21</f>
        <v>1.042</v>
      </c>
      <c r="H58" s="20">
        <f>表2_3671626293038912131415232425[[#This Row],[累计净值]]/$B$21-1</f>
        <v>3.4710743801652955E-2</v>
      </c>
    </row>
    <row r="59" spans="1:8">
      <c r="A59" s="15">
        <v>44083</v>
      </c>
      <c r="B59" s="112">
        <v>1.234</v>
      </c>
      <c r="C59" s="112">
        <f>C58*(1+表2_3671626293038912131415232425[[#This Row],[每日盈亏]])</f>
        <v>1.017308095825594</v>
      </c>
      <c r="D59" s="108">
        <f>IFERROR(B59-B58,0)</f>
        <v>-1.8000000000000016E-2</v>
      </c>
      <c r="E59" s="109">
        <f t="shared" si="6"/>
        <v>-1.8000000000000016E-2</v>
      </c>
      <c r="F59" s="109">
        <f ca="1">IF(表2_3671626293038912131415232425[[#This Row],[累计净值]]/MAX(INDIRECT("B21:B" &amp; ROW()))-1&lt;F58,表2_3671626293038912131415232425[[#This Row],[累计净值]]/MAX(INDIRECT("B21:B" &amp; ROW()))-1,F58)</f>
        <v>-6.5859197577592732E-2</v>
      </c>
      <c r="G59" s="110">
        <f>表2_3671626293038912131415232425[[#This Row],[累计净值]]-0.21</f>
        <v>1.024</v>
      </c>
      <c r="H59" s="20">
        <f>表2_3671626293038912131415232425[[#This Row],[累计净值]]/$B$21-1</f>
        <v>1.983471074380172E-2</v>
      </c>
    </row>
    <row r="60" spans="1:8">
      <c r="A60" s="15">
        <v>44084</v>
      </c>
      <c r="B60" s="112">
        <v>1.2370000000000001</v>
      </c>
      <c r="C60" s="112">
        <f>C59*(1+表2_3671626293038912131415232425[[#This Row],[每日盈亏]])</f>
        <v>1.0203600201130709</v>
      </c>
      <c r="D60" s="108">
        <f>IFERROR(B60-B59,0)</f>
        <v>3.0000000000001137E-3</v>
      </c>
      <c r="E60" s="109" t="str">
        <f t="shared" si="6"/>
        <v>/</v>
      </c>
      <c r="F60" s="109">
        <f ca="1">IF(表2_3671626293038912131415232425[[#This Row],[累计净值]]/MAX(INDIRECT("B21:B" &amp; ROW()))-1&lt;F59,表2_3671626293038912131415232425[[#This Row],[累计净值]]/MAX(INDIRECT("B21:B" &amp; ROW()))-1,F59)</f>
        <v>-6.5859197577592732E-2</v>
      </c>
      <c r="G60" s="110">
        <f>表2_3671626293038912131415232425[[#This Row],[累计净值]]-0.21</f>
        <v>1.0270000000000001</v>
      </c>
      <c r="H60" s="20">
        <f>表2_3671626293038912131415232425[[#This Row],[累计净值]]/$B$21-1</f>
        <v>2.2314049586777074E-2</v>
      </c>
    </row>
    <row r="61" spans="1:8">
      <c r="A61" s="15">
        <v>44085</v>
      </c>
      <c r="B61" s="112">
        <v>1.256</v>
      </c>
      <c r="C61" s="112">
        <f>C60*(1+表2_3671626293038912131415232425[[#This Row],[每日盈亏]])</f>
        <v>1.0397468604952191</v>
      </c>
      <c r="D61" s="108">
        <f>IFERROR(B61-B60,0)</f>
        <v>1.8999999999999906E-2</v>
      </c>
      <c r="E61" s="109" t="str">
        <f t="shared" si="6"/>
        <v>/</v>
      </c>
      <c r="F61" s="109">
        <f ca="1">IF(表2_3671626293038912131415232425[[#This Row],[累计净值]]/MAX(INDIRECT("B21:B" &amp; ROW()))-1&lt;F60,表2_3671626293038912131415232425[[#This Row],[累计净值]]/MAX(INDIRECT("B21:B" &amp; ROW()))-1,F60)</f>
        <v>-6.5859197577592732E-2</v>
      </c>
      <c r="G61" s="110">
        <f>表2_3671626293038912131415232425[[#This Row],[累计净值]]-0.21</f>
        <v>1.046</v>
      </c>
      <c r="H61" s="20">
        <f>表2_3671626293038912131415232425[[#This Row],[累计净值]]/$B$21-1</f>
        <v>3.8016528925619797E-2</v>
      </c>
    </row>
    <row r="62" spans="1:8">
      <c r="A62" s="15">
        <v>44088</v>
      </c>
      <c r="B62" s="112">
        <v>1.268</v>
      </c>
      <c r="C62" s="112">
        <f>C61*(1+表2_3671626293038912131415232425[[#This Row],[每日盈亏]])</f>
        <v>1.0522238228211618</v>
      </c>
      <c r="D62" s="108">
        <f>IFERROR(B62-B61,0)</f>
        <v>1.2000000000000011E-2</v>
      </c>
      <c r="E62" s="109" t="str">
        <f t="shared" si="6"/>
        <v>/</v>
      </c>
      <c r="F62" s="109">
        <f ca="1">IF(表2_3671626293038912131415232425[[#This Row],[累计净值]]/MAX(INDIRECT("B21:B" &amp; ROW()))-1&lt;F61,表2_3671626293038912131415232425[[#This Row],[累计净值]]/MAX(INDIRECT("B21:B" &amp; ROW()))-1,F61)</f>
        <v>-6.5859197577592732E-2</v>
      </c>
      <c r="G62" s="110">
        <f>表2_3671626293038912131415232425[[#This Row],[累计净值]]-0.21</f>
        <v>1.0580000000000001</v>
      </c>
      <c r="H62" s="20">
        <f>表2_3671626293038912131415232425[[#This Row],[累计净值]]/$B$21-1</f>
        <v>4.7933884297520768E-2</v>
      </c>
    </row>
    <row r="63" spans="1:8">
      <c r="A63" s="15">
        <v>44089</v>
      </c>
      <c r="B63" s="112">
        <v>1.274</v>
      </c>
      <c r="C63" s="112">
        <f>C62*(1+表2_3671626293038912131415232425[[#This Row],[每日盈亏]])</f>
        <v>1.0585371657580886</v>
      </c>
      <c r="D63" s="108">
        <f>IFERROR(B63-B62,0)</f>
        <v>6.0000000000000053E-3</v>
      </c>
      <c r="E63" s="109" t="str">
        <f t="shared" ref="E63:E68" si="7">IF(D63&lt;0,D63,"/")</f>
        <v>/</v>
      </c>
      <c r="F63" s="109">
        <f ca="1">IF(表2_3671626293038912131415232425[[#This Row],[累计净值]]/MAX(INDIRECT("B21:B" &amp; ROW()))-1&lt;F62,表2_3671626293038912131415232425[[#This Row],[累计净值]]/MAX(INDIRECT("B21:B" &amp; ROW()))-1,F62)</f>
        <v>-6.5859197577592732E-2</v>
      </c>
      <c r="G63" s="110">
        <f>表2_3671626293038912131415232425[[#This Row],[累计净值]]-0.21</f>
        <v>1.0640000000000001</v>
      </c>
      <c r="H63" s="20">
        <f>表2_3671626293038912131415232425[[#This Row],[累计净值]]/$B$21-1</f>
        <v>5.2892561983471031E-2</v>
      </c>
    </row>
    <row r="64" spans="1:8">
      <c r="A64" s="15">
        <v>44090</v>
      </c>
      <c r="B64" s="112">
        <v>1.2749999999999999</v>
      </c>
      <c r="C64" s="112">
        <f>C63*(1+表2_3671626293038912131415232425[[#This Row],[每日盈亏]])</f>
        <v>1.0595957029238465</v>
      </c>
      <c r="D64" s="108">
        <f>IFERROR(B64-B63,0)</f>
        <v>9.9999999999988987E-4</v>
      </c>
      <c r="E64" s="109" t="str">
        <f t="shared" si="7"/>
        <v>/</v>
      </c>
      <c r="F64" s="109">
        <f ca="1">IF(表2_3671626293038912131415232425[[#This Row],[累计净值]]/MAX(INDIRECT("B21:B" &amp; ROW()))-1&lt;F63,表2_3671626293038912131415232425[[#This Row],[累计净值]]/MAX(INDIRECT("B21:B" &amp; ROW()))-1,F63)</f>
        <v>-6.5859197577592732E-2</v>
      </c>
      <c r="G64" s="110">
        <f>表2_3671626293038912131415232425[[#This Row],[累计净值]]-0.21</f>
        <v>1.0649999999999999</v>
      </c>
      <c r="H64" s="20">
        <f>表2_3671626293038912131415232425[[#This Row],[累计净值]]/$B$21-1</f>
        <v>5.3719008264462742E-2</v>
      </c>
    </row>
    <row r="65" spans="1:8">
      <c r="A65" s="15">
        <v>44091</v>
      </c>
      <c r="B65" s="112">
        <v>1.26</v>
      </c>
      <c r="C65" s="112">
        <f>C64*(1+表2_3671626293038912131415232425[[#This Row],[每日盈亏]])</f>
        <v>1.0437017673799889</v>
      </c>
      <c r="D65" s="108">
        <f>IFERROR(B65-B64,0)</f>
        <v>-1.4999999999999902E-2</v>
      </c>
      <c r="E65" s="109">
        <f t="shared" si="7"/>
        <v>-1.4999999999999902E-2</v>
      </c>
      <c r="F65" s="109">
        <f ca="1">IF(表2_3671626293038912131415232425[[#This Row],[累计净值]]/MAX(INDIRECT("B21:B" &amp; ROW()))-1&lt;F64,表2_3671626293038912131415232425[[#This Row],[累计净值]]/MAX(INDIRECT("B21:B" &amp; ROW()))-1,F64)</f>
        <v>-6.5859197577592732E-2</v>
      </c>
      <c r="G65" s="110">
        <f>表2_3671626293038912131415232425[[#This Row],[累计净值]]-0.21</f>
        <v>1.05</v>
      </c>
      <c r="H65" s="20">
        <f>表2_3671626293038912131415232425[[#This Row],[累计净值]]/$B$21-1</f>
        <v>4.1322314049586861E-2</v>
      </c>
    </row>
    <row r="66" spans="1:8">
      <c r="A66" s="15">
        <v>44092</v>
      </c>
      <c r="B66" s="112">
        <v>1.2789999999999999</v>
      </c>
      <c r="C66" s="112">
        <f>C65*(1+表2_3671626293038912131415232425[[#This Row],[每日盈亏]])</f>
        <v>1.0635321009602086</v>
      </c>
      <c r="D66" s="108">
        <f>IFERROR(B66-B65,0)</f>
        <v>1.8999999999999906E-2</v>
      </c>
      <c r="E66" s="109" t="str">
        <f t="shared" si="7"/>
        <v>/</v>
      </c>
      <c r="F66" s="109">
        <f ca="1">IF(表2_3671626293038912131415232425[[#This Row],[累计净值]]/MAX(INDIRECT("B21:B" &amp; ROW()))-1&lt;F65,表2_3671626293038912131415232425[[#This Row],[累计净值]]/MAX(INDIRECT("B21:B" &amp; ROW()))-1,F65)</f>
        <v>-6.5859197577592732E-2</v>
      </c>
      <c r="G66" s="110">
        <f>表2_3671626293038912131415232425[[#This Row],[累计净值]]-0.21</f>
        <v>1.069</v>
      </c>
      <c r="H66" s="20">
        <f>表2_3671626293038912131415232425[[#This Row],[累计净值]]/$B$21-1</f>
        <v>5.7024793388429806E-2</v>
      </c>
    </row>
    <row r="67" spans="1:8">
      <c r="A67" s="15">
        <v>44095</v>
      </c>
      <c r="B67" s="112">
        <v>1.2629999999999999</v>
      </c>
      <c r="C67" s="112">
        <f>C66*(1+表2_3671626293038912131415232425[[#This Row],[每日盈亏]])</f>
        <v>1.0465155873448453</v>
      </c>
      <c r="D67" s="108">
        <f>IFERROR(B67-B66,0)</f>
        <v>-1.6000000000000014E-2</v>
      </c>
      <c r="E67" s="109">
        <f t="shared" si="7"/>
        <v>-1.6000000000000014E-2</v>
      </c>
      <c r="F67" s="109">
        <f ca="1">IF(表2_3671626293038912131415232425[[#This Row],[累计净值]]/MAX(INDIRECT("B21:B" &amp; ROW()))-1&lt;F66,表2_3671626293038912131415232425[[#This Row],[累计净值]]/MAX(INDIRECT("B21:B" &amp; ROW()))-1,F66)</f>
        <v>-6.5859197577592732E-2</v>
      </c>
      <c r="G67" s="110">
        <f>表2_3671626293038912131415232425[[#This Row],[累计净值]]-0.21</f>
        <v>1.0529999999999999</v>
      </c>
      <c r="H67" s="20">
        <f>表2_3671626293038912131415232425[[#This Row],[累计净值]]/$B$21-1</f>
        <v>4.3801652892561993E-2</v>
      </c>
    </row>
    <row r="68" spans="1:8">
      <c r="A68" s="15">
        <v>44096</v>
      </c>
      <c r="B68" s="112">
        <v>1.256</v>
      </c>
      <c r="C68" s="112">
        <f>C67*(1+表2_3671626293038912131415232425[[#This Row],[每日盈亏]])</f>
        <v>1.0391899782334315</v>
      </c>
      <c r="D68" s="108">
        <f>IFERROR(B68-B67,0)</f>
        <v>-6.9999999999998952E-3</v>
      </c>
      <c r="E68" s="109">
        <f t="shared" si="7"/>
        <v>-6.9999999999998952E-3</v>
      </c>
      <c r="F68" s="109">
        <f ca="1">IF(表2_3671626293038912131415232425[[#This Row],[累计净值]]/MAX(INDIRECT("B21:B" &amp; ROW()))-1&lt;F67,表2_3671626293038912131415232425[[#This Row],[累计净值]]/MAX(INDIRECT("B21:B" &amp; ROW()))-1,F67)</f>
        <v>-6.5859197577592732E-2</v>
      </c>
      <c r="G68" s="110">
        <f>表2_3671626293038912131415232425[[#This Row],[累计净值]]-0.21</f>
        <v>1.046</v>
      </c>
      <c r="H68" s="20">
        <f>表2_3671626293038912131415232425[[#This Row],[累计净值]]/$B$21-1</f>
        <v>3.8016528925619797E-2</v>
      </c>
    </row>
    <row r="69" spans="1:8">
      <c r="A69" s="15">
        <v>44097</v>
      </c>
      <c r="B69" s="112">
        <v>1.262</v>
      </c>
      <c r="C69" s="112">
        <f>C68*(1+表2_3671626293038912131415232425[[#This Row],[每日盈亏]])</f>
        <v>1.045425118102832</v>
      </c>
      <c r="D69" s="108">
        <f>IFERROR(B69-B68,0)</f>
        <v>6.0000000000000053E-3</v>
      </c>
      <c r="E69" s="109" t="str">
        <f t="shared" ref="E69:E74" si="8">IF(D69&lt;0,D69,"/")</f>
        <v>/</v>
      </c>
      <c r="F69" s="109">
        <f ca="1">IF(表2_3671626293038912131415232425[[#This Row],[累计净值]]/MAX(INDIRECT("B21:B" &amp; ROW()))-1&lt;F68,表2_3671626293038912131415232425[[#This Row],[累计净值]]/MAX(INDIRECT("B21:B" &amp; ROW()))-1,F68)</f>
        <v>-6.5859197577592732E-2</v>
      </c>
      <c r="G69" s="110">
        <f>表2_3671626293038912131415232425[[#This Row],[累计净值]]-0.21</f>
        <v>1.052</v>
      </c>
      <c r="H69" s="20">
        <f>表2_3671626293038912131415232425[[#This Row],[累计净值]]/$B$21-1</f>
        <v>4.2975206611570282E-2</v>
      </c>
    </row>
    <row r="70" spans="1:8">
      <c r="A70" s="15">
        <v>44098</v>
      </c>
      <c r="B70" s="112">
        <v>1.236</v>
      </c>
      <c r="C70" s="112">
        <f>C69*(1+表2_3671626293038912131415232425[[#This Row],[每日盈亏]])</f>
        <v>1.0182440650321583</v>
      </c>
      <c r="D70" s="108">
        <f>IFERROR(B70-B69,0)</f>
        <v>-2.6000000000000023E-2</v>
      </c>
      <c r="E70" s="109">
        <f t="shared" si="8"/>
        <v>-2.6000000000000023E-2</v>
      </c>
      <c r="F70" s="109">
        <f ca="1">IF(表2_3671626293038912131415232425[[#This Row],[累计净值]]/MAX(INDIRECT("B21:B" &amp; ROW()))-1&lt;F69,表2_3671626293038912131415232425[[#This Row],[累计净值]]/MAX(INDIRECT("B21:B" &amp; ROW()))-1,F69)</f>
        <v>-6.5859197577592732E-2</v>
      </c>
      <c r="G70" s="110">
        <f>表2_3671626293038912131415232425[[#This Row],[累计净值]]-0.21</f>
        <v>1.026</v>
      </c>
      <c r="H70" s="20">
        <f>表2_3671626293038912131415232425[[#This Row],[累计净值]]/$B$21-1</f>
        <v>2.1487603305785141E-2</v>
      </c>
    </row>
    <row r="71" spans="1:8">
      <c r="A71" s="15">
        <v>44099</v>
      </c>
      <c r="B71" s="112">
        <v>1.236</v>
      </c>
      <c r="C71" s="112">
        <f>C70*(1+表2_3671626293038912131415232425[[#This Row],[每日盈亏]])</f>
        <v>1.0182440650321583</v>
      </c>
      <c r="D71" s="108">
        <f>IFERROR(B71-B70,0)</f>
        <v>0</v>
      </c>
      <c r="E71" s="109" t="str">
        <f t="shared" si="8"/>
        <v>/</v>
      </c>
      <c r="F71" s="109">
        <f ca="1">IF(表2_3671626293038912131415232425[[#This Row],[累计净值]]/MAX(INDIRECT("B21:B" &amp; ROW()))-1&lt;F70,表2_3671626293038912131415232425[[#This Row],[累计净值]]/MAX(INDIRECT("B21:B" &amp; ROW()))-1,F70)</f>
        <v>-6.5859197577592732E-2</v>
      </c>
      <c r="G71" s="110">
        <f>表2_3671626293038912131415232425[[#This Row],[累计净值]]-0.21</f>
        <v>1.026</v>
      </c>
      <c r="H71" s="20">
        <f>表2_3671626293038912131415232425[[#This Row],[累计净值]]/$B$21-1</f>
        <v>2.1487603305785141E-2</v>
      </c>
    </row>
    <row r="72" spans="1:8">
      <c r="A72" s="15">
        <v>44102</v>
      </c>
      <c r="B72" s="112">
        <v>1.2509999999999999</v>
      </c>
      <c r="C72" s="112">
        <f>C71*(1+表2_3671626293038912131415232425[[#This Row],[每日盈亏]])</f>
        <v>1.0335177260076405</v>
      </c>
      <c r="D72" s="108">
        <f>IFERROR(B72-B71,0)</f>
        <v>1.4999999999999902E-2</v>
      </c>
      <c r="E72" s="109" t="str">
        <f t="shared" si="8"/>
        <v>/</v>
      </c>
      <c r="F72" s="109">
        <f ca="1">IF(表2_3671626293038912131415232425[[#This Row],[累计净值]]/MAX(INDIRECT("B21:B" &amp; ROW()))-1&lt;F71,表2_3671626293038912131415232425[[#This Row],[累计净值]]/MAX(INDIRECT("B21:B" &amp; ROW()))-1,F71)</f>
        <v>-6.5859197577592732E-2</v>
      </c>
      <c r="G72" s="110">
        <f>表2_3671626293038912131415232425[[#This Row],[累计净值]]-0.21</f>
        <v>1.0409999999999999</v>
      </c>
      <c r="H72" s="20">
        <f>表2_3671626293038912131415232425[[#This Row],[累计净值]]/$B$21-1</f>
        <v>3.3884297520661022E-2</v>
      </c>
    </row>
    <row r="73" spans="1:8">
      <c r="A73" s="15">
        <v>44103</v>
      </c>
      <c r="B73" s="112">
        <v>1.246</v>
      </c>
      <c r="C73" s="112">
        <f>C72*(1+表2_3671626293038912131415232425[[#This Row],[每日盈亏]])</f>
        <v>1.0283501373776023</v>
      </c>
      <c r="D73" s="108">
        <f>IFERROR(B73-B72,0)</f>
        <v>-4.9999999999998934E-3</v>
      </c>
      <c r="E73" s="109">
        <f t="shared" si="8"/>
        <v>-4.9999999999998934E-3</v>
      </c>
      <c r="F73" s="109">
        <f ca="1">IF(表2_3671626293038912131415232425[[#This Row],[累计净值]]/MAX(INDIRECT("B21:B" &amp; ROW()))-1&lt;F72,表2_3671626293038912131415232425[[#This Row],[累计净值]]/MAX(INDIRECT("B21:B" &amp; ROW()))-1,F72)</f>
        <v>-6.5859197577592732E-2</v>
      </c>
      <c r="G73" s="110">
        <f>表2_3671626293038912131415232425[[#This Row],[累计净值]]-0.21</f>
        <v>1.036</v>
      </c>
      <c r="H73" s="20">
        <f>表2_3671626293038912131415232425[[#This Row],[累计净值]]/$B$21-1</f>
        <v>2.9752066115702469E-2</v>
      </c>
    </row>
    <row r="74" spans="1:8">
      <c r="A74" s="15">
        <v>44104</v>
      </c>
      <c r="B74" s="112">
        <v>1.252</v>
      </c>
      <c r="C74" s="112">
        <f>C73*(1+表2_3671626293038912131415232425[[#This Row],[每日盈亏]])</f>
        <v>1.0345202382018679</v>
      </c>
      <c r="D74" s="108">
        <f>IFERROR(B74-B73,0)</f>
        <v>6.0000000000000053E-3</v>
      </c>
      <c r="E74" s="109" t="str">
        <f t="shared" si="8"/>
        <v>/</v>
      </c>
      <c r="F74" s="109">
        <f ca="1">IF(表2_3671626293038912131415232425[[#This Row],[累计净值]]/MAX(INDIRECT("B21:B" &amp; ROW()))-1&lt;F73,表2_3671626293038912131415232425[[#This Row],[累计净值]]/MAX(INDIRECT("B21:B" &amp; ROW()))-1,F73)</f>
        <v>-6.5859197577592732E-2</v>
      </c>
      <c r="G74" s="110">
        <f>表2_3671626293038912131415232425[[#This Row],[累计净值]]-0.21</f>
        <v>1.042</v>
      </c>
      <c r="H74" s="20">
        <f>表2_3671626293038912131415232425[[#This Row],[累计净值]]/$B$21-1</f>
        <v>3.4710743801652955E-2</v>
      </c>
    </row>
    <row r="75" spans="1:8">
      <c r="A75" s="15">
        <v>44113</v>
      </c>
      <c r="B75" s="112">
        <v>1.288</v>
      </c>
      <c r="C75" s="112">
        <f>C74*(1+表2_3671626293038912131415232425[[#This Row],[每日盈亏]])</f>
        <v>1.0717629667771351</v>
      </c>
      <c r="D75" s="108">
        <f>IFERROR(B75-B74,0)</f>
        <v>3.6000000000000032E-2</v>
      </c>
      <c r="E75" s="109" t="str">
        <f t="shared" ref="E75:E80" si="9">IF(D75&lt;0,D75,"/")</f>
        <v>/</v>
      </c>
      <c r="F75" s="109">
        <f ca="1">IF(表2_3671626293038912131415232425[[#This Row],[累计净值]]/MAX(INDIRECT("B21:B" &amp; ROW()))-1&lt;F74,表2_3671626293038912131415232425[[#This Row],[累计净值]]/MAX(INDIRECT("B21:B" &amp; ROW()))-1,F74)</f>
        <v>-6.5859197577592732E-2</v>
      </c>
      <c r="G75" s="110">
        <f>表2_3671626293038912131415232425[[#This Row],[累计净值]]-0.21</f>
        <v>1.0780000000000001</v>
      </c>
      <c r="H75" s="20">
        <f>表2_3671626293038912131415232425[[#This Row],[累计净值]]/$B$21-1</f>
        <v>6.4462809917355424E-2</v>
      </c>
    </row>
    <row r="76" spans="1:8">
      <c r="A76" s="15">
        <v>44116</v>
      </c>
      <c r="B76" s="112">
        <v>1.3069999999999999</v>
      </c>
      <c r="C76" s="112">
        <f>C75*(1+表2_3671626293038912131415232425[[#This Row],[每日盈亏]])</f>
        <v>1.0921264631459007</v>
      </c>
      <c r="D76" s="108">
        <f>IFERROR(B76-B75,0)</f>
        <v>1.8999999999999906E-2</v>
      </c>
      <c r="E76" s="109" t="str">
        <f t="shared" si="9"/>
        <v>/</v>
      </c>
      <c r="F76" s="109">
        <f ca="1">IF(表2_3671626293038912131415232425[[#This Row],[累计净值]]/MAX(INDIRECT("B21:B" &amp; ROW()))-1&lt;F75,表2_3671626293038912131415232425[[#This Row],[累计净值]]/MAX(INDIRECT("B21:B" &amp; ROW()))-1,F75)</f>
        <v>-6.5859197577592732E-2</v>
      </c>
      <c r="G76" s="110">
        <f>表2_3671626293038912131415232425[[#This Row],[累计净值]]-0.21</f>
        <v>1.097</v>
      </c>
      <c r="H76" s="20">
        <f>表2_3671626293038912131415232425[[#This Row],[累计净值]]/$B$21-1</f>
        <v>8.0165289256198369E-2</v>
      </c>
    </row>
    <row r="77" spans="1:8">
      <c r="A77" s="15">
        <v>44117</v>
      </c>
      <c r="B77" s="112">
        <v>1.3129999999999999</v>
      </c>
      <c r="C77" s="112">
        <f>C76*(1+表2_3671626293038912131415232425[[#This Row],[每日盈亏]])</f>
        <v>1.0986792219247761</v>
      </c>
      <c r="D77" s="108">
        <f>IFERROR(B77-B76,0)</f>
        <v>6.0000000000000053E-3</v>
      </c>
      <c r="E77" s="109" t="str">
        <f t="shared" si="9"/>
        <v>/</v>
      </c>
      <c r="F77" s="109">
        <f ca="1">IF(表2_3671626293038912131415232425[[#This Row],[累计净值]]/MAX(INDIRECT("B21:B" &amp; ROW()))-1&lt;F76,表2_3671626293038912131415232425[[#This Row],[累计净值]]/MAX(INDIRECT("B21:B" &amp; ROW()))-1,F76)</f>
        <v>-6.5859197577592732E-2</v>
      </c>
      <c r="G77" s="110">
        <f>表2_3671626293038912131415232425[[#This Row],[累计净值]]-0.21</f>
        <v>1.103</v>
      </c>
      <c r="H77" s="20">
        <f>表2_3671626293038912131415232425[[#This Row],[累计净值]]/$B$21-1</f>
        <v>8.5123966942148854E-2</v>
      </c>
    </row>
    <row r="78" spans="1:8">
      <c r="A78" s="15">
        <v>44118</v>
      </c>
      <c r="B78" s="112">
        <v>1.3169999999999999</v>
      </c>
      <c r="C78" s="112">
        <f>C77*(1+表2_3671626293038912131415232425[[#This Row],[每日盈亏]])</f>
        <v>1.1030739388124753</v>
      </c>
      <c r="D78" s="108">
        <f>IFERROR(B78-B77,0)</f>
        <v>4.0000000000000036E-3</v>
      </c>
      <c r="E78" s="109" t="str">
        <f t="shared" si="9"/>
        <v>/</v>
      </c>
      <c r="F78" s="109">
        <f ca="1">IF(表2_3671626293038912131415232425[[#This Row],[累计净值]]/MAX(INDIRECT("B21:B" &amp; ROW()))-1&lt;F77,表2_3671626293038912131415232425[[#This Row],[累计净值]]/MAX(INDIRECT("B21:B" &amp; ROW()))-1,F77)</f>
        <v>-6.5859197577592732E-2</v>
      </c>
      <c r="G78" s="110">
        <f>表2_3671626293038912131415232425[[#This Row],[累计净值]]-0.21</f>
        <v>1.107</v>
      </c>
      <c r="H78" s="20">
        <f>表2_3671626293038912131415232425[[#This Row],[累计净值]]/$B$21-1</f>
        <v>8.8429752066115697E-2</v>
      </c>
    </row>
    <row r="79" spans="1:8">
      <c r="A79" s="15">
        <v>44119</v>
      </c>
      <c r="B79" s="112">
        <v>1.2969999999999999</v>
      </c>
      <c r="C79" s="112">
        <f>C78*(1+表2_3671626293038912131415232425[[#This Row],[每日盈亏]])</f>
        <v>1.0810124600362259</v>
      </c>
      <c r="D79" s="108">
        <f>IFERROR(B79-B78,0)</f>
        <v>-2.0000000000000018E-2</v>
      </c>
      <c r="E79" s="109">
        <f t="shared" si="9"/>
        <v>-2.0000000000000018E-2</v>
      </c>
      <c r="F79" s="109">
        <f ca="1">IF(表2_3671626293038912131415232425[[#This Row],[累计净值]]/MAX(INDIRECT("B21:B" &amp; ROW()))-1&lt;F78,表2_3671626293038912131415232425[[#This Row],[累计净值]]/MAX(INDIRECT("B21:B" &amp; ROW()))-1,F78)</f>
        <v>-6.5859197577592732E-2</v>
      </c>
      <c r="G79" s="110">
        <f>表2_3671626293038912131415232425[[#This Row],[累计净值]]-0.21</f>
        <v>1.087</v>
      </c>
      <c r="H79" s="20">
        <f>表2_3671626293038912131415232425[[#This Row],[累计净值]]/$B$21-1</f>
        <v>7.1900826446281041E-2</v>
      </c>
    </row>
    <row r="80" spans="1:8">
      <c r="A80" s="15">
        <v>44120</v>
      </c>
      <c r="B80" s="112">
        <v>1.3029999999999999</v>
      </c>
      <c r="C80" s="112">
        <f>C79*(1+表2_3671626293038912131415232425[[#This Row],[每日盈亏]])</f>
        <v>1.0874985347964432</v>
      </c>
      <c r="D80" s="108">
        <f>IFERROR(B80-B79,0)</f>
        <v>6.0000000000000053E-3</v>
      </c>
      <c r="E80" s="109" t="str">
        <f t="shared" si="9"/>
        <v>/</v>
      </c>
      <c r="F80" s="109">
        <f ca="1">IF(表2_3671626293038912131415232425[[#This Row],[累计净值]]/MAX(INDIRECT("B21:B" &amp; ROW()))-1&lt;F79,表2_3671626293038912131415232425[[#This Row],[累计净值]]/MAX(INDIRECT("B21:B" &amp; ROW()))-1,F79)</f>
        <v>-6.5859197577592732E-2</v>
      </c>
      <c r="G80" s="110">
        <f>表2_3671626293038912131415232425[[#This Row],[累计净值]]-0.21</f>
        <v>1.093</v>
      </c>
      <c r="H80" s="20">
        <f>表2_3671626293038912131415232425[[#This Row],[累计净值]]/$B$21-1</f>
        <v>7.6859504132231304E-2</v>
      </c>
    </row>
    <row r="81" spans="1:8">
      <c r="A81" s="15">
        <v>44123</v>
      </c>
      <c r="B81" s="112">
        <v>1.2889999999999999</v>
      </c>
      <c r="C81" s="112">
        <f>C80*(1+表2_3671626293038912131415232425[[#This Row],[每日盈亏]])</f>
        <v>1.072273555309293</v>
      </c>
      <c r="D81" s="108">
        <f>IFERROR(B81-B80,0)</f>
        <v>-1.4000000000000012E-2</v>
      </c>
      <c r="E81" s="109">
        <f>IF(D81&lt;0,D81,"/")</f>
        <v>-1.4000000000000012E-2</v>
      </c>
      <c r="F81" s="109">
        <f ca="1">IF(表2_3671626293038912131415232425[[#This Row],[累计净值]]/MAX(INDIRECT("B21:B" &amp; ROW()))-1&lt;F80,表2_3671626293038912131415232425[[#This Row],[累计净值]]/MAX(INDIRECT("B21:B" &amp; ROW()))-1,F80)</f>
        <v>-6.5859197577592732E-2</v>
      </c>
      <c r="G81" s="110">
        <f>表2_3671626293038912131415232425[[#This Row],[累计净值]]-0.21</f>
        <v>1.079</v>
      </c>
      <c r="H81" s="20">
        <f>表2_3671626293038912131415232425[[#This Row],[累计净值]]/$B$21-1</f>
        <v>6.5289256198347134E-2</v>
      </c>
    </row>
    <row r="82" spans="1:8">
      <c r="A82" s="15">
        <v>44124</v>
      </c>
      <c r="B82" s="112">
        <v>1.2969999999999999</v>
      </c>
      <c r="C82" s="112">
        <f>C81*(1+表2_3671626293038912131415232425[[#This Row],[每日盈亏]])</f>
        <v>1.0808517437517673</v>
      </c>
      <c r="D82" s="108">
        <f>IFERROR(B82-B81,0)</f>
        <v>8.0000000000000071E-3</v>
      </c>
      <c r="E82" s="109" t="str">
        <f>IF(D82&lt;0,D82,"/")</f>
        <v>/</v>
      </c>
      <c r="F82" s="109">
        <f ca="1">IF(表2_3671626293038912131415232425[[#This Row],[累计净值]]/MAX(INDIRECT("B21:B" &amp; ROW()))-1&lt;F81,表2_3671626293038912131415232425[[#This Row],[累计净值]]/MAX(INDIRECT("B21:B" &amp; ROW()))-1,F81)</f>
        <v>-6.5859197577592732E-2</v>
      </c>
      <c r="G82" s="110">
        <f>表2_3671626293038912131415232425[[#This Row],[累计净值]]-0.21</f>
        <v>1.087</v>
      </c>
      <c r="H82" s="20">
        <f>表2_3671626293038912131415232425[[#This Row],[累计净值]]/$B$21-1</f>
        <v>7.1900826446281041E-2</v>
      </c>
    </row>
    <row r="83" spans="1:8">
      <c r="A83" s="15">
        <v>44125</v>
      </c>
      <c r="B83" s="112">
        <v>1.2969999999999999</v>
      </c>
      <c r="C83" s="112">
        <f>C82*(1+表2_3671626293038912131415232425[[#This Row],[每日盈亏]])</f>
        <v>1.0808517437517673</v>
      </c>
      <c r="D83" s="108">
        <f>IFERROR(B83-B82,0)</f>
        <v>0</v>
      </c>
      <c r="E83" s="109" t="str">
        <f t="shared" ref="E83:E85" si="10">IF(D83&lt;0,D83,"/")</f>
        <v>/</v>
      </c>
      <c r="F83" s="109">
        <f ca="1">IF(表2_3671626293038912131415232425[[#This Row],[累计净值]]/MAX(INDIRECT("B21:B" &amp; ROW()))-1&lt;F82,表2_3671626293038912131415232425[[#This Row],[累计净值]]/MAX(INDIRECT("B21:B" &amp; ROW()))-1,F82)</f>
        <v>-6.5859197577592732E-2</v>
      </c>
      <c r="G83" s="110">
        <f>表2_3671626293038912131415232425[[#This Row],[累计净值]]-0.21</f>
        <v>1.087</v>
      </c>
      <c r="H83" s="20">
        <f>表2_3671626293038912131415232425[[#This Row],[累计净值]]/$B$21-1</f>
        <v>7.1900826446281041E-2</v>
      </c>
    </row>
    <row r="84" spans="1:8">
      <c r="A84" s="15">
        <v>44126</v>
      </c>
      <c r="B84" s="112">
        <v>1.2929999999999999</v>
      </c>
      <c r="C84" s="112">
        <f>C83*(1+表2_3671626293038912131415232425[[#This Row],[每日盈亏]])</f>
        <v>1.0765283367767602</v>
      </c>
      <c r="D84" s="108">
        <f>IFERROR(B84-B83,0)</f>
        <v>-4.0000000000000036E-3</v>
      </c>
      <c r="E84" s="109">
        <f t="shared" si="10"/>
        <v>-4.0000000000000036E-3</v>
      </c>
      <c r="F84" s="109">
        <f ca="1">IF(表2_3671626293038912131415232425[[#This Row],[累计净值]]/MAX(INDIRECT("B21:B" &amp; ROW()))-1&lt;F83,表2_3671626293038912131415232425[[#This Row],[累计净值]]/MAX(INDIRECT("B21:B" &amp; ROW()))-1,F83)</f>
        <v>-6.5859197577592732E-2</v>
      </c>
      <c r="G84" s="110">
        <f>表2_3671626293038912131415232425[[#This Row],[累计净值]]-0.21</f>
        <v>1.083</v>
      </c>
      <c r="H84" s="20">
        <f>表2_3671626293038912131415232425[[#This Row],[累计净值]]/$B$21-1</f>
        <v>6.8595041322313977E-2</v>
      </c>
    </row>
    <row r="85" spans="1:8">
      <c r="A85" s="15">
        <v>44127</v>
      </c>
      <c r="B85" s="112">
        <v>1.2889999999999999</v>
      </c>
      <c r="C85" s="112">
        <f>C84*(1+表2_3671626293038912131415232425[[#This Row],[每日盈亏]])</f>
        <v>1.0722222234296532</v>
      </c>
      <c r="D85" s="108">
        <f>IFERROR(B85-B84,0)</f>
        <v>-4.0000000000000036E-3</v>
      </c>
      <c r="E85" s="109">
        <f t="shared" si="10"/>
        <v>-4.0000000000000036E-3</v>
      </c>
      <c r="F85" s="109">
        <f ca="1">IF(表2_3671626293038912131415232425[[#This Row],[累计净值]]/MAX(INDIRECT("B21:B" &amp; ROW()))-1&lt;F84,表2_3671626293038912131415232425[[#This Row],[累计净值]]/MAX(INDIRECT("B21:B" &amp; ROW()))-1,F84)</f>
        <v>-6.5859197577592732E-2</v>
      </c>
      <c r="G85" s="110">
        <f>表2_3671626293038912131415232425[[#This Row],[累计净值]]-0.21</f>
        <v>1.079</v>
      </c>
      <c r="H85" s="20">
        <f>表2_3671626293038912131415232425[[#This Row],[累计净值]]/$B$21-1</f>
        <v>6.5289256198347134E-2</v>
      </c>
    </row>
    <row r="86" spans="1:8">
      <c r="A86" s="15">
        <v>44130</v>
      </c>
      <c r="B86" s="112">
        <v>1.278</v>
      </c>
      <c r="C86" s="112">
        <f>C85*(1+表2_3671626293038912131415232425[[#This Row],[每日盈亏]])</f>
        <v>1.0604277789719272</v>
      </c>
      <c r="D86" s="108">
        <f>IFERROR(B86-B85,0)</f>
        <v>-1.0999999999999899E-2</v>
      </c>
      <c r="E86" s="109">
        <f t="shared" ref="E86:E92" si="11">IF(D86&lt;0,D86,"/")</f>
        <v>-1.0999999999999899E-2</v>
      </c>
      <c r="F86" s="109">
        <f ca="1">IF(表2_3671626293038912131415232425[[#This Row],[累计净值]]/MAX(INDIRECT("B21:B" &amp; ROW()))-1&lt;F85,表2_3671626293038912131415232425[[#This Row],[累计净值]]/MAX(INDIRECT("B21:B" &amp; ROW()))-1,F85)</f>
        <v>-6.5859197577592732E-2</v>
      </c>
      <c r="G86" s="110">
        <f>表2_3671626293038912131415232425[[#This Row],[累计净值]]-0.21</f>
        <v>1.0680000000000001</v>
      </c>
      <c r="H86" s="20">
        <f>表2_3671626293038912131415232425[[#This Row],[累计净值]]/$B$21-1</f>
        <v>5.6198347107438096E-2</v>
      </c>
    </row>
    <row r="87" spans="1:8">
      <c r="A87" s="15">
        <v>44131</v>
      </c>
      <c r="B87" s="112">
        <v>1.28</v>
      </c>
      <c r="C87" s="112">
        <f>C86*(1+表2_3671626293038912131415232425[[#This Row],[每日盈亏]])</f>
        <v>1.0625486345298711</v>
      </c>
      <c r="D87" s="108">
        <f>IFERROR(B87-B86,0)</f>
        <v>2.0000000000000018E-3</v>
      </c>
      <c r="E87" s="109" t="str">
        <f t="shared" si="11"/>
        <v>/</v>
      </c>
      <c r="F87" s="109">
        <f ca="1">IF(表2_3671626293038912131415232425[[#This Row],[累计净值]]/MAX(INDIRECT("B21:B" &amp; ROW()))-1&lt;F86,表2_3671626293038912131415232425[[#This Row],[累计净值]]/MAX(INDIRECT("B21:B" &amp; ROW()))-1,F86)</f>
        <v>-6.5859197577592732E-2</v>
      </c>
      <c r="G87" s="110">
        <f>表2_3671626293038912131415232425[[#This Row],[累计净值]]-0.21</f>
        <v>1.07</v>
      </c>
      <c r="H87" s="20">
        <f>表2_3671626293038912131415232425[[#This Row],[累计净值]]/$B$21-1</f>
        <v>5.7851239669421517E-2</v>
      </c>
    </row>
    <row r="88" spans="1:8">
      <c r="A88" s="15">
        <v>44132</v>
      </c>
      <c r="B88" s="112">
        <v>1.2969999999999999</v>
      </c>
      <c r="C88" s="112">
        <f>C87*(1+表2_3671626293038912131415232425[[#This Row],[每日盈亏]])</f>
        <v>1.0806119613168788</v>
      </c>
      <c r="D88" s="108">
        <f>IFERROR(B88-B87,0)</f>
        <v>1.6999999999999904E-2</v>
      </c>
      <c r="E88" s="109" t="str">
        <f t="shared" si="11"/>
        <v>/</v>
      </c>
      <c r="F88" s="109">
        <f ca="1">IF(表2_3671626293038912131415232425[[#This Row],[累计净值]]/MAX(INDIRECT("B21:B" &amp; ROW()))-1&lt;F87,表2_3671626293038912131415232425[[#This Row],[累计净值]]/MAX(INDIRECT("B21:B" &amp; ROW()))-1,F87)</f>
        <v>-6.5859197577592732E-2</v>
      </c>
      <c r="G88" s="110">
        <f>表2_3671626293038912131415232425[[#This Row],[累计净值]]-0.21</f>
        <v>1.087</v>
      </c>
      <c r="H88" s="20">
        <f>表2_3671626293038912131415232425[[#This Row],[累计净值]]/$B$21-1</f>
        <v>7.1900826446281041E-2</v>
      </c>
    </row>
    <row r="89" spans="1:8">
      <c r="A89" s="15">
        <v>44133</v>
      </c>
      <c r="B89" s="112">
        <v>1.3129999999999999</v>
      </c>
      <c r="C89" s="112">
        <f>C88*(1+表2_3671626293038912131415232425[[#This Row],[每日盈亏]])</f>
        <v>1.0979017526979489</v>
      </c>
      <c r="D89" s="108">
        <f>IFERROR(B89-B88,0)</f>
        <v>1.6000000000000014E-2</v>
      </c>
      <c r="E89" s="109" t="str">
        <f t="shared" si="11"/>
        <v>/</v>
      </c>
      <c r="F89" s="109">
        <f ca="1">IF(表2_3671626293038912131415232425[[#This Row],[累计净值]]/MAX(INDIRECT("B21:B" &amp; ROW()))-1&lt;F88,表2_3671626293038912131415232425[[#This Row],[累计净值]]/MAX(INDIRECT("B21:B" &amp; ROW()))-1,F88)</f>
        <v>-6.5859197577592732E-2</v>
      </c>
      <c r="G89" s="110">
        <f>表2_3671626293038912131415232425[[#This Row],[累计净值]]-0.21</f>
        <v>1.103</v>
      </c>
      <c r="H89" s="20">
        <f>表2_3671626293038912131415232425[[#This Row],[累计净值]]/$B$21-1</f>
        <v>8.5123966942148854E-2</v>
      </c>
    </row>
    <row r="90" spans="1:8">
      <c r="A90" s="15">
        <v>44134</v>
      </c>
      <c r="B90" s="112">
        <v>1.288</v>
      </c>
      <c r="C90" s="112">
        <f>C89*(1+表2_3671626293038912131415232425[[#This Row],[每日盈亏]])</f>
        <v>1.0704542088805002</v>
      </c>
      <c r="D90" s="108">
        <f>IFERROR(B90-B89,0)</f>
        <v>-2.4999999999999911E-2</v>
      </c>
      <c r="E90" s="109">
        <f t="shared" si="11"/>
        <v>-2.4999999999999911E-2</v>
      </c>
      <c r="F90" s="109">
        <f ca="1">IF(表2_3671626293038912131415232425[[#This Row],[累计净值]]/MAX(INDIRECT("B21:B" &amp; ROW()))-1&lt;F89,表2_3671626293038912131415232425[[#This Row],[累计净值]]/MAX(INDIRECT("B21:B" &amp; ROW()))-1,F89)</f>
        <v>-6.5859197577592732E-2</v>
      </c>
      <c r="G90" s="110">
        <f>表2_3671626293038912131415232425[[#This Row],[累计净值]]-0.21</f>
        <v>1.0780000000000001</v>
      </c>
      <c r="H90" s="20">
        <f>表2_3671626293038912131415232425[[#This Row],[累计净值]]/$B$21-1</f>
        <v>6.4462809917355424E-2</v>
      </c>
    </row>
    <row r="91" spans="1:8">
      <c r="A91" s="15">
        <v>44137</v>
      </c>
      <c r="B91" s="112">
        <v>1.2889999999999999</v>
      </c>
      <c r="C91" s="112">
        <f>C90*(1+表2_3671626293038912131415232425[[#This Row],[每日盈亏]])</f>
        <v>1.0715246630893807</v>
      </c>
      <c r="D91" s="108">
        <f>IFERROR(B91-B90,0)</f>
        <v>9.9999999999988987E-4</v>
      </c>
      <c r="E91" s="109" t="str">
        <f t="shared" si="11"/>
        <v>/</v>
      </c>
      <c r="F91" s="109">
        <f ca="1">IF(表2_3671626293038912131415232425[[#This Row],[累计净值]]/MAX(INDIRECT("B21:B" &amp; ROW()))-1&lt;F90,表2_3671626293038912131415232425[[#This Row],[累计净值]]/MAX(INDIRECT("B21:B" &amp; ROW()))-1,F90)</f>
        <v>-6.5859197577592732E-2</v>
      </c>
      <c r="G91" s="110">
        <f>表2_3671626293038912131415232425[[#This Row],[累计净值]]-0.21</f>
        <v>1.079</v>
      </c>
      <c r="H91" s="20">
        <f>表2_3671626293038912131415232425[[#This Row],[累计净值]]/$B$21-1</f>
        <v>6.5289256198347134E-2</v>
      </c>
    </row>
    <row r="92" spans="1:8">
      <c r="A92" s="15">
        <v>44138</v>
      </c>
      <c r="B92" s="112">
        <v>1.3</v>
      </c>
      <c r="C92" s="112">
        <f>C91*(1+表2_3671626293038912131415232425[[#This Row],[每日盈亏]])</f>
        <v>1.0833114343833641</v>
      </c>
      <c r="D92" s="108">
        <f>IFERROR(B92-B91,0)</f>
        <v>1.1000000000000121E-2</v>
      </c>
      <c r="E92" s="109" t="str">
        <f t="shared" si="11"/>
        <v>/</v>
      </c>
      <c r="F92" s="109">
        <f ca="1">IF(表2_3671626293038912131415232425[[#This Row],[累计净值]]/MAX(INDIRECT("B21:B" &amp; ROW()))-1&lt;F91,表2_3671626293038912131415232425[[#This Row],[累计净值]]/MAX(INDIRECT("B21:B" &amp; ROW()))-1,F91)</f>
        <v>-6.5859197577592732E-2</v>
      </c>
      <c r="G92" s="110">
        <f>表2_3671626293038912131415232425[[#This Row],[累计净值]]-0.21</f>
        <v>1.0900000000000001</v>
      </c>
      <c r="H92" s="20">
        <f>表2_3671626293038912131415232425[[#This Row],[累计净值]]/$B$21-1</f>
        <v>7.4380165289256173E-2</v>
      </c>
    </row>
    <row r="93" spans="1:8">
      <c r="A93" s="15">
        <v>44139</v>
      </c>
      <c r="B93" s="112">
        <v>1.31</v>
      </c>
      <c r="C93" s="112">
        <f>C92*(1+表2_3671626293038912131415232425[[#This Row],[每日盈亏]])</f>
        <v>1.0941445487271977</v>
      </c>
      <c r="D93" s="108">
        <f>IFERROR(B93-B92,0)</f>
        <v>1.0000000000000009E-2</v>
      </c>
      <c r="E93" s="109" t="str">
        <f t="shared" ref="E93:E98" si="12">IF(D93&lt;0,D93,"/")</f>
        <v>/</v>
      </c>
      <c r="F93" s="109">
        <f ca="1">IF(表2_3671626293038912131415232425[[#This Row],[累计净值]]/MAX(INDIRECT("B21:B" &amp; ROW()))-1&lt;F92,表2_3671626293038912131415232425[[#This Row],[累计净值]]/MAX(INDIRECT("B21:B" &amp; ROW()))-1,F92)</f>
        <v>-6.5859197577592732E-2</v>
      </c>
      <c r="G93" s="110">
        <f>表2_3671626293038912131415232425[[#This Row],[累计净值]]-0.21</f>
        <v>1.1000000000000001</v>
      </c>
      <c r="H93" s="20">
        <f>表2_3671626293038912131415232425[[#This Row],[累计净值]]/$B$21-1</f>
        <v>8.2644628099173723E-2</v>
      </c>
    </row>
    <row r="94" spans="1:8">
      <c r="A94" s="15">
        <v>44140</v>
      </c>
      <c r="B94" s="117">
        <v>1.349</v>
      </c>
      <c r="C94" s="112">
        <f>C93*(1+表2_3671626293038912131415232425[[#This Row],[每日盈亏]])</f>
        <v>1.1368161861275583</v>
      </c>
      <c r="D94" s="108">
        <f>IFERROR(B94-B93,0)</f>
        <v>3.8999999999999924E-2</v>
      </c>
      <c r="E94" s="109" t="str">
        <f t="shared" si="12"/>
        <v>/</v>
      </c>
      <c r="F94" s="109">
        <f ca="1">IF(表2_3671626293038912131415232425[[#This Row],[累计净值]]/MAX(INDIRECT("B21:B" &amp; ROW()))-1&lt;F93,表2_3671626293038912131415232425[[#This Row],[累计净值]]/MAX(INDIRECT("B21:B" &amp; ROW()))-1,F93)</f>
        <v>-6.5859197577592732E-2</v>
      </c>
      <c r="G94" s="110">
        <f>表2_3671626293038912131415232425[[#This Row],[累计净值]]-0.21</f>
        <v>1.139</v>
      </c>
      <c r="H94" s="20">
        <f>表2_3671626293038912131415232425[[#This Row],[累计净值]]/$B$21-1</f>
        <v>0.11487603305785132</v>
      </c>
    </row>
    <row r="95" spans="1:8">
      <c r="A95" s="15">
        <v>44141</v>
      </c>
      <c r="B95" s="112">
        <v>1.3260000000000001</v>
      </c>
      <c r="C95" s="112">
        <f>C94*(1+表2_3671626293038912131415232425[[#This Row],[每日盈亏]])</f>
        <v>1.1106694138466247</v>
      </c>
      <c r="D95" s="108">
        <f>IFERROR(B95-B94,0)</f>
        <v>-2.2999999999999909E-2</v>
      </c>
      <c r="E95" s="109">
        <f t="shared" si="12"/>
        <v>-2.2999999999999909E-2</v>
      </c>
      <c r="F95" s="109">
        <f ca="1">IF(表2_3671626293038912131415232425[[#This Row],[累计净值]]/MAX(INDIRECT("B21:B" &amp; ROW()))-1&lt;F94,表2_3671626293038912131415232425[[#This Row],[累计净值]]/MAX(INDIRECT("B21:B" &amp; ROW()))-1,F94)</f>
        <v>-6.5859197577592732E-2</v>
      </c>
      <c r="G95" s="110">
        <f>表2_3671626293038912131415232425[[#This Row],[累计净值]]-0.21</f>
        <v>1.1160000000000001</v>
      </c>
      <c r="H95" s="20">
        <f>表2_3671626293038912131415232425[[#This Row],[累计净值]]/$B$21-1</f>
        <v>9.5867768595041314E-2</v>
      </c>
    </row>
    <row r="96" spans="1:8">
      <c r="A96" s="15">
        <v>44144</v>
      </c>
      <c r="B96" s="112">
        <v>1.347</v>
      </c>
      <c r="C96" s="112">
        <f>C95*(1+表2_3671626293038912131415232425[[#This Row],[每日盈亏]])</f>
        <v>1.1339934715374036</v>
      </c>
      <c r="D96" s="108">
        <f>IFERROR(B96-B95,0)</f>
        <v>2.0999999999999908E-2</v>
      </c>
      <c r="E96" s="109" t="str">
        <f t="shared" si="12"/>
        <v>/</v>
      </c>
      <c r="F96" s="109">
        <f ca="1">IF(表2_3671626293038912131415232425[[#This Row],[累计净值]]/MAX(INDIRECT("B21:B" &amp; ROW()))-1&lt;F95,表2_3671626293038912131415232425[[#This Row],[累计净值]]/MAX(INDIRECT("B21:B" &amp; ROW()))-1,F95)</f>
        <v>-6.5859197577592732E-2</v>
      </c>
      <c r="G96" s="110">
        <f>表2_3671626293038912131415232425[[#This Row],[累计净值]]-0.21</f>
        <v>1.137</v>
      </c>
      <c r="H96" s="20">
        <f>表2_3671626293038912131415232425[[#This Row],[累计净值]]/$B$21-1</f>
        <v>0.11322314049586768</v>
      </c>
    </row>
    <row r="97" spans="1:8">
      <c r="A97" s="15">
        <v>44145</v>
      </c>
      <c r="B97" s="112">
        <v>1.3140000000000001</v>
      </c>
      <c r="C97" s="112">
        <f>C96*(1+表2_3671626293038912131415232425[[#This Row],[每日盈亏]])</f>
        <v>1.0965716869766693</v>
      </c>
      <c r="D97" s="108">
        <f>IFERROR(B97-B96,0)</f>
        <v>-3.2999999999999918E-2</v>
      </c>
      <c r="E97" s="109">
        <f t="shared" si="12"/>
        <v>-3.2999999999999918E-2</v>
      </c>
      <c r="F97" s="109">
        <f ca="1">IF(表2_3671626293038912131415232425[[#This Row],[累计净值]]/MAX(INDIRECT("B21:B" &amp; ROW()))-1&lt;F96,表2_3671626293038912131415232425[[#This Row],[累计净值]]/MAX(INDIRECT("B21:B" &amp; ROW()))-1,F96)</f>
        <v>-6.5859197577592732E-2</v>
      </c>
      <c r="G97" s="110">
        <f>表2_3671626293038912131415232425[[#This Row],[累计净值]]-0.21</f>
        <v>1.1040000000000001</v>
      </c>
      <c r="H97" s="20">
        <f>表2_3671626293038912131415232425[[#This Row],[累计净值]]/$B$21-1</f>
        <v>8.5950413223140565E-2</v>
      </c>
    </row>
    <row r="98" spans="1:8">
      <c r="A98" s="15">
        <v>44146</v>
      </c>
      <c r="B98" s="112">
        <v>1.2769999999999999</v>
      </c>
      <c r="C98" s="112">
        <f>C97*(1+表2_3671626293038912131415232425[[#This Row],[每日盈亏]])</f>
        <v>1.0559985345585323</v>
      </c>
      <c r="D98" s="108">
        <f>IFERROR(B98-B97,0)</f>
        <v>-3.7000000000000144E-2</v>
      </c>
      <c r="E98" s="109">
        <f t="shared" si="12"/>
        <v>-3.7000000000000144E-2</v>
      </c>
      <c r="F98" s="109">
        <f ca="1">IF(表2_3671626293038912131415232425[[#This Row],[累计净值]]/MAX(INDIRECT("B21:B" &amp; ROW()))-1&lt;F97,表2_3671626293038912131415232425[[#This Row],[累计净值]]/MAX(INDIRECT("B21:B" &amp; ROW()))-1,F97)</f>
        <v>-6.5859197577592732E-2</v>
      </c>
      <c r="G98" s="110">
        <f>表2_3671626293038912131415232425[[#This Row],[累计净值]]-0.21</f>
        <v>1.0669999999999999</v>
      </c>
      <c r="H98" s="20">
        <f>表2_3671626293038912131415232425[[#This Row],[累计净值]]/$B$21-1</f>
        <v>5.5371900826446163E-2</v>
      </c>
    </row>
    <row r="99" spans="1:8">
      <c r="A99" s="15">
        <v>44147</v>
      </c>
      <c r="B99" s="113">
        <v>1.302</v>
      </c>
      <c r="C99" s="112">
        <f>C98*(1+表2_3671626293038912131415232425[[#This Row],[每日盈亏]])</f>
        <v>1.0823984979224959</v>
      </c>
      <c r="D99" s="108">
        <f>IFERROR(B99-B98,0)</f>
        <v>2.5000000000000133E-2</v>
      </c>
      <c r="E99" s="109" t="str">
        <f t="shared" ref="E99:E104" si="13">IF(D99&lt;0,D99,"/")</f>
        <v>/</v>
      </c>
      <c r="F99" s="109">
        <f ca="1">IF(表2_3671626293038912131415232425[[#This Row],[累计净值]]/MAX(INDIRECT("B21:B" &amp; ROW()))-1&lt;F98,表2_3671626293038912131415232425[[#This Row],[累计净值]]/MAX(INDIRECT("B21:B" &amp; ROW()))-1,F98)</f>
        <v>-6.5859197577592732E-2</v>
      </c>
      <c r="G99" s="110">
        <f>表2_3671626293038912131415232425[[#This Row],[累计净值]]-0.21</f>
        <v>1.0920000000000001</v>
      </c>
      <c r="H99" s="20">
        <f>表2_3671626293038912131415232425[[#This Row],[累计净值]]/$B$21-1</f>
        <v>7.6033057851239816E-2</v>
      </c>
    </row>
    <row r="100" spans="1:8">
      <c r="A100" s="15">
        <v>44148</v>
      </c>
      <c r="B100" s="112">
        <v>1.3169999999999999</v>
      </c>
      <c r="C100" s="112">
        <f>C99*(1+表2_3671626293038912131415232425[[#This Row],[每日盈亏]])</f>
        <v>1.0986344753913333</v>
      </c>
      <c r="D100" s="108">
        <f>IFERROR(B100-B99,0)</f>
        <v>1.4999999999999902E-2</v>
      </c>
      <c r="E100" s="109" t="str">
        <f t="shared" si="13"/>
        <v>/</v>
      </c>
      <c r="F100" s="109">
        <f ca="1">IF(表2_3671626293038912131415232425[[#This Row],[累计净值]]/MAX(INDIRECT("B21:B" &amp; ROW()))-1&lt;F99,表2_3671626293038912131415232425[[#This Row],[累计净值]]/MAX(INDIRECT("B21:B" &amp; ROW()))-1,F99)</f>
        <v>-6.5859197577592732E-2</v>
      </c>
      <c r="G100" s="110">
        <f>表2_3671626293038912131415232425[[#This Row],[累计净值]]-0.21</f>
        <v>1.107</v>
      </c>
      <c r="H100" s="20">
        <f>表2_3671626293038912131415232425[[#This Row],[累计净值]]/$B$21-1</f>
        <v>8.8429752066115697E-2</v>
      </c>
    </row>
    <row r="101" spans="1:8">
      <c r="A101" s="15">
        <v>44151</v>
      </c>
      <c r="B101" s="112">
        <v>1.331</v>
      </c>
      <c r="C101" s="112">
        <f>C100*(1+表2_3671626293038912131415232425[[#This Row],[每日盈亏]])</f>
        <v>1.114015358046812</v>
      </c>
      <c r="D101" s="108">
        <f>IFERROR(B101-B100,0)</f>
        <v>1.4000000000000012E-2</v>
      </c>
      <c r="E101" s="109" t="str">
        <f t="shared" si="13"/>
        <v>/</v>
      </c>
      <c r="F101" s="109">
        <f ca="1">IF(表2_3671626293038912131415232425[[#This Row],[累计净值]]/MAX(INDIRECT("B21:B" &amp; ROW()))-1&lt;F100,表2_3671626293038912131415232425[[#This Row],[累计净值]]/MAX(INDIRECT("B21:B" &amp; ROW()))-1,F100)</f>
        <v>-6.5859197577592732E-2</v>
      </c>
      <c r="G101" s="110">
        <f>表2_3671626293038912131415232425[[#This Row],[累计净值]]-0.21</f>
        <v>1.121</v>
      </c>
      <c r="H101" s="20">
        <f>表2_3671626293038912131415232425[[#This Row],[累计净值]]/$B$21-1</f>
        <v>0.10000000000000009</v>
      </c>
    </row>
    <row r="102" spans="1:8">
      <c r="A102" s="15">
        <v>44152</v>
      </c>
      <c r="B102" s="112">
        <v>1.3120000000000001</v>
      </c>
      <c r="C102" s="112">
        <f>C101*(1+表2_3671626293038912131415232425[[#This Row],[每日盈亏]])</f>
        <v>1.0928490662439225</v>
      </c>
      <c r="D102" s="108">
        <f>IFERROR(B102-B101,0)</f>
        <v>-1.8999999999999906E-2</v>
      </c>
      <c r="E102" s="109">
        <f t="shared" si="13"/>
        <v>-1.8999999999999906E-2</v>
      </c>
      <c r="F102" s="109">
        <f ca="1">IF(表2_3671626293038912131415232425[[#This Row],[累计净值]]/MAX(INDIRECT("B21:B" &amp; ROW()))-1&lt;F101,表2_3671626293038912131415232425[[#This Row],[累计净值]]/MAX(INDIRECT("B21:B" &amp; ROW()))-1,F101)</f>
        <v>-6.5859197577592732E-2</v>
      </c>
      <c r="G102" s="110">
        <f>表2_3671626293038912131415232425[[#This Row],[累计净值]]-0.21</f>
        <v>1.1020000000000001</v>
      </c>
      <c r="H102" s="20">
        <f>表2_3671626293038912131415232425[[#This Row],[累计净值]]/$B$21-1</f>
        <v>8.4297520661157144E-2</v>
      </c>
    </row>
    <row r="103" spans="1:8">
      <c r="A103" s="15">
        <v>44153</v>
      </c>
      <c r="B103" s="112">
        <v>1.3120000000000001</v>
      </c>
      <c r="C103" s="112">
        <f>C102*(1+表2_3671626293038912131415232425[[#This Row],[每日盈亏]])</f>
        <v>1.0928490662439225</v>
      </c>
      <c r="D103" s="108">
        <f>IFERROR(B103-B102,0)</f>
        <v>0</v>
      </c>
      <c r="E103" s="109" t="str">
        <f t="shared" si="13"/>
        <v>/</v>
      </c>
      <c r="F103" s="109">
        <f ca="1">IF(表2_3671626293038912131415232425[[#This Row],[累计净值]]/MAX(INDIRECT("B21:B" &amp; ROW()))-1&lt;F102,表2_3671626293038912131415232425[[#This Row],[累计净值]]/MAX(INDIRECT("B21:B" &amp; ROW()))-1,F102)</f>
        <v>-6.5859197577592732E-2</v>
      </c>
      <c r="G103" s="110">
        <f>表2_3671626293038912131415232425[[#This Row],[累计净值]]-0.21</f>
        <v>1.1020000000000001</v>
      </c>
      <c r="H103" s="20">
        <f>表2_3671626293038912131415232425[[#This Row],[累计净值]]/$B$21-1</f>
        <v>8.4297520661157144E-2</v>
      </c>
    </row>
    <row r="104" spans="1:8">
      <c r="A104" s="15">
        <v>44154</v>
      </c>
      <c r="B104" s="112">
        <v>1.3080000000000001</v>
      </c>
      <c r="C104" s="112">
        <f>C103*(1+表2_3671626293038912131415232425[[#This Row],[每日盈亏]])</f>
        <v>1.0884776699789469</v>
      </c>
      <c r="D104" s="108">
        <f>IFERROR(B104-B103,0)</f>
        <v>-4.0000000000000036E-3</v>
      </c>
      <c r="E104" s="109">
        <f t="shared" si="13"/>
        <v>-4.0000000000000036E-3</v>
      </c>
      <c r="F104" s="109">
        <f ca="1">IF(表2_3671626293038912131415232425[[#This Row],[累计净值]]/MAX(INDIRECT("B21:B" &amp; ROW()))-1&lt;F103,表2_3671626293038912131415232425[[#This Row],[累计净值]]/MAX(INDIRECT("B21:B" &amp; ROW()))-1,F103)</f>
        <v>-6.5859197577592732E-2</v>
      </c>
      <c r="G104" s="110">
        <f>表2_3671626293038912131415232425[[#This Row],[累计净值]]-0.21</f>
        <v>1.0980000000000001</v>
      </c>
      <c r="H104" s="20">
        <f>表2_3671626293038912131415232425[[#This Row],[累计净值]]/$B$21-1</f>
        <v>8.0991735537190079E-2</v>
      </c>
    </row>
    <row r="105" spans="1:8">
      <c r="A105" s="15">
        <v>44155</v>
      </c>
      <c r="B105" s="112">
        <v>1.325</v>
      </c>
      <c r="C105" s="112">
        <f>C104*(1+表2_3671626293038912131415232425[[#This Row],[每日盈亏]])</f>
        <v>1.1069817903685888</v>
      </c>
      <c r="D105" s="108">
        <f>IFERROR(B105-B104,0)</f>
        <v>1.6999999999999904E-2</v>
      </c>
      <c r="E105" s="109" t="str">
        <f t="shared" ref="E105:E110" si="14">IF(D105&lt;0,D105,"/")</f>
        <v>/</v>
      </c>
      <c r="F105" s="109">
        <f ca="1">IF(表2_3671626293038912131415232425[[#This Row],[累计净值]]/MAX(INDIRECT("B21:B" &amp; ROW()))-1&lt;F104,表2_3671626293038912131415232425[[#This Row],[累计净值]]/MAX(INDIRECT("B21:B" &amp; ROW()))-1,F104)</f>
        <v>-6.5859197577592732E-2</v>
      </c>
      <c r="G105" s="110">
        <f>表2_3671626293038912131415232425[[#This Row],[累计净值]]-0.21</f>
        <v>1.115</v>
      </c>
      <c r="H105" s="20">
        <f>表2_3671626293038912131415232425[[#This Row],[累计净值]]/$B$21-1</f>
        <v>9.5041322314049603E-2</v>
      </c>
    </row>
    <row r="106" spans="1:8">
      <c r="A106" s="15">
        <v>44158</v>
      </c>
      <c r="B106" s="112">
        <v>1.3280000000000001</v>
      </c>
      <c r="C106" s="112">
        <f>C105*(1+表2_3671626293038912131415232425[[#This Row],[每日盈亏]])</f>
        <v>1.1103027357396946</v>
      </c>
      <c r="D106" s="108">
        <f>IFERROR(B106-B105,0)</f>
        <v>3.0000000000001137E-3</v>
      </c>
      <c r="E106" s="109" t="str">
        <f t="shared" si="14"/>
        <v>/</v>
      </c>
      <c r="F106" s="109">
        <f ca="1">IF(表2_3671626293038912131415232425[[#This Row],[累计净值]]/MAX(INDIRECT("B21:B" &amp; ROW()))-1&lt;F105,表2_3671626293038912131415232425[[#This Row],[累计净值]]/MAX(INDIRECT("B21:B" &amp; ROW()))-1,F105)</f>
        <v>-6.5859197577592732E-2</v>
      </c>
      <c r="G106" s="110">
        <f>表2_3671626293038912131415232425[[#This Row],[累计净值]]-0.21</f>
        <v>1.1180000000000001</v>
      </c>
      <c r="H106" s="20">
        <f>表2_3671626293038912131415232425[[#This Row],[累计净值]]/$B$21-1</f>
        <v>9.7520661157024957E-2</v>
      </c>
    </row>
    <row r="107" spans="1:8">
      <c r="A107" s="15">
        <v>44159</v>
      </c>
      <c r="B107" s="112">
        <v>1.3160000000000001</v>
      </c>
      <c r="C107" s="112">
        <f>C106*(1+表2_3671626293038912131415232425[[#This Row],[每日盈亏]])</f>
        <v>1.0969791029108182</v>
      </c>
      <c r="D107" s="108">
        <f>IFERROR(B107-B106,0)</f>
        <v>-1.2000000000000011E-2</v>
      </c>
      <c r="E107" s="109">
        <f t="shared" si="14"/>
        <v>-1.2000000000000011E-2</v>
      </c>
      <c r="F107" s="109">
        <f ca="1">IF(表2_3671626293038912131415232425[[#This Row],[累计净值]]/MAX(INDIRECT("B21:B" &amp; ROW()))-1&lt;F106,表2_3671626293038912131415232425[[#This Row],[累计净值]]/MAX(INDIRECT("B21:B" &amp; ROW()))-1,F106)</f>
        <v>-6.5859197577592732E-2</v>
      </c>
      <c r="G107" s="110">
        <f>表2_3671626293038912131415232425[[#This Row],[累计净值]]-0.21</f>
        <v>1.1060000000000001</v>
      </c>
      <c r="H107" s="20">
        <f>表2_3671626293038912131415232425[[#This Row],[累计净值]]/$B$21-1</f>
        <v>8.7603305785123986E-2</v>
      </c>
    </row>
    <row r="108" spans="1:8">
      <c r="A108" s="15">
        <v>44160</v>
      </c>
      <c r="B108" s="112">
        <v>1.3</v>
      </c>
      <c r="C108" s="112">
        <f>C107*(1+表2_3671626293038912131415232425[[#This Row],[每日盈亏]])</f>
        <v>1.0794274372642452</v>
      </c>
      <c r="D108" s="108">
        <f>IFERROR(B108-B107,0)</f>
        <v>-1.6000000000000014E-2</v>
      </c>
      <c r="E108" s="109">
        <f t="shared" si="14"/>
        <v>-1.6000000000000014E-2</v>
      </c>
      <c r="F108" s="109">
        <f ca="1">IF(表2_3671626293038912131415232425[[#This Row],[累计净值]]/MAX(INDIRECT("B21:B" &amp; ROW()))-1&lt;F107,表2_3671626293038912131415232425[[#This Row],[累计净值]]/MAX(INDIRECT("B21:B" &amp; ROW()))-1,F107)</f>
        <v>-6.5859197577592732E-2</v>
      </c>
      <c r="G108" s="110">
        <f>表2_3671626293038912131415232425[[#This Row],[累计净值]]-0.21</f>
        <v>1.0900000000000001</v>
      </c>
      <c r="H108" s="20">
        <f>表2_3671626293038912131415232425[[#This Row],[累计净值]]/$B$21-1</f>
        <v>7.4380165289256173E-2</v>
      </c>
    </row>
    <row r="109" spans="1:8">
      <c r="A109" s="15">
        <v>44161</v>
      </c>
      <c r="B109" s="112">
        <v>1.323</v>
      </c>
      <c r="C109" s="112">
        <f>C108*(1+表2_3671626293038912131415232425[[#This Row],[每日盈亏]])</f>
        <v>1.1042542683213228</v>
      </c>
      <c r="D109" s="108">
        <f>IFERROR(B109-B108,0)</f>
        <v>2.2999999999999909E-2</v>
      </c>
      <c r="E109" s="109" t="str">
        <f t="shared" si="14"/>
        <v>/</v>
      </c>
      <c r="F109" s="109">
        <f ca="1">IF(表2_3671626293038912131415232425[[#This Row],[累计净值]]/MAX(INDIRECT("B21:B" &amp; ROW()))-1&lt;F108,表2_3671626293038912131415232425[[#This Row],[累计净值]]/MAX(INDIRECT("B21:B" &amp; ROW()))-1,F108)</f>
        <v>-6.5859197577592732E-2</v>
      </c>
      <c r="G109" s="110">
        <f>表2_3671626293038912131415232425[[#This Row],[累计净值]]-0.21</f>
        <v>1.113</v>
      </c>
      <c r="H109" s="20">
        <f>表2_3671626293038912131415232425[[#This Row],[累计净值]]/$B$21-1</f>
        <v>9.3388429752066182E-2</v>
      </c>
    </row>
    <row r="110" spans="1:8">
      <c r="A110" s="15">
        <v>44162</v>
      </c>
      <c r="B110" s="112">
        <v>1.327</v>
      </c>
      <c r="C110" s="112">
        <f>C109*(1+表2_3671626293038912131415232425[[#This Row],[每日盈亏]])</f>
        <v>1.1086712853946081</v>
      </c>
      <c r="D110" s="108">
        <f>IFERROR(B110-B109,0)</f>
        <v>4.0000000000000036E-3</v>
      </c>
      <c r="E110" s="109" t="str">
        <f t="shared" si="14"/>
        <v>/</v>
      </c>
      <c r="F110" s="109">
        <f ca="1">IF(表2_3671626293038912131415232425[[#This Row],[累计净值]]/MAX(INDIRECT("B21:B" &amp; ROW()))-1&lt;F109,表2_3671626293038912131415232425[[#This Row],[累计净值]]/MAX(INDIRECT("B21:B" &amp; ROW()))-1,F109)</f>
        <v>-6.5859197577592732E-2</v>
      </c>
      <c r="G110" s="110">
        <f>表2_3671626293038912131415232425[[#This Row],[累计净值]]-0.21</f>
        <v>1.117</v>
      </c>
      <c r="H110" s="20">
        <f>表2_3671626293038912131415232425[[#This Row],[累计净值]]/$B$21-1</f>
        <v>9.6694214876033024E-2</v>
      </c>
    </row>
    <row r="111" spans="1:8">
      <c r="A111" s="15">
        <v>44165</v>
      </c>
      <c r="B111" s="112">
        <v>1.3080000000000001</v>
      </c>
      <c r="C111" s="112">
        <f>C110*(1+表2_3671626293038912131415232425[[#This Row],[每日盈亏]])</f>
        <v>1.0876065309721106</v>
      </c>
      <c r="D111" s="108">
        <f>IFERROR(B111-B110,0)</f>
        <v>-1.8999999999999906E-2</v>
      </c>
      <c r="E111" s="109">
        <f t="shared" ref="E111:E116" si="15">IF(D111&lt;0,D111,"/")</f>
        <v>-1.8999999999999906E-2</v>
      </c>
      <c r="F111" s="109">
        <f ca="1">IF(表2_3671626293038912131415232425[[#This Row],[累计净值]]/MAX(INDIRECT("B21:B" &amp; ROW()))-1&lt;F110,表2_3671626293038912131415232425[[#This Row],[累计净值]]/MAX(INDIRECT("B21:B" &amp; ROW()))-1,F110)</f>
        <v>-6.5859197577592732E-2</v>
      </c>
      <c r="G111" s="110">
        <f>表2_3671626293038912131415232425[[#This Row],[累计净值]]-0.21</f>
        <v>1.0980000000000001</v>
      </c>
      <c r="H111" s="20">
        <f>表2_3671626293038912131415232425[[#This Row],[累计净值]]/$B$21-1</f>
        <v>8.0991735537190079E-2</v>
      </c>
    </row>
    <row r="112" spans="1:8">
      <c r="A112" s="15">
        <v>44166</v>
      </c>
      <c r="B112" s="112">
        <v>1.323</v>
      </c>
      <c r="C112" s="112">
        <f>C111*(1+表2_3671626293038912131415232425[[#This Row],[每日盈亏]])</f>
        <v>1.1039206289366921</v>
      </c>
      <c r="D112" s="108">
        <f>IFERROR(B112-B111,0)</f>
        <v>1.4999999999999902E-2</v>
      </c>
      <c r="E112" s="109" t="str">
        <f t="shared" si="15"/>
        <v>/</v>
      </c>
      <c r="F112" s="109">
        <f ca="1">IF(表2_3671626293038912131415232425[[#This Row],[累计净值]]/MAX(INDIRECT("B21:B" &amp; ROW()))-1&lt;F111,表2_3671626293038912131415232425[[#This Row],[累计净值]]/MAX(INDIRECT("B21:B" &amp; ROW()))-1,F111)</f>
        <v>-6.5859197577592732E-2</v>
      </c>
      <c r="G112" s="110">
        <f>表2_3671626293038912131415232425[[#This Row],[累计净值]]-0.21</f>
        <v>1.113</v>
      </c>
      <c r="H112" s="20">
        <f>表2_3671626293038912131415232425[[#This Row],[累计净值]]/$B$21-1</f>
        <v>9.3388429752066182E-2</v>
      </c>
    </row>
    <row r="113" spans="1:8">
      <c r="A113" s="15">
        <v>44167</v>
      </c>
      <c r="B113" s="112">
        <v>1.3169999999999999</v>
      </c>
      <c r="C113" s="112">
        <f>C112*(1+表2_3671626293038912131415232425[[#This Row],[每日盈亏]])</f>
        <v>1.097297105163072</v>
      </c>
      <c r="D113" s="108">
        <f>IFERROR(B113-B112,0)</f>
        <v>-6.0000000000000053E-3</v>
      </c>
      <c r="E113" s="109">
        <f t="shared" si="15"/>
        <v>-6.0000000000000053E-3</v>
      </c>
      <c r="F113" s="109">
        <f ca="1">IF(表2_3671626293038912131415232425[[#This Row],[累计净值]]/MAX(INDIRECT("B21:B" &amp; ROW()))-1&lt;F112,表2_3671626293038912131415232425[[#This Row],[累计净值]]/MAX(INDIRECT("B21:B" &amp; ROW()))-1,F112)</f>
        <v>-6.5859197577592732E-2</v>
      </c>
      <c r="G113" s="110">
        <f>表2_3671626293038912131415232425[[#This Row],[累计净值]]-0.21</f>
        <v>1.107</v>
      </c>
      <c r="H113" s="20">
        <f>表2_3671626293038912131415232425[[#This Row],[累计净值]]/$B$21-1</f>
        <v>8.8429752066115697E-2</v>
      </c>
    </row>
    <row r="114" spans="1:8">
      <c r="A114" s="15">
        <v>44168</v>
      </c>
      <c r="B114" s="112">
        <v>1.3260000000000001</v>
      </c>
      <c r="C114" s="112">
        <f>C113*(1+表2_3671626293038912131415232425[[#This Row],[每日盈亏]])</f>
        <v>1.1071727791095398</v>
      </c>
      <c r="D114" s="108">
        <f>IFERROR(B114-B113,0)</f>
        <v>9.000000000000119E-3</v>
      </c>
      <c r="E114" s="109" t="str">
        <f t="shared" si="15"/>
        <v>/</v>
      </c>
      <c r="F114" s="109">
        <f ca="1">IF(表2_3671626293038912131415232425[[#This Row],[累计净值]]/MAX(INDIRECT("B21:B" &amp; ROW()))-1&lt;F113,表2_3671626293038912131415232425[[#This Row],[累计净值]]/MAX(INDIRECT("B21:B" &amp; ROW()))-1,F113)</f>
        <v>-6.5859197577592732E-2</v>
      </c>
      <c r="G114" s="110">
        <f>表2_3671626293038912131415232425[[#This Row],[累计净值]]-0.21</f>
        <v>1.1160000000000001</v>
      </c>
      <c r="H114" s="20">
        <f>表2_3671626293038912131415232425[[#This Row],[累计净值]]/$B$21-1</f>
        <v>9.5867768595041314E-2</v>
      </c>
    </row>
    <row r="115" spans="1:8">
      <c r="A115" s="15">
        <v>44169</v>
      </c>
      <c r="B115" s="112">
        <v>1.3440000000000001</v>
      </c>
      <c r="C115" s="112">
        <f>C114*(1+表2_3671626293038912131415232425[[#This Row],[每日盈亏]])</f>
        <v>1.1271018891335116</v>
      </c>
      <c r="D115" s="108">
        <f>IFERROR(B115-B114,0)</f>
        <v>1.8000000000000016E-2</v>
      </c>
      <c r="E115" s="109" t="str">
        <f t="shared" si="15"/>
        <v>/</v>
      </c>
      <c r="F115" s="109">
        <f ca="1">IF(表2_3671626293038912131415232425[[#This Row],[累计净值]]/MAX(INDIRECT("B21:B" &amp; ROW()))-1&lt;F114,表2_3671626293038912131415232425[[#This Row],[累计净值]]/MAX(INDIRECT("B21:B" &amp; ROW()))-1,F114)</f>
        <v>-6.5859197577592732E-2</v>
      </c>
      <c r="G115" s="110">
        <f>表2_3671626293038912131415232425[[#This Row],[累计净值]]-0.21</f>
        <v>1.1340000000000001</v>
      </c>
      <c r="H115" s="20">
        <f>表2_3671626293038912131415232425[[#This Row],[累计净值]]/$B$21-1</f>
        <v>0.11074380165289277</v>
      </c>
    </row>
    <row r="116" spans="1:8">
      <c r="A116" s="15">
        <v>44172</v>
      </c>
      <c r="B116" s="112">
        <v>1.33</v>
      </c>
      <c r="C116" s="112">
        <f>C115*(1+表2_3671626293038912131415232425[[#This Row],[每日盈亏]])</f>
        <v>1.1113224626856424</v>
      </c>
      <c r="D116" s="108">
        <f>IFERROR(B116-B115,0)</f>
        <v>-1.4000000000000012E-2</v>
      </c>
      <c r="E116" s="109">
        <f t="shared" si="15"/>
        <v>-1.4000000000000012E-2</v>
      </c>
      <c r="F116" s="109">
        <f ca="1">IF(表2_3671626293038912131415232425[[#This Row],[累计净值]]/MAX(INDIRECT("B21:B" &amp; ROW()))-1&lt;F115,表2_3671626293038912131415232425[[#This Row],[累计净值]]/MAX(INDIRECT("B21:B" &amp; ROW()))-1,F115)</f>
        <v>-6.5859197577592732E-2</v>
      </c>
      <c r="G116" s="110">
        <f>表2_3671626293038912131415232425[[#This Row],[累计净值]]-0.21</f>
        <v>1.1200000000000001</v>
      </c>
      <c r="H116" s="20">
        <f>表2_3671626293038912131415232425[[#This Row],[累计净值]]/$B$21-1</f>
        <v>9.9173553719008378E-2</v>
      </c>
    </row>
    <row r="117" spans="1:8">
      <c r="A117" s="15">
        <v>44173</v>
      </c>
      <c r="B117" s="112">
        <v>1.3280000000000001</v>
      </c>
      <c r="C117" s="112">
        <f>C116*(1+表2_3671626293038912131415232425[[#This Row],[每日盈亏]])</f>
        <v>1.1090998177602711</v>
      </c>
      <c r="D117" s="108">
        <f>IFERROR(B117-B116,0)</f>
        <v>-2.0000000000000018E-3</v>
      </c>
      <c r="E117" s="109">
        <f t="shared" ref="E117:E122" si="16">IF(D117&lt;0,D117,"/")</f>
        <v>-2.0000000000000018E-3</v>
      </c>
      <c r="F117" s="109">
        <f ca="1">IF(表2_3671626293038912131415232425[[#This Row],[累计净值]]/MAX(INDIRECT("B21:B" &amp; ROW()))-1&lt;F116,表2_3671626293038912131415232425[[#This Row],[累计净值]]/MAX(INDIRECT("B21:B" &amp; ROW()))-1,F116)</f>
        <v>-6.5859197577592732E-2</v>
      </c>
      <c r="G117" s="110">
        <f>表2_3671626293038912131415232425[[#This Row],[累计净值]]-0.21</f>
        <v>1.1180000000000001</v>
      </c>
      <c r="H117" s="20">
        <f>表2_3671626293038912131415232425[[#This Row],[累计净值]]/$B$21-1</f>
        <v>9.7520661157024957E-2</v>
      </c>
    </row>
    <row r="118" spans="1:8">
      <c r="A118" s="15">
        <v>44174</v>
      </c>
      <c r="B118" s="112">
        <v>1.32</v>
      </c>
      <c r="C118" s="112">
        <f>C117*(1+表2_3671626293038912131415232425[[#This Row],[每日盈亏]])</f>
        <v>1.1002270192181889</v>
      </c>
      <c r="D118" s="108">
        <f>IFERROR(B118-B117,0)</f>
        <v>-8.0000000000000071E-3</v>
      </c>
      <c r="E118" s="109">
        <f t="shared" si="16"/>
        <v>-8.0000000000000071E-3</v>
      </c>
      <c r="F118" s="109">
        <f ca="1">IF(表2_3671626293038912131415232425[[#This Row],[累计净值]]/MAX(INDIRECT("B21:B" &amp; ROW()))-1&lt;F117,表2_3671626293038912131415232425[[#This Row],[累计净值]]/MAX(INDIRECT("B21:B" &amp; ROW()))-1,F117)</f>
        <v>-6.5859197577592732E-2</v>
      </c>
      <c r="G118" s="110">
        <f>表2_3671626293038912131415232425[[#This Row],[累计净值]]-0.21</f>
        <v>1.1100000000000001</v>
      </c>
      <c r="H118" s="20">
        <f>表2_3671626293038912131415232425[[#This Row],[累计净值]]/$B$21-1</f>
        <v>9.090909090909105E-2</v>
      </c>
    </row>
    <row r="119" spans="1:8">
      <c r="A119" s="15">
        <v>44175</v>
      </c>
      <c r="B119" s="112">
        <v>1.3160000000000001</v>
      </c>
      <c r="C119" s="112">
        <f>C118*(1+表2_3671626293038912131415232425[[#This Row],[每日盈亏]])</f>
        <v>1.0958261111413161</v>
      </c>
      <c r="D119" s="108">
        <f>IFERROR(B119-B118,0)</f>
        <v>-4.0000000000000036E-3</v>
      </c>
      <c r="E119" s="109">
        <f t="shared" si="16"/>
        <v>-4.0000000000000036E-3</v>
      </c>
      <c r="F119" s="109">
        <f ca="1">IF(表2_3671626293038912131415232425[[#This Row],[累计净值]]/MAX(INDIRECT("B21:B" &amp; ROW()))-1&lt;F118,表2_3671626293038912131415232425[[#This Row],[累计净值]]/MAX(INDIRECT("B21:B" &amp; ROW()))-1,F118)</f>
        <v>-6.5859197577592732E-2</v>
      </c>
      <c r="G119" s="110">
        <f>表2_3671626293038912131415232425[[#This Row],[累计净值]]-0.21</f>
        <v>1.1060000000000001</v>
      </c>
      <c r="H119" s="20">
        <f>表2_3671626293038912131415232425[[#This Row],[累计净值]]/$B$21-1</f>
        <v>8.7603305785123986E-2</v>
      </c>
    </row>
    <row r="120" spans="1:8">
      <c r="A120" s="15">
        <v>44176</v>
      </c>
      <c r="B120" s="112">
        <v>1.321</v>
      </c>
      <c r="C120" s="112">
        <f>C119*(1+表2_3671626293038912131415232425[[#This Row],[每日盈亏]])</f>
        <v>1.1013052416970226</v>
      </c>
      <c r="D120" s="108">
        <f>IFERROR(B120-B119,0)</f>
        <v>4.9999999999998934E-3</v>
      </c>
      <c r="E120" s="109" t="str">
        <f t="shared" si="16"/>
        <v>/</v>
      </c>
      <c r="F120" s="109">
        <f ca="1">IF(表2_3671626293038912131415232425[[#This Row],[累计净值]]/MAX(INDIRECT("B21:B" &amp; ROW()))-1&lt;F119,表2_3671626293038912131415232425[[#This Row],[累计净值]]/MAX(INDIRECT("B21:B" &amp; ROW()))-1,F119)</f>
        <v>-6.5859197577592732E-2</v>
      </c>
      <c r="G120" s="110">
        <f>表2_3671626293038912131415232425[[#This Row],[累计净值]]-0.21</f>
        <v>1.111</v>
      </c>
      <c r="H120" s="20">
        <f>表2_3671626293038912131415232425[[#This Row],[累计净值]]/$B$21-1</f>
        <v>9.1735537190082539E-2</v>
      </c>
    </row>
    <row r="121" spans="1:8">
      <c r="A121" s="15">
        <v>44179</v>
      </c>
      <c r="B121" s="112">
        <v>1.3129999999999999</v>
      </c>
      <c r="C121" s="112">
        <f>C120*(1+表2_3671626293038912131415232425[[#This Row],[每日盈亏]])</f>
        <v>1.0924947997634464</v>
      </c>
      <c r="D121" s="108">
        <f>IFERROR(B121-B120,0)</f>
        <v>-8.0000000000000071E-3</v>
      </c>
      <c r="E121" s="109">
        <f t="shared" si="16"/>
        <v>-8.0000000000000071E-3</v>
      </c>
      <c r="F121" s="109">
        <f ca="1">IF(表2_3671626293038912131415232425[[#This Row],[累计净值]]/MAX(INDIRECT("B21:B" &amp; ROW()))-1&lt;F120,表2_3671626293038912131415232425[[#This Row],[累计净值]]/MAX(INDIRECT("B21:B" &amp; ROW()))-1,F120)</f>
        <v>-6.5859197577592732E-2</v>
      </c>
      <c r="G121" s="110">
        <f>表2_3671626293038912131415232425[[#This Row],[累计净值]]-0.21</f>
        <v>1.103</v>
      </c>
      <c r="H121" s="20">
        <f>表2_3671626293038912131415232425[[#This Row],[累计净值]]/$B$21-1</f>
        <v>8.5123966942148854E-2</v>
      </c>
    </row>
    <row r="122" spans="1:8">
      <c r="A122" s="15">
        <v>44180</v>
      </c>
      <c r="B122" s="112">
        <v>1.302</v>
      </c>
      <c r="C122" s="112">
        <f>C121*(1+表2_3671626293038912131415232425[[#This Row],[每日盈亏]])</f>
        <v>1.0804773569660486</v>
      </c>
      <c r="D122" s="108">
        <f>IFERROR(B122-B121,0)</f>
        <v>-1.0999999999999899E-2</v>
      </c>
      <c r="E122" s="109">
        <f t="shared" si="16"/>
        <v>-1.0999999999999899E-2</v>
      </c>
      <c r="F122" s="109">
        <f ca="1">IF(表2_3671626293038912131415232425[[#This Row],[累计净值]]/MAX(INDIRECT("B21:B" &amp; ROW()))-1&lt;F121,表2_3671626293038912131415232425[[#This Row],[累计净值]]/MAX(INDIRECT("B21:B" &amp; ROW()))-1,F121)</f>
        <v>-6.5859197577592732E-2</v>
      </c>
      <c r="G122" s="110">
        <f>表2_3671626293038912131415232425[[#This Row],[累计净值]]-0.21</f>
        <v>1.0920000000000001</v>
      </c>
      <c r="H122" s="20">
        <f>表2_3671626293038912131415232425[[#This Row],[累计净值]]/$B$21-1</f>
        <v>7.6033057851239816E-2</v>
      </c>
    </row>
    <row r="123" spans="1:8">
      <c r="A123" s="15">
        <v>44181</v>
      </c>
      <c r="B123" s="112">
        <v>1.3109999999999999</v>
      </c>
      <c r="C123" s="112">
        <f>C122*(1+表2_3671626293038912131415232425[[#This Row],[每日盈亏]])</f>
        <v>1.0902016531787428</v>
      </c>
      <c r="D123" s="108">
        <f>IFERROR(B123-B122,0)</f>
        <v>8.999999999999897E-3</v>
      </c>
      <c r="E123" s="109" t="str">
        <f t="shared" ref="E123:E128" si="17">IF(D123&lt;0,D123,"/")</f>
        <v>/</v>
      </c>
      <c r="F123" s="109">
        <f ca="1">IF(表2_3671626293038912131415232425[[#This Row],[累计净值]]/MAX(INDIRECT("B21:B" &amp; ROW()))-1&lt;F122,表2_3671626293038912131415232425[[#This Row],[累计净值]]/MAX(INDIRECT("B21:B" &amp; ROW()))-1,F122)</f>
        <v>-6.5859197577592732E-2</v>
      </c>
      <c r="G123" s="110">
        <f>表2_3671626293038912131415232425[[#This Row],[累计净值]]-0.21</f>
        <v>1.101</v>
      </c>
      <c r="H123" s="20">
        <f>表2_3671626293038912131415232425[[#This Row],[累计净值]]/$B$21-1</f>
        <v>8.3471074380165211E-2</v>
      </c>
    </row>
    <row r="124" spans="1:8">
      <c r="A124" s="15">
        <v>44182</v>
      </c>
      <c r="B124" s="112">
        <v>1.327</v>
      </c>
      <c r="C124" s="112">
        <f>C123*(1+表2_3671626293038912131415232425[[#This Row],[每日盈亏]])</f>
        <v>1.1076448796296028</v>
      </c>
      <c r="D124" s="108">
        <f>IFERROR(B124-B123,0)</f>
        <v>1.6000000000000014E-2</v>
      </c>
      <c r="E124" s="109" t="str">
        <f t="shared" si="17"/>
        <v>/</v>
      </c>
      <c r="F124" s="109">
        <f ca="1">IF(表2_3671626293038912131415232425[[#This Row],[累计净值]]/MAX(INDIRECT("B21:B" &amp; ROW()))-1&lt;F123,表2_3671626293038912131415232425[[#This Row],[累计净值]]/MAX(INDIRECT("B21:B" &amp; ROW()))-1,F123)</f>
        <v>-6.5859197577592732E-2</v>
      </c>
      <c r="G124" s="110">
        <f>表2_3671626293038912131415232425[[#This Row],[累计净值]]-0.21</f>
        <v>1.117</v>
      </c>
      <c r="H124" s="20">
        <f>表2_3671626293038912131415232425[[#This Row],[累计净值]]/$B$21-1</f>
        <v>9.6694214876033024E-2</v>
      </c>
    </row>
    <row r="125" spans="1:8">
      <c r="A125" s="15">
        <v>44183</v>
      </c>
      <c r="B125" s="112">
        <v>1.3129999999999999</v>
      </c>
      <c r="C125" s="112">
        <f>C124*(1+表2_3671626293038912131415232425[[#This Row],[每日盈亏]])</f>
        <v>1.0921378513147884</v>
      </c>
      <c r="D125" s="108">
        <f>IFERROR(B125-B124,0)</f>
        <v>-1.4000000000000012E-2</v>
      </c>
      <c r="E125" s="109">
        <f t="shared" si="17"/>
        <v>-1.4000000000000012E-2</v>
      </c>
      <c r="F125" s="109">
        <f ca="1">IF(表2_3671626293038912131415232425[[#This Row],[累计净值]]/MAX(INDIRECT("B21:B" &amp; ROW()))-1&lt;F124,表2_3671626293038912131415232425[[#This Row],[累计净值]]/MAX(INDIRECT("B21:B" &amp; ROW()))-1,F124)</f>
        <v>-6.5859197577592732E-2</v>
      </c>
      <c r="G125" s="110">
        <f>表2_3671626293038912131415232425[[#This Row],[累计净值]]-0.21</f>
        <v>1.103</v>
      </c>
      <c r="H125" s="20">
        <f>表2_3671626293038912131415232425[[#This Row],[累计净值]]/$B$21-1</f>
        <v>8.5123966942148854E-2</v>
      </c>
    </row>
    <row r="126" spans="1:8">
      <c r="A126" s="15">
        <v>44186</v>
      </c>
      <c r="B126" s="112">
        <v>1.3129999999999999</v>
      </c>
      <c r="C126" s="112">
        <f>C125*(1+表2_3671626293038912131415232425[[#This Row],[每日盈亏]])</f>
        <v>1.0921378513147884</v>
      </c>
      <c r="D126" s="108">
        <f>IFERROR(B126-B125,0)</f>
        <v>0</v>
      </c>
      <c r="E126" s="109" t="str">
        <f t="shared" si="17"/>
        <v>/</v>
      </c>
      <c r="F126" s="109">
        <f ca="1">IF(表2_3671626293038912131415232425[[#This Row],[累计净值]]/MAX(INDIRECT("B21:B" &amp; ROW()))-1&lt;F125,表2_3671626293038912131415232425[[#This Row],[累计净值]]/MAX(INDIRECT("B21:B" &amp; ROW()))-1,F125)</f>
        <v>-6.5859197577592732E-2</v>
      </c>
      <c r="G126" s="110">
        <f>表2_3671626293038912131415232425[[#This Row],[累计净值]]-0.21</f>
        <v>1.103</v>
      </c>
      <c r="H126" s="20">
        <f>表2_3671626293038912131415232425[[#This Row],[累计净值]]/$B$21-1</f>
        <v>8.5123966942148854E-2</v>
      </c>
    </row>
    <row r="127" spans="1:8">
      <c r="A127" s="15">
        <v>44187</v>
      </c>
      <c r="B127" s="112">
        <v>1.306</v>
      </c>
      <c r="C127" s="112">
        <f>C126*(1+表2_3671626293038912131415232425[[#This Row],[每日盈亏]])</f>
        <v>1.0844928863555849</v>
      </c>
      <c r="D127" s="108">
        <f>IFERROR(B127-B126,0)</f>
        <v>-6.9999999999998952E-3</v>
      </c>
      <c r="E127" s="109">
        <f t="shared" si="17"/>
        <v>-6.9999999999998952E-3</v>
      </c>
      <c r="F127" s="109">
        <f ca="1">IF(表2_3671626293038912131415232425[[#This Row],[累计净值]]/MAX(INDIRECT("B21:B" &amp; ROW()))-1&lt;F126,表2_3671626293038912131415232425[[#This Row],[累计净值]]/MAX(INDIRECT("B21:B" &amp; ROW()))-1,F126)</f>
        <v>-6.5859197577592732E-2</v>
      </c>
      <c r="G127" s="110">
        <f>表2_3671626293038912131415232425[[#This Row],[累计净值]]-0.21</f>
        <v>1.0960000000000001</v>
      </c>
      <c r="H127" s="20">
        <f>表2_3671626293038912131415232425[[#This Row],[累计净值]]/$B$21-1</f>
        <v>7.9338842975206658E-2</v>
      </c>
    </row>
    <row r="128" spans="1:8">
      <c r="A128" s="15">
        <v>44188</v>
      </c>
      <c r="B128" s="112">
        <v>1.3149999999999999</v>
      </c>
      <c r="C128" s="112">
        <f>C127*(1+表2_3671626293038912131415232425[[#This Row],[每日盈亏]])</f>
        <v>1.0942533223327851</v>
      </c>
      <c r="D128" s="108">
        <f>IFERROR(B128-B127,0)</f>
        <v>8.999999999999897E-3</v>
      </c>
      <c r="E128" s="109" t="str">
        <f t="shared" si="17"/>
        <v>/</v>
      </c>
      <c r="F128" s="109">
        <f ca="1">IF(表2_3671626293038912131415232425[[#This Row],[累计净值]]/MAX(INDIRECT("B21:B" &amp; ROW()))-1&lt;F127,表2_3671626293038912131415232425[[#This Row],[累计净值]]/MAX(INDIRECT("B21:B" &amp; ROW()))-1,F127)</f>
        <v>-6.5859197577592732E-2</v>
      </c>
      <c r="G128" s="110">
        <f>表2_3671626293038912131415232425[[#This Row],[累计净值]]-0.21</f>
        <v>1.105</v>
      </c>
      <c r="H128" s="20">
        <f>表2_3671626293038912131415232425[[#This Row],[累计净值]]/$B$21-1</f>
        <v>8.6776859504132275E-2</v>
      </c>
    </row>
    <row r="129" spans="1:8">
      <c r="A129" s="15">
        <v>44189</v>
      </c>
      <c r="B129" s="112">
        <v>1.3069999999999999</v>
      </c>
      <c r="C129" s="112">
        <f>C128*(1+表2_3671626293038912131415232425[[#This Row],[每日盈亏]])</f>
        <v>1.0854992957541227</v>
      </c>
      <c r="D129" s="108">
        <f>IFERROR(B129-B128,0)</f>
        <v>-8.0000000000000071E-3</v>
      </c>
      <c r="E129" s="109">
        <f t="shared" ref="E129:E134" si="18">IF(D129&lt;0,D129,"/")</f>
        <v>-8.0000000000000071E-3</v>
      </c>
      <c r="F129" s="109">
        <f ca="1">IF(表2_3671626293038912131415232425[[#This Row],[累计净值]]/MAX(INDIRECT("B21:B" &amp; ROW()))-1&lt;F128,表2_3671626293038912131415232425[[#This Row],[累计净值]]/MAX(INDIRECT("B21:B" &amp; ROW()))-1,F128)</f>
        <v>-6.5859197577592732E-2</v>
      </c>
      <c r="G129" s="110">
        <f>表2_3671626293038912131415232425[[#This Row],[累计净值]]-0.21</f>
        <v>1.097</v>
      </c>
      <c r="H129" s="20">
        <f>表2_3671626293038912131415232425[[#This Row],[累计净值]]/$B$21-1</f>
        <v>8.0165289256198369E-2</v>
      </c>
    </row>
    <row r="130" spans="1:8">
      <c r="A130" s="15">
        <v>44190</v>
      </c>
      <c r="B130" s="112">
        <v>1.3089999999999999</v>
      </c>
      <c r="C130" s="112">
        <f>C129*(1+表2_3671626293038912131415232425[[#This Row],[每日盈亏]])</f>
        <v>1.0876702943456309</v>
      </c>
      <c r="D130" s="108">
        <f>IFERROR(B130-B129,0)</f>
        <v>2.0000000000000018E-3</v>
      </c>
      <c r="E130" s="109" t="str">
        <f t="shared" si="18"/>
        <v>/</v>
      </c>
      <c r="F130" s="109">
        <f ca="1">IF(表2_3671626293038912131415232425[[#This Row],[累计净值]]/MAX(INDIRECT("B21:B" &amp; ROW()))-1&lt;F129,表2_3671626293038912131415232425[[#This Row],[累计净值]]/MAX(INDIRECT("B21:B" &amp; ROW()))-1,F129)</f>
        <v>-6.5859197577592732E-2</v>
      </c>
      <c r="G130" s="110">
        <f>表2_3671626293038912131415232425[[#This Row],[累计净值]]-0.21</f>
        <v>1.099</v>
      </c>
      <c r="H130" s="20">
        <f>表2_3671626293038912131415232425[[#This Row],[累计净值]]/$B$21-1</f>
        <v>8.181818181818179E-2</v>
      </c>
    </row>
    <row r="131" spans="1:8">
      <c r="A131" s="15">
        <v>44193</v>
      </c>
      <c r="B131" s="112">
        <v>1.2869999999999999</v>
      </c>
      <c r="C131" s="112">
        <f>C130*(1+表2_3671626293038912131415232425[[#This Row],[每日盈亏]])</f>
        <v>1.0637415478700269</v>
      </c>
      <c r="D131" s="108">
        <f>IFERROR(B131-B130,0)</f>
        <v>-2.200000000000002E-2</v>
      </c>
      <c r="E131" s="109">
        <f t="shared" si="18"/>
        <v>-2.200000000000002E-2</v>
      </c>
      <c r="F131" s="109">
        <f ca="1">IF(表2_3671626293038912131415232425[[#This Row],[累计净值]]/MAX(INDIRECT("B21:B" &amp; ROW()))-1&lt;F130,表2_3671626293038912131415232425[[#This Row],[累计净值]]/MAX(INDIRECT("B21:B" &amp; ROW()))-1,F130)</f>
        <v>-6.5859197577592732E-2</v>
      </c>
      <c r="G131" s="110">
        <f>表2_3671626293038912131415232425[[#This Row],[累计净值]]-0.21</f>
        <v>1.077</v>
      </c>
      <c r="H131" s="20">
        <f>表2_3671626293038912131415232425[[#This Row],[累计净值]]/$B$21-1</f>
        <v>6.3636363636363713E-2</v>
      </c>
    </row>
    <row r="132" spans="1:8">
      <c r="A132" s="15">
        <v>44194</v>
      </c>
      <c r="B132" s="112">
        <v>1.3049999999999999</v>
      </c>
      <c r="C132" s="112">
        <f>C131*(1+表2_3671626293038912131415232425[[#This Row],[每日盈亏]])</f>
        <v>1.0828888957316876</v>
      </c>
      <c r="D132" s="108">
        <f>IFERROR(B132-B131,0)</f>
        <v>1.8000000000000016E-2</v>
      </c>
      <c r="E132" s="109" t="str">
        <f t="shared" si="18"/>
        <v>/</v>
      </c>
      <c r="F132" s="109">
        <f ca="1">IF(表2_3671626293038912131415232425[[#This Row],[累计净值]]/MAX(INDIRECT("B21:B" &amp; ROW()))-1&lt;F131,表2_3671626293038912131415232425[[#This Row],[累计净值]]/MAX(INDIRECT("B21:B" &amp; ROW()))-1,F131)</f>
        <v>-6.5859197577592732E-2</v>
      </c>
      <c r="G132" s="110">
        <f>表2_3671626293038912131415232425[[#This Row],[累计净值]]-0.21</f>
        <v>1.095</v>
      </c>
      <c r="H132" s="20">
        <f>表2_3671626293038912131415232425[[#This Row],[累计净值]]/$B$21-1</f>
        <v>7.8512396694214948E-2</v>
      </c>
    </row>
    <row r="133" spans="1:8">
      <c r="A133" s="15">
        <v>44195</v>
      </c>
      <c r="B133" s="112">
        <v>1.329</v>
      </c>
      <c r="C133" s="112">
        <f>C132*(1+表2_3671626293038912131415232425[[#This Row],[每日盈亏]])</f>
        <v>1.1088782292292481</v>
      </c>
      <c r="D133" s="108">
        <f>IFERROR(B133-B132,0)</f>
        <v>2.4000000000000021E-2</v>
      </c>
      <c r="E133" s="109" t="str">
        <f t="shared" si="18"/>
        <v>/</v>
      </c>
      <c r="F133" s="109">
        <f ca="1">IF(表2_3671626293038912131415232425[[#This Row],[累计净值]]/MAX(INDIRECT("B21:B" &amp; ROW()))-1&lt;F132,表2_3671626293038912131415232425[[#This Row],[累计净值]]/MAX(INDIRECT("B21:B" &amp; ROW()))-1,F132)</f>
        <v>-6.5859197577592732E-2</v>
      </c>
      <c r="G133" s="110">
        <f>表2_3671626293038912131415232425[[#This Row],[累计净值]]-0.21</f>
        <v>1.119</v>
      </c>
      <c r="H133" s="20">
        <f>表2_3671626293038912131415232425[[#This Row],[累计净值]]/$B$21-1</f>
        <v>9.8347107438016446E-2</v>
      </c>
    </row>
    <row r="134" spans="1:8">
      <c r="A134" s="15">
        <v>44196</v>
      </c>
      <c r="B134" s="112">
        <v>1.347</v>
      </c>
      <c r="C134" s="112">
        <f>C133*(1+表2_3671626293038912131415232425[[#This Row],[每日盈亏]])</f>
        <v>1.1288380373553746</v>
      </c>
      <c r="D134" s="108">
        <f>IFERROR(B134-B133,0)</f>
        <v>1.8000000000000016E-2</v>
      </c>
      <c r="E134" s="109" t="str">
        <f t="shared" si="18"/>
        <v>/</v>
      </c>
      <c r="F134" s="109">
        <f ca="1">IF(表2_3671626293038912131415232425[[#This Row],[累计净值]]/MAX(INDIRECT("B21:B" &amp; ROW()))-1&lt;F133,表2_3671626293038912131415232425[[#This Row],[累计净值]]/MAX(INDIRECT("B21:B" &amp; ROW()))-1,F133)</f>
        <v>-6.5859197577592732E-2</v>
      </c>
      <c r="G134" s="110">
        <f>表2_3671626293038912131415232425[[#This Row],[累计净值]]-0.21</f>
        <v>1.137</v>
      </c>
      <c r="H134" s="20">
        <f>表2_3671626293038912131415232425[[#This Row],[累计净值]]/$B$21-1</f>
        <v>0.11322314049586768</v>
      </c>
    </row>
    <row r="135" spans="1:8">
      <c r="A135" s="15">
        <v>44200</v>
      </c>
      <c r="B135" s="112">
        <v>1.349</v>
      </c>
      <c r="C135" s="112">
        <f>C134*(1+表2_3671626293038912131415232425[[#This Row],[每日盈亏]])</f>
        <v>1.1310957134300854</v>
      </c>
      <c r="D135" s="108">
        <f>IFERROR(B135-B134,0)</f>
        <v>2.0000000000000018E-3</v>
      </c>
      <c r="E135" s="109" t="str">
        <f>IF(D135&lt;0,D135,"/")</f>
        <v>/</v>
      </c>
      <c r="F135" s="109">
        <f ca="1">IF(表2_3671626293038912131415232425[[#This Row],[累计净值]]/MAX(INDIRECT("B21:B" &amp; ROW()))-1&lt;F134,表2_3671626293038912131415232425[[#This Row],[累计净值]]/MAX(INDIRECT("B21:B" &amp; ROW()))-1,F134)</f>
        <v>-6.5859197577592732E-2</v>
      </c>
      <c r="G135" s="110">
        <f>表2_3671626293038912131415232425[[#This Row],[累计净值]]-0.21</f>
        <v>1.139</v>
      </c>
      <c r="H135" s="20">
        <f>表2_3671626293038912131415232425[[#This Row],[累计净值]]/$B$21-1</f>
        <v>0.11487603305785132</v>
      </c>
    </row>
    <row r="136" spans="1:8">
      <c r="A136" s="15">
        <v>44201</v>
      </c>
      <c r="B136" s="112">
        <v>1.355</v>
      </c>
      <c r="C136" s="112">
        <f>C135*(1+表2_3671626293038912131415232425[[#This Row],[每日盈亏]])</f>
        <v>1.137882287710666</v>
      </c>
      <c r="D136" s="108">
        <f>IFERROR(B136-B135,0)</f>
        <v>6.0000000000000053E-3</v>
      </c>
      <c r="E136" s="109" t="str">
        <f>IF(D136&lt;0,D136,"/")</f>
        <v>/</v>
      </c>
      <c r="F136" s="109">
        <f ca="1">IF(表2_3671626293038912131415232425[[#This Row],[累计净值]]/MAX(INDIRECT("B21:B" &amp; ROW()))-1&lt;F135,表2_3671626293038912131415232425[[#This Row],[累计净值]]/MAX(INDIRECT("B21:B" &amp; ROW()))-1,F135)</f>
        <v>-6.5859197577592732E-2</v>
      </c>
      <c r="G136" s="110">
        <f>表2_3671626293038912131415232425[[#This Row],[累计净值]]-0.21</f>
        <v>1.145</v>
      </c>
      <c r="H136" s="20">
        <f>表2_3671626293038912131415232425[[#This Row],[累计净值]]/$B$21-1</f>
        <v>0.11983471074380159</v>
      </c>
    </row>
    <row r="137" spans="1:8">
      <c r="A137" s="15">
        <v>44202</v>
      </c>
      <c r="B137" s="112">
        <v>1.367</v>
      </c>
      <c r="C137" s="112">
        <f>C136*(1+表2_3671626293038912131415232425[[#This Row],[每日盈亏]])</f>
        <v>1.151536875163194</v>
      </c>
      <c r="D137" s="108">
        <f>IFERROR(B137-B136,0)</f>
        <v>1.2000000000000011E-2</v>
      </c>
      <c r="E137" s="109" t="str">
        <f>IF(D137&lt;0,D137,"/")</f>
        <v>/</v>
      </c>
      <c r="F137" s="109">
        <f ca="1">IF(表2_3671626293038912131415232425[[#This Row],[累计净值]]/MAX(INDIRECT("B21:B" &amp; ROW()))-1&lt;F136,表2_3671626293038912131415232425[[#This Row],[累计净值]]/MAX(INDIRECT("B21:B" &amp; ROW()))-1,F136)</f>
        <v>-6.5859197577592732E-2</v>
      </c>
      <c r="G137" s="110">
        <f>表2_3671626293038912131415232425[[#This Row],[累计净值]]-0.21</f>
        <v>1.157</v>
      </c>
      <c r="H137" s="20">
        <f>表2_3671626293038912131415232425[[#This Row],[累计净值]]/$B$21-1</f>
        <v>0.12975206611570256</v>
      </c>
    </row>
    <row r="138" spans="1:8">
      <c r="A138" s="15">
        <v>44203</v>
      </c>
      <c r="B138" s="112">
        <v>1.3660000000000001</v>
      </c>
      <c r="C138" s="112">
        <f>C137*(1+表2_3671626293038912131415232425[[#This Row],[每日盈亏]])</f>
        <v>1.1503853382880309</v>
      </c>
      <c r="D138" s="108">
        <f>IFERROR(B138-B137,0)</f>
        <v>-9.9999999999988987E-4</v>
      </c>
      <c r="E138" s="109">
        <f t="shared" ref="E138:E141" si="19">IF(D138&lt;0,D138,"/")</f>
        <v>-9.9999999999988987E-4</v>
      </c>
      <c r="F138" s="109">
        <f ca="1">IF(表2_3671626293038912131415232425[[#This Row],[累计净值]]/MAX(INDIRECT("B21:B" &amp; ROW()))-1&lt;F137,表2_3671626293038912131415232425[[#This Row],[累计净值]]/MAX(INDIRECT("B21:B" &amp; ROW()))-1,F137)</f>
        <v>-6.5859197577592732E-2</v>
      </c>
      <c r="G138" s="110">
        <f>表2_3671626293038912131415232425[[#This Row],[累计净值]]-0.21</f>
        <v>1.1560000000000001</v>
      </c>
      <c r="H138" s="20">
        <f>表2_3671626293038912131415232425[[#This Row],[累计净值]]/$B$21-1</f>
        <v>0.12892561983471085</v>
      </c>
    </row>
    <row r="139" spans="1:8">
      <c r="A139" s="15">
        <v>44204</v>
      </c>
      <c r="B139" s="112">
        <v>1.371</v>
      </c>
      <c r="C139" s="112">
        <f>C138*(1+表2_3671626293038912131415232425[[#This Row],[每日盈亏]])</f>
        <v>1.156137264979471</v>
      </c>
      <c r="D139" s="108">
        <f>IFERROR(B139-B138,0)</f>
        <v>4.9999999999998934E-3</v>
      </c>
      <c r="E139" s="109" t="str">
        <f t="shared" si="19"/>
        <v>/</v>
      </c>
      <c r="F139" s="109">
        <f ca="1">IF(表2_3671626293038912131415232425[[#This Row],[累计净值]]/MAX(INDIRECT("B21:B" &amp; ROW()))-1&lt;F138,表2_3671626293038912131415232425[[#This Row],[累计净值]]/MAX(INDIRECT("B21:B" &amp; ROW()))-1,F138)</f>
        <v>-6.5859197577592732E-2</v>
      </c>
      <c r="G139" s="110">
        <f>表2_3671626293038912131415232425[[#This Row],[累计净值]]-0.21</f>
        <v>1.161</v>
      </c>
      <c r="H139" s="20">
        <f>表2_3671626293038912131415232425[[#This Row],[累计净值]]/$B$21-1</f>
        <v>0.1330578512396694</v>
      </c>
    </row>
    <row r="140" spans="1:8">
      <c r="A140" s="15">
        <v>44207</v>
      </c>
      <c r="B140" s="112">
        <v>1.3680000000000001</v>
      </c>
      <c r="C140" s="112">
        <f>C139*(1+表2_3671626293038912131415232425[[#This Row],[每日盈亏]])</f>
        <v>1.1526688531845326</v>
      </c>
      <c r="D140" s="108">
        <f>IFERROR(B140-B139,0)</f>
        <v>-2.9999999999998916E-3</v>
      </c>
      <c r="E140" s="109">
        <f t="shared" si="19"/>
        <v>-2.9999999999998916E-3</v>
      </c>
      <c r="F140" s="109">
        <f ca="1">IF(表2_3671626293038912131415232425[[#This Row],[累计净值]]/MAX(INDIRECT("B21:B" &amp; ROW()))-1&lt;F139,表2_3671626293038912131415232425[[#This Row],[累计净值]]/MAX(INDIRECT("B21:B" &amp; ROW()))-1,F139)</f>
        <v>-6.5859197577592732E-2</v>
      </c>
      <c r="G140" s="110">
        <f>表2_3671626293038912131415232425[[#This Row],[累计净值]]-0.21</f>
        <v>1.1580000000000001</v>
      </c>
      <c r="H140" s="20">
        <f>表2_3671626293038912131415232425[[#This Row],[累计净值]]/$B$21-1</f>
        <v>0.13057851239669427</v>
      </c>
    </row>
    <row r="141" spans="1:8">
      <c r="A141" s="15">
        <v>44208</v>
      </c>
      <c r="B141" s="112">
        <v>1.389</v>
      </c>
      <c r="C141" s="112">
        <f>C140*(1+表2_3671626293038912131415232425[[#This Row],[每日盈亏]])</f>
        <v>1.1768748991014077</v>
      </c>
      <c r="D141" s="108">
        <f>IFERROR(B141-B140,0)</f>
        <v>2.0999999999999908E-2</v>
      </c>
      <c r="E141" s="109" t="str">
        <f t="shared" si="19"/>
        <v>/</v>
      </c>
      <c r="F141" s="109">
        <f ca="1">IF(表2_3671626293038912131415232425[[#This Row],[累计净值]]/MAX(INDIRECT("B21:B" &amp; ROW()))-1&lt;F140,表2_3671626293038912131415232425[[#This Row],[累计净值]]/MAX(INDIRECT("B21:B" &amp; ROW()))-1,F140)</f>
        <v>-6.5859197577592732E-2</v>
      </c>
      <c r="G141" s="110">
        <f>表2_3671626293038912131415232425[[#This Row],[累计净值]]-0.21</f>
        <v>1.179</v>
      </c>
      <c r="H141" s="20">
        <f>表2_3671626293038912131415232425[[#This Row],[累计净值]]/$B$21-1</f>
        <v>0.14793388429752063</v>
      </c>
    </row>
    <row r="142" spans="1:8">
      <c r="A142" s="15">
        <v>44209</v>
      </c>
      <c r="B142" s="112">
        <v>1.3859999999999999</v>
      </c>
      <c r="C142" s="112">
        <f>C141*(1+表2_3671626293038912131415232425[[#This Row],[每日盈亏]])</f>
        <v>1.1733442744041034</v>
      </c>
      <c r="D142" s="108">
        <f>IFERROR(B142-B141,0)</f>
        <v>-3.0000000000001137E-3</v>
      </c>
      <c r="E142" s="109">
        <f t="shared" ref="E142:E147" si="20">IF(D142&lt;0,D142,"/")</f>
        <v>-3.0000000000001137E-3</v>
      </c>
      <c r="F142" s="109">
        <f ca="1">IF(表2_3671626293038912131415232425[[#This Row],[累计净值]]/MAX(INDIRECT("B21:B" &amp; ROW()))-1&lt;F141,表2_3671626293038912131415232425[[#This Row],[累计净值]]/MAX(INDIRECT("B21:B" &amp; ROW()))-1,F141)</f>
        <v>-6.5859197577592732E-2</v>
      </c>
      <c r="G142" s="110">
        <f>表2_3671626293038912131415232425[[#This Row],[累计净值]]-0.21</f>
        <v>1.1759999999999999</v>
      </c>
      <c r="H142" s="20">
        <f>表2_3671626293038912131415232425[[#This Row],[累计净值]]/$B$21-1</f>
        <v>0.1454545454545455</v>
      </c>
    </row>
    <row r="143" spans="1:8">
      <c r="A143" s="15">
        <v>44210</v>
      </c>
      <c r="B143" s="112">
        <v>1.393</v>
      </c>
      <c r="C143" s="112">
        <f>C142*(1+表2_3671626293038912131415232425[[#This Row],[每日盈亏]])</f>
        <v>1.1815576843249322</v>
      </c>
      <c r="D143" s="108">
        <f>IFERROR(B143-B142,0)</f>
        <v>7.0000000000001172E-3</v>
      </c>
      <c r="E143" s="109" t="str">
        <f t="shared" si="20"/>
        <v>/</v>
      </c>
      <c r="F143" s="109">
        <f ca="1">IF(表2_3671626293038912131415232425[[#This Row],[累计净值]]/MAX(INDIRECT("B21:B" &amp; ROW()))-1&lt;F142,表2_3671626293038912131415232425[[#This Row],[累计净值]]/MAX(INDIRECT("B21:B" &amp; ROW()))-1,F142)</f>
        <v>-6.5859197577592732E-2</v>
      </c>
      <c r="G143" s="110">
        <f>表2_3671626293038912131415232425[[#This Row],[累计净值]]-0.21</f>
        <v>1.1830000000000001</v>
      </c>
      <c r="H143" s="20">
        <f>表2_3671626293038912131415232425[[#This Row],[累计净值]]/$B$21-1</f>
        <v>0.1512396694214877</v>
      </c>
    </row>
    <row r="144" spans="1:8">
      <c r="A144" s="15">
        <v>44211</v>
      </c>
      <c r="B144" s="112">
        <v>1.3979999999999999</v>
      </c>
      <c r="C144" s="112">
        <f>C143*(1+表2_3671626293038912131415232425[[#This Row],[每日盈亏]])</f>
        <v>1.1874654727465568</v>
      </c>
      <c r="D144" s="108">
        <f>IFERROR(B144-B143,0)</f>
        <v>4.9999999999998934E-3</v>
      </c>
      <c r="E144" s="109" t="str">
        <f t="shared" si="20"/>
        <v>/</v>
      </c>
      <c r="F144" s="109">
        <f ca="1">IF(表2_3671626293038912131415232425[[#This Row],[累计净值]]/MAX(INDIRECT("B21:B" &amp; ROW()))-1&lt;F143,表2_3671626293038912131415232425[[#This Row],[累计净值]]/MAX(INDIRECT("B21:B" &amp; ROW()))-1,F143)</f>
        <v>-6.5859197577592732E-2</v>
      </c>
      <c r="G144" s="110">
        <f>表2_3671626293038912131415232425[[#This Row],[累计净值]]-0.21</f>
        <v>1.1879999999999999</v>
      </c>
      <c r="H144" s="20">
        <f>表2_3671626293038912131415232425[[#This Row],[累计净值]]/$B$21-1</f>
        <v>0.15537190082644625</v>
      </c>
    </row>
    <row r="145" spans="1:8">
      <c r="A145" s="15">
        <v>44214</v>
      </c>
      <c r="B145" s="112">
        <v>1.407</v>
      </c>
      <c r="C145" s="112">
        <f>C144*(1+表2_3671626293038912131415232425[[#This Row],[每日盈亏]])</f>
        <v>1.1981526620012759</v>
      </c>
      <c r="D145" s="108">
        <f>IFERROR(B145-B144,0)</f>
        <v>9.000000000000119E-3</v>
      </c>
      <c r="E145" s="109" t="str">
        <f t="shared" si="20"/>
        <v>/</v>
      </c>
      <c r="F145" s="109">
        <f ca="1">IF(表2_3671626293038912131415232425[[#This Row],[累计净值]]/MAX(INDIRECT("B21:B" &amp; ROW()))-1&lt;F144,表2_3671626293038912131415232425[[#This Row],[累计净值]]/MAX(INDIRECT("B21:B" &amp; ROW()))-1,F144)</f>
        <v>-6.5859197577592732E-2</v>
      </c>
      <c r="G145" s="110">
        <f>表2_3671626293038912131415232425[[#This Row],[累计净值]]-0.21</f>
        <v>1.1970000000000001</v>
      </c>
      <c r="H145" s="20">
        <f>表2_3671626293038912131415232425[[#This Row],[累计净值]]/$B$21-1</f>
        <v>0.16280991735537187</v>
      </c>
    </row>
    <row r="146" spans="1:8">
      <c r="A146" s="15">
        <v>44215</v>
      </c>
      <c r="B146" s="112">
        <v>1.417</v>
      </c>
      <c r="C146" s="112">
        <f>C145*(1+表2_3671626293038912131415232425[[#This Row],[每日盈亏]])</f>
        <v>1.2101341886212886</v>
      </c>
      <c r="D146" s="108">
        <f>IFERROR(B146-B145,0)</f>
        <v>1.0000000000000009E-2</v>
      </c>
      <c r="E146" s="109" t="str">
        <f t="shared" si="20"/>
        <v>/</v>
      </c>
      <c r="F146" s="109">
        <f ca="1">IF(表2_3671626293038912131415232425[[#This Row],[累计净值]]/MAX(INDIRECT("B21:B" &amp; ROW()))-1&lt;F145,表2_3671626293038912131415232425[[#This Row],[累计净值]]/MAX(INDIRECT("B21:B" &amp; ROW()))-1,F145)</f>
        <v>-6.5859197577592732E-2</v>
      </c>
      <c r="G146" s="110">
        <f>表2_3671626293038912131415232425[[#This Row],[累计净值]]-0.21</f>
        <v>1.2070000000000001</v>
      </c>
      <c r="H146" s="20">
        <f>表2_3671626293038912131415232425[[#This Row],[累计净值]]/$B$21-1</f>
        <v>0.17107438016528942</v>
      </c>
    </row>
    <row r="147" spans="1:8">
      <c r="A147" s="15">
        <v>44216</v>
      </c>
      <c r="B147" s="112">
        <v>1.4370000000000001</v>
      </c>
      <c r="C147" s="112">
        <f>C146*(1+表2_3671626293038912131415232425[[#This Row],[每日盈亏]])</f>
        <v>1.2343368723937145</v>
      </c>
      <c r="D147" s="108">
        <f>IFERROR(B147-B146,0)</f>
        <v>2.0000000000000018E-2</v>
      </c>
      <c r="E147" s="109" t="str">
        <f t="shared" si="20"/>
        <v>/</v>
      </c>
      <c r="F147" s="109">
        <f ca="1">IF(表2_3671626293038912131415232425[[#This Row],[累计净值]]/MAX(INDIRECT("B21:B" &amp; ROW()))-1&lt;F146,表2_3671626293038912131415232425[[#This Row],[累计净值]]/MAX(INDIRECT("B21:B" &amp; ROW()))-1,F146)</f>
        <v>-6.5859197577592732E-2</v>
      </c>
      <c r="G147" s="110">
        <f>表2_3671626293038912131415232425[[#This Row],[累计净值]]-0.21</f>
        <v>1.2270000000000001</v>
      </c>
      <c r="H147" s="20">
        <f>表2_3671626293038912131415232425[[#This Row],[累计净值]]/$B$21-1</f>
        <v>0.18760330578512407</v>
      </c>
    </row>
    <row r="148" spans="1:8">
      <c r="A148" s="15">
        <v>44217</v>
      </c>
      <c r="B148" s="112">
        <v>1.4379999999999999</v>
      </c>
      <c r="C148" s="112">
        <f>C147*(1+表2_3671626293038912131415232425[[#This Row],[每日盈亏]])</f>
        <v>1.235571209266108</v>
      </c>
      <c r="D148" s="108">
        <f>IFERROR(B148-B147,0)</f>
        <v>9.9999999999988987E-4</v>
      </c>
      <c r="E148" s="109" t="str">
        <f t="shared" ref="E148:E153" si="21">IF(D148&lt;0,D148,"/")</f>
        <v>/</v>
      </c>
      <c r="F148" s="109">
        <f ca="1">IF(表2_3671626293038912131415232425[[#This Row],[累计净值]]/MAX(INDIRECT("B21:B" &amp; ROW()))-1&lt;F147,表2_3671626293038912131415232425[[#This Row],[累计净值]]/MAX(INDIRECT("B21:B" &amp; ROW()))-1,F147)</f>
        <v>-6.5859197577592732E-2</v>
      </c>
      <c r="G148" s="110">
        <f>表2_3671626293038912131415232425[[#This Row],[累计净值]]-0.21</f>
        <v>1.228</v>
      </c>
      <c r="H148" s="20">
        <f>表2_3671626293038912131415232425[[#This Row],[累计净值]]/$B$21-1</f>
        <v>0.18842975206611579</v>
      </c>
    </row>
    <row r="149" spans="1:8">
      <c r="A149" s="15">
        <v>44218</v>
      </c>
      <c r="B149" s="112">
        <v>1.4450000000000001</v>
      </c>
      <c r="C149" s="112">
        <f>C148*(1+表2_3671626293038912131415232425[[#This Row],[每日盈亏]])</f>
        <v>1.244220207730971</v>
      </c>
      <c r="D149" s="108">
        <f>IFERROR(B149-B148,0)</f>
        <v>7.0000000000001172E-3</v>
      </c>
      <c r="E149" s="109" t="str">
        <f t="shared" si="21"/>
        <v>/</v>
      </c>
      <c r="F149" s="109">
        <f ca="1">IF(表2_3671626293038912131415232425[[#This Row],[累计净值]]/MAX(INDIRECT("B21:B" &amp; ROW()))-1&lt;F148,表2_3671626293038912131415232425[[#This Row],[累计净值]]/MAX(INDIRECT("B21:B" &amp; ROW()))-1,F148)</f>
        <v>-6.5859197577592732E-2</v>
      </c>
      <c r="G149" s="110">
        <f>表2_3671626293038912131415232425[[#This Row],[累计净值]]-0.21</f>
        <v>1.2350000000000001</v>
      </c>
      <c r="H149" s="20">
        <f>表2_3671626293038912131415232425[[#This Row],[累计净值]]/$B$21-1</f>
        <v>0.19421487603305798</v>
      </c>
    </row>
    <row r="150" spans="1:8">
      <c r="A150" s="15">
        <v>44221</v>
      </c>
      <c r="B150" s="117">
        <v>1.4970000000000001</v>
      </c>
      <c r="C150" s="112">
        <f>C149*(1+表2_3671626293038912131415232425[[#This Row],[每日盈亏]])</f>
        <v>1.3089196585329814</v>
      </c>
      <c r="D150" s="108">
        <f>IFERROR(B150-B149,0)</f>
        <v>5.2000000000000046E-2</v>
      </c>
      <c r="E150" s="109" t="str">
        <f t="shared" si="21"/>
        <v>/</v>
      </c>
      <c r="F150" s="109">
        <f ca="1">IF(表2_3671626293038912131415232425[[#This Row],[累计净值]]/MAX(INDIRECT("B21:B" &amp; ROW()))-1&lt;F149,表2_3671626293038912131415232425[[#This Row],[累计净值]]/MAX(INDIRECT("B21:B" &amp; ROW()))-1,F149)</f>
        <v>-6.5859197577592732E-2</v>
      </c>
      <c r="G150" s="110">
        <f>表2_3671626293038912131415232425[[#This Row],[累计净值]]-0.21</f>
        <v>1.2870000000000001</v>
      </c>
      <c r="H150" s="20">
        <f>表2_3671626293038912131415232425[[#This Row],[累计净值]]/$B$21-1</f>
        <v>0.23719008264462826</v>
      </c>
    </row>
    <row r="151" spans="1:8">
      <c r="A151" s="15">
        <v>44222</v>
      </c>
      <c r="B151" s="112">
        <v>1.46</v>
      </c>
      <c r="C151" s="112">
        <f>C150*(1+表2_3671626293038912131415232425[[#This Row],[每日盈亏]])</f>
        <v>1.2604896311672609</v>
      </c>
      <c r="D151" s="108">
        <f>IFERROR(B151-B150,0)</f>
        <v>-3.7000000000000144E-2</v>
      </c>
      <c r="E151" s="109">
        <f t="shared" si="21"/>
        <v>-3.7000000000000144E-2</v>
      </c>
      <c r="F151" s="109">
        <f ca="1">IF(表2_3671626293038912131415232425[[#This Row],[累计净值]]/MAX(INDIRECT("B21:B" &amp; ROW()))-1&lt;F150,表2_3671626293038912131415232425[[#This Row],[累计净值]]/MAX(INDIRECT("B21:B" &amp; ROW()))-1,F150)</f>
        <v>-6.5859197577592732E-2</v>
      </c>
      <c r="G151" s="110">
        <f>表2_3671626293038912131415232425[[#This Row],[累计净值]]-0.21</f>
        <v>1.25</v>
      </c>
      <c r="H151" s="20">
        <f>表2_3671626293038912131415232425[[#This Row],[累计净值]]/$B$21-1</f>
        <v>0.20661157024793386</v>
      </c>
    </row>
    <row r="152" spans="1:8">
      <c r="A152" s="15">
        <v>44223</v>
      </c>
      <c r="B152" s="112">
        <v>1.4410000000000001</v>
      </c>
      <c r="C152" s="112">
        <f>C151*(1+表2_3671626293038912131415232425[[#This Row],[每日盈亏]])</f>
        <v>1.2365403281750831</v>
      </c>
      <c r="D152" s="108">
        <f>IFERROR(B152-B151,0)</f>
        <v>-1.8999999999999906E-2</v>
      </c>
      <c r="E152" s="109">
        <f t="shared" si="21"/>
        <v>-1.8999999999999906E-2</v>
      </c>
      <c r="F152" s="109">
        <f ca="1">IF(表2_3671626293038912131415232425[[#This Row],[累计净值]]/MAX(INDIRECT("B21:B" &amp; ROW()))-1&lt;F151,表2_3671626293038912131415232425[[#This Row],[累计净值]]/MAX(INDIRECT("B21:B" &amp; ROW()))-1,F151)</f>
        <v>-6.5859197577592732E-2</v>
      </c>
      <c r="G152" s="110">
        <f>表2_3671626293038912131415232425[[#This Row],[累计净值]]-0.21</f>
        <v>1.2310000000000001</v>
      </c>
      <c r="H152" s="20">
        <f>表2_3671626293038912131415232425[[#This Row],[累计净值]]/$B$21-1</f>
        <v>0.19090909090909092</v>
      </c>
    </row>
    <row r="153" spans="1:8">
      <c r="A153" s="15">
        <v>44224</v>
      </c>
      <c r="B153" s="112">
        <v>1.42</v>
      </c>
      <c r="C153" s="112">
        <f>C152*(1+表2_3671626293038912131415232425[[#This Row],[每日盈亏]])</f>
        <v>1.2105729812834061</v>
      </c>
      <c r="D153" s="108">
        <f>IFERROR(B153-B152,0)</f>
        <v>-2.100000000000013E-2</v>
      </c>
      <c r="E153" s="109">
        <f t="shared" si="21"/>
        <v>-2.100000000000013E-2</v>
      </c>
      <c r="F153" s="109">
        <f ca="1">IF(表2_3671626293038912131415232425[[#This Row],[累计净值]]/MAX(INDIRECT("B21:B" &amp; ROW()))-1&lt;F152,表2_3671626293038912131415232425[[#This Row],[累计净值]]/MAX(INDIRECT("B21:B" &amp; ROW()))-1,F152)</f>
        <v>-6.5859197577592732E-2</v>
      </c>
      <c r="G153" s="110">
        <f>表2_3671626293038912131415232425[[#This Row],[累计净值]]-0.21</f>
        <v>1.21</v>
      </c>
      <c r="H153" s="20">
        <f>表2_3671626293038912131415232425[[#This Row],[累计净值]]/$B$21-1</f>
        <v>0.17355371900826433</v>
      </c>
    </row>
    <row r="154" spans="1:8">
      <c r="A154" s="15">
        <v>44225</v>
      </c>
      <c r="B154" s="112">
        <v>1.419</v>
      </c>
      <c r="C154" s="112">
        <f>C153*(1+表2_3671626293038912131415232425[[#This Row],[每日盈亏]])</f>
        <v>1.2093624083021228</v>
      </c>
      <c r="D154" s="108">
        <f>IFERROR(B154-B153,0)</f>
        <v>-9.9999999999988987E-4</v>
      </c>
      <c r="E154" s="109">
        <f t="shared" ref="E154:E159" si="22">IF(D154&lt;0,D154,"/")</f>
        <v>-9.9999999999988987E-4</v>
      </c>
      <c r="F154" s="109">
        <f ca="1">IF(表2_3671626293038912131415232425[[#This Row],[累计净值]]/MAX(INDIRECT("B21:B" &amp; ROW()))-1&lt;F153,表2_3671626293038912131415232425[[#This Row],[累计净值]]/MAX(INDIRECT("B21:B" &amp; ROW()))-1,F153)</f>
        <v>-6.5859197577592732E-2</v>
      </c>
      <c r="G154" s="110">
        <f>表2_3671626293038912131415232425[[#This Row],[累计净值]]-0.21</f>
        <v>1.2090000000000001</v>
      </c>
      <c r="H154" s="20">
        <f>表2_3671626293038912131415232425[[#This Row],[累计净值]]/$B$21-1</f>
        <v>0.17272727272727284</v>
      </c>
    </row>
    <row r="155" spans="1:8">
      <c r="A155" s="15">
        <v>44228</v>
      </c>
      <c r="B155" s="112">
        <v>1.4450000000000001</v>
      </c>
      <c r="C155" s="112">
        <f>C154*(1+表2_3671626293038912131415232425[[#This Row],[每日盈亏]])</f>
        <v>1.2408058309179781</v>
      </c>
      <c r="D155" s="108">
        <f>IFERROR(B155-B154,0)</f>
        <v>2.6000000000000023E-2</v>
      </c>
      <c r="E155" s="109" t="str">
        <f t="shared" si="22"/>
        <v>/</v>
      </c>
      <c r="F155" s="109">
        <f ca="1">IF(表2_3671626293038912131415232425[[#This Row],[累计净值]]/MAX(INDIRECT("B21:B" &amp; ROW()))-1&lt;F154,表2_3671626293038912131415232425[[#This Row],[累计净值]]/MAX(INDIRECT("B21:B" &amp; ROW()))-1,F154)</f>
        <v>-6.5859197577592732E-2</v>
      </c>
      <c r="G155" s="110">
        <f>表2_3671626293038912131415232425[[#This Row],[累计净值]]-0.21</f>
        <v>1.2350000000000001</v>
      </c>
      <c r="H155" s="20">
        <f>表2_3671626293038912131415232425[[#This Row],[累计净值]]/$B$21-1</f>
        <v>0.19421487603305798</v>
      </c>
    </row>
    <row r="156" spans="1:8">
      <c r="A156" s="15">
        <v>44229</v>
      </c>
      <c r="B156" s="112">
        <v>1.4650000000000001</v>
      </c>
      <c r="C156" s="112">
        <f>C155*(1+表2_3671626293038912131415232425[[#This Row],[每日盈亏]])</f>
        <v>1.2656219475363377</v>
      </c>
      <c r="D156" s="108">
        <f>IFERROR(B156-B155,0)</f>
        <v>2.0000000000000018E-2</v>
      </c>
      <c r="E156" s="109" t="str">
        <f t="shared" si="22"/>
        <v>/</v>
      </c>
      <c r="F156" s="109">
        <f ca="1">IF(表2_3671626293038912131415232425[[#This Row],[累计净值]]/MAX(INDIRECT("B21:B" &amp; ROW()))-1&lt;F155,表2_3671626293038912131415232425[[#This Row],[累计净值]]/MAX(INDIRECT("B21:B" &amp; ROW()))-1,F155)</f>
        <v>-6.5859197577592732E-2</v>
      </c>
      <c r="G156" s="110">
        <f>表2_3671626293038912131415232425[[#This Row],[累计净值]]-0.21</f>
        <v>1.2550000000000001</v>
      </c>
      <c r="H156" s="20">
        <f>表2_3671626293038912131415232425[[#This Row],[累计净值]]/$B$21-1</f>
        <v>0.21074380165289264</v>
      </c>
    </row>
    <row r="157" spans="1:8">
      <c r="A157" s="15">
        <v>44230</v>
      </c>
      <c r="B157" s="112">
        <v>1.4750000000000001</v>
      </c>
      <c r="C157" s="112">
        <f>C156*(1+表2_3671626293038912131415232425[[#This Row],[每日盈亏]])</f>
        <v>1.2782781670117012</v>
      </c>
      <c r="D157" s="108">
        <f>IFERROR(B157-B156,0)</f>
        <v>1.0000000000000009E-2</v>
      </c>
      <c r="E157" s="109" t="str">
        <f t="shared" si="22"/>
        <v>/</v>
      </c>
      <c r="F157" s="109">
        <f ca="1">IF(表2_3671626293038912131415232425[[#This Row],[累计净值]]/MAX(INDIRECT("B21:B" &amp; ROW()))-1&lt;F156,表2_3671626293038912131415232425[[#This Row],[累计净值]]/MAX(INDIRECT("B21:B" &amp; ROW()))-1,F156)</f>
        <v>-6.5859197577592732E-2</v>
      </c>
      <c r="G157" s="110">
        <f>表2_3671626293038912131415232425[[#This Row],[累计净值]]-0.21</f>
        <v>1.2650000000000001</v>
      </c>
      <c r="H157" s="20">
        <f>表2_3671626293038912131415232425[[#This Row],[累计净值]]/$B$21-1</f>
        <v>0.21900826446280997</v>
      </c>
    </row>
    <row r="158" spans="1:8">
      <c r="A158" s="15">
        <v>44231</v>
      </c>
      <c r="B158" s="112">
        <v>1.482</v>
      </c>
      <c r="C158" s="112">
        <f>C157*(1+表2_3671626293038912131415232425[[#This Row],[每日盈亏]])</f>
        <v>1.287226114180783</v>
      </c>
      <c r="D158" s="108">
        <f>IFERROR(B158-B157,0)</f>
        <v>6.9999999999998952E-3</v>
      </c>
      <c r="E158" s="109" t="str">
        <f t="shared" si="22"/>
        <v>/</v>
      </c>
      <c r="F158" s="109">
        <f ca="1">IF(表2_3671626293038912131415232425[[#This Row],[累计净值]]/MAX(INDIRECT("B21:B" &amp; ROW()))-1&lt;F157,表2_3671626293038912131415232425[[#This Row],[累计净值]]/MAX(INDIRECT("B21:B" &amp; ROW()))-1,F157)</f>
        <v>-6.5859197577592732E-2</v>
      </c>
      <c r="G158" s="110">
        <f>表2_3671626293038912131415232425[[#This Row],[累计净值]]-0.21</f>
        <v>1.272</v>
      </c>
      <c r="H158" s="20">
        <f>表2_3671626293038912131415232425[[#This Row],[累计净值]]/$B$21-1</f>
        <v>0.22479338842975216</v>
      </c>
    </row>
    <row r="159" spans="1:8">
      <c r="A159" s="15">
        <v>44232</v>
      </c>
      <c r="B159" s="112">
        <v>1.482</v>
      </c>
      <c r="C159" s="112">
        <f>C158*(1+表2_3671626293038912131415232425[[#This Row],[每日盈亏]])</f>
        <v>1.287226114180783</v>
      </c>
      <c r="D159" s="108">
        <f>IFERROR(B159-B158,0)</f>
        <v>0</v>
      </c>
      <c r="E159" s="109" t="str">
        <f t="shared" si="22"/>
        <v>/</v>
      </c>
      <c r="F159" s="109">
        <f ca="1">IF(表2_3671626293038912131415232425[[#This Row],[累计净值]]/MAX(INDIRECT("B21:B" &amp; ROW()))-1&lt;F158,表2_3671626293038912131415232425[[#This Row],[累计净值]]/MAX(INDIRECT("B21:B" &amp; ROW()))-1,F158)</f>
        <v>-6.5859197577592732E-2</v>
      </c>
      <c r="G159" s="110">
        <f>表2_3671626293038912131415232425[[#This Row],[累计净值]]-0.21</f>
        <v>1.272</v>
      </c>
      <c r="H159" s="20">
        <f>表2_3671626293038912131415232425[[#This Row],[累计净值]]/$B$21-1</f>
        <v>0.22479338842975216</v>
      </c>
    </row>
    <row r="160" spans="1:8">
      <c r="A160" s="15">
        <v>44235</v>
      </c>
      <c r="B160" s="112">
        <v>1.4970000000000001</v>
      </c>
      <c r="C160" s="112">
        <f>C159*(1+表2_3671626293038912131415232425[[#This Row],[每日盈亏]])</f>
        <v>1.306534505893495</v>
      </c>
      <c r="D160" s="108">
        <f>IFERROR(B160-B159,0)</f>
        <v>1.5000000000000124E-2</v>
      </c>
      <c r="E160" s="109" t="str">
        <f t="shared" ref="E160:E165" si="23">IF(D160&lt;0,D160,"/")</f>
        <v>/</v>
      </c>
      <c r="F160" s="109">
        <f ca="1">IF(表2_3671626293038912131415232425[[#This Row],[累计净值]]/MAX(INDIRECT("B21:B" &amp; ROW()))-1&lt;F159,表2_3671626293038912131415232425[[#This Row],[累计净值]]/MAX(INDIRECT("B21:B" &amp; ROW()))-1,F159)</f>
        <v>-6.5859197577592732E-2</v>
      </c>
      <c r="G160" s="110">
        <f>表2_3671626293038912131415232425[[#This Row],[累计净值]]-0.21</f>
        <v>1.2870000000000001</v>
      </c>
      <c r="H160" s="20">
        <f>表2_3671626293038912131415232425[[#This Row],[累计净值]]/$B$21-1</f>
        <v>0.23719008264462826</v>
      </c>
    </row>
    <row r="161" spans="1:8">
      <c r="A161" s="15">
        <v>44236</v>
      </c>
      <c r="B161" s="112">
        <v>1.4990000000000001</v>
      </c>
      <c r="C161" s="112">
        <f>C160*(1+表2_3671626293038912131415232425[[#This Row],[每日盈亏]])</f>
        <v>1.3091475749052819</v>
      </c>
      <c r="D161" s="108">
        <f>IFERROR(B161-B160,0)</f>
        <v>2.0000000000000018E-3</v>
      </c>
      <c r="E161" s="109" t="str">
        <f t="shared" si="23"/>
        <v>/</v>
      </c>
      <c r="F161" s="109">
        <f ca="1">IF(表2_3671626293038912131415232425[[#This Row],[累计净值]]/MAX(INDIRECT("B21:B" &amp; ROW()))-1&lt;F160,表2_3671626293038912131415232425[[#This Row],[累计净值]]/MAX(INDIRECT("B21:B" &amp; ROW()))-1,F160)</f>
        <v>-6.5859197577592732E-2</v>
      </c>
      <c r="G161" s="110">
        <f>表2_3671626293038912131415232425[[#This Row],[累计净值]]-0.21</f>
        <v>1.2890000000000001</v>
      </c>
      <c r="H161" s="20">
        <f>表2_3671626293038912131415232425[[#This Row],[累计净值]]/$B$21-1</f>
        <v>0.23884297520661169</v>
      </c>
    </row>
    <row r="162" spans="1:8">
      <c r="A162" s="15">
        <v>44237</v>
      </c>
      <c r="B162" s="112">
        <v>1.5309999999999999</v>
      </c>
      <c r="C162" s="112">
        <f>C161*(1+表2_3671626293038912131415232425[[#This Row],[每日盈亏]])</f>
        <v>1.3510402973022506</v>
      </c>
      <c r="D162" s="108">
        <f>IFERROR(B162-B161,0)</f>
        <v>3.1999999999999806E-2</v>
      </c>
      <c r="E162" s="109" t="str">
        <f t="shared" si="23"/>
        <v>/</v>
      </c>
      <c r="F162" s="109">
        <f ca="1">IF(表2_3671626293038912131415232425[[#This Row],[累计净值]]/MAX(INDIRECT("B21:B" &amp; ROW()))-1&lt;F161,表2_3671626293038912131415232425[[#This Row],[累计净值]]/MAX(INDIRECT("B21:B" &amp; ROW()))-1,F161)</f>
        <v>-6.5859197577592732E-2</v>
      </c>
      <c r="G162" s="110">
        <f>表2_3671626293038912131415232425[[#This Row],[累计净值]]-0.21</f>
        <v>1.321</v>
      </c>
      <c r="H162" s="20">
        <f>表2_3671626293038912131415232425[[#This Row],[累计净值]]/$B$21-1</f>
        <v>0.26528925619834709</v>
      </c>
    </row>
    <row r="163" spans="1:8">
      <c r="A163" s="15">
        <v>44245</v>
      </c>
      <c r="B163" s="112">
        <v>1.524</v>
      </c>
      <c r="C163" s="112">
        <f>C162*(1+表2_3671626293038912131415232425[[#This Row],[每日盈亏]])</f>
        <v>1.341583015221135</v>
      </c>
      <c r="D163" s="108">
        <f>IFERROR(B163-B162,0)</f>
        <v>-6.9999999999998952E-3</v>
      </c>
      <c r="E163" s="109">
        <f t="shared" si="23"/>
        <v>-6.9999999999998952E-3</v>
      </c>
      <c r="F163" s="109">
        <f ca="1">IF(表2_3671626293038912131415232425[[#This Row],[累计净值]]/MAX(INDIRECT("B21:B" &amp; ROW()))-1&lt;F162,表2_3671626293038912131415232425[[#This Row],[累计净值]]/MAX(INDIRECT("B21:B" &amp; ROW()))-1,F162)</f>
        <v>-6.5859197577592732E-2</v>
      </c>
      <c r="G163" s="110">
        <f>表2_3671626293038912131415232425[[#This Row],[累计净值]]-0.21</f>
        <v>1.3140000000000001</v>
      </c>
      <c r="H163" s="20">
        <f>表2_3671626293038912131415232425[[#This Row],[累计净值]]/$B$21-1</f>
        <v>0.25950413223140512</v>
      </c>
    </row>
    <row r="164" spans="1:8">
      <c r="A164" s="15">
        <v>44246</v>
      </c>
      <c r="B164" s="112">
        <v>1.5349999999999999</v>
      </c>
      <c r="C164" s="112">
        <f>C163*(1+表2_3671626293038912131415232425[[#This Row],[每日盈亏]])</f>
        <v>1.3563404283885674</v>
      </c>
      <c r="D164" s="108">
        <f>IFERROR(B164-B163,0)</f>
        <v>1.0999999999999899E-2</v>
      </c>
      <c r="E164" s="109" t="str">
        <f t="shared" si="23"/>
        <v>/</v>
      </c>
      <c r="F164" s="109">
        <f ca="1">IF(表2_3671626293038912131415232425[[#This Row],[累计净值]]/MAX(INDIRECT("B21:B" &amp; ROW()))-1&lt;F163,表2_3671626293038912131415232425[[#This Row],[累计净值]]/MAX(INDIRECT("B21:B" &amp; ROW()))-1,F163)</f>
        <v>-6.5859197577592732E-2</v>
      </c>
      <c r="G164" s="110">
        <f>表2_3671626293038912131415232425[[#This Row],[累计净值]]-0.21</f>
        <v>1.325</v>
      </c>
      <c r="H164" s="20">
        <f>表2_3671626293038912131415232425[[#This Row],[累计净值]]/$B$21-1</f>
        <v>0.26859504132231393</v>
      </c>
    </row>
    <row r="165" spans="1:8">
      <c r="A165" s="15">
        <v>44249</v>
      </c>
      <c r="B165" s="112">
        <v>1.482</v>
      </c>
      <c r="C165" s="112">
        <f>C164*(1+表2_3671626293038912131415232425[[#This Row],[每日盈亏]])</f>
        <v>1.2844543856839734</v>
      </c>
      <c r="D165" s="108">
        <f>IFERROR(B165-B164,0)</f>
        <v>-5.2999999999999936E-2</v>
      </c>
      <c r="E165" s="109">
        <f t="shared" si="23"/>
        <v>-5.2999999999999936E-2</v>
      </c>
      <c r="F165" s="109">
        <f ca="1">IF(表2_3671626293038912131415232425[[#This Row],[累计净值]]/MAX(INDIRECT("B21:B" &amp; ROW()))-1&lt;F164,表2_3671626293038912131415232425[[#This Row],[累计净值]]/MAX(INDIRECT("B21:B" &amp; ROW()))-1,F164)</f>
        <v>-6.5859197577592732E-2</v>
      </c>
      <c r="G165" s="110">
        <f>表2_3671626293038912131415232425[[#This Row],[累计净值]]-0.21</f>
        <v>1.272</v>
      </c>
      <c r="H165" s="20">
        <f>表2_3671626293038912131415232425[[#This Row],[累计净值]]/$B$21-1</f>
        <v>0.22479338842975216</v>
      </c>
    </row>
    <row r="166" spans="1:8">
      <c r="A166" s="15">
        <v>44250</v>
      </c>
      <c r="B166" s="112">
        <v>1.486</v>
      </c>
      <c r="C166" s="112">
        <f>C165*(1+表2_3671626293038912131415232425[[#This Row],[每日盈亏]])</f>
        <v>1.2895922032267093</v>
      </c>
      <c r="D166" s="108">
        <f>IFERROR(B166-B165,0)</f>
        <v>4.0000000000000036E-3</v>
      </c>
      <c r="E166" s="109" t="str">
        <f>IF(D166&lt;0,D166,"/")</f>
        <v>/</v>
      </c>
      <c r="F166" s="109">
        <f ca="1">IF(表2_3671626293038912131415232425[[#This Row],[累计净值]]/MAX(INDIRECT("B21:B" &amp; ROW()))-1&lt;F165,表2_3671626293038912131415232425[[#This Row],[累计净值]]/MAX(INDIRECT("B21:B" &amp; ROW()))-1,F165)</f>
        <v>-6.5859197577592732E-2</v>
      </c>
      <c r="G166" s="110">
        <f>表2_3671626293038912131415232425[[#This Row],[累计净值]]-0.21</f>
        <v>1.276</v>
      </c>
      <c r="H166" s="20">
        <f>表2_3671626293038912131415232425[[#This Row],[累计净值]]/$B$21-1</f>
        <v>0.228099173553719</v>
      </c>
    </row>
    <row r="167" spans="1:8">
      <c r="A167" s="15">
        <v>44251</v>
      </c>
      <c r="B167" s="112">
        <v>1.45</v>
      </c>
      <c r="C167" s="112">
        <f>C166*(1+表2_3671626293038912131415232425[[#This Row],[每日盈亏]])</f>
        <v>1.2431668839105476</v>
      </c>
      <c r="D167" s="108">
        <f>IFERROR(B167-B166,0)</f>
        <v>-3.6000000000000032E-2</v>
      </c>
      <c r="E167" s="109">
        <f>IF(D167&lt;0,D167,"/")</f>
        <v>-3.6000000000000032E-2</v>
      </c>
      <c r="F167" s="109">
        <f ca="1">IF(表2_3671626293038912131415232425[[#This Row],[累计净值]]/MAX(INDIRECT("B21:B" &amp; ROW()))-1&lt;F166,表2_3671626293038912131415232425[[#This Row],[累计净值]]/MAX(INDIRECT("B21:B" &amp; ROW()))-1,F166)</f>
        <v>-6.5859197577592732E-2</v>
      </c>
      <c r="G167" s="110">
        <f>表2_3671626293038912131415232425[[#This Row],[累计净值]]-0.21</f>
        <v>1.24</v>
      </c>
      <c r="H167" s="20">
        <f>表2_3671626293038912131415232425[[#This Row],[累计净值]]/$B$21-1</f>
        <v>0.19834710743801653</v>
      </c>
    </row>
    <row r="168" spans="1:8">
      <c r="A168" s="15">
        <v>44252</v>
      </c>
      <c r="B168" s="112">
        <v>1.4610000000000001</v>
      </c>
      <c r="C168" s="112">
        <f>C167*(1+表2_3671626293038912131415232425[[#This Row],[每日盈亏]])</f>
        <v>1.2568417196335637</v>
      </c>
      <c r="D168" s="108">
        <f>IFERROR(B168-B167,0)</f>
        <v>1.1000000000000121E-2</v>
      </c>
      <c r="E168" s="109" t="str">
        <f t="shared" ref="E168:E169" si="24">IF(D168&lt;0,D168,"/")</f>
        <v>/</v>
      </c>
      <c r="F168" s="109">
        <f ca="1">IF(表2_3671626293038912131415232425[[#This Row],[累计净值]]/MAX(INDIRECT("B21:B" &amp; ROW()))-1&lt;F167,表2_3671626293038912131415232425[[#This Row],[累计净值]]/MAX(INDIRECT("B21:B" &amp; ROW()))-1,F167)</f>
        <v>-6.5859197577592732E-2</v>
      </c>
      <c r="G168" s="110">
        <f>表2_3671626293038912131415232425[[#This Row],[累计净值]]-0.21</f>
        <v>1.2510000000000001</v>
      </c>
      <c r="H168" s="20">
        <f>表2_3671626293038912131415232425[[#This Row],[累计净值]]/$B$21-1</f>
        <v>0.20743801652892579</v>
      </c>
    </row>
    <row r="169" spans="1:8">
      <c r="A169" s="15">
        <v>44253</v>
      </c>
      <c r="B169" s="112">
        <v>1.4179999999999999</v>
      </c>
      <c r="C169" s="112">
        <f>C168*(1+表2_3671626293038912131415232425[[#This Row],[每日盈亏]])</f>
        <v>1.2027975256893202</v>
      </c>
      <c r="D169" s="108">
        <f>IFERROR(B169-B168,0)</f>
        <v>-4.3000000000000149E-2</v>
      </c>
      <c r="E169" s="109">
        <f t="shared" si="24"/>
        <v>-4.3000000000000149E-2</v>
      </c>
      <c r="F169" s="109">
        <f ca="1">IF(表2_3671626293038912131415232425[[#This Row],[累计净值]]/MAX(INDIRECT("B21:B" &amp; ROW()))-1&lt;F168,表2_3671626293038912131415232425[[#This Row],[累计净值]]/MAX(INDIRECT("B21:B" &amp; ROW()))-1,F168)</f>
        <v>-7.6221498371335517E-2</v>
      </c>
      <c r="G169" s="110">
        <f>表2_3671626293038912131415232425[[#This Row],[累计净值]]-0.21</f>
        <v>1.208</v>
      </c>
      <c r="H169" s="20">
        <f>表2_3671626293038912131415232425[[#This Row],[累计净值]]/$B$21-1</f>
        <v>0.17190082644628091</v>
      </c>
    </row>
    <row r="170" spans="1:8">
      <c r="A170" s="15">
        <v>44256</v>
      </c>
      <c r="B170" s="112">
        <v>1.4510000000000001</v>
      </c>
      <c r="C170" s="112">
        <f>C169*(1+表2_3671626293038912131415232425[[#This Row],[每日盈亏]])</f>
        <v>1.242489844037068</v>
      </c>
      <c r="D170" s="108">
        <f>IFERROR(B170-B169,0)</f>
        <v>3.300000000000014E-2</v>
      </c>
      <c r="E170" s="109" t="str">
        <f>IF(D170&lt;0,D170,"/")</f>
        <v>/</v>
      </c>
      <c r="F170" s="109">
        <f ca="1">IF(表2_3671626293038912131415232425[[#This Row],[累计净值]]/MAX(INDIRECT("B21:B" &amp; ROW()))-1&lt;F169,表2_3671626293038912131415232425[[#This Row],[累计净值]]/MAX(INDIRECT("B21:B" &amp; ROW()))-1,F169)</f>
        <v>-7.6221498371335517E-2</v>
      </c>
      <c r="G170" s="110">
        <f>表2_3671626293038912131415232425[[#This Row],[累计净值]]-0.21</f>
        <v>1.2410000000000001</v>
      </c>
      <c r="H170" s="20">
        <f>表2_3671626293038912131415232425[[#This Row],[累计净值]]/$B$21-1</f>
        <v>0.19917355371900825</v>
      </c>
    </row>
    <row r="171" spans="1:8">
      <c r="A171" s="15">
        <v>44257</v>
      </c>
      <c r="B171" s="112">
        <v>1.44</v>
      </c>
      <c r="C171" s="112">
        <f>C170*(1+表2_3671626293038912131415232425[[#This Row],[每日盈亏]])</f>
        <v>1.2288224557526601</v>
      </c>
      <c r="D171" s="108">
        <f>IFERROR(B171-B170,0)</f>
        <v>-1.1000000000000121E-2</v>
      </c>
      <c r="E171" s="109">
        <f t="shared" ref="E171" si="25">IF(D171&lt;0,D171,"/")</f>
        <v>-1.1000000000000121E-2</v>
      </c>
      <c r="F171" s="109">
        <f ca="1">IF(表2_3671626293038912131415232425[[#This Row],[累计净值]]/MAX(INDIRECT("B21:B" &amp; ROW()))-1&lt;F170,表2_3671626293038912131415232425[[#This Row],[累计净值]]/MAX(INDIRECT("B21:B" &amp; ROW()))-1,F170)</f>
        <v>-7.6221498371335517E-2</v>
      </c>
      <c r="G171" s="110">
        <f>表2_3671626293038912131415232425[[#This Row],[累计净值]]-0.21</f>
        <v>1.23</v>
      </c>
      <c r="H171" s="20">
        <f>表2_3671626293038912131415232425[[#This Row],[累计净值]]/$B$21-1</f>
        <v>0.19008264462809921</v>
      </c>
    </row>
    <row r="172" spans="1:8">
      <c r="A172" s="15">
        <v>44258</v>
      </c>
      <c r="B172" s="112">
        <v>1.47</v>
      </c>
      <c r="C172" s="112">
        <f>C171*(1+表2_3671626293038912131415232425[[#This Row],[每日盈亏]])</f>
        <v>1.2656871294252399</v>
      </c>
      <c r="D172" s="108">
        <f>IFERROR(B172-B171,0)</f>
        <v>3.0000000000000027E-2</v>
      </c>
      <c r="E172" s="109" t="str">
        <f t="shared" ref="E172:E173" si="26">IF(D172&lt;0,D172,"/")</f>
        <v>/</v>
      </c>
      <c r="F172" s="109">
        <f ca="1">IF(表2_3671626293038912131415232425[[#This Row],[累计净值]]/MAX(INDIRECT("B21:B" &amp; ROW()))-1&lt;F171,表2_3671626293038912131415232425[[#This Row],[累计净值]]/MAX(INDIRECT("B21:B" &amp; ROW()))-1,F171)</f>
        <v>-7.6221498371335517E-2</v>
      </c>
      <c r="G172" s="110">
        <f>表2_3671626293038912131415232425[[#This Row],[累计净值]]-0.21</f>
        <v>1.26</v>
      </c>
      <c r="H172" s="20">
        <f>表2_3671626293038912131415232425[[#This Row],[累计净值]]/$B$21-1</f>
        <v>0.21487603305785119</v>
      </c>
    </row>
    <row r="173" spans="1:8">
      <c r="A173" s="15">
        <v>44259</v>
      </c>
      <c r="B173" s="112">
        <v>1.425</v>
      </c>
      <c r="C173" s="112">
        <f>C172*(1+表2_3671626293038912131415232425[[#This Row],[每日盈亏]])</f>
        <v>1.2087312086011042</v>
      </c>
      <c r="D173" s="108">
        <f>IFERROR(B173-B172,0)</f>
        <v>-4.4999999999999929E-2</v>
      </c>
      <c r="E173" s="109">
        <f t="shared" si="26"/>
        <v>-4.4999999999999929E-2</v>
      </c>
      <c r="F173" s="109">
        <f ca="1">IF(表2_3671626293038912131415232425[[#This Row],[累计净值]]/MAX(INDIRECT("B21:B" &amp; ROW()))-1&lt;F172,表2_3671626293038912131415232425[[#This Row],[累计净值]]/MAX(INDIRECT("B21:B" &amp; ROW()))-1,F172)</f>
        <v>-7.6221498371335517E-2</v>
      </c>
      <c r="G173" s="110">
        <f>表2_3671626293038912131415232425[[#This Row],[累计净值]]-0.21</f>
        <v>1.2150000000000001</v>
      </c>
      <c r="H173" s="20">
        <f>表2_3671626293038912131415232425[[#This Row],[累计净值]]/$B$21-1</f>
        <v>0.1776859504132231</v>
      </c>
    </row>
    <row r="174" spans="1:8">
      <c r="A174" s="15">
        <v>44260</v>
      </c>
      <c r="B174" s="112">
        <v>1.413</v>
      </c>
      <c r="C174" s="112">
        <f>C173*(1+表2_3671626293038912131415232425[[#This Row],[每日盈亏]])</f>
        <v>1.194226434097891</v>
      </c>
      <c r="D174" s="108">
        <f>IFERROR(B174-B173,0)</f>
        <v>-1.2000000000000011E-2</v>
      </c>
      <c r="E174" s="109">
        <f t="shared" ref="E174:E180" si="27">IF(D174&lt;0,D174,"/")</f>
        <v>-1.2000000000000011E-2</v>
      </c>
      <c r="F174" s="109">
        <f ca="1">IF(表2_3671626293038912131415232425[[#This Row],[累计净值]]/MAX(INDIRECT("B21:B" &amp; ROW()))-1&lt;F173,表2_3671626293038912131415232425[[#This Row],[累计净值]]/MAX(INDIRECT("B21:B" &amp; ROW()))-1,F173)</f>
        <v>-7.947882736156342E-2</v>
      </c>
      <c r="G174" s="110">
        <f>表2_3671626293038912131415232425[[#This Row],[累计净值]]-0.21</f>
        <v>1.2030000000000001</v>
      </c>
      <c r="H174" s="20">
        <f>表2_3671626293038912131415232425[[#This Row],[累计净值]]/$B$21-1</f>
        <v>0.16776859504132235</v>
      </c>
    </row>
    <row r="175" spans="1:8">
      <c r="A175" s="15">
        <v>44263</v>
      </c>
      <c r="B175" s="112">
        <v>1.3759999999999999</v>
      </c>
      <c r="C175" s="112">
        <f>C174*(1+表2_3671626293038912131415232425[[#This Row],[每日盈亏]])</f>
        <v>1.1500400560362689</v>
      </c>
      <c r="D175" s="108">
        <f>IFERROR(B175-B174,0)</f>
        <v>-3.7000000000000144E-2</v>
      </c>
      <c r="E175" s="109">
        <f t="shared" si="27"/>
        <v>-3.7000000000000144E-2</v>
      </c>
      <c r="F175" s="109">
        <f ca="1">IF(表2_3671626293038912131415232425[[#This Row],[累计净值]]/MAX(INDIRECT("B21:B" &amp; ROW()))-1&lt;F174,表2_3671626293038912131415232425[[#This Row],[累计净值]]/MAX(INDIRECT("B21:B" &amp; ROW()))-1,F174)</f>
        <v>-0.10358306188925082</v>
      </c>
      <c r="G175" s="110">
        <f>表2_3671626293038912131415232425[[#This Row],[累计净值]]-0.21</f>
        <v>1.1659999999999999</v>
      </c>
      <c r="H175" s="20">
        <f>表2_3671626293038912131415232425[[#This Row],[累计净值]]/$B$21-1</f>
        <v>0.13719008264462795</v>
      </c>
    </row>
    <row r="176" spans="1:8">
      <c r="A176" s="15">
        <v>44264</v>
      </c>
      <c r="B176" s="112">
        <v>1.381</v>
      </c>
      <c r="C176" s="112">
        <f>C175*(1+表2_3671626293038912131415232425[[#This Row],[每日盈亏]])</f>
        <v>1.1557902563164504</v>
      </c>
      <c r="D176" s="108">
        <f>IFERROR(B176-B175,0)</f>
        <v>5.0000000000001155E-3</v>
      </c>
      <c r="E176" s="109" t="str">
        <f t="shared" si="27"/>
        <v>/</v>
      </c>
      <c r="F176" s="109">
        <f ca="1">IF(表2_3671626293038912131415232425[[#This Row],[累计净值]]/MAX(INDIRECT("B21:B" &amp; ROW()))-1&lt;F175,表2_3671626293038912131415232425[[#This Row],[累计净值]]/MAX(INDIRECT("B21:B" &amp; ROW()))-1,F175)</f>
        <v>-0.10358306188925082</v>
      </c>
      <c r="G176" s="110">
        <f>表2_3671626293038912131415232425[[#This Row],[累计净值]]-0.21</f>
        <v>1.171</v>
      </c>
      <c r="H176" s="20">
        <f>表2_3671626293038912131415232425[[#This Row],[累计净值]]/$B$21-1</f>
        <v>0.14132231404958673</v>
      </c>
    </row>
    <row r="177" spans="1:8">
      <c r="A177" s="15">
        <v>44265</v>
      </c>
      <c r="B177" s="112">
        <v>1.3879999999999999</v>
      </c>
      <c r="C177" s="112">
        <f>C176*(1+表2_3671626293038912131415232425[[#This Row],[每日盈亏]])</f>
        <v>1.1638807881106654</v>
      </c>
      <c r="D177" s="108">
        <f>IFERROR(B177-B176,0)</f>
        <v>6.9999999999998952E-3</v>
      </c>
      <c r="E177" s="109" t="str">
        <f t="shared" si="27"/>
        <v>/</v>
      </c>
      <c r="F177" s="109">
        <f ca="1">IF(表2_3671626293038912131415232425[[#This Row],[累计净值]]/MAX(INDIRECT("B21:B" &amp; ROW()))-1&lt;F176,表2_3671626293038912131415232425[[#This Row],[累计净值]]/MAX(INDIRECT("B21:B" &amp; ROW()))-1,F176)</f>
        <v>-0.10358306188925082</v>
      </c>
      <c r="G177" s="110">
        <f>表2_3671626293038912131415232425[[#This Row],[累计净值]]-0.21</f>
        <v>1.1779999999999999</v>
      </c>
      <c r="H177" s="20">
        <f>表2_3671626293038912131415232425[[#This Row],[累计净值]]/$B$21-1</f>
        <v>0.14710743801652892</v>
      </c>
    </row>
    <row r="178" spans="1:8">
      <c r="A178" s="15">
        <v>44266</v>
      </c>
      <c r="B178" s="112">
        <v>1.423</v>
      </c>
      <c r="C178" s="112">
        <f>C177*(1+表2_3671626293038912131415232425[[#This Row],[每日盈亏]])</f>
        <v>1.2046166156945388</v>
      </c>
      <c r="D178" s="108">
        <f>IFERROR(B178-B177,0)</f>
        <v>3.5000000000000142E-2</v>
      </c>
      <c r="E178" s="109" t="str">
        <f t="shared" si="27"/>
        <v>/</v>
      </c>
      <c r="F178" s="109">
        <f ca="1">IF(表2_3671626293038912131415232425[[#This Row],[累计净值]]/MAX(INDIRECT("B21:B" &amp; ROW()))-1&lt;F177,表2_3671626293038912131415232425[[#This Row],[累计净值]]/MAX(INDIRECT("B21:B" &amp; ROW()))-1,F177)</f>
        <v>-0.10358306188925082</v>
      </c>
      <c r="G178" s="110">
        <f>表2_3671626293038912131415232425[[#This Row],[累计净值]]-0.21</f>
        <v>1.2130000000000001</v>
      </c>
      <c r="H178" s="20">
        <f>表2_3671626293038912131415232425[[#This Row],[累计净值]]/$B$21-1</f>
        <v>0.17603305785123968</v>
      </c>
    </row>
    <row r="179" spans="1:8">
      <c r="A179" s="15">
        <v>44267</v>
      </c>
      <c r="B179" s="112">
        <v>1.403</v>
      </c>
      <c r="C179" s="112">
        <f>C178*(1+表2_3671626293038912131415232425[[#This Row],[每日盈亏]])</f>
        <v>1.180524283380648</v>
      </c>
      <c r="D179" s="108">
        <f>IFERROR(B179-B178,0)</f>
        <v>-2.0000000000000018E-2</v>
      </c>
      <c r="E179" s="109">
        <f t="shared" si="27"/>
        <v>-2.0000000000000018E-2</v>
      </c>
      <c r="F179" s="109">
        <f ca="1">IF(表2_3671626293038912131415232425[[#This Row],[累计净值]]/MAX(INDIRECT("B21:B" &amp; ROW()))-1&lt;F178,表2_3671626293038912131415232425[[#This Row],[累计净值]]/MAX(INDIRECT("B21:B" &amp; ROW()))-1,F178)</f>
        <v>-0.10358306188925082</v>
      </c>
      <c r="G179" s="110">
        <f>表2_3671626293038912131415232425[[#This Row],[累计净值]]-0.21</f>
        <v>1.1930000000000001</v>
      </c>
      <c r="H179" s="20">
        <f>表2_3671626293038912131415232425[[#This Row],[累计净值]]/$B$21-1</f>
        <v>0.15950413223140503</v>
      </c>
    </row>
    <row r="180" spans="1:8">
      <c r="A180" s="15">
        <v>44270</v>
      </c>
      <c r="B180" s="112">
        <v>1.385</v>
      </c>
      <c r="C180" s="112">
        <f>C179*(1+表2_3671626293038912131415232425[[#This Row],[每日盈亏]])</f>
        <v>1.1592748462797964</v>
      </c>
      <c r="D180" s="108">
        <f>IFERROR(B180-B179,0)</f>
        <v>-1.8000000000000016E-2</v>
      </c>
      <c r="E180" s="109">
        <f t="shared" si="27"/>
        <v>-1.8000000000000016E-2</v>
      </c>
      <c r="F180" s="109">
        <f ca="1">IF(表2_3671626293038912131415232425[[#This Row],[累计净值]]/MAX(INDIRECT("B21:B" &amp; ROW()))-1&lt;F179,表2_3671626293038912131415232425[[#This Row],[累计净值]]/MAX(INDIRECT("B21:B" &amp; ROW()))-1,F179)</f>
        <v>-0.10358306188925082</v>
      </c>
      <c r="G180" s="110">
        <f>表2_3671626293038912131415232425[[#This Row],[累计净值]]-0.21</f>
        <v>1.175</v>
      </c>
      <c r="H180" s="20">
        <f>表2_3671626293038912131415232425[[#This Row],[累计净值]]/$B$21-1</f>
        <v>0.14462809917355379</v>
      </c>
    </row>
    <row r="181" spans="1:8">
      <c r="A181" s="15">
        <v>44271</v>
      </c>
      <c r="B181" s="112">
        <v>1.399</v>
      </c>
      <c r="C181" s="112">
        <f>C180*(1+表2_3671626293038912131415232425[[#This Row],[每日盈亏]])</f>
        <v>1.1755046941277136</v>
      </c>
      <c r="D181" s="108">
        <f>IFERROR(B181-B180,0)</f>
        <v>1.4000000000000012E-2</v>
      </c>
      <c r="E181" s="109" t="str">
        <f>IF(D181&lt;0,D181,"/")</f>
        <v>/</v>
      </c>
      <c r="F181" s="109">
        <f ca="1">IF(表2_3671626293038912131415232425[[#This Row],[累计净值]]/MAX(INDIRECT("B21:B" &amp; ROW()))-1&lt;F180,表2_3671626293038912131415232425[[#This Row],[累计净值]]/MAX(INDIRECT("B21:B" &amp; ROW()))-1,F180)</f>
        <v>-0.10358306188925082</v>
      </c>
      <c r="G181" s="110">
        <f>表2_3671626293038912131415232425[[#This Row],[累计净值]]-0.21</f>
        <v>1.1890000000000001</v>
      </c>
      <c r="H181" s="20">
        <f>表2_3671626293038912131415232425[[#This Row],[累计净值]]/$B$21-1</f>
        <v>0.15619834710743796</v>
      </c>
    </row>
    <row r="182" spans="1:8">
      <c r="A182" s="15">
        <v>44272</v>
      </c>
      <c r="B182" s="112">
        <v>1.4019999999999999</v>
      </c>
      <c r="C182" s="112">
        <f>C181*(1+表2_3671626293038912131415232425[[#This Row],[每日盈亏]])</f>
        <v>1.1790312082100967</v>
      </c>
      <c r="D182" s="108">
        <f>IFERROR(B182-B181,0)</f>
        <v>2.9999999999998916E-3</v>
      </c>
      <c r="E182" s="109" t="str">
        <f>IF(D182&lt;0,D182,"/")</f>
        <v>/</v>
      </c>
      <c r="F182" s="109">
        <f ca="1">IF(表2_3671626293038912131415232425[[#This Row],[累计净值]]/MAX(INDIRECT("B21:B" &amp; ROW()))-1&lt;F181,表2_3671626293038912131415232425[[#This Row],[累计净值]]/MAX(INDIRECT("B21:B" &amp; ROW()))-1,F181)</f>
        <v>-0.10358306188925082</v>
      </c>
      <c r="G182" s="110">
        <f>表2_3671626293038912131415232425[[#This Row],[累计净值]]-0.21</f>
        <v>1.1919999999999999</v>
      </c>
      <c r="H182" s="20">
        <f>表2_3671626293038912131415232425[[#This Row],[累计净值]]/$B$21-1</f>
        <v>0.15867768595041309</v>
      </c>
    </row>
    <row r="183" spans="1:8">
      <c r="A183" s="15">
        <v>44273</v>
      </c>
      <c r="B183" s="112">
        <v>1.4179999999999999</v>
      </c>
      <c r="C183" s="112">
        <f>C182*(1+表2_3671626293038912131415232425[[#This Row],[每日盈亏]])</f>
        <v>1.1978957075414582</v>
      </c>
      <c r="D183" s="108">
        <f>IFERROR(B183-B182,0)</f>
        <v>1.6000000000000014E-2</v>
      </c>
      <c r="E183" s="109" t="str">
        <f>IF(D183&lt;0,D183,"/")</f>
        <v>/</v>
      </c>
      <c r="F183" s="109">
        <f ca="1">IF(表2_3671626293038912131415232425[[#This Row],[累计净值]]/MAX(INDIRECT("B21:B" &amp; ROW()))-1&lt;F182,表2_3671626293038912131415232425[[#This Row],[累计净值]]/MAX(INDIRECT("B21:B" &amp; ROW()))-1,F182)</f>
        <v>-0.10358306188925082</v>
      </c>
      <c r="G183" s="110">
        <f>表2_3671626293038912131415232425[[#This Row],[累计净值]]-0.21</f>
        <v>1.208</v>
      </c>
      <c r="H183" s="20">
        <f>表2_3671626293038912131415232425[[#This Row],[累计净值]]/$B$21-1</f>
        <v>0.17190082644628091</v>
      </c>
    </row>
    <row r="184" spans="1:8">
      <c r="A184" s="15">
        <v>44274</v>
      </c>
      <c r="B184" s="112">
        <v>1.3979999999999999</v>
      </c>
      <c r="C184" s="112">
        <f>C183*(1+表2_3671626293038912131415232425[[#This Row],[每日盈亏]])</f>
        <v>1.173937793390629</v>
      </c>
      <c r="D184" s="108">
        <f>IFERROR(B184-B183,0)</f>
        <v>-2.0000000000000018E-2</v>
      </c>
      <c r="E184" s="109">
        <f>IF(D184&lt;0,D184,"/")</f>
        <v>-2.0000000000000018E-2</v>
      </c>
      <c r="F184" s="109">
        <f ca="1">IF(表2_3671626293038912131415232425[[#This Row],[累计净值]]/MAX(INDIRECT("B21:B" &amp; ROW()))-1&lt;F183,表2_3671626293038912131415232425[[#This Row],[累计净值]]/MAX(INDIRECT("B21:B" &amp; ROW()))-1,F183)</f>
        <v>-0.10358306188925082</v>
      </c>
      <c r="G184" s="110">
        <f>表2_3671626293038912131415232425[[#This Row],[累计净值]]-0.21</f>
        <v>1.1879999999999999</v>
      </c>
      <c r="H184" s="20">
        <f>表2_3671626293038912131415232425[[#This Row],[累计净值]]/$B$21-1</f>
        <v>0.15537190082644625</v>
      </c>
    </row>
    <row r="185" spans="1:8">
      <c r="A185" s="15">
        <v>44277</v>
      </c>
      <c r="B185" s="112">
        <v>1.403</v>
      </c>
      <c r="C185" s="112">
        <f>C184*(1+表2_3671626293038912131415232425[[#This Row],[每日盈亏]])</f>
        <v>1.1798074823575824</v>
      </c>
      <c r="D185" s="108">
        <f>IFERROR(B185-B184,0)</f>
        <v>5.0000000000001155E-3</v>
      </c>
      <c r="E185" s="109" t="str">
        <f>IF(D185&lt;0,D185,"/")</f>
        <v>/</v>
      </c>
      <c r="F185" s="109">
        <f ca="1">IF(表2_3671626293038912131415232425[[#This Row],[累计净值]]/MAX(INDIRECT("B21:B" &amp; ROW()))-1&lt;F184,表2_3671626293038912131415232425[[#This Row],[累计净值]]/MAX(INDIRECT("B21:B" &amp; ROW()))-1,F184)</f>
        <v>-0.10358306188925082</v>
      </c>
      <c r="G185" s="110">
        <f>表2_3671626293038912131415232425[[#This Row],[累计净值]]-0.21</f>
        <v>1.1930000000000001</v>
      </c>
      <c r="H185" s="20">
        <f>表2_3671626293038912131415232425[[#This Row],[累计净值]]/$B$21-1</f>
        <v>0.15950413223140503</v>
      </c>
    </row>
    <row r="186" spans="1:8">
      <c r="A186" s="15">
        <v>44278</v>
      </c>
      <c r="B186" s="112">
        <v>1.3839999999999999</v>
      </c>
      <c r="C186" s="112">
        <f>C185*(1+表2_3671626293038912131415232425[[#This Row],[每日盈亏]])</f>
        <v>1.1573911401927881</v>
      </c>
      <c r="D186" s="108">
        <f>IFERROR(B186-B185,0)</f>
        <v>-1.9000000000000128E-2</v>
      </c>
      <c r="E186" s="109">
        <f t="shared" ref="E186:E189" si="28">IF(D186&lt;0,D186,"/")</f>
        <v>-1.9000000000000128E-2</v>
      </c>
      <c r="F186" s="109">
        <f ca="1">IF(表2_3671626293038912131415232425[[#This Row],[累计净值]]/MAX(INDIRECT("B21:B" &amp; ROW()))-1&lt;F185,表2_3671626293038912131415232425[[#This Row],[累计净值]]/MAX(INDIRECT("B21:B" &amp; ROW()))-1,F185)</f>
        <v>-0.10358306188925082</v>
      </c>
      <c r="G186" s="110">
        <f>表2_3671626293038912131415232425[[#This Row],[累计净值]]-0.21</f>
        <v>1.1739999999999999</v>
      </c>
      <c r="H186" s="20">
        <f>表2_3671626293038912131415232425[[#This Row],[累计净值]]/$B$21-1</f>
        <v>0.14380165289256186</v>
      </c>
    </row>
    <row r="187" spans="1:8">
      <c r="A187" s="15">
        <v>44279</v>
      </c>
      <c r="B187" s="112">
        <v>1.37</v>
      </c>
      <c r="C187" s="112">
        <f>C186*(1+表2_3671626293038912131415232425[[#This Row],[每日盈亏]])</f>
        <v>1.1411876642300893</v>
      </c>
      <c r="D187" s="108">
        <f>IFERROR(B187-B186,0)</f>
        <v>-1.399999999999979E-2</v>
      </c>
      <c r="E187" s="109">
        <f t="shared" si="28"/>
        <v>-1.399999999999979E-2</v>
      </c>
      <c r="F187" s="109">
        <f ca="1">IF(表2_3671626293038912131415232425[[#This Row],[累计净值]]/MAX(INDIRECT("B21:B" &amp; ROW()))-1&lt;F186,表2_3671626293038912131415232425[[#This Row],[累计净值]]/MAX(INDIRECT("B21:B" &amp; ROW()))-1,F186)</f>
        <v>-0.10749185667752437</v>
      </c>
      <c r="G187" s="110">
        <f>表2_3671626293038912131415232425[[#This Row],[累计净值]]-0.21</f>
        <v>1.1600000000000001</v>
      </c>
      <c r="H187" s="20">
        <f>表2_3671626293038912131415232425[[#This Row],[累计净值]]/$B$21-1</f>
        <v>0.13223140495867791</v>
      </c>
    </row>
    <row r="188" spans="1:8">
      <c r="A188" s="15">
        <v>44280</v>
      </c>
      <c r="B188" s="112">
        <v>1.3580000000000001</v>
      </c>
      <c r="C188" s="112">
        <f>C187*(1+表2_3671626293038912131415232425[[#This Row],[每日盈亏]])</f>
        <v>1.1274934122593283</v>
      </c>
      <c r="D188" s="108">
        <f>IFERROR(B188-B187,0)</f>
        <v>-1.2000000000000011E-2</v>
      </c>
      <c r="E188" s="109">
        <f t="shared" si="28"/>
        <v>-1.2000000000000011E-2</v>
      </c>
      <c r="F188" s="109">
        <f ca="1">IF(表2_3671626293038912131415232425[[#This Row],[累计净值]]/MAX(INDIRECT("B21:B" &amp; ROW()))-1&lt;F187,表2_3671626293038912131415232425[[#This Row],[累计净值]]/MAX(INDIRECT("B21:B" &amp; ROW()))-1,F187)</f>
        <v>-0.11530944625407158</v>
      </c>
      <c r="G188" s="110">
        <f>表2_3671626293038912131415232425[[#This Row],[累计净值]]-0.21</f>
        <v>1.1480000000000001</v>
      </c>
      <c r="H188" s="20">
        <f>表2_3671626293038912131415232425[[#This Row],[累计净值]]/$B$21-1</f>
        <v>0.12231404958677694</v>
      </c>
    </row>
    <row r="189" spans="1:8">
      <c r="A189" s="15">
        <v>44281</v>
      </c>
      <c r="B189" s="112">
        <v>1.379</v>
      </c>
      <c r="C189" s="112">
        <f>C188*(1+表2_3671626293038912131415232425[[#This Row],[每日盈亏]])</f>
        <v>1.151170773916774</v>
      </c>
      <c r="D189" s="108">
        <f>IFERROR(B189-B188,0)</f>
        <v>2.0999999999999908E-2</v>
      </c>
      <c r="E189" s="109" t="str">
        <f t="shared" si="28"/>
        <v>/</v>
      </c>
      <c r="F189" s="109">
        <f ca="1">IF(表2_3671626293038912131415232425[[#This Row],[累计净值]]/MAX(INDIRECT("B21:B" &amp; ROW()))-1&lt;F188,表2_3671626293038912131415232425[[#This Row],[累计净值]]/MAX(INDIRECT("B21:B" &amp; ROW()))-1,F188)</f>
        <v>-0.11530944625407158</v>
      </c>
      <c r="G189" s="110">
        <f>表2_3671626293038912131415232425[[#This Row],[累计净值]]-0.21</f>
        <v>1.169</v>
      </c>
      <c r="H189" s="20">
        <f>表2_3671626293038912131415232425[[#This Row],[累计净值]]/$B$21-1</f>
        <v>0.13966942148760331</v>
      </c>
    </row>
    <row r="190" spans="1:8">
      <c r="A190" s="15">
        <v>44284</v>
      </c>
      <c r="B190" s="112">
        <v>1.369</v>
      </c>
      <c r="C190" s="112">
        <f>C189*(1+表2_3671626293038912131415232425[[#This Row],[每日盈亏]])</f>
        <v>1.1396590661776063</v>
      </c>
      <c r="D190" s="108">
        <f>IFERROR(B190-B189,0)</f>
        <v>-1.0000000000000009E-2</v>
      </c>
      <c r="E190" s="109">
        <f t="shared" ref="E190:E196" si="29">IF(D190&lt;0,D190,"/")</f>
        <v>-1.0000000000000009E-2</v>
      </c>
      <c r="F190" s="109">
        <f ca="1">IF(表2_3671626293038912131415232425[[#This Row],[累计净值]]/MAX(INDIRECT("B21:B" &amp; ROW()))-1&lt;F189,表2_3671626293038912131415232425[[#This Row],[累计净值]]/MAX(INDIRECT("B21:B" &amp; ROW()))-1,F189)</f>
        <v>-0.11530944625407158</v>
      </c>
      <c r="G190" s="110">
        <f>表2_3671626293038912131415232425[[#This Row],[累计净值]]-0.21</f>
        <v>1.159</v>
      </c>
      <c r="H190" s="20">
        <f>表2_3671626293038912131415232425[[#This Row],[累计净值]]/$B$21-1</f>
        <v>0.13140495867768598</v>
      </c>
    </row>
    <row r="191" spans="1:8">
      <c r="A191" s="15">
        <v>44285</v>
      </c>
      <c r="B191" s="112">
        <v>1.3839999999999999</v>
      </c>
      <c r="C191" s="112">
        <f>C190*(1+表2_3671626293038912131415232425[[#This Row],[每日盈亏]])</f>
        <v>1.1567539521702703</v>
      </c>
      <c r="D191" s="108">
        <f>IFERROR(B191-B190,0)</f>
        <v>1.4999999999999902E-2</v>
      </c>
      <c r="E191" s="109" t="str">
        <f t="shared" si="29"/>
        <v>/</v>
      </c>
      <c r="F191" s="109">
        <f ca="1">IF(表2_3671626293038912131415232425[[#This Row],[累计净值]]/MAX(INDIRECT("B21:B" &amp; ROW()))-1&lt;F190,表2_3671626293038912131415232425[[#This Row],[累计净值]]/MAX(INDIRECT("B21:B" &amp; ROW()))-1,F190)</f>
        <v>-0.11530944625407158</v>
      </c>
      <c r="G191" s="110">
        <f>表2_3671626293038912131415232425[[#This Row],[累计净值]]-0.21</f>
        <v>1.1739999999999999</v>
      </c>
      <c r="H191" s="20">
        <f>表2_3671626293038912131415232425[[#This Row],[累计净值]]/$B$21-1</f>
        <v>0.14380165289256186</v>
      </c>
    </row>
    <row r="192" spans="1:8">
      <c r="A192" s="15">
        <v>44286</v>
      </c>
      <c r="B192" s="112">
        <v>1.3759999999999999</v>
      </c>
      <c r="C192" s="112">
        <f>C191*(1+表2_3671626293038912131415232425[[#This Row],[每日盈亏]])</f>
        <v>1.1474999205529082</v>
      </c>
      <c r="D192" s="108">
        <f>IFERROR(B192-B191,0)</f>
        <v>-8.0000000000000071E-3</v>
      </c>
      <c r="E192" s="109">
        <f t="shared" si="29"/>
        <v>-8.0000000000000071E-3</v>
      </c>
      <c r="F192" s="109">
        <f ca="1">IF(表2_3671626293038912131415232425[[#This Row],[累计净值]]/MAX(INDIRECT("B21:B" &amp; ROW()))-1&lt;F191,表2_3671626293038912131415232425[[#This Row],[累计净值]]/MAX(INDIRECT("B21:B" &amp; ROW()))-1,F191)</f>
        <v>-0.11530944625407158</v>
      </c>
      <c r="G192" s="110">
        <f>表2_3671626293038912131415232425[[#This Row],[累计净值]]-0.21</f>
        <v>1.1659999999999999</v>
      </c>
      <c r="H192" s="20">
        <f>表2_3671626293038912131415232425[[#This Row],[累计净值]]/$B$21-1</f>
        <v>0.13719008264462795</v>
      </c>
    </row>
    <row r="193" spans="1:8">
      <c r="A193" s="15">
        <v>44287</v>
      </c>
      <c r="B193" s="112">
        <v>1.41</v>
      </c>
      <c r="C193" s="112">
        <f>C192*(1+表2_3671626293038912131415232425[[#This Row],[每日盈亏]])</f>
        <v>1.1865149178517072</v>
      </c>
      <c r="D193" s="108">
        <f>IFERROR(B193-B192,0)</f>
        <v>3.400000000000003E-2</v>
      </c>
      <c r="E193" s="109" t="str">
        <f t="shared" si="29"/>
        <v>/</v>
      </c>
      <c r="F193" s="109">
        <f ca="1">IF(表2_3671626293038912131415232425[[#This Row],[累计净值]]/MAX(INDIRECT("B21:B" &amp; ROW()))-1&lt;F192,表2_3671626293038912131415232425[[#This Row],[累计净值]]/MAX(INDIRECT("B21:B" &amp; ROW()))-1,F192)</f>
        <v>-0.11530944625407158</v>
      </c>
      <c r="G193" s="110">
        <f>表2_3671626293038912131415232425[[#This Row],[累计净值]]-0.21</f>
        <v>1.2</v>
      </c>
      <c r="H193" s="20">
        <f>表2_3671626293038912131415232425[[#This Row],[累计净值]]/$B$21-1</f>
        <v>0.165289256198347</v>
      </c>
    </row>
    <row r="194" spans="1:8">
      <c r="A194" s="15">
        <v>44288</v>
      </c>
      <c r="B194" s="112">
        <v>1.42</v>
      </c>
      <c r="C194" s="112">
        <f>C193*(1+表2_3671626293038912131415232425[[#This Row],[每日盈亏]])</f>
        <v>1.1983800670302243</v>
      </c>
      <c r="D194" s="108">
        <f>IFERROR(B194-B193,0)</f>
        <v>1.0000000000000009E-2</v>
      </c>
      <c r="E194" s="109" t="str">
        <f t="shared" si="29"/>
        <v>/</v>
      </c>
      <c r="F194" s="109">
        <f ca="1">IF(表2_3671626293038912131415232425[[#This Row],[累计净值]]/MAX(INDIRECT("B21:B" &amp; ROW()))-1&lt;F193,表2_3671626293038912131415232425[[#This Row],[累计净值]]/MAX(INDIRECT("B21:B" &amp; ROW()))-1,F193)</f>
        <v>-0.11530944625407158</v>
      </c>
      <c r="G194" s="110">
        <f>表2_3671626293038912131415232425[[#This Row],[累计净值]]-0.21</f>
        <v>1.21</v>
      </c>
      <c r="H194" s="20">
        <f>表2_3671626293038912131415232425[[#This Row],[累计净值]]/$B$21-1</f>
        <v>0.17355371900826433</v>
      </c>
    </row>
    <row r="195" spans="1:8">
      <c r="A195" s="15">
        <v>44292</v>
      </c>
      <c r="B195" s="112">
        <v>1.4159999999999999</v>
      </c>
      <c r="C195" s="112">
        <f>C194*(1+表2_3671626293038912131415232425[[#This Row],[每日盈亏]])</f>
        <v>1.1935865467621034</v>
      </c>
      <c r="D195" s="108">
        <f>IFERROR(B195-B194,0)</f>
        <v>-4.0000000000000036E-3</v>
      </c>
      <c r="E195" s="109">
        <f t="shared" si="29"/>
        <v>-4.0000000000000036E-3</v>
      </c>
      <c r="F195" s="109">
        <f ca="1">IF(表2_3671626293038912131415232425[[#This Row],[累计净值]]/MAX(INDIRECT("B21:B" &amp; ROW()))-1&lt;F194,表2_3671626293038912131415232425[[#This Row],[累计净值]]/MAX(INDIRECT("B21:B" &amp; ROW()))-1,F194)</f>
        <v>-0.11530944625407158</v>
      </c>
      <c r="G195" s="110">
        <f>表2_3671626293038912131415232425[[#This Row],[累计净值]]-0.21</f>
        <v>1.206</v>
      </c>
      <c r="H195" s="20">
        <f>表2_3671626293038912131415232425[[#This Row],[累计净值]]/$B$21-1</f>
        <v>0.17024793388429749</v>
      </c>
    </row>
    <row r="196" spans="1:8">
      <c r="A196" s="15">
        <v>44293</v>
      </c>
      <c r="B196" s="112">
        <v>1.3959999999999999</v>
      </c>
      <c r="C196" s="112">
        <f>C195*(1+表2_3671626293038912131415232425[[#This Row],[每日盈亏]])</f>
        <v>1.1697148158268613</v>
      </c>
      <c r="D196" s="108">
        <f>IFERROR(B196-B195,0)</f>
        <v>-2.0000000000000018E-2</v>
      </c>
      <c r="E196" s="109">
        <f t="shared" si="29"/>
        <v>-2.0000000000000018E-2</v>
      </c>
      <c r="F196" s="109">
        <f ca="1">IF(表2_3671626293038912131415232425[[#This Row],[累计净值]]/MAX(INDIRECT("B21:B" &amp; ROW()))-1&lt;F195,表2_3671626293038912131415232425[[#This Row],[累计净值]]/MAX(INDIRECT("B21:B" &amp; ROW()))-1,F195)</f>
        <v>-0.11530944625407158</v>
      </c>
      <c r="G196" s="110">
        <f>表2_3671626293038912131415232425[[#This Row],[累计净值]]-0.21</f>
        <v>1.1859999999999999</v>
      </c>
      <c r="H196" s="20">
        <f>表2_3671626293038912131415232425[[#This Row],[累计净值]]/$B$21-1</f>
        <v>0.15371900826446283</v>
      </c>
    </row>
    <row r="197" spans="1:8">
      <c r="A197" s="15">
        <v>44294</v>
      </c>
      <c r="B197" s="112">
        <v>1.3919999999999999</v>
      </c>
      <c r="C197" s="112">
        <f>C196*(1+表2_3671626293038912131415232425[[#This Row],[每日盈亏]])</f>
        <v>1.165035956563554</v>
      </c>
      <c r="D197" s="108">
        <f>IFERROR(B197-B196,0)</f>
        <v>-4.0000000000000036E-3</v>
      </c>
      <c r="E197" s="109">
        <f t="shared" ref="E197:E202" si="30">IF(D197&lt;0,D197,"/")</f>
        <v>-4.0000000000000036E-3</v>
      </c>
      <c r="F197" s="109">
        <f ca="1">IF(表2_3671626293038912131415232425[[#This Row],[累计净值]]/MAX(INDIRECT("B21:B" &amp; ROW()))-1&lt;F196,表2_3671626293038912131415232425[[#This Row],[累计净值]]/MAX(INDIRECT("B21:B" &amp; ROW()))-1,F196)</f>
        <v>-0.11530944625407158</v>
      </c>
      <c r="G197" s="110">
        <f>表2_3671626293038912131415232425[[#This Row],[累计净值]]-0.21</f>
        <v>1.1819999999999999</v>
      </c>
      <c r="H197" s="20">
        <f>表2_3671626293038912131415232425[[#This Row],[累计净值]]/$B$21-1</f>
        <v>0.15041322314049577</v>
      </c>
    </row>
    <row r="198" spans="1:8">
      <c r="A198" s="15">
        <v>44295</v>
      </c>
      <c r="B198" s="112">
        <v>1.3779999999999999</v>
      </c>
      <c r="C198" s="112">
        <f>C197*(1+表2_3671626293038912131415232425[[#This Row],[每日盈亏]])</f>
        <v>1.1487254531716642</v>
      </c>
      <c r="D198" s="108">
        <f>IFERROR(B198-B197,0)</f>
        <v>-1.4000000000000012E-2</v>
      </c>
      <c r="E198" s="109">
        <f t="shared" si="30"/>
        <v>-1.4000000000000012E-2</v>
      </c>
      <c r="F198" s="109">
        <f ca="1">IF(表2_3671626293038912131415232425[[#This Row],[累计净值]]/MAX(INDIRECT("B21:B" &amp; ROW()))-1&lt;F197,表2_3671626293038912131415232425[[#This Row],[累计净值]]/MAX(INDIRECT("B21:B" &amp; ROW()))-1,F197)</f>
        <v>-0.11530944625407158</v>
      </c>
      <c r="G198" s="110">
        <f>表2_3671626293038912131415232425[[#This Row],[累计净值]]-0.21</f>
        <v>1.1679999999999999</v>
      </c>
      <c r="H198" s="20">
        <f>表2_3671626293038912131415232425[[#This Row],[累计净值]]/$B$21-1</f>
        <v>0.1388429752066116</v>
      </c>
    </row>
    <row r="199" spans="1:8">
      <c r="A199" s="15">
        <v>44298</v>
      </c>
      <c r="B199" s="112">
        <v>1.37</v>
      </c>
      <c r="C199" s="112">
        <f>C198*(1+表2_3671626293038912131415232425[[#This Row],[每日盈亏]])</f>
        <v>1.1395356495462912</v>
      </c>
      <c r="D199" s="108">
        <f>IFERROR(B199-B198,0)</f>
        <v>-7.9999999999997851E-3</v>
      </c>
      <c r="E199" s="109">
        <f t="shared" si="30"/>
        <v>-7.9999999999997851E-3</v>
      </c>
      <c r="F199" s="109">
        <f ca="1">IF(表2_3671626293038912131415232425[[#This Row],[累计净值]]/MAX(INDIRECT("B21:B" &amp; ROW()))-1&lt;F198,表2_3671626293038912131415232425[[#This Row],[累计净值]]/MAX(INDIRECT("B21:B" &amp; ROW()))-1,F198)</f>
        <v>-0.11530944625407158</v>
      </c>
      <c r="G199" s="110">
        <f>表2_3671626293038912131415232425[[#This Row],[累计净值]]-0.21</f>
        <v>1.1600000000000001</v>
      </c>
      <c r="H199" s="20">
        <f>表2_3671626293038912131415232425[[#This Row],[累计净值]]/$B$21-1</f>
        <v>0.13223140495867791</v>
      </c>
    </row>
    <row r="200" spans="1:8">
      <c r="A200" s="15">
        <v>44299</v>
      </c>
      <c r="B200" s="112">
        <v>1.3540000000000001</v>
      </c>
      <c r="C200" s="112">
        <f>C199*(1+表2_3671626293038912131415232425[[#This Row],[每日盈亏]])</f>
        <v>1.1213030791535505</v>
      </c>
      <c r="D200" s="108">
        <f>IFERROR(B200-B199,0)</f>
        <v>-1.6000000000000014E-2</v>
      </c>
      <c r="E200" s="109">
        <f t="shared" si="30"/>
        <v>-1.6000000000000014E-2</v>
      </c>
      <c r="F200" s="109">
        <f ca="1">IF(表2_3671626293038912131415232425[[#This Row],[累计净值]]/MAX(INDIRECT("B21:B" &amp; ROW()))-1&lt;F199,表2_3671626293038912131415232425[[#This Row],[累计净值]]/MAX(INDIRECT("B21:B" &amp; ROW()))-1,F199)</f>
        <v>-0.11791530944625395</v>
      </c>
      <c r="G200" s="110">
        <f>表2_3671626293038912131415232425[[#This Row],[累计净值]]-0.21</f>
        <v>1.1440000000000001</v>
      </c>
      <c r="H200" s="20">
        <f>表2_3671626293038912131415232425[[#This Row],[累计净值]]/$B$21-1</f>
        <v>0.1190082644628101</v>
      </c>
    </row>
    <row r="201" spans="1:8">
      <c r="A201" s="15">
        <v>44300</v>
      </c>
      <c r="B201" s="112">
        <v>1.3680000000000001</v>
      </c>
      <c r="C201" s="112">
        <f>C200*(1+表2_3671626293038912131415232425[[#This Row],[每日盈亏]])</f>
        <v>1.1370013222617004</v>
      </c>
      <c r="D201" s="108">
        <f>IFERROR(B201-B200,0)</f>
        <v>1.4000000000000012E-2</v>
      </c>
      <c r="E201" s="109" t="str">
        <f t="shared" si="30"/>
        <v>/</v>
      </c>
      <c r="F201" s="109">
        <f ca="1">IF(表2_3671626293038912131415232425[[#This Row],[累计净值]]/MAX(INDIRECT("B21:B" &amp; ROW()))-1&lt;F200,表2_3671626293038912131415232425[[#This Row],[累计净值]]/MAX(INDIRECT("B21:B" &amp; ROW()))-1,F200)</f>
        <v>-0.11791530944625395</v>
      </c>
      <c r="G201" s="110">
        <f>表2_3671626293038912131415232425[[#This Row],[累计净值]]-0.21</f>
        <v>1.1580000000000001</v>
      </c>
      <c r="H201" s="20">
        <f>表2_3671626293038912131415232425[[#This Row],[累计净值]]/$B$21-1</f>
        <v>0.13057851239669427</v>
      </c>
    </row>
    <row r="202" spans="1:8">
      <c r="A202" s="15">
        <v>44301</v>
      </c>
      <c r="B202" s="112">
        <v>1.361</v>
      </c>
      <c r="C202" s="112">
        <f>C201*(1+表2_3671626293038912131415232425[[#This Row],[每日盈亏]])</f>
        <v>1.1290423130058684</v>
      </c>
      <c r="D202" s="108">
        <f>IFERROR(B202-B201,0)</f>
        <v>-7.0000000000001172E-3</v>
      </c>
      <c r="E202" s="109">
        <f t="shared" si="30"/>
        <v>-7.0000000000001172E-3</v>
      </c>
      <c r="F202" s="109">
        <f ca="1">IF(表2_3671626293038912131415232425[[#This Row],[累计净值]]/MAX(INDIRECT("B21:B" &amp; ROW()))-1&lt;F201,表2_3671626293038912131415232425[[#This Row],[累计净值]]/MAX(INDIRECT("B21:B" &amp; ROW()))-1,F201)</f>
        <v>-0.11791530944625395</v>
      </c>
      <c r="G202" s="110">
        <f>表2_3671626293038912131415232425[[#This Row],[累计净值]]-0.21</f>
        <v>1.151</v>
      </c>
      <c r="H202" s="20">
        <f>表2_3671626293038912131415232425[[#This Row],[累计净值]]/$B$21-1</f>
        <v>0.12479338842975207</v>
      </c>
    </row>
    <row r="203" spans="1:8">
      <c r="A203" s="15">
        <v>44302</v>
      </c>
      <c r="B203" s="112">
        <v>1.371</v>
      </c>
      <c r="C203" s="112">
        <f>C202*(1+表2_3671626293038912131415232425[[#This Row],[每日盈亏]])</f>
        <v>1.1403327361359272</v>
      </c>
      <c r="D203" s="108">
        <f>IFERROR(B203-B202,0)</f>
        <v>1.0000000000000009E-2</v>
      </c>
      <c r="E203" s="109" t="str">
        <f t="shared" ref="E203:E208" si="31">IF(D203&lt;0,D203,"/")</f>
        <v>/</v>
      </c>
      <c r="F203" s="109">
        <f ca="1">IF(表2_3671626293038912131415232425[[#This Row],[累计净值]]/MAX(INDIRECT("B21:B" &amp; ROW()))-1&lt;F202,表2_3671626293038912131415232425[[#This Row],[累计净值]]/MAX(INDIRECT("B21:B" &amp; ROW()))-1,F202)</f>
        <v>-0.11791530944625395</v>
      </c>
      <c r="G203" s="110">
        <f>表2_3671626293038912131415232425[[#This Row],[累计净值]]-0.21</f>
        <v>1.161</v>
      </c>
      <c r="H203" s="20">
        <f>表2_3671626293038912131415232425[[#This Row],[累计净值]]/$B$21-1</f>
        <v>0.1330578512396694</v>
      </c>
    </row>
    <row r="204" spans="1:8">
      <c r="A204" s="15">
        <v>44305</v>
      </c>
      <c r="B204" s="112">
        <v>1.3819999999999999</v>
      </c>
      <c r="C204" s="112">
        <f>C203*(1+表2_3671626293038912131415232425[[#This Row],[每日盈亏]])</f>
        <v>1.1528763962334223</v>
      </c>
      <c r="D204" s="108">
        <f>IFERROR(B204-B203,0)</f>
        <v>1.0999999999999899E-2</v>
      </c>
      <c r="E204" s="109" t="str">
        <f t="shared" si="31"/>
        <v>/</v>
      </c>
      <c r="F204" s="109">
        <f ca="1">IF(表2_3671626293038912131415232425[[#This Row],[累计净值]]/MAX(INDIRECT("B21:B" &amp; ROW()))-1&lt;F203,表2_3671626293038912131415232425[[#This Row],[累计净值]]/MAX(INDIRECT("B21:B" &amp; ROW()))-1,F203)</f>
        <v>-0.11791530944625395</v>
      </c>
      <c r="G204" s="110">
        <f>表2_3671626293038912131415232425[[#This Row],[累计净值]]-0.21</f>
        <v>1.1719999999999999</v>
      </c>
      <c r="H204" s="20">
        <f>表2_3671626293038912131415232425[[#This Row],[累计净值]]/$B$21-1</f>
        <v>0.14214876033057844</v>
      </c>
    </row>
    <row r="205" spans="1:8">
      <c r="A205" s="15">
        <v>44306</v>
      </c>
      <c r="B205" s="112">
        <v>1.38</v>
      </c>
      <c r="C205" s="112">
        <f>C204*(1+表2_3671626293038912131415232425[[#This Row],[每日盈亏]])</f>
        <v>1.1505706434409555</v>
      </c>
      <c r="D205" s="108">
        <f>IFERROR(B205-B204,0)</f>
        <v>-2.0000000000000018E-3</v>
      </c>
      <c r="E205" s="109">
        <f t="shared" si="31"/>
        <v>-2.0000000000000018E-3</v>
      </c>
      <c r="F205" s="109">
        <f ca="1">IF(表2_3671626293038912131415232425[[#This Row],[累计净值]]/MAX(INDIRECT("B21:B" &amp; ROW()))-1&lt;F204,表2_3671626293038912131415232425[[#This Row],[累计净值]]/MAX(INDIRECT("B21:B" &amp; ROW()))-1,F204)</f>
        <v>-0.11791530944625395</v>
      </c>
      <c r="G205" s="110">
        <f>表2_3671626293038912131415232425[[#This Row],[累计净值]]-0.21</f>
        <v>1.17</v>
      </c>
      <c r="H205" s="20">
        <f>表2_3671626293038912131415232425[[#This Row],[累计净值]]/$B$21-1</f>
        <v>0.14049586776859502</v>
      </c>
    </row>
    <row r="206" spans="1:8">
      <c r="A206" s="15">
        <v>44307</v>
      </c>
      <c r="B206" s="112">
        <v>1.3620000000000001</v>
      </c>
      <c r="C206" s="112">
        <f>C205*(1+表2_3671626293038912131415232425[[#This Row],[每日盈亏]])</f>
        <v>1.1298603718590186</v>
      </c>
      <c r="D206" s="108">
        <f>IFERROR(B206-B205,0)</f>
        <v>-1.7999999999999794E-2</v>
      </c>
      <c r="E206" s="109">
        <f t="shared" si="31"/>
        <v>-1.7999999999999794E-2</v>
      </c>
      <c r="F206" s="109">
        <f ca="1">IF(表2_3671626293038912131415232425[[#This Row],[累计净值]]/MAX(INDIRECT("B21:B" &amp; ROW()))-1&lt;F205,表2_3671626293038912131415232425[[#This Row],[累计净值]]/MAX(INDIRECT("B21:B" &amp; ROW()))-1,F205)</f>
        <v>-0.11791530944625395</v>
      </c>
      <c r="G206" s="110">
        <f>表2_3671626293038912131415232425[[#This Row],[累计净值]]-0.21</f>
        <v>1.1520000000000001</v>
      </c>
      <c r="H206" s="20">
        <f>表2_3671626293038912131415232425[[#This Row],[累计净值]]/$B$21-1</f>
        <v>0.125619834710744</v>
      </c>
    </row>
    <row r="207" spans="1:8">
      <c r="A207" s="15">
        <v>44308</v>
      </c>
      <c r="B207" s="112">
        <v>1.369</v>
      </c>
      <c r="C207" s="112">
        <f>C206*(1+表2_3671626293038912131415232425[[#This Row],[每日盈亏]])</f>
        <v>1.1377693944620315</v>
      </c>
      <c r="D207" s="108">
        <f>IFERROR(B207-B206,0)</f>
        <v>6.9999999999998952E-3</v>
      </c>
      <c r="E207" s="109" t="str">
        <f t="shared" si="31"/>
        <v>/</v>
      </c>
      <c r="F207" s="109">
        <f ca="1">IF(表2_3671626293038912131415232425[[#This Row],[累计净值]]/MAX(INDIRECT("B21:B" &amp; ROW()))-1&lt;F206,表2_3671626293038912131415232425[[#This Row],[累计净值]]/MAX(INDIRECT("B21:B" &amp; ROW()))-1,F206)</f>
        <v>-0.11791530944625395</v>
      </c>
      <c r="G207" s="110">
        <f>表2_3671626293038912131415232425[[#This Row],[累计净值]]-0.21</f>
        <v>1.159</v>
      </c>
      <c r="H207" s="20">
        <f>表2_3671626293038912131415232425[[#This Row],[累计净值]]/$B$21-1</f>
        <v>0.13140495867768598</v>
      </c>
    </row>
    <row r="208" spans="1:8">
      <c r="A208" s="15">
        <v>44309</v>
      </c>
      <c r="B208" s="112">
        <v>1.3839999999999999</v>
      </c>
      <c r="C208" s="112">
        <f>C207*(1+表2_3671626293038912131415232425[[#This Row],[每日盈亏]])</f>
        <v>1.1548359353789619</v>
      </c>
      <c r="D208" s="108">
        <f>IFERROR(B208-B207,0)</f>
        <v>1.4999999999999902E-2</v>
      </c>
      <c r="E208" s="109" t="str">
        <f t="shared" si="31"/>
        <v>/</v>
      </c>
      <c r="F208" s="109">
        <f ca="1">IF(表2_3671626293038912131415232425[[#This Row],[累计净值]]/MAX(INDIRECT("B21:B" &amp; ROW()))-1&lt;F207,表2_3671626293038912131415232425[[#This Row],[累计净值]]/MAX(INDIRECT("B21:B" &amp; ROW()))-1,F207)</f>
        <v>-0.11791530944625395</v>
      </c>
      <c r="G208" s="110">
        <f>表2_3671626293038912131415232425[[#This Row],[累计净值]]-0.21</f>
        <v>1.1739999999999999</v>
      </c>
      <c r="H208" s="20">
        <f>表2_3671626293038912131415232425[[#This Row],[累计净值]]/$B$21-1</f>
        <v>0.14380165289256186</v>
      </c>
    </row>
    <row r="209" spans="1:8">
      <c r="A209" s="15">
        <v>44312</v>
      </c>
      <c r="B209" s="112">
        <v>1.3680000000000001</v>
      </c>
      <c r="C209" s="112">
        <f>C208*(1+表2_3671626293038912131415232425[[#This Row],[每日盈亏]])</f>
        <v>1.1363585604128987</v>
      </c>
      <c r="D209" s="108">
        <f>IFERROR(B209-B208,0)</f>
        <v>-1.5999999999999792E-2</v>
      </c>
      <c r="E209" s="109">
        <f>IF(D209&lt;0,D209,"/")</f>
        <v>-1.5999999999999792E-2</v>
      </c>
      <c r="F209" s="109">
        <f ca="1">IF(表2_3671626293038912131415232425[[#This Row],[累计净值]]/MAX(INDIRECT("B21:B" &amp; ROW()))-1&lt;F208,表2_3671626293038912131415232425[[#This Row],[累计净值]]/MAX(INDIRECT("B21:B" &amp; ROW()))-1,F208)</f>
        <v>-0.11791530944625395</v>
      </c>
      <c r="G209" s="110">
        <f>表2_3671626293038912131415232425[[#This Row],[累计净值]]-0.21</f>
        <v>1.1580000000000001</v>
      </c>
      <c r="H209" s="20">
        <f>表2_3671626293038912131415232425[[#This Row],[累计净值]]/$B$21-1</f>
        <v>0.13057851239669427</v>
      </c>
    </row>
    <row r="210" spans="1:8">
      <c r="A210" s="15">
        <v>44313</v>
      </c>
      <c r="B210" s="112">
        <v>1.369</v>
      </c>
      <c r="C210" s="112">
        <f>C209*(1+表2_3671626293038912131415232425[[#This Row],[每日盈亏]])</f>
        <v>1.1374949189733115</v>
      </c>
      <c r="D210" s="108">
        <f>IFERROR(B210-B209,0)</f>
        <v>9.9999999999988987E-4</v>
      </c>
      <c r="E210" s="109" t="str">
        <f t="shared" ref="E210:E211" si="32">IF(D210&lt;0,D210,"/")</f>
        <v>/</v>
      </c>
      <c r="F210" s="109">
        <f ca="1">IF(表2_3671626293038912131415232425[[#This Row],[累计净值]]/MAX(INDIRECT("B21:B" &amp; ROW()))-1&lt;F209,表2_3671626293038912131415232425[[#This Row],[累计净值]]/MAX(INDIRECT("B21:B" &amp; ROW()))-1,F209)</f>
        <v>-0.11791530944625395</v>
      </c>
      <c r="G210" s="110">
        <f>表2_3671626293038912131415232425[[#This Row],[累计净值]]-0.21</f>
        <v>1.159</v>
      </c>
      <c r="H210" s="20">
        <f>表2_3671626293038912131415232425[[#This Row],[累计净值]]/$B$21-1</f>
        <v>0.13140495867768598</v>
      </c>
    </row>
    <row r="211" spans="1:8">
      <c r="A211" s="15">
        <v>44314</v>
      </c>
      <c r="B211" s="112">
        <v>1.3680000000000001</v>
      </c>
      <c r="C211" s="112">
        <f>C210*(1+表2_3671626293038912131415232425[[#This Row],[每日盈亏]])</f>
        <v>1.1363574240543384</v>
      </c>
      <c r="D211" s="108">
        <f>IFERROR(B211-B210,0)</f>
        <v>-9.9999999999988987E-4</v>
      </c>
      <c r="E211" s="109">
        <f t="shared" si="32"/>
        <v>-9.9999999999988987E-4</v>
      </c>
      <c r="F211" s="109">
        <f ca="1">IF(表2_3671626293038912131415232425[[#This Row],[累计净值]]/MAX(INDIRECT("B21:B" &amp; ROW()))-1&lt;F210,表2_3671626293038912131415232425[[#This Row],[累计净值]]/MAX(INDIRECT("B21:B" &amp; ROW()))-1,F210)</f>
        <v>-0.11791530944625395</v>
      </c>
      <c r="G211" s="110">
        <f>表2_3671626293038912131415232425[[#This Row],[累计净值]]-0.21</f>
        <v>1.1580000000000001</v>
      </c>
      <c r="H211" s="20">
        <f>表2_3671626293038912131415232425[[#This Row],[累计净值]]/$B$21-1</f>
        <v>0.13057851239669427</v>
      </c>
    </row>
    <row r="212" spans="1:8">
      <c r="A212" s="15">
        <v>44315</v>
      </c>
      <c r="B212" s="112">
        <v>1.3740000000000001</v>
      </c>
      <c r="C212" s="112">
        <f>C211*(1+表2_3671626293038912131415232425[[#This Row],[每日盈亏]])</f>
        <v>1.1431755685986644</v>
      </c>
      <c r="D212" s="108">
        <f>IFERROR(B212-B211,0)</f>
        <v>6.0000000000000053E-3</v>
      </c>
      <c r="E212" s="109" t="str">
        <f>IF(D212&lt;0,D212,"/")</f>
        <v>/</v>
      </c>
      <c r="F212" s="109">
        <f ca="1">IF(表2_3671626293038912131415232425[[#This Row],[累计净值]]/MAX(INDIRECT("B21:B" &amp; ROW()))-1&lt;F211,表2_3671626293038912131415232425[[#This Row],[累计净值]]/MAX(INDIRECT("B21:B" &amp; ROW()))-1,F211)</f>
        <v>-0.11791530944625395</v>
      </c>
      <c r="G212" s="110">
        <f>表2_3671626293038912131415232425[[#This Row],[累计净值]]-0.21</f>
        <v>1.1640000000000001</v>
      </c>
      <c r="H212" s="20">
        <f>表2_3671626293038912131415232425[[#This Row],[累计净值]]/$B$21-1</f>
        <v>0.13553719008264475</v>
      </c>
    </row>
    <row r="213" spans="1:8">
      <c r="A213" s="15">
        <v>44316</v>
      </c>
      <c r="B213" s="112">
        <v>1.3580000000000001</v>
      </c>
      <c r="C213" s="112">
        <f>C212*(1+表2_3671626293038912131415232425[[#This Row],[每日盈亏]])</f>
        <v>1.1248847595010858</v>
      </c>
      <c r="D213" s="108">
        <f>IFERROR(B213-B212,0)</f>
        <v>-1.6000000000000014E-2</v>
      </c>
      <c r="E213" s="109">
        <f t="shared" ref="E213:E214" si="33">IF(D213&lt;0,D213,"/")</f>
        <v>-1.6000000000000014E-2</v>
      </c>
      <c r="F213" s="109">
        <f ca="1">IF(表2_3671626293038912131415232425[[#This Row],[累计净值]]/MAX(INDIRECT("B21:B" &amp; ROW()))-1&lt;F212,表2_3671626293038912131415232425[[#This Row],[累计净值]]/MAX(INDIRECT("B21:B" &amp; ROW()))-1,F212)</f>
        <v>-0.11791530944625395</v>
      </c>
      <c r="G213" s="110">
        <f>表2_3671626293038912131415232425[[#This Row],[累计净值]]-0.21</f>
        <v>1.1480000000000001</v>
      </c>
      <c r="H213" s="20">
        <f>表2_3671626293038912131415232425[[#This Row],[累计净值]]/$B$21-1</f>
        <v>0.12231404958677694</v>
      </c>
    </row>
    <row r="214" spans="1:8">
      <c r="A214" s="15">
        <v>44322</v>
      </c>
      <c r="B214" s="112">
        <v>1.3380000000000001</v>
      </c>
      <c r="C214" s="112">
        <f>C213*(1+表2_3671626293038912131415232425[[#This Row],[每日盈亏]])</f>
        <v>1.102387064311064</v>
      </c>
      <c r="D214" s="108">
        <f>IFERROR(B214-B213,0)</f>
        <v>-2.0000000000000018E-2</v>
      </c>
      <c r="E214" s="109">
        <f t="shared" si="33"/>
        <v>-2.0000000000000018E-2</v>
      </c>
      <c r="F214" s="109">
        <f ca="1">IF(表2_3671626293038912131415232425[[#This Row],[累计净值]]/MAX(INDIRECT("B21:B" &amp; ROW()))-1&lt;F213,表2_3671626293038912131415232425[[#This Row],[累计净值]]/MAX(INDIRECT("B21:B" &amp; ROW()))-1,F213)</f>
        <v>-0.12833876221498364</v>
      </c>
      <c r="G214" s="110">
        <f>表2_3671626293038912131415232425[[#This Row],[累计净值]]-0.21</f>
        <v>1.1280000000000001</v>
      </c>
      <c r="H214" s="20">
        <f>表2_3671626293038912131415232425[[#This Row],[累计净值]]/$B$21-1</f>
        <v>0.10578512396694228</v>
      </c>
    </row>
    <row r="215" spans="1:8">
      <c r="A215" s="15">
        <v>44323</v>
      </c>
      <c r="B215" s="112">
        <v>1.325</v>
      </c>
      <c r="C215" s="112">
        <f>C214*(1+表2_3671626293038912131415232425[[#This Row],[每日盈亏]])</f>
        <v>1.0880560324750201</v>
      </c>
      <c r="D215" s="108">
        <f>IFERROR(B215-B214,0)</f>
        <v>-1.3000000000000123E-2</v>
      </c>
      <c r="E215" s="109">
        <f t="shared" ref="E215:E220" si="34">IF(D215&lt;0,D215,"/")</f>
        <v>-1.3000000000000123E-2</v>
      </c>
      <c r="F215" s="109">
        <f ca="1">IF(表2_3671626293038912131415232425[[#This Row],[累计净值]]/MAX(INDIRECT("B21:B" &amp; ROW()))-1&lt;F214,表2_3671626293038912131415232425[[#This Row],[累计净值]]/MAX(INDIRECT("B21:B" &amp; ROW()))-1,F214)</f>
        <v>-0.1368078175895765</v>
      </c>
      <c r="G215" s="110">
        <f>表2_3671626293038912131415232425[[#This Row],[累计净值]]-0.21</f>
        <v>1.115</v>
      </c>
      <c r="H215" s="20">
        <f>表2_3671626293038912131415232425[[#This Row],[累计净值]]/$B$21-1</f>
        <v>9.5041322314049603E-2</v>
      </c>
    </row>
    <row r="216" spans="1:8">
      <c r="A216" s="15">
        <v>44326</v>
      </c>
      <c r="B216" s="112">
        <v>1.31</v>
      </c>
      <c r="C216" s="112">
        <f>C215*(1+表2_3671626293038912131415232425[[#This Row],[每日盈亏]])</f>
        <v>1.071735191987895</v>
      </c>
      <c r="D216" s="108">
        <f>IFERROR(B216-B215,0)</f>
        <v>-1.4999999999999902E-2</v>
      </c>
      <c r="E216" s="109">
        <f t="shared" si="34"/>
        <v>-1.4999999999999902E-2</v>
      </c>
      <c r="F216" s="109">
        <f ca="1">IF(表2_3671626293038912131415232425[[#This Row],[累计净值]]/MAX(INDIRECT("B21:B" &amp; ROW()))-1&lt;F215,表2_3671626293038912131415232425[[#This Row],[累计净值]]/MAX(INDIRECT("B21:B" &amp; ROW()))-1,F215)</f>
        <v>-0.14657980456026054</v>
      </c>
      <c r="G216" s="110">
        <f>表2_3671626293038912131415232425[[#This Row],[累计净值]]-0.21</f>
        <v>1.1000000000000001</v>
      </c>
      <c r="H216" s="20">
        <f>表2_3671626293038912131415232425[[#This Row],[累计净值]]/$B$21-1</f>
        <v>8.2644628099173723E-2</v>
      </c>
    </row>
    <row r="217" spans="1:8">
      <c r="A217" s="15">
        <v>44327</v>
      </c>
      <c r="B217" s="112">
        <v>1.3049999999999999</v>
      </c>
      <c r="C217" s="112">
        <f>C216*(1+表2_3671626293038912131415232425[[#This Row],[每日盈亏]])</f>
        <v>1.0663765160279555</v>
      </c>
      <c r="D217" s="108">
        <f>IFERROR(B217-B216,0)</f>
        <v>-5.0000000000001155E-3</v>
      </c>
      <c r="E217" s="109">
        <f t="shared" si="34"/>
        <v>-5.0000000000001155E-3</v>
      </c>
      <c r="F217" s="109">
        <f ca="1">IF(表2_3671626293038912131415232425[[#This Row],[累计净值]]/MAX(INDIRECT("B21:B" &amp; ROW()))-1&lt;F216,表2_3671626293038912131415232425[[#This Row],[累计净值]]/MAX(INDIRECT("B21:B" &amp; ROW()))-1,F216)</f>
        <v>-0.14983713355048855</v>
      </c>
      <c r="G217" s="110">
        <f>表2_3671626293038912131415232425[[#This Row],[累计净值]]-0.21</f>
        <v>1.095</v>
      </c>
      <c r="H217" s="20">
        <f>表2_3671626293038912131415232425[[#This Row],[累计净值]]/$B$21-1</f>
        <v>7.8512396694214948E-2</v>
      </c>
    </row>
    <row r="218" spans="1:8">
      <c r="A218" s="15">
        <v>44328</v>
      </c>
      <c r="B218" s="112">
        <v>1.3169999999999999</v>
      </c>
      <c r="C218" s="112">
        <f>C217*(1+表2_3671626293038912131415232425[[#This Row],[每日盈亏]])</f>
        <v>1.079173034220291</v>
      </c>
      <c r="D218" s="108">
        <f>IFERROR(B218-B217,0)</f>
        <v>1.2000000000000011E-2</v>
      </c>
      <c r="E218" s="109" t="str">
        <f t="shared" si="34"/>
        <v>/</v>
      </c>
      <c r="F218" s="109">
        <f ca="1">IF(表2_3671626293038912131415232425[[#This Row],[累计净值]]/MAX(INDIRECT("B21:B" &amp; ROW()))-1&lt;F217,表2_3671626293038912131415232425[[#This Row],[累计净值]]/MAX(INDIRECT("B21:B" &amp; ROW()))-1,F217)</f>
        <v>-0.14983713355048855</v>
      </c>
      <c r="G218" s="110">
        <f>表2_3671626293038912131415232425[[#This Row],[累计净值]]-0.21</f>
        <v>1.107</v>
      </c>
      <c r="H218" s="20">
        <f>表2_3671626293038912131415232425[[#This Row],[累计净值]]/$B$21-1</f>
        <v>8.8429752066115697E-2</v>
      </c>
    </row>
    <row r="219" spans="1:8">
      <c r="A219" s="15">
        <v>44329</v>
      </c>
      <c r="B219" s="112">
        <v>1.298</v>
      </c>
      <c r="C219" s="112">
        <f>C218*(1+表2_3671626293038912131415232425[[#This Row],[每日盈亏]])</f>
        <v>1.0586687465701055</v>
      </c>
      <c r="D219" s="108">
        <f>IFERROR(B219-B218,0)</f>
        <v>-1.8999999999999906E-2</v>
      </c>
      <c r="E219" s="109">
        <f t="shared" si="34"/>
        <v>-1.8999999999999906E-2</v>
      </c>
      <c r="F219" s="109">
        <f ca="1">IF(表2_3671626293038912131415232425[[#This Row],[累计净值]]/MAX(INDIRECT("B21:B" &amp; ROW()))-1&lt;F218,表2_3671626293038912131415232425[[#This Row],[累计净值]]/MAX(INDIRECT("B21:B" &amp; ROW()))-1,F218)</f>
        <v>-0.15439739413680775</v>
      </c>
      <c r="G219" s="110">
        <f>表2_3671626293038912131415232425[[#This Row],[累计净值]]-0.21</f>
        <v>1.0880000000000001</v>
      </c>
      <c r="H219" s="20">
        <f>表2_3671626293038912131415232425[[#This Row],[累计净值]]/$B$21-1</f>
        <v>7.2727272727272751E-2</v>
      </c>
    </row>
    <row r="220" spans="1:8">
      <c r="A220" s="15">
        <v>44330</v>
      </c>
      <c r="B220" s="112">
        <v>1.3080000000000001</v>
      </c>
      <c r="C220" s="112">
        <f>C219*(1+表2_3671626293038912131415232425[[#This Row],[每日盈亏]])</f>
        <v>1.0692554340358065</v>
      </c>
      <c r="D220" s="108">
        <f>IFERROR(B220-B219,0)</f>
        <v>1.0000000000000009E-2</v>
      </c>
      <c r="E220" s="109" t="str">
        <f t="shared" si="34"/>
        <v>/</v>
      </c>
      <c r="F220" s="109">
        <f ca="1">IF(表2_3671626293038912131415232425[[#This Row],[累计净值]]/MAX(INDIRECT("B21:B" &amp; ROW()))-1&lt;F219,表2_3671626293038912131415232425[[#This Row],[累计净值]]/MAX(INDIRECT("B21:B" &amp; ROW()))-1,F219)</f>
        <v>-0.15439739413680775</v>
      </c>
      <c r="G220" s="110">
        <f>表2_3671626293038912131415232425[[#This Row],[累计净值]]-0.21</f>
        <v>1.0980000000000001</v>
      </c>
      <c r="H220" s="20">
        <f>表2_3671626293038912131415232425[[#This Row],[累计净值]]/$B$21-1</f>
        <v>8.0991735537190079E-2</v>
      </c>
    </row>
    <row r="221" spans="1:8">
      <c r="A221" s="15">
        <v>44333</v>
      </c>
      <c r="B221" s="112">
        <v>1.329</v>
      </c>
      <c r="C221" s="112">
        <f>C220*(1+表2_3671626293038912131415232425[[#This Row],[每日盈亏]])</f>
        <v>1.0917097981505584</v>
      </c>
      <c r="D221" s="108">
        <f>IFERROR(B221-B220,0)</f>
        <v>2.0999999999999908E-2</v>
      </c>
      <c r="E221" s="109" t="str">
        <f>IF(D221&lt;0,D221,"/")</f>
        <v>/</v>
      </c>
      <c r="F221" s="109">
        <f ca="1">IF(表2_3671626293038912131415232425[[#This Row],[累计净值]]/MAX(INDIRECT("B21:B" &amp; ROW()))-1&lt;F220,表2_3671626293038912131415232425[[#This Row],[累计净值]]/MAX(INDIRECT("B21:B" &amp; ROW()))-1,F220)</f>
        <v>-0.15439739413680775</v>
      </c>
      <c r="G221" s="110">
        <f>表2_3671626293038912131415232425[[#This Row],[累计净值]]-0.21</f>
        <v>1.119</v>
      </c>
      <c r="H221" s="20">
        <f>表2_3671626293038912131415232425[[#This Row],[累计净值]]/$B$21-1</f>
        <v>9.8347107438016446E-2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L220"/>
  <sheetViews>
    <sheetView topLeftCell="A9" workbookViewId="0">
      <selection activeCell="C25" sqref="C25"/>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COUNT(表2_367162629303891213141523242526[每日盈亏])</f>
        <v>200</v>
      </c>
      <c r="C2" s="27"/>
      <c r="D2" s="3" t="s">
        <v>1</v>
      </c>
      <c r="E2" s="28"/>
      <c r="F2" s="1" t="s">
        <v>2</v>
      </c>
      <c r="G2" s="400" t="s">
        <v>3</v>
      </c>
    </row>
    <row r="3" spans="1:7">
      <c r="A3" s="25" t="s">
        <v>4</v>
      </c>
      <c r="B3" s="26">
        <f>COUNTIF(表2_367162629303891213141523242526[每日盈亏],"&gt;0")</f>
        <v>104</v>
      </c>
      <c r="C3" s="29"/>
      <c r="D3" s="30" t="s">
        <v>5</v>
      </c>
      <c r="E3" s="31">
        <f>245^0.5*(B10-0.025/365)/E10</f>
        <v>0.62544012301222718</v>
      </c>
      <c r="G3" s="400"/>
    </row>
    <row r="4" spans="1:7">
      <c r="A4" s="25" t="s">
        <v>6</v>
      </c>
      <c r="B4" s="26">
        <f>COUNTIF(表2_367162629303891213141523242526[每日盈亏],"&lt;0")</f>
        <v>91</v>
      </c>
      <c r="C4" s="29"/>
      <c r="D4" s="32" t="s">
        <v>7</v>
      </c>
      <c r="E4" s="31">
        <f ca="1">-B9/E8</f>
        <v>1.2867995869376676</v>
      </c>
      <c r="G4" s="2">
        <f>LOOKUP(999^10,表2_367162629303891213141523242526[累计净值])</f>
        <v>1.7549999999999999</v>
      </c>
    </row>
    <row r="5" spans="1:7">
      <c r="A5" s="25" t="s">
        <v>8</v>
      </c>
      <c r="B5" s="26">
        <f>B2-B3-B4</f>
        <v>5</v>
      </c>
      <c r="C5" s="29"/>
      <c r="D5" s="33" t="s">
        <v>9</v>
      </c>
      <c r="E5" s="4">
        <f>245^0.5*(B10-0.025/365)/E9</f>
        <v>0.90150565490784873</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LOOKUP(999^10,表2_367162629303891213141523242526[累计净值])/$B$21-1</f>
        <v>0.13665803108808272</v>
      </c>
      <c r="C8" s="40"/>
      <c r="D8" s="30" t="s">
        <v>13</v>
      </c>
      <c r="E8" s="41">
        <f ca="1">MIN(表2_367162629303891213141523242526[最大回撤])</f>
        <v>-0.13009491903964254</v>
      </c>
    </row>
    <row r="9" spans="1:7">
      <c r="A9" s="25" t="s">
        <v>14</v>
      </c>
      <c r="B9" s="32">
        <f>B8*245/B2</f>
        <v>0.16740608808290133</v>
      </c>
      <c r="C9" s="40"/>
      <c r="D9" s="33" t="s">
        <v>15</v>
      </c>
      <c r="E9" s="6">
        <f>STDEV(表2_367162629303891213141523242526[下跌幅度])</f>
        <v>1.7128316992023562E-2</v>
      </c>
    </row>
    <row r="10" spans="1:7">
      <c r="A10" s="42" t="s">
        <v>16</v>
      </c>
      <c r="B10" s="43">
        <f>AVERAGE(表2_367162629303891213141523242526[每日盈亏])</f>
        <v>1.0549999999999993E-3</v>
      </c>
      <c r="C10" s="44"/>
      <c r="D10" s="33" t="s">
        <v>17</v>
      </c>
      <c r="E10" s="6">
        <f>STDEV(表2_367162629303891213141523242526[每日盈亏])</f>
        <v>2.4688653732343874E-2</v>
      </c>
    </row>
    <row r="11" spans="1:7">
      <c r="A11" s="7" t="s">
        <v>18</v>
      </c>
      <c r="B11" s="32">
        <f>B3/B2</f>
        <v>0.52</v>
      </c>
      <c r="C11" s="40"/>
      <c r="D11" s="32" t="s">
        <v>19</v>
      </c>
      <c r="E11" s="41">
        <f>245^0.5*E10</f>
        <v>0.38643855612932365</v>
      </c>
    </row>
    <row r="12" spans="1:7" ht="16" thickBot="1">
      <c r="A12" s="45" t="s">
        <v>20</v>
      </c>
      <c r="B12" s="46">
        <f>-(SUMIF(表2_367162629303891213141523242526[每日盈亏],"&gt;=0")/B3)/(SUMIF(表2_367162629303891213141523242526[每日盈亏],"&lt;0")/B4)</f>
        <v>0.97506775067750673</v>
      </c>
      <c r="C12" s="47"/>
      <c r="D12" s="48"/>
      <c r="E12" s="49"/>
    </row>
    <row r="14" spans="1:7" ht="32">
      <c r="A14" s="50" t="s">
        <v>21</v>
      </c>
      <c r="B14" s="50" t="s">
        <v>14</v>
      </c>
      <c r="C14" s="51" t="s">
        <v>19</v>
      </c>
      <c r="D14" s="51" t="s">
        <v>13</v>
      </c>
      <c r="E14" s="51" t="s">
        <v>5</v>
      </c>
      <c r="F14" s="51" t="s">
        <v>7</v>
      </c>
    </row>
    <row r="15" spans="1:7">
      <c r="A15" s="78">
        <f>B2</f>
        <v>200</v>
      </c>
      <c r="B15" s="53">
        <f>B9</f>
        <v>0.16740608808290133</v>
      </c>
      <c r="C15" s="53">
        <f>E11</f>
        <v>0.38643855612932365</v>
      </c>
      <c r="D15" s="53">
        <f ca="1">E8</f>
        <v>-0.13009491903964254</v>
      </c>
      <c r="E15" s="54">
        <f>E3</f>
        <v>0.62544012301222718</v>
      </c>
      <c r="F15" s="54">
        <f ca="1">E4</f>
        <v>1.2867995869376676</v>
      </c>
    </row>
    <row r="19" spans="1:8">
      <c r="A19" s="8"/>
      <c r="B19" s="1" t="s">
        <v>22</v>
      </c>
    </row>
    <row r="20" spans="1:8" ht="16">
      <c r="A20" s="22" t="s">
        <v>23</v>
      </c>
      <c r="B20" s="22" t="s">
        <v>24</v>
      </c>
      <c r="C20" s="22" t="s">
        <v>113</v>
      </c>
      <c r="D20" s="22" t="s">
        <v>25</v>
      </c>
      <c r="E20" s="22" t="s">
        <v>26</v>
      </c>
      <c r="F20" s="22" t="s">
        <v>27</v>
      </c>
      <c r="G20" s="22" t="s">
        <v>28</v>
      </c>
      <c r="H20" s="22" t="s">
        <v>29</v>
      </c>
    </row>
    <row r="21" spans="1:8">
      <c r="A21" s="15">
        <v>44032</v>
      </c>
      <c r="B21" s="16">
        <v>1.544</v>
      </c>
      <c r="C21" s="112"/>
      <c r="D21" s="11">
        <f t="shared" ref="D21:D52" si="0">IFERROR(B21-B20,0)</f>
        <v>0</v>
      </c>
      <c r="E21" s="12" t="str">
        <f>IF(D21&lt;0,D21,"/")</f>
        <v>/</v>
      </c>
      <c r="F21" s="12">
        <f ca="1">IF(表2_367162629303891213141523242526[[#This Row],[累计净值]]/MAX(INDIRECT("B21:B" &amp; ROW()))-1&lt;F20,表2_367162629303891213141523242526[[#This Row],[累计净值]]/MAX(INDIRECT("B21:B" &amp; ROW()))-1,F20)</f>
        <v>0</v>
      </c>
      <c r="G21" s="13">
        <f>表2_367162629303891213141523242526[[#This Row],[累计净值]]</f>
        <v>1.544</v>
      </c>
      <c r="H21" s="194" t="s">
        <v>30</v>
      </c>
    </row>
    <row r="22" spans="1:8">
      <c r="A22" s="15">
        <v>44033</v>
      </c>
      <c r="B22" s="16">
        <v>1.5529999999999999</v>
      </c>
      <c r="C22" s="112"/>
      <c r="D22" s="17">
        <f t="shared" si="0"/>
        <v>8.999999999999897E-3</v>
      </c>
      <c r="E22" s="18" t="str">
        <f>IF(D22&lt;0,D22,"/")</f>
        <v>/</v>
      </c>
      <c r="F22" s="18">
        <f ca="1">IF(表2_367162629303891213141523242526[[#This Row],[累计净值]]/MAX(INDIRECT("B21:B" &amp; ROW()))-1&lt;F21,表2_367162629303891213141523242526[[#This Row],[累计净值]]/MAX(INDIRECT("B21:B" &amp; ROW()))-1,F21)</f>
        <v>0</v>
      </c>
      <c r="G22" s="19">
        <f>表2_367162629303891213141523242526[[#This Row],[累计净值]]</f>
        <v>1.5529999999999999</v>
      </c>
      <c r="H22" s="20">
        <f>表2_367162629303891213141523242526[[#This Row],[累计净值]]/$B$21-1</f>
        <v>5.8290155440414715E-3</v>
      </c>
    </row>
    <row r="23" spans="1:8">
      <c r="A23" s="15">
        <v>44034</v>
      </c>
      <c r="B23" s="16">
        <v>1.5669999999999999</v>
      </c>
      <c r="C23" s="112"/>
      <c r="D23" s="73">
        <f t="shared" si="0"/>
        <v>1.4000000000000012E-2</v>
      </c>
      <c r="E23" s="18" t="str">
        <f>IF(D23&lt;0,D23,"/")</f>
        <v>/</v>
      </c>
      <c r="F23" s="18">
        <f ca="1">IF(表2_367162629303891213141523242526[[#This Row],[累计净值]]/MAX(INDIRECT("B21:B" &amp; ROW()))-1&lt;F22,表2_367162629303891213141523242526[[#This Row],[累计净值]]/MAX(INDIRECT("B21:B" &amp; ROW()))-1,F22)</f>
        <v>0</v>
      </c>
      <c r="G23" s="62">
        <f>表2_367162629303891213141523242526[[#This Row],[累计净值]]</f>
        <v>1.5669999999999999</v>
      </c>
      <c r="H23" s="20">
        <f>表2_367162629303891213141523242526[[#This Row],[累计净值]]/$B$21-1</f>
        <v>1.489637305699465E-2</v>
      </c>
    </row>
    <row r="24" spans="1:8">
      <c r="A24" s="15">
        <v>44035</v>
      </c>
      <c r="B24" s="16">
        <v>1.579</v>
      </c>
      <c r="C24" s="112"/>
      <c r="D24" s="73">
        <f t="shared" si="0"/>
        <v>1.2000000000000011E-2</v>
      </c>
      <c r="E24" s="18" t="str">
        <f>IF(D24&lt;0,D24,"/")</f>
        <v>/</v>
      </c>
      <c r="F24" s="18">
        <f ca="1">IF(表2_367162629303891213141523242526[[#This Row],[累计净值]]/MAX(INDIRECT("B21:B" &amp; ROW()))-1&lt;F23,表2_367162629303891213141523242526[[#This Row],[累计净值]]/MAX(INDIRECT("B21:B" &amp; ROW()))-1,F23)</f>
        <v>0</v>
      </c>
      <c r="G24" s="62">
        <f>表2_367162629303891213141523242526[[#This Row],[累计净值]]</f>
        <v>1.579</v>
      </c>
      <c r="H24" s="20">
        <f>表2_367162629303891213141523242526[[#This Row],[累计净值]]/$B$21-1</f>
        <v>2.2668393782383278E-2</v>
      </c>
    </row>
    <row r="25" spans="1:8">
      <c r="A25" s="15">
        <v>44036</v>
      </c>
      <c r="B25" s="112">
        <v>1.5</v>
      </c>
      <c r="C25" s="112">
        <v>1</v>
      </c>
      <c r="D25" s="108">
        <f t="shared" si="0"/>
        <v>-7.8999999999999959E-2</v>
      </c>
      <c r="E25" s="109">
        <f t="shared" ref="E25:E30" si="1">IF(D25&lt;0,D25,"/")</f>
        <v>-7.8999999999999959E-2</v>
      </c>
      <c r="F25" s="109">
        <f ca="1">IF(表2_367162629303891213141523242526[[#This Row],[累计净值]]/MAX(INDIRECT("B21:B" &amp; ROW()))-1&lt;F24,表2_367162629303891213141523242526[[#This Row],[累计净值]]/MAX(INDIRECT("B21:B" &amp; ROW()))-1,F24)</f>
        <v>-5.0031665611146248E-2</v>
      </c>
      <c r="G25" s="110">
        <f>表2_367162629303891213141523242526[[#This Row],[累计净值]]</f>
        <v>1.5</v>
      </c>
      <c r="H25" s="20">
        <f>表2_367162629303891213141523242526[[#This Row],[累计净值]]/$B$21-1</f>
        <v>-2.8497409326424861E-2</v>
      </c>
    </row>
    <row r="26" spans="1:8">
      <c r="A26" s="15">
        <v>44039</v>
      </c>
      <c r="B26" s="112">
        <v>1.512</v>
      </c>
      <c r="C26" s="112">
        <f>C25*(1+表2_367162629303891213141523242526[[#This Row],[每日盈亏]])</f>
        <v>1.012</v>
      </c>
      <c r="D26" s="108">
        <f t="shared" si="0"/>
        <v>1.2000000000000011E-2</v>
      </c>
      <c r="E26" s="109" t="str">
        <f t="shared" si="1"/>
        <v>/</v>
      </c>
      <c r="F26" s="109">
        <f ca="1">IF(表2_367162629303891213141523242526[[#This Row],[累计净值]]/MAX(INDIRECT("B21:B" &amp; ROW()))-1&lt;F25,表2_367162629303891213141523242526[[#This Row],[累计净值]]/MAX(INDIRECT("B21:B" &amp; ROW()))-1,F25)</f>
        <v>-5.0031665611146248E-2</v>
      </c>
      <c r="G26" s="110">
        <f>表2_367162629303891213141523242526[[#This Row],[累计净值]]</f>
        <v>1.512</v>
      </c>
      <c r="H26" s="20">
        <f>表2_367162629303891213141523242526[[#This Row],[累计净值]]/$B$21-1</f>
        <v>-2.0725388601036232E-2</v>
      </c>
    </row>
    <row r="27" spans="1:8">
      <c r="A27" s="15">
        <v>44040</v>
      </c>
      <c r="B27" s="112">
        <v>1.526</v>
      </c>
      <c r="C27" s="112">
        <f>C26*(1+表2_367162629303891213141523242526[[#This Row],[每日盈亏]])</f>
        <v>1.026168</v>
      </c>
      <c r="D27" s="108">
        <f t="shared" si="0"/>
        <v>1.4000000000000012E-2</v>
      </c>
      <c r="E27" s="109" t="str">
        <f t="shared" si="1"/>
        <v>/</v>
      </c>
      <c r="F27" s="109">
        <f ca="1">IF(表2_367162629303891213141523242526[[#This Row],[累计净值]]/MAX(INDIRECT("B21:B" &amp; ROW()))-1&lt;F26,表2_367162629303891213141523242526[[#This Row],[累计净值]]/MAX(INDIRECT("B21:B" &amp; ROW()))-1,F26)</f>
        <v>-5.0031665611146248E-2</v>
      </c>
      <c r="G27" s="110">
        <f>表2_367162629303891213141523242526[[#This Row],[累计净值]]</f>
        <v>1.526</v>
      </c>
      <c r="H27" s="20">
        <f>表2_367162629303891213141523242526[[#This Row],[累计净值]]/$B$21-1</f>
        <v>-1.1658031088082943E-2</v>
      </c>
    </row>
    <row r="28" spans="1:8">
      <c r="A28" s="15">
        <v>44041</v>
      </c>
      <c r="B28" s="112">
        <v>1.5740000000000001</v>
      </c>
      <c r="C28" s="112">
        <f>C27*(1+表2_367162629303891213141523242526[[#This Row],[每日盈亏]])</f>
        <v>1.0754240639999999</v>
      </c>
      <c r="D28" s="108">
        <f t="shared" si="0"/>
        <v>4.8000000000000043E-2</v>
      </c>
      <c r="E28" s="109" t="str">
        <f t="shared" si="1"/>
        <v>/</v>
      </c>
      <c r="F28" s="109">
        <f ca="1">IF(表2_367162629303891213141523242526[[#This Row],[累计净值]]/MAX(INDIRECT("B21:B" &amp; ROW()))-1&lt;F27,表2_367162629303891213141523242526[[#This Row],[累计净值]]/MAX(INDIRECT("B21:B" &amp; ROW()))-1,F27)</f>
        <v>-5.0031665611146248E-2</v>
      </c>
      <c r="G28" s="110">
        <f>表2_367162629303891213141523242526[[#This Row],[累计净值]]</f>
        <v>1.5740000000000001</v>
      </c>
      <c r="H28" s="20">
        <f>表2_367162629303891213141523242526[[#This Row],[累计净值]]/$B$21-1</f>
        <v>1.9430051813471572E-2</v>
      </c>
    </row>
    <row r="29" spans="1:8">
      <c r="A29" s="15">
        <v>44042</v>
      </c>
      <c r="B29" s="112">
        <v>1.5649999999999999</v>
      </c>
      <c r="C29" s="112">
        <f>C28*(1+表2_367162629303891213141523242526[[#This Row],[每日盈亏]])</f>
        <v>1.0657452474239997</v>
      </c>
      <c r="D29" s="108">
        <f t="shared" si="0"/>
        <v>-9.000000000000119E-3</v>
      </c>
      <c r="E29" s="109">
        <f t="shared" si="1"/>
        <v>-9.000000000000119E-3</v>
      </c>
      <c r="F29" s="109">
        <f ca="1">IF(表2_367162629303891213141523242526[[#This Row],[累计净值]]/MAX(INDIRECT("B21:B" &amp; ROW()))-1&lt;F28,表2_367162629303891213141523242526[[#This Row],[累计净值]]/MAX(INDIRECT("B21:B" &amp; ROW()))-1,F28)</f>
        <v>-5.0031665611146248E-2</v>
      </c>
      <c r="G29" s="110">
        <f>表2_367162629303891213141523242526[[#This Row],[累计净值]]</f>
        <v>1.5649999999999999</v>
      </c>
      <c r="H29" s="20">
        <f>表2_367162629303891213141523242526[[#This Row],[累计净值]]/$B$21-1</f>
        <v>1.36010362694301E-2</v>
      </c>
    </row>
    <row r="30" spans="1:8">
      <c r="A30" s="15">
        <v>44043</v>
      </c>
      <c r="B30" s="112">
        <v>1.5860000000000001</v>
      </c>
      <c r="C30" s="112">
        <f>C29*(1+表2_367162629303891213141523242526[[#This Row],[每日盈亏]])</f>
        <v>1.0881258976199037</v>
      </c>
      <c r="D30" s="108">
        <f t="shared" si="0"/>
        <v>2.100000000000013E-2</v>
      </c>
      <c r="E30" s="109" t="str">
        <f t="shared" si="1"/>
        <v>/</v>
      </c>
      <c r="F30" s="109">
        <f ca="1">IF(表2_367162629303891213141523242526[[#This Row],[累计净值]]/MAX(INDIRECT("B21:B" &amp; ROW()))-1&lt;F29,表2_367162629303891213141523242526[[#This Row],[累计净值]]/MAX(INDIRECT("B21:B" &amp; ROW()))-1,F29)</f>
        <v>-5.0031665611146248E-2</v>
      </c>
      <c r="G30" s="110">
        <f>表2_367162629303891213141523242526[[#This Row],[累计净值]]</f>
        <v>1.5860000000000001</v>
      </c>
      <c r="H30" s="20">
        <f>表2_367162629303891213141523242526[[#This Row],[累计净值]]/$B$21-1</f>
        <v>2.72020725388602E-2</v>
      </c>
    </row>
    <row r="31" spans="1:8">
      <c r="A31" s="15">
        <v>44046</v>
      </c>
      <c r="B31" s="112">
        <v>1.629</v>
      </c>
      <c r="C31" s="112">
        <f>C30*(1+表2_367162629303891213141523242526[[#This Row],[每日盈亏]])</f>
        <v>1.1349153112175596</v>
      </c>
      <c r="D31" s="108">
        <f t="shared" si="0"/>
        <v>4.2999999999999927E-2</v>
      </c>
      <c r="E31" s="109" t="str">
        <f t="shared" ref="E31:E36" si="2">IF(D31&lt;0,D31,"/")</f>
        <v>/</v>
      </c>
      <c r="F31" s="109">
        <f ca="1">IF(表2_367162629303891213141523242526[[#This Row],[累计净值]]/MAX(INDIRECT("B21:B" &amp; ROW()))-1&lt;F30,表2_367162629303891213141523242526[[#This Row],[累计净值]]/MAX(INDIRECT("B21:B" &amp; ROW()))-1,F30)</f>
        <v>-5.0031665611146248E-2</v>
      </c>
      <c r="G31" s="110">
        <f>表2_367162629303891213141523242526[[#This Row],[累计净值]]</f>
        <v>1.629</v>
      </c>
      <c r="H31" s="20">
        <f>表2_367162629303891213141523242526[[#This Row],[累计净值]]/$B$21-1</f>
        <v>5.5051813471502564E-2</v>
      </c>
    </row>
    <row r="32" spans="1:8">
      <c r="A32" s="15">
        <v>44047</v>
      </c>
      <c r="B32" s="112">
        <v>1.6140000000000001</v>
      </c>
      <c r="C32" s="112">
        <f>C31*(1+表2_367162629303891213141523242526[[#This Row],[每日盈亏]])</f>
        <v>1.1178915815492962</v>
      </c>
      <c r="D32" s="108">
        <f t="shared" si="0"/>
        <v>-1.4999999999999902E-2</v>
      </c>
      <c r="E32" s="109">
        <f t="shared" si="2"/>
        <v>-1.4999999999999902E-2</v>
      </c>
      <c r="F32" s="109">
        <f ca="1">IF(表2_367162629303891213141523242526[[#This Row],[累计净值]]/MAX(INDIRECT("B21:B" &amp; ROW()))-1&lt;F31,表2_367162629303891213141523242526[[#This Row],[累计净值]]/MAX(INDIRECT("B21:B" &amp; ROW()))-1,F31)</f>
        <v>-5.0031665611146248E-2</v>
      </c>
      <c r="G32" s="110">
        <f>表2_367162629303891213141523242526[[#This Row],[累计净值]]</f>
        <v>1.6140000000000001</v>
      </c>
      <c r="H32" s="20">
        <f>表2_367162629303891213141523242526[[#This Row],[累计净值]]/$B$21-1</f>
        <v>4.5336787564766778E-2</v>
      </c>
    </row>
    <row r="33" spans="1:8">
      <c r="A33" s="15">
        <v>44048</v>
      </c>
      <c r="B33" s="112">
        <v>1.635</v>
      </c>
      <c r="C33" s="112">
        <f>C32*(1+表2_367162629303891213141523242526[[#This Row],[每日盈亏]])</f>
        <v>1.1413673047618313</v>
      </c>
      <c r="D33" s="108">
        <f t="shared" si="0"/>
        <v>2.0999999999999908E-2</v>
      </c>
      <c r="E33" s="109" t="str">
        <f t="shared" si="2"/>
        <v>/</v>
      </c>
      <c r="F33" s="109">
        <f ca="1">IF(表2_367162629303891213141523242526[[#This Row],[累计净值]]/MAX(INDIRECT("B21:B" &amp; ROW()))-1&lt;F32,表2_367162629303891213141523242526[[#This Row],[累计净值]]/MAX(INDIRECT("B21:B" &amp; ROW()))-1,F32)</f>
        <v>-5.0031665611146248E-2</v>
      </c>
      <c r="G33" s="110">
        <f>表2_367162629303891213141523242526[[#This Row],[累计净值]]</f>
        <v>1.635</v>
      </c>
      <c r="H33" s="20">
        <f>表2_367162629303891213141523242526[[#This Row],[累计净值]]/$B$21-1</f>
        <v>5.8937823834196879E-2</v>
      </c>
    </row>
    <row r="34" spans="1:8">
      <c r="A34" s="15">
        <v>44049</v>
      </c>
      <c r="B34" s="112">
        <v>1.63</v>
      </c>
      <c r="C34" s="112">
        <f>C33*(1+表2_367162629303891213141523242526[[#This Row],[每日盈亏]])</f>
        <v>1.135660468238022</v>
      </c>
      <c r="D34" s="108">
        <f t="shared" si="0"/>
        <v>-5.0000000000001155E-3</v>
      </c>
      <c r="E34" s="109">
        <f t="shared" si="2"/>
        <v>-5.0000000000001155E-3</v>
      </c>
      <c r="F34" s="109">
        <f ca="1">IF(表2_367162629303891213141523242526[[#This Row],[累计净值]]/MAX(INDIRECT("B21:B" &amp; ROW()))-1&lt;F33,表2_367162629303891213141523242526[[#This Row],[累计净值]]/MAX(INDIRECT("B21:B" &amp; ROW()))-1,F33)</f>
        <v>-5.0031665611146248E-2</v>
      </c>
      <c r="G34" s="110">
        <f>表2_367162629303891213141523242526[[#This Row],[累计净值]]</f>
        <v>1.63</v>
      </c>
      <c r="H34" s="20">
        <f>表2_367162629303891213141523242526[[#This Row],[累计净值]]/$B$21-1</f>
        <v>5.569948186528495E-2</v>
      </c>
    </row>
    <row r="35" spans="1:8">
      <c r="A35" s="15">
        <v>44050</v>
      </c>
      <c r="B35" s="112">
        <v>1.6120000000000001</v>
      </c>
      <c r="C35" s="112">
        <f>C34*(1+表2_367162629303891213141523242526[[#This Row],[每日盈亏]])</f>
        <v>1.1152185798097378</v>
      </c>
      <c r="D35" s="108">
        <f t="shared" si="0"/>
        <v>-1.7999999999999794E-2</v>
      </c>
      <c r="E35" s="109">
        <f t="shared" si="2"/>
        <v>-1.7999999999999794E-2</v>
      </c>
      <c r="F35" s="109">
        <f ca="1">IF(表2_367162629303891213141523242526[[#This Row],[累计净值]]/MAX(INDIRECT("B21:B" &amp; ROW()))-1&lt;F34,表2_367162629303891213141523242526[[#This Row],[累计净值]]/MAX(INDIRECT("B21:B" &amp; ROW()))-1,F34)</f>
        <v>-5.0031665611146248E-2</v>
      </c>
      <c r="G35" s="110">
        <f>表2_367162629303891213141523242526[[#This Row],[累计净值]]</f>
        <v>1.6120000000000001</v>
      </c>
      <c r="H35" s="20">
        <f>表2_367162629303891213141523242526[[#This Row],[累计净值]]/$B$21-1</f>
        <v>4.4041450777202007E-2</v>
      </c>
    </row>
    <row r="36" spans="1:8">
      <c r="A36" s="15">
        <v>44053</v>
      </c>
      <c r="B36" s="112">
        <v>1.609</v>
      </c>
      <c r="C36" s="112">
        <f>C35*(1+表2_367162629303891213141523242526[[#This Row],[每日盈亏]])</f>
        <v>1.1118729240703085</v>
      </c>
      <c r="D36" s="108">
        <f t="shared" si="0"/>
        <v>-3.0000000000001137E-3</v>
      </c>
      <c r="E36" s="109">
        <f t="shared" si="2"/>
        <v>-3.0000000000001137E-3</v>
      </c>
      <c r="F36" s="109">
        <f ca="1">IF(表2_367162629303891213141523242526[[#This Row],[累计净值]]/MAX(INDIRECT("B21:B" &amp; ROW()))-1&lt;F35,表2_367162629303891213141523242526[[#This Row],[累计净值]]/MAX(INDIRECT("B21:B" &amp; ROW()))-1,F35)</f>
        <v>-5.0031665611146248E-2</v>
      </c>
      <c r="G36" s="110">
        <f>表2_367162629303891213141523242526[[#This Row],[累计净值]]</f>
        <v>1.609</v>
      </c>
      <c r="H36" s="20">
        <f>表2_367162629303891213141523242526[[#This Row],[累计净值]]/$B$21-1</f>
        <v>4.209844559585485E-2</v>
      </c>
    </row>
    <row r="37" spans="1:8">
      <c r="A37" s="15">
        <v>44054</v>
      </c>
      <c r="B37" s="112">
        <v>1.5820000000000001</v>
      </c>
      <c r="C37" s="112">
        <f>C36*(1+表2_367162629303891213141523242526[[#This Row],[每日盈亏]])</f>
        <v>1.0818523551204102</v>
      </c>
      <c r="D37" s="108">
        <f t="shared" si="0"/>
        <v>-2.6999999999999913E-2</v>
      </c>
      <c r="E37" s="109">
        <f t="shared" ref="E37:E42" si="3">IF(D37&lt;0,D37,"/")</f>
        <v>-2.6999999999999913E-2</v>
      </c>
      <c r="F37" s="109">
        <f ca="1">IF(表2_367162629303891213141523242526[[#This Row],[累计净值]]/MAX(INDIRECT("B21:B" &amp; ROW()))-1&lt;F36,表2_367162629303891213141523242526[[#This Row],[累计净值]]/MAX(INDIRECT("B21:B" &amp; ROW()))-1,F36)</f>
        <v>-5.0031665611146248E-2</v>
      </c>
      <c r="G37" s="110">
        <f>表2_367162629303891213141523242526[[#This Row],[累计净值]]</f>
        <v>1.5820000000000001</v>
      </c>
      <c r="H37" s="20">
        <f>表2_367162629303891213141523242526[[#This Row],[累计净值]]/$B$21-1</f>
        <v>2.4611398963730657E-2</v>
      </c>
    </row>
    <row r="38" spans="1:8">
      <c r="A38" s="15">
        <v>44055</v>
      </c>
      <c r="B38" s="112">
        <v>1.5549999999999999</v>
      </c>
      <c r="C38" s="112">
        <f>C37*(1+表2_367162629303891213141523242526[[#This Row],[每日盈亏]])</f>
        <v>1.0526423415321591</v>
      </c>
      <c r="D38" s="108">
        <f t="shared" si="0"/>
        <v>-2.7000000000000135E-2</v>
      </c>
      <c r="E38" s="109">
        <f t="shared" si="3"/>
        <v>-2.7000000000000135E-2</v>
      </c>
      <c r="F38" s="109">
        <f ca="1">IF(表2_367162629303891213141523242526[[#This Row],[累计净值]]/MAX(INDIRECT("B21:B" &amp; ROW()))-1&lt;F37,表2_367162629303891213141523242526[[#This Row],[累计净值]]/MAX(INDIRECT("B21:B" &amp; ROW()))-1,F37)</f>
        <v>-5.0031665611146248E-2</v>
      </c>
      <c r="G38" s="110">
        <f>表2_367162629303891213141523242526[[#This Row],[累计净值]]</f>
        <v>1.5549999999999999</v>
      </c>
      <c r="H38" s="20">
        <f>表2_367162629303891213141523242526[[#This Row],[累计净值]]/$B$21-1</f>
        <v>7.1243523316062429E-3</v>
      </c>
    </row>
    <row r="39" spans="1:8">
      <c r="A39" s="15">
        <v>44056</v>
      </c>
      <c r="B39" s="112">
        <v>1.554</v>
      </c>
      <c r="C39" s="112">
        <f>C38*(1+表2_367162629303891213141523242526[[#This Row],[每日盈亏]])</f>
        <v>1.0515896991906271</v>
      </c>
      <c r="D39" s="108">
        <f t="shared" si="0"/>
        <v>-9.9999999999988987E-4</v>
      </c>
      <c r="E39" s="109">
        <f t="shared" si="3"/>
        <v>-9.9999999999988987E-4</v>
      </c>
      <c r="F39" s="109">
        <f ca="1">IF(表2_367162629303891213141523242526[[#This Row],[累计净值]]/MAX(INDIRECT("B21:B" &amp; ROW()))-1&lt;F38,表2_367162629303891213141523242526[[#This Row],[累计净值]]/MAX(INDIRECT("B21:B" &amp; ROW()))-1,F38)</f>
        <v>-5.0031665611146248E-2</v>
      </c>
      <c r="G39" s="110">
        <f>表2_367162629303891213141523242526[[#This Row],[累计净值]]</f>
        <v>1.554</v>
      </c>
      <c r="H39" s="20">
        <f>表2_367162629303891213141523242526[[#This Row],[累计净值]]/$B$21-1</f>
        <v>6.4766839378238572E-3</v>
      </c>
    </row>
    <row r="40" spans="1:8">
      <c r="A40" s="15">
        <v>44057</v>
      </c>
      <c r="B40" s="112">
        <v>1.5740000000000001</v>
      </c>
      <c r="C40" s="112">
        <f>C39*(1+表2_367162629303891213141523242526[[#This Row],[每日盈亏]])</f>
        <v>1.0726214931744396</v>
      </c>
      <c r="D40" s="108">
        <f t="shared" si="0"/>
        <v>2.0000000000000018E-2</v>
      </c>
      <c r="E40" s="109" t="str">
        <f t="shared" si="3"/>
        <v>/</v>
      </c>
      <c r="F40" s="109">
        <f ca="1">IF(表2_367162629303891213141523242526[[#This Row],[累计净值]]/MAX(INDIRECT("B21:B" &amp; ROW()))-1&lt;F39,表2_367162629303891213141523242526[[#This Row],[累计净值]]/MAX(INDIRECT("B21:B" &amp; ROW()))-1,F39)</f>
        <v>-5.0031665611146248E-2</v>
      </c>
      <c r="G40" s="110">
        <f>表2_367162629303891213141523242526[[#This Row],[累计净值]]</f>
        <v>1.5740000000000001</v>
      </c>
      <c r="H40" s="20">
        <f>表2_367162629303891213141523242526[[#This Row],[累计净值]]/$B$21-1</f>
        <v>1.9430051813471572E-2</v>
      </c>
    </row>
    <row r="41" spans="1:8">
      <c r="A41" s="15">
        <v>44060</v>
      </c>
      <c r="B41" s="112">
        <v>1.6080000000000001</v>
      </c>
      <c r="C41" s="112">
        <f>C40*(1+表2_367162629303891213141523242526[[#This Row],[每日盈亏]])</f>
        <v>1.1090906239423706</v>
      </c>
      <c r="D41" s="108">
        <f t="shared" si="0"/>
        <v>3.400000000000003E-2</v>
      </c>
      <c r="E41" s="109" t="str">
        <f t="shared" si="3"/>
        <v>/</v>
      </c>
      <c r="F41" s="109">
        <f ca="1">IF(表2_367162629303891213141523242526[[#This Row],[累计净值]]/MAX(INDIRECT("B21:B" &amp; ROW()))-1&lt;F40,表2_367162629303891213141523242526[[#This Row],[累计净值]]/MAX(INDIRECT("B21:B" &amp; ROW()))-1,F40)</f>
        <v>-5.0031665611146248E-2</v>
      </c>
      <c r="G41" s="110">
        <f>表2_367162629303891213141523242526[[#This Row],[累计净值]]</f>
        <v>1.6080000000000001</v>
      </c>
      <c r="H41" s="20">
        <f>表2_367162629303891213141523242526[[#This Row],[累计净值]]/$B$21-1</f>
        <v>4.1450777202072464E-2</v>
      </c>
    </row>
    <row r="42" spans="1:8">
      <c r="A42" s="15">
        <v>44061</v>
      </c>
      <c r="B42" s="112">
        <v>1.619</v>
      </c>
      <c r="C42" s="112">
        <f>C41*(1+表2_367162629303891213141523242526[[#This Row],[每日盈亏]])</f>
        <v>1.1212906208057365</v>
      </c>
      <c r="D42" s="108">
        <f t="shared" si="0"/>
        <v>1.0999999999999899E-2</v>
      </c>
      <c r="E42" s="109" t="str">
        <f t="shared" si="3"/>
        <v>/</v>
      </c>
      <c r="F42" s="109">
        <f ca="1">IF(表2_367162629303891213141523242526[[#This Row],[累计净值]]/MAX(INDIRECT("B21:B" &amp; ROW()))-1&lt;F41,表2_367162629303891213141523242526[[#This Row],[累计净值]]/MAX(INDIRECT("B21:B" &amp; ROW()))-1,F41)</f>
        <v>-5.0031665611146248E-2</v>
      </c>
      <c r="G42" s="110">
        <f>表2_367162629303891213141523242526[[#This Row],[累计净值]]</f>
        <v>1.619</v>
      </c>
      <c r="H42" s="20">
        <f>表2_367162629303891213141523242526[[#This Row],[累计净值]]/$B$21-1</f>
        <v>4.8575129533678707E-2</v>
      </c>
    </row>
    <row r="43" spans="1:8">
      <c r="A43" s="15">
        <v>44062</v>
      </c>
      <c r="B43" s="112">
        <v>1.5840000000000001</v>
      </c>
      <c r="C43" s="112">
        <f>C42*(1+表2_367162629303891213141523242526[[#This Row],[每日盈亏]])</f>
        <v>1.0820454490775357</v>
      </c>
      <c r="D43" s="108">
        <f t="shared" si="0"/>
        <v>-3.499999999999992E-2</v>
      </c>
      <c r="E43" s="109">
        <f t="shared" ref="E43:E48" si="4">IF(D43&lt;0,D43,"/")</f>
        <v>-3.499999999999992E-2</v>
      </c>
      <c r="F43" s="109">
        <f ca="1">IF(表2_367162629303891213141523242526[[#This Row],[累计净值]]/MAX(INDIRECT("B21:B" &amp; ROW()))-1&lt;F42,表2_367162629303891213141523242526[[#This Row],[累计净值]]/MAX(INDIRECT("B21:B" &amp; ROW()))-1,F42)</f>
        <v>-5.0031665611146248E-2</v>
      </c>
      <c r="G43" s="110">
        <f>表2_367162629303891213141523242526[[#This Row],[累计净值]]</f>
        <v>1.5840000000000001</v>
      </c>
      <c r="H43" s="20">
        <f>表2_367162629303891213141523242526[[#This Row],[累计净值]]/$B$21-1</f>
        <v>2.5906735751295429E-2</v>
      </c>
    </row>
    <row r="44" spans="1:8">
      <c r="A44" s="15">
        <v>44063</v>
      </c>
      <c r="B44" s="112">
        <v>1.5649999999999999</v>
      </c>
      <c r="C44" s="112">
        <f>C43*(1+表2_367162629303891213141523242526[[#This Row],[每日盈亏]])</f>
        <v>1.0614865855450624</v>
      </c>
      <c r="D44" s="108">
        <f t="shared" si="0"/>
        <v>-1.9000000000000128E-2</v>
      </c>
      <c r="E44" s="109">
        <f t="shared" si="4"/>
        <v>-1.9000000000000128E-2</v>
      </c>
      <c r="F44" s="109">
        <f ca="1">IF(表2_367162629303891213141523242526[[#This Row],[累计净值]]/MAX(INDIRECT("B21:B" &amp; ROW()))-1&lt;F43,表2_367162629303891213141523242526[[#This Row],[累计净值]]/MAX(INDIRECT("B21:B" &amp; ROW()))-1,F43)</f>
        <v>-5.0031665611146248E-2</v>
      </c>
      <c r="G44" s="110">
        <f>表2_367162629303891213141523242526[[#This Row],[累计净值]]</f>
        <v>1.5649999999999999</v>
      </c>
      <c r="H44" s="20">
        <f>表2_367162629303891213141523242526[[#This Row],[累计净值]]/$B$21-1</f>
        <v>1.36010362694301E-2</v>
      </c>
    </row>
    <row r="45" spans="1:8">
      <c r="A45" s="15">
        <v>44064</v>
      </c>
      <c r="B45" s="112">
        <v>1.579</v>
      </c>
      <c r="C45" s="112">
        <f>C44*(1+表2_367162629303891213141523242526[[#This Row],[每日盈亏]])</f>
        <v>1.0763473977426932</v>
      </c>
      <c r="D45" s="108">
        <f t="shared" si="0"/>
        <v>1.4000000000000012E-2</v>
      </c>
      <c r="E45" s="109" t="str">
        <f t="shared" si="4"/>
        <v>/</v>
      </c>
      <c r="F45" s="109">
        <f ca="1">IF(表2_367162629303891213141523242526[[#This Row],[累计净值]]/MAX(INDIRECT("B21:B" &amp; ROW()))-1&lt;F44,表2_367162629303891213141523242526[[#This Row],[累计净值]]/MAX(INDIRECT("B21:B" &amp; ROW()))-1,F44)</f>
        <v>-5.0031665611146248E-2</v>
      </c>
      <c r="G45" s="110">
        <f>表2_367162629303891213141523242526[[#This Row],[累计净值]]</f>
        <v>1.579</v>
      </c>
      <c r="H45" s="20">
        <f>表2_367162629303891213141523242526[[#This Row],[累计净值]]/$B$21-1</f>
        <v>2.2668393782383278E-2</v>
      </c>
    </row>
    <row r="46" spans="1:8">
      <c r="A46" s="15">
        <v>44067</v>
      </c>
      <c r="B46" s="112">
        <v>1.5960000000000001</v>
      </c>
      <c r="C46" s="112">
        <f>C45*(1+表2_367162629303891213141523242526[[#This Row],[每日盈亏]])</f>
        <v>1.0946453035043191</v>
      </c>
      <c r="D46" s="108">
        <f t="shared" si="0"/>
        <v>1.7000000000000126E-2</v>
      </c>
      <c r="E46" s="109" t="str">
        <f t="shared" si="4"/>
        <v>/</v>
      </c>
      <c r="F46" s="109">
        <f ca="1">IF(表2_367162629303891213141523242526[[#This Row],[累计净值]]/MAX(INDIRECT("B21:B" &amp; ROW()))-1&lt;F45,表2_367162629303891213141523242526[[#This Row],[累计净值]]/MAX(INDIRECT("B21:B" &amp; ROW()))-1,F45)</f>
        <v>-5.0031665611146248E-2</v>
      </c>
      <c r="G46" s="110">
        <f>表2_367162629303891213141523242526[[#This Row],[累计净值]]</f>
        <v>1.5960000000000001</v>
      </c>
      <c r="H46" s="20">
        <f>表2_367162629303891213141523242526[[#This Row],[累计净值]]/$B$21-1</f>
        <v>3.3678756476684057E-2</v>
      </c>
    </row>
    <row r="47" spans="1:8">
      <c r="A47" s="15">
        <v>44068</v>
      </c>
      <c r="B47" s="112">
        <v>1.5880000000000001</v>
      </c>
      <c r="C47" s="112">
        <f>C46*(1+表2_367162629303891213141523242526[[#This Row],[每日盈亏]])</f>
        <v>1.0858881410762846</v>
      </c>
      <c r="D47" s="108">
        <f t="shared" si="0"/>
        <v>-8.0000000000000071E-3</v>
      </c>
      <c r="E47" s="109">
        <f t="shared" si="4"/>
        <v>-8.0000000000000071E-3</v>
      </c>
      <c r="F47" s="109">
        <f ca="1">IF(表2_367162629303891213141523242526[[#This Row],[累计净值]]/MAX(INDIRECT("B21:B" &amp; ROW()))-1&lt;F46,表2_367162629303891213141523242526[[#This Row],[累计净值]]/MAX(INDIRECT("B21:B" &amp; ROW()))-1,F46)</f>
        <v>-5.0031665611146248E-2</v>
      </c>
      <c r="G47" s="110">
        <f>表2_367162629303891213141523242526[[#This Row],[累计净值]]</f>
        <v>1.5880000000000001</v>
      </c>
      <c r="H47" s="20">
        <f>表2_367162629303891213141523242526[[#This Row],[累计净值]]/$B$21-1</f>
        <v>2.8497409326424972E-2</v>
      </c>
    </row>
    <row r="48" spans="1:8">
      <c r="A48" s="15">
        <v>44069</v>
      </c>
      <c r="B48" s="112">
        <v>1.544</v>
      </c>
      <c r="C48" s="112">
        <f>C47*(1+表2_367162629303891213141523242526[[#This Row],[每日盈亏]])</f>
        <v>1.038109062868928</v>
      </c>
      <c r="D48" s="108">
        <f t="shared" si="0"/>
        <v>-4.4000000000000039E-2</v>
      </c>
      <c r="E48" s="109">
        <f t="shared" si="4"/>
        <v>-4.4000000000000039E-2</v>
      </c>
      <c r="F48" s="109">
        <f ca="1">IF(表2_367162629303891213141523242526[[#This Row],[累计净值]]/MAX(INDIRECT("B21:B" &amp; ROW()))-1&lt;F47,表2_367162629303891213141523242526[[#This Row],[累计净值]]/MAX(INDIRECT("B21:B" &amp; ROW()))-1,F47)</f>
        <v>-5.5657492354740046E-2</v>
      </c>
      <c r="G48" s="110">
        <f>表2_367162629303891213141523242526[[#This Row],[累计净值]]</f>
        <v>1.544</v>
      </c>
      <c r="H48" s="20">
        <f>表2_367162629303891213141523242526[[#This Row],[累计净值]]/$B$21-1</f>
        <v>0</v>
      </c>
    </row>
    <row r="49" spans="1:12">
      <c r="A49" s="15">
        <v>44070</v>
      </c>
      <c r="B49" s="112">
        <v>1.5720000000000001</v>
      </c>
      <c r="C49" s="112">
        <f>C48*(1+表2_367162629303891213141523242526[[#This Row],[每日盈亏]])</f>
        <v>1.0671761166292579</v>
      </c>
      <c r="D49" s="108">
        <f t="shared" si="0"/>
        <v>2.8000000000000025E-2</v>
      </c>
      <c r="E49" s="109" t="str">
        <f t="shared" ref="E49:E54" si="5">IF(D49&lt;0,D49,"/")</f>
        <v>/</v>
      </c>
      <c r="F49" s="109">
        <f ca="1">IF(表2_367162629303891213141523242526[[#This Row],[累计净值]]/MAX(INDIRECT("B21:B" &amp; ROW()))-1&lt;F48,表2_367162629303891213141523242526[[#This Row],[累计净值]]/MAX(INDIRECT("B21:B" &amp; ROW()))-1,F48)</f>
        <v>-5.5657492354740046E-2</v>
      </c>
      <c r="G49" s="110">
        <f>表2_367162629303891213141523242526[[#This Row],[累计净值]]</f>
        <v>1.5720000000000001</v>
      </c>
      <c r="H49" s="20">
        <f>表2_367162629303891213141523242526[[#This Row],[累计净值]]/$B$21-1</f>
        <v>1.81347150259068E-2</v>
      </c>
    </row>
    <row r="50" spans="1:12">
      <c r="A50" s="15">
        <v>44071</v>
      </c>
      <c r="B50" s="112">
        <v>1.5960000000000001</v>
      </c>
      <c r="C50" s="112">
        <f>C49*(1+表2_367162629303891213141523242526[[#This Row],[每日盈亏]])</f>
        <v>1.0927883434283601</v>
      </c>
      <c r="D50" s="108">
        <f t="shared" si="0"/>
        <v>2.4000000000000021E-2</v>
      </c>
      <c r="E50" s="109" t="str">
        <f t="shared" si="5"/>
        <v>/</v>
      </c>
      <c r="F50" s="109">
        <f ca="1">IF(表2_367162629303891213141523242526[[#This Row],[累计净值]]/MAX(INDIRECT("B21:B" &amp; ROW()))-1&lt;F49,表2_367162629303891213141523242526[[#This Row],[累计净值]]/MAX(INDIRECT("B21:B" &amp; ROW()))-1,F49)</f>
        <v>-5.5657492354740046E-2</v>
      </c>
      <c r="G50" s="110">
        <f>表2_367162629303891213141523242526[[#This Row],[累计净值]]</f>
        <v>1.5960000000000001</v>
      </c>
      <c r="H50" s="20">
        <f>表2_367162629303891213141523242526[[#This Row],[累计净值]]/$B$21-1</f>
        <v>3.3678756476684057E-2</v>
      </c>
    </row>
    <row r="51" spans="1:12">
      <c r="A51" s="15">
        <v>44074</v>
      </c>
      <c r="B51" s="112">
        <v>1.59</v>
      </c>
      <c r="C51" s="112">
        <f>C50*(1+表2_367162629303891213141523242526[[#This Row],[每日盈亏]])</f>
        <v>1.0862316133677898</v>
      </c>
      <c r="D51" s="108">
        <f t="shared" si="0"/>
        <v>-6.0000000000000053E-3</v>
      </c>
      <c r="E51" s="109">
        <f t="shared" si="5"/>
        <v>-6.0000000000000053E-3</v>
      </c>
      <c r="F51" s="109">
        <f ca="1">IF(表2_367162629303891213141523242526[[#This Row],[累计净值]]/MAX(INDIRECT("B21:B" &amp; ROW()))-1&lt;F50,表2_367162629303891213141523242526[[#This Row],[累计净值]]/MAX(INDIRECT("B21:B" &amp; ROW()))-1,F50)</f>
        <v>-5.5657492354740046E-2</v>
      </c>
      <c r="G51" s="110">
        <f>表2_367162629303891213141523242526[[#This Row],[累计净值]]</f>
        <v>1.59</v>
      </c>
      <c r="H51" s="20">
        <f>表2_367162629303891213141523242526[[#This Row],[累计净值]]/$B$21-1</f>
        <v>2.9792746113989743E-2</v>
      </c>
    </row>
    <row r="52" spans="1:12">
      <c r="A52" s="15">
        <v>44075</v>
      </c>
      <c r="B52" s="112">
        <v>1.595</v>
      </c>
      <c r="C52" s="112">
        <f>C51*(1+表2_367162629303891213141523242526[[#This Row],[每日盈亏]])</f>
        <v>1.0916627714346288</v>
      </c>
      <c r="D52" s="108">
        <f t="shared" si="0"/>
        <v>4.9999999999998934E-3</v>
      </c>
      <c r="E52" s="109" t="str">
        <f t="shared" si="5"/>
        <v>/</v>
      </c>
      <c r="F52" s="109">
        <f ca="1">IF(表2_367162629303891213141523242526[[#This Row],[累计净值]]/MAX(INDIRECT("B21:B" &amp; ROW()))-1&lt;F51,表2_367162629303891213141523242526[[#This Row],[累计净值]]/MAX(INDIRECT("B21:B" &amp; ROW()))-1,F51)</f>
        <v>-5.5657492354740046E-2</v>
      </c>
      <c r="G52" s="110">
        <f>表2_367162629303891213141523242526[[#This Row],[累计净值]]</f>
        <v>1.595</v>
      </c>
      <c r="H52" s="20">
        <f>表2_367162629303891213141523242526[[#This Row],[累计净值]]/$B$21-1</f>
        <v>3.303108808290145E-2</v>
      </c>
    </row>
    <row r="53" spans="1:12">
      <c r="A53" s="15">
        <v>44076</v>
      </c>
      <c r="B53" s="112">
        <v>1.593</v>
      </c>
      <c r="C53" s="112">
        <f>C52*(1+表2_367162629303891213141523242526[[#This Row],[每日盈亏]])</f>
        <v>1.0894794458917596</v>
      </c>
      <c r="D53" s="108">
        <f t="shared" ref="D53:D84" si="6">IFERROR(B53-B52,0)</f>
        <v>-2.0000000000000018E-3</v>
      </c>
      <c r="E53" s="109">
        <f t="shared" si="5"/>
        <v>-2.0000000000000018E-3</v>
      </c>
      <c r="F53" s="109">
        <f ca="1">IF(表2_367162629303891213141523242526[[#This Row],[累计净值]]/MAX(INDIRECT("B21:B" &amp; ROW()))-1&lt;F52,表2_367162629303891213141523242526[[#This Row],[累计净值]]/MAX(INDIRECT("B21:B" &amp; ROW()))-1,F52)</f>
        <v>-5.5657492354740046E-2</v>
      </c>
      <c r="G53" s="110">
        <f>表2_367162629303891213141523242526[[#This Row],[累计净值]]</f>
        <v>1.593</v>
      </c>
      <c r="H53" s="20">
        <f>表2_367162629303891213141523242526[[#This Row],[累计净值]]/$B$21-1</f>
        <v>3.1735751295336678E-2</v>
      </c>
    </row>
    <row r="54" spans="1:12">
      <c r="A54" s="15">
        <v>44077</v>
      </c>
      <c r="B54" s="112">
        <v>1.577</v>
      </c>
      <c r="C54" s="112">
        <f>C53*(1+表2_367162629303891213141523242526[[#This Row],[每日盈亏]])</f>
        <v>1.0720477747574915</v>
      </c>
      <c r="D54" s="108">
        <f t="shared" si="6"/>
        <v>-1.6000000000000014E-2</v>
      </c>
      <c r="E54" s="109">
        <f t="shared" si="5"/>
        <v>-1.6000000000000014E-2</v>
      </c>
      <c r="F54" s="109">
        <f ca="1">IF(表2_367162629303891213141523242526[[#This Row],[累计净值]]/MAX(INDIRECT("B21:B" &amp; ROW()))-1&lt;F53,表2_367162629303891213141523242526[[#This Row],[累计净值]]/MAX(INDIRECT("B21:B" &amp; ROW()))-1,F53)</f>
        <v>-5.5657492354740046E-2</v>
      </c>
      <c r="G54" s="110">
        <f>表2_367162629303891213141523242526[[#This Row],[累计净值]]</f>
        <v>1.577</v>
      </c>
      <c r="H54" s="20">
        <f>表2_367162629303891213141523242526[[#This Row],[累计净值]]/$B$21-1</f>
        <v>2.1373056994818507E-2</v>
      </c>
      <c r="L54" s="198">
        <f>表2_367162629303891213141523242526[[#This Row],[持有涨跌幅]]-H53</f>
        <v>-1.0362694300518172E-2</v>
      </c>
    </row>
    <row r="55" spans="1:12">
      <c r="A55" s="15">
        <v>44078</v>
      </c>
      <c r="B55" s="112">
        <v>1.5720000000000001</v>
      </c>
      <c r="C55" s="112">
        <f>C54*(1+表2_367162629303891213141523242526[[#This Row],[每日盈亏]])</f>
        <v>1.066687535883704</v>
      </c>
      <c r="D55" s="108">
        <f t="shared" si="6"/>
        <v>-4.9999999999998934E-3</v>
      </c>
      <c r="E55" s="109">
        <f t="shared" ref="E55:E60" si="7">IF(D55&lt;0,D55,"/")</f>
        <v>-4.9999999999998934E-3</v>
      </c>
      <c r="F55" s="109">
        <f ca="1">IF(表2_367162629303891213141523242526[[#This Row],[累计净值]]/MAX(INDIRECT("B21:B" &amp; ROW()))-1&lt;F54,表2_367162629303891213141523242526[[#This Row],[累计净值]]/MAX(INDIRECT("B21:B" &amp; ROW()))-1,F54)</f>
        <v>-5.5657492354740046E-2</v>
      </c>
      <c r="G55" s="110">
        <f>表2_367162629303891213141523242526[[#This Row],[累计净值]]</f>
        <v>1.5720000000000001</v>
      </c>
      <c r="H55" s="20">
        <f>表2_367162629303891213141523242526[[#This Row],[累计净值]]/$B$21-1</f>
        <v>1.81347150259068E-2</v>
      </c>
      <c r="L55" s="198">
        <f>表2_367162629303891213141523242526[[#This Row],[持有涨跌幅]]-H54</f>
        <v>-3.2383419689117066E-3</v>
      </c>
    </row>
    <row r="56" spans="1:12">
      <c r="A56" s="15">
        <v>44081</v>
      </c>
      <c r="B56" s="112">
        <v>1.524</v>
      </c>
      <c r="C56" s="112">
        <f>C55*(1+表2_367162629303891213141523242526[[#This Row],[每日盈亏]])</f>
        <v>1.0154865341612862</v>
      </c>
      <c r="D56" s="108">
        <f t="shared" si="6"/>
        <v>-4.8000000000000043E-2</v>
      </c>
      <c r="E56" s="109">
        <f t="shared" si="7"/>
        <v>-4.8000000000000043E-2</v>
      </c>
      <c r="F56" s="109">
        <f ca="1">IF(表2_367162629303891213141523242526[[#This Row],[累计净值]]/MAX(INDIRECT("B21:B" &amp; ROW()))-1&lt;F55,表2_367162629303891213141523242526[[#This Row],[累计净值]]/MAX(INDIRECT("B21:B" &amp; ROW()))-1,F55)</f>
        <v>-6.7889908256880682E-2</v>
      </c>
      <c r="G56" s="110">
        <f>表2_367162629303891213141523242526[[#This Row],[累计净值]]</f>
        <v>1.524</v>
      </c>
      <c r="H56" s="20">
        <f>表2_367162629303891213141523242526[[#This Row],[累计净值]]/$B$21-1</f>
        <v>-1.2953367875647714E-2</v>
      </c>
    </row>
    <row r="57" spans="1:12">
      <c r="A57" s="15">
        <v>44082</v>
      </c>
      <c r="B57" s="112">
        <v>1.522</v>
      </c>
      <c r="C57" s="112">
        <f>C56*(1+表2_367162629303891213141523242526[[#This Row],[每日盈亏]])</f>
        <v>1.0134555610929636</v>
      </c>
      <c r="D57" s="108">
        <f t="shared" si="6"/>
        <v>-2.0000000000000018E-3</v>
      </c>
      <c r="E57" s="109">
        <f t="shared" si="7"/>
        <v>-2.0000000000000018E-3</v>
      </c>
      <c r="F57" s="109">
        <f ca="1">IF(表2_367162629303891213141523242526[[#This Row],[累计净值]]/MAX(INDIRECT("B21:B" &amp; ROW()))-1&lt;F56,表2_367162629303891213141523242526[[#This Row],[累计净值]]/MAX(INDIRECT("B21:B" &amp; ROW()))-1,F56)</f>
        <v>-6.9113149847094824E-2</v>
      </c>
      <c r="G57" s="110">
        <f>表2_367162629303891213141523242526[[#This Row],[累计净值]]</f>
        <v>1.522</v>
      </c>
      <c r="H57" s="20">
        <f>表2_367162629303891213141523242526[[#This Row],[累计净值]]/$B$21-1</f>
        <v>-1.4248704663212486E-2</v>
      </c>
    </row>
    <row r="58" spans="1:12">
      <c r="A58" s="15">
        <v>44083</v>
      </c>
      <c r="B58" s="112">
        <v>1.456</v>
      </c>
      <c r="C58" s="112">
        <f>C57*(1+表2_367162629303891213141523242526[[#This Row],[每日盈亏]])</f>
        <v>0.94656749406082796</v>
      </c>
      <c r="D58" s="108">
        <f t="shared" si="6"/>
        <v>-6.6000000000000059E-2</v>
      </c>
      <c r="E58" s="109">
        <f t="shared" si="7"/>
        <v>-6.6000000000000059E-2</v>
      </c>
      <c r="F58" s="109">
        <f ca="1">IF(表2_367162629303891213141523242526[[#This Row],[累计净值]]/MAX(INDIRECT("B21:B" &amp; ROW()))-1&lt;F57,表2_367162629303891213141523242526[[#This Row],[累计净值]]/MAX(INDIRECT("B21:B" &amp; ROW()))-1,F57)</f>
        <v>-0.10948012232415905</v>
      </c>
      <c r="G58" s="110">
        <f>表2_367162629303891213141523242526[[#This Row],[累计净值]]</f>
        <v>1.456</v>
      </c>
      <c r="H58" s="20">
        <f>表2_367162629303891213141523242526[[#This Row],[累计净值]]/$B$21-1</f>
        <v>-5.6994818652849832E-2</v>
      </c>
    </row>
    <row r="59" spans="1:12">
      <c r="A59" s="15">
        <v>44084</v>
      </c>
      <c r="B59" s="112">
        <v>1.446</v>
      </c>
      <c r="C59" s="112">
        <f>C58*(1+表2_367162629303891213141523242526[[#This Row],[每日盈亏]])</f>
        <v>0.93710181912021973</v>
      </c>
      <c r="D59" s="108">
        <f t="shared" si="6"/>
        <v>-1.0000000000000009E-2</v>
      </c>
      <c r="E59" s="109">
        <f t="shared" si="7"/>
        <v>-1.0000000000000009E-2</v>
      </c>
      <c r="F59" s="109">
        <f ca="1">IF(表2_367162629303891213141523242526[[#This Row],[累计净值]]/MAX(INDIRECT("B21:B" &amp; ROW()))-1&lt;F58,表2_367162629303891213141523242526[[#This Row],[累计净值]]/MAX(INDIRECT("B21:B" &amp; ROW()))-1,F58)</f>
        <v>-0.11559633027522942</v>
      </c>
      <c r="G59" s="110">
        <f>表2_367162629303891213141523242526[[#This Row],[累计净值]]</f>
        <v>1.446</v>
      </c>
      <c r="H59" s="20">
        <f>表2_367162629303891213141523242526[[#This Row],[累计净值]]/$B$21-1</f>
        <v>-6.3471502590673579E-2</v>
      </c>
    </row>
    <row r="60" spans="1:12">
      <c r="A60" s="15">
        <v>44085</v>
      </c>
      <c r="B60" s="112">
        <v>1.4790000000000001</v>
      </c>
      <c r="C60" s="112">
        <f>C59*(1+表2_367162629303891213141523242526[[#This Row],[每日盈亏]])</f>
        <v>0.96802617915118716</v>
      </c>
      <c r="D60" s="108">
        <f t="shared" si="6"/>
        <v>3.300000000000014E-2</v>
      </c>
      <c r="E60" s="109" t="str">
        <f t="shared" si="7"/>
        <v>/</v>
      </c>
      <c r="F60" s="109">
        <f ca="1">IF(表2_367162629303891213141523242526[[#This Row],[累计净值]]/MAX(INDIRECT("B21:B" &amp; ROW()))-1&lt;F59,表2_367162629303891213141523242526[[#This Row],[累计净值]]/MAX(INDIRECT("B21:B" &amp; ROW()))-1,F59)</f>
        <v>-0.11559633027522942</v>
      </c>
      <c r="G60" s="110">
        <f>表2_367162629303891213141523242526[[#This Row],[累计净值]]</f>
        <v>1.4790000000000001</v>
      </c>
      <c r="H60" s="20">
        <f>表2_367162629303891213141523242526[[#This Row],[累计净值]]/$B$21-1</f>
        <v>-4.209844559585485E-2</v>
      </c>
    </row>
    <row r="61" spans="1:12">
      <c r="A61" s="15">
        <v>44088</v>
      </c>
      <c r="B61" s="112">
        <v>1.4970000000000001</v>
      </c>
      <c r="C61" s="112">
        <f>C60*(1+表2_367162629303891213141523242526[[#This Row],[每日盈亏]])</f>
        <v>0.98545065037590851</v>
      </c>
      <c r="D61" s="108">
        <f t="shared" si="6"/>
        <v>1.8000000000000016E-2</v>
      </c>
      <c r="E61" s="109" t="str">
        <f t="shared" ref="E61:E66" si="8">IF(D61&lt;0,D61,"/")</f>
        <v>/</v>
      </c>
      <c r="F61" s="109">
        <f ca="1">IF(表2_367162629303891213141523242526[[#This Row],[累计净值]]/MAX(INDIRECT("B21:B" &amp; ROW()))-1&lt;F60,表2_367162629303891213141523242526[[#This Row],[累计净值]]/MAX(INDIRECT("B21:B" &amp; ROW()))-1,F60)</f>
        <v>-0.11559633027522942</v>
      </c>
      <c r="G61" s="110">
        <f>表2_367162629303891213141523242526[[#This Row],[累计净值]]</f>
        <v>1.4970000000000001</v>
      </c>
      <c r="H61" s="20">
        <f>表2_367162629303891213141523242526[[#This Row],[累计净值]]/$B$21-1</f>
        <v>-3.0440414507772018E-2</v>
      </c>
    </row>
    <row r="62" spans="1:12">
      <c r="A62" s="15">
        <v>44089</v>
      </c>
      <c r="B62" s="112">
        <v>1.5149999999999999</v>
      </c>
      <c r="C62" s="112">
        <f>C61*(1+表2_367162629303891213141523242526[[#This Row],[每日盈亏]])</f>
        <v>1.0031887620826747</v>
      </c>
      <c r="D62" s="108">
        <f t="shared" si="6"/>
        <v>1.7999999999999794E-2</v>
      </c>
      <c r="E62" s="109" t="str">
        <f t="shared" si="8"/>
        <v>/</v>
      </c>
      <c r="F62" s="109">
        <f ca="1">IF(表2_367162629303891213141523242526[[#This Row],[累计净值]]/MAX(INDIRECT("B21:B" &amp; ROW()))-1&lt;F61,表2_367162629303891213141523242526[[#This Row],[累计净值]]/MAX(INDIRECT("B21:B" &amp; ROW()))-1,F61)</f>
        <v>-0.11559633027522942</v>
      </c>
      <c r="G62" s="110">
        <f>表2_367162629303891213141523242526[[#This Row],[累计净值]]</f>
        <v>1.5149999999999999</v>
      </c>
      <c r="H62" s="20">
        <f>表2_367162629303891213141523242526[[#This Row],[累计净值]]/$B$21-1</f>
        <v>-1.8782383419689186E-2</v>
      </c>
    </row>
    <row r="63" spans="1:12">
      <c r="A63" s="15">
        <v>44090</v>
      </c>
      <c r="B63" s="112">
        <v>1.4950000000000001</v>
      </c>
      <c r="C63" s="112">
        <f>C62*(1+表2_367162629303891213141523242526[[#This Row],[每日盈亏]])</f>
        <v>0.98312498684102145</v>
      </c>
      <c r="D63" s="108">
        <f t="shared" si="6"/>
        <v>-1.9999999999999796E-2</v>
      </c>
      <c r="E63" s="109">
        <f t="shared" si="8"/>
        <v>-1.9999999999999796E-2</v>
      </c>
      <c r="F63" s="109">
        <f ca="1">IF(表2_367162629303891213141523242526[[#This Row],[累计净值]]/MAX(INDIRECT("B21:B" &amp; ROW()))-1&lt;F62,表2_367162629303891213141523242526[[#This Row],[累计净值]]/MAX(INDIRECT("B21:B" &amp; ROW()))-1,F62)</f>
        <v>-0.11559633027522942</v>
      </c>
      <c r="G63" s="110">
        <f>表2_367162629303891213141523242526[[#This Row],[累计净值]]</f>
        <v>1.4950000000000001</v>
      </c>
      <c r="H63" s="20">
        <f>表2_367162629303891213141523242526[[#This Row],[累计净值]]/$B$21-1</f>
        <v>-3.1735751295336789E-2</v>
      </c>
    </row>
    <row r="64" spans="1:12">
      <c r="A64" s="15">
        <v>44091</v>
      </c>
      <c r="B64" s="112">
        <v>1.5029999999999999</v>
      </c>
      <c r="C64" s="112">
        <f>C63*(1+表2_367162629303891213141523242526[[#This Row],[每日盈亏]])</f>
        <v>0.99098998673574945</v>
      </c>
      <c r="D64" s="108">
        <f t="shared" si="6"/>
        <v>7.9999999999997851E-3</v>
      </c>
      <c r="E64" s="109" t="str">
        <f t="shared" si="8"/>
        <v>/</v>
      </c>
      <c r="F64" s="109">
        <f ca="1">IF(表2_367162629303891213141523242526[[#This Row],[累计净值]]/MAX(INDIRECT("B21:B" &amp; ROW()))-1&lt;F63,表2_367162629303891213141523242526[[#This Row],[累计净值]]/MAX(INDIRECT("B21:B" &amp; ROW()))-1,F63)</f>
        <v>-0.11559633027522942</v>
      </c>
      <c r="G64" s="110">
        <f>表2_367162629303891213141523242526[[#This Row],[累计净值]]</f>
        <v>1.5029999999999999</v>
      </c>
      <c r="H64" s="20">
        <f>表2_367162629303891213141523242526[[#This Row],[累计净值]]/$B$21-1</f>
        <v>-2.6554404145077815E-2</v>
      </c>
    </row>
    <row r="65" spans="1:8">
      <c r="A65" s="15">
        <v>44092</v>
      </c>
      <c r="B65" s="112">
        <v>1.5249999999999999</v>
      </c>
      <c r="C65" s="112">
        <f>C64*(1+表2_367162629303891213141523242526[[#This Row],[每日盈亏]])</f>
        <v>1.0127917664439359</v>
      </c>
      <c r="D65" s="108">
        <f t="shared" si="6"/>
        <v>2.200000000000002E-2</v>
      </c>
      <c r="E65" s="109" t="str">
        <f t="shared" si="8"/>
        <v>/</v>
      </c>
      <c r="F65" s="109">
        <f ca="1">IF(表2_367162629303891213141523242526[[#This Row],[累计净值]]/MAX(INDIRECT("B21:B" &amp; ROW()))-1&lt;F64,表2_367162629303891213141523242526[[#This Row],[累计净值]]/MAX(INDIRECT("B21:B" &amp; ROW()))-1,F64)</f>
        <v>-0.11559633027522942</v>
      </c>
      <c r="G65" s="110">
        <f>表2_367162629303891213141523242526[[#This Row],[累计净值]]</f>
        <v>1.5249999999999999</v>
      </c>
      <c r="H65" s="20">
        <f>表2_367162629303891213141523242526[[#This Row],[累计净值]]/$B$21-1</f>
        <v>-1.2305699481865329E-2</v>
      </c>
    </row>
    <row r="66" spans="1:8">
      <c r="A66" s="15">
        <v>44095</v>
      </c>
      <c r="B66" s="112">
        <v>1.524</v>
      </c>
      <c r="C66" s="112">
        <f>C65*(1+表2_367162629303891213141523242526[[#This Row],[每日盈亏]])</f>
        <v>1.0117789746774921</v>
      </c>
      <c r="D66" s="108">
        <f t="shared" si="6"/>
        <v>-9.9999999999988987E-4</v>
      </c>
      <c r="E66" s="109">
        <f t="shared" si="8"/>
        <v>-9.9999999999988987E-4</v>
      </c>
      <c r="F66" s="109">
        <f ca="1">IF(表2_367162629303891213141523242526[[#This Row],[累计净值]]/MAX(INDIRECT("B21:B" &amp; ROW()))-1&lt;F65,表2_367162629303891213141523242526[[#This Row],[累计净值]]/MAX(INDIRECT("B21:B" &amp; ROW()))-1,F65)</f>
        <v>-0.11559633027522942</v>
      </c>
      <c r="G66" s="110">
        <f>表2_367162629303891213141523242526[[#This Row],[累计净值]]</f>
        <v>1.524</v>
      </c>
      <c r="H66" s="20">
        <f>表2_367162629303891213141523242526[[#This Row],[累计净值]]/$B$21-1</f>
        <v>-1.2953367875647714E-2</v>
      </c>
    </row>
    <row r="67" spans="1:8">
      <c r="A67" s="15">
        <v>44096</v>
      </c>
      <c r="B67" s="112">
        <v>1.506</v>
      </c>
      <c r="C67" s="112">
        <f>C66*(1+表2_367162629303891213141523242526[[#This Row],[每日盈亏]])</f>
        <v>0.99356695313329724</v>
      </c>
      <c r="D67" s="108">
        <f t="shared" si="6"/>
        <v>-1.8000000000000016E-2</v>
      </c>
      <c r="E67" s="109">
        <f t="shared" ref="E67:E72" si="9">IF(D67&lt;0,D67,"/")</f>
        <v>-1.8000000000000016E-2</v>
      </c>
      <c r="F67" s="109">
        <f ca="1">IF(表2_367162629303891213141523242526[[#This Row],[累计净值]]/MAX(INDIRECT("B21:B" &amp; ROW()))-1&lt;F66,表2_367162629303891213141523242526[[#This Row],[累计净值]]/MAX(INDIRECT("B21:B" &amp; ROW()))-1,F66)</f>
        <v>-0.11559633027522942</v>
      </c>
      <c r="G67" s="110">
        <f>表2_367162629303891213141523242526[[#This Row],[累计净值]]</f>
        <v>1.506</v>
      </c>
      <c r="H67" s="20">
        <f>表2_367162629303891213141523242526[[#This Row],[累计净值]]/$B$21-1</f>
        <v>-2.4611398963730546E-2</v>
      </c>
    </row>
    <row r="68" spans="1:8">
      <c r="A68" s="15">
        <v>44097</v>
      </c>
      <c r="B68" s="112">
        <v>1.528</v>
      </c>
      <c r="C68" s="112">
        <f>C67*(1+表2_367162629303891213141523242526[[#This Row],[每日盈亏]])</f>
        <v>1.0154254261022297</v>
      </c>
      <c r="D68" s="108">
        <f t="shared" si="6"/>
        <v>2.200000000000002E-2</v>
      </c>
      <c r="E68" s="109" t="str">
        <f t="shared" si="9"/>
        <v>/</v>
      </c>
      <c r="F68" s="109">
        <f ca="1">IF(表2_367162629303891213141523242526[[#This Row],[累计净值]]/MAX(INDIRECT("B21:B" &amp; ROW()))-1&lt;F67,表2_367162629303891213141523242526[[#This Row],[累计净值]]/MAX(INDIRECT("B21:B" &amp; ROW()))-1,F67)</f>
        <v>-0.11559633027522942</v>
      </c>
      <c r="G68" s="110">
        <f>表2_367162629303891213141523242526[[#This Row],[累计净值]]</f>
        <v>1.528</v>
      </c>
      <c r="H68" s="20">
        <f>表2_367162629303891213141523242526[[#This Row],[累计净值]]/$B$21-1</f>
        <v>-1.0362694300518172E-2</v>
      </c>
    </row>
    <row r="69" spans="1:8">
      <c r="A69" s="15">
        <v>44098</v>
      </c>
      <c r="B69" s="112">
        <v>1.49</v>
      </c>
      <c r="C69" s="112">
        <f>C68*(1+表2_367162629303891213141523242526[[#This Row],[每日盈亏]])</f>
        <v>0.97683925991034493</v>
      </c>
      <c r="D69" s="108">
        <f t="shared" si="6"/>
        <v>-3.8000000000000034E-2</v>
      </c>
      <c r="E69" s="109">
        <f t="shared" si="9"/>
        <v>-3.8000000000000034E-2</v>
      </c>
      <c r="F69" s="109">
        <f ca="1">IF(表2_367162629303891213141523242526[[#This Row],[累计净值]]/MAX(INDIRECT("B21:B" &amp; ROW()))-1&lt;F68,表2_367162629303891213141523242526[[#This Row],[累计净值]]/MAX(INDIRECT("B21:B" &amp; ROW()))-1,F68)</f>
        <v>-0.11559633027522942</v>
      </c>
      <c r="G69" s="110">
        <f>表2_367162629303891213141523242526[[#This Row],[累计净值]]</f>
        <v>1.49</v>
      </c>
      <c r="H69" s="20">
        <f>表2_367162629303891213141523242526[[#This Row],[累计净值]]/$B$21-1</f>
        <v>-3.4974093264248718E-2</v>
      </c>
    </row>
    <row r="70" spans="1:8">
      <c r="A70" s="15">
        <v>44099</v>
      </c>
      <c r="B70" s="112">
        <v>1.4850000000000001</v>
      </c>
      <c r="C70" s="112">
        <f>C69*(1+表2_367162629303891213141523242526[[#This Row],[每日盈亏]])</f>
        <v>0.97195506361079331</v>
      </c>
      <c r="D70" s="108">
        <f t="shared" si="6"/>
        <v>-4.9999999999998934E-3</v>
      </c>
      <c r="E70" s="109">
        <f t="shared" si="9"/>
        <v>-4.9999999999998934E-3</v>
      </c>
      <c r="F70" s="109">
        <f ca="1">IF(表2_367162629303891213141523242526[[#This Row],[累计净值]]/MAX(INDIRECT("B21:B" &amp; ROW()))-1&lt;F69,表2_367162629303891213141523242526[[#This Row],[累计净值]]/MAX(INDIRECT("B21:B" &amp; ROW()))-1,F69)</f>
        <v>-0.11559633027522942</v>
      </c>
      <c r="G70" s="110">
        <f>表2_367162629303891213141523242526[[#This Row],[累计净值]]</f>
        <v>1.4850000000000001</v>
      </c>
      <c r="H70" s="20">
        <f>表2_367162629303891213141523242526[[#This Row],[累计净值]]/$B$21-1</f>
        <v>-3.8212435233160535E-2</v>
      </c>
    </row>
    <row r="71" spans="1:8">
      <c r="A71" s="15">
        <v>44102</v>
      </c>
      <c r="B71" s="112">
        <v>1.47</v>
      </c>
      <c r="C71" s="112">
        <f>C70*(1+表2_367162629303891213141523242526[[#This Row],[每日盈亏]])</f>
        <v>0.95737573765663131</v>
      </c>
      <c r="D71" s="108">
        <f t="shared" si="6"/>
        <v>-1.5000000000000124E-2</v>
      </c>
      <c r="E71" s="109">
        <f t="shared" si="9"/>
        <v>-1.5000000000000124E-2</v>
      </c>
      <c r="F71" s="109">
        <f ca="1">IF(表2_367162629303891213141523242526[[#This Row],[累计净值]]/MAX(INDIRECT("B21:B" &amp; ROW()))-1&lt;F70,表2_367162629303891213141523242526[[#This Row],[累计净值]]/MAX(INDIRECT("B21:B" &amp; ROW()))-1,F70)</f>
        <v>-0.11559633027522942</v>
      </c>
      <c r="G71" s="110">
        <f>表2_367162629303891213141523242526[[#This Row],[累计净值]]</f>
        <v>1.47</v>
      </c>
      <c r="H71" s="20">
        <f>表2_367162629303891213141523242526[[#This Row],[累计净值]]/$B$21-1</f>
        <v>-4.7927461139896432E-2</v>
      </c>
    </row>
    <row r="72" spans="1:8">
      <c r="A72" s="15">
        <v>44103</v>
      </c>
      <c r="B72" s="112">
        <v>1.488</v>
      </c>
      <c r="C72" s="112">
        <f>C71*(1+表2_367162629303891213141523242526[[#This Row],[每日盈亏]])</f>
        <v>0.97460850093445073</v>
      </c>
      <c r="D72" s="108">
        <f t="shared" si="6"/>
        <v>1.8000000000000016E-2</v>
      </c>
      <c r="E72" s="109" t="str">
        <f t="shared" si="9"/>
        <v>/</v>
      </c>
      <c r="F72" s="109">
        <f ca="1">IF(表2_367162629303891213141523242526[[#This Row],[累计净值]]/MAX(INDIRECT("B21:B" &amp; ROW()))-1&lt;F71,表2_367162629303891213141523242526[[#This Row],[累计净值]]/MAX(INDIRECT("B21:B" &amp; ROW()))-1,F71)</f>
        <v>-0.11559633027522942</v>
      </c>
      <c r="G72" s="110">
        <f>表2_367162629303891213141523242526[[#This Row],[累计净值]]</f>
        <v>1.488</v>
      </c>
      <c r="H72" s="20">
        <f>表2_367162629303891213141523242526[[#This Row],[累计净值]]/$B$21-1</f>
        <v>-3.6269430051813489E-2</v>
      </c>
    </row>
    <row r="73" spans="1:8">
      <c r="A73" s="15">
        <v>44104</v>
      </c>
      <c r="B73" s="112">
        <v>1.486</v>
      </c>
      <c r="C73" s="112">
        <f>C72*(1+表2_367162629303891213141523242526[[#This Row],[每日盈亏]])</f>
        <v>0.97265928393258183</v>
      </c>
      <c r="D73" s="108">
        <f t="shared" si="6"/>
        <v>-2.0000000000000018E-3</v>
      </c>
      <c r="E73" s="109">
        <f t="shared" ref="E73:E78" si="10">IF(D73&lt;0,D73,"/")</f>
        <v>-2.0000000000000018E-3</v>
      </c>
      <c r="F73" s="109">
        <f ca="1">IF(表2_367162629303891213141523242526[[#This Row],[累计净值]]/MAX(INDIRECT("B21:B" &amp; ROW()))-1&lt;F72,表2_367162629303891213141523242526[[#This Row],[累计净值]]/MAX(INDIRECT("B21:B" &amp; ROW()))-1,F72)</f>
        <v>-0.11559633027522942</v>
      </c>
      <c r="G73" s="110">
        <f>表2_367162629303891213141523242526[[#This Row],[累计净值]]</f>
        <v>1.486</v>
      </c>
      <c r="H73" s="20">
        <f>表2_367162629303891213141523242526[[#This Row],[累计净值]]/$B$21-1</f>
        <v>-3.7564766839378261E-2</v>
      </c>
    </row>
    <row r="74" spans="1:8">
      <c r="A74" s="15">
        <v>44113</v>
      </c>
      <c r="B74" s="112">
        <v>1.5349999999999999</v>
      </c>
      <c r="C74" s="112">
        <f>C73*(1+表2_367162629303891213141523242526[[#This Row],[每日盈亏]])</f>
        <v>1.0203195888452783</v>
      </c>
      <c r="D74" s="108">
        <f t="shared" si="6"/>
        <v>4.8999999999999932E-2</v>
      </c>
      <c r="E74" s="109" t="str">
        <f t="shared" si="10"/>
        <v>/</v>
      </c>
      <c r="F74" s="109">
        <f ca="1">IF(表2_367162629303891213141523242526[[#This Row],[累计净值]]/MAX(INDIRECT("B21:B" &amp; ROW()))-1&lt;F73,表2_367162629303891213141523242526[[#This Row],[累计净值]]/MAX(INDIRECT("B21:B" &amp; ROW()))-1,F73)</f>
        <v>-0.11559633027522942</v>
      </c>
      <c r="G74" s="110">
        <f>表2_367162629303891213141523242526[[#This Row],[累计净值]]</f>
        <v>1.5349999999999999</v>
      </c>
      <c r="H74" s="20">
        <f>表2_367162629303891213141523242526[[#This Row],[累计净值]]/$B$21-1</f>
        <v>-5.8290155440415825E-3</v>
      </c>
    </row>
    <row r="75" spans="1:8">
      <c r="A75" s="15">
        <v>44116</v>
      </c>
      <c r="B75" s="112">
        <v>1.595</v>
      </c>
      <c r="C75" s="112">
        <f>C74*(1+表2_367162629303891213141523242526[[#This Row],[每日盈亏]])</f>
        <v>1.081538764175995</v>
      </c>
      <c r="D75" s="108">
        <f t="shared" si="6"/>
        <v>6.0000000000000053E-2</v>
      </c>
      <c r="E75" s="109" t="str">
        <f t="shared" si="10"/>
        <v>/</v>
      </c>
      <c r="F75" s="109">
        <f ca="1">IF(表2_367162629303891213141523242526[[#This Row],[累计净值]]/MAX(INDIRECT("B21:B" &amp; ROW()))-1&lt;F74,表2_367162629303891213141523242526[[#This Row],[累计净值]]/MAX(INDIRECT("B21:B" &amp; ROW()))-1,F74)</f>
        <v>-0.11559633027522942</v>
      </c>
      <c r="G75" s="110">
        <f>表2_367162629303891213141523242526[[#This Row],[累计净值]]</f>
        <v>1.595</v>
      </c>
      <c r="H75" s="20">
        <f>表2_367162629303891213141523242526[[#This Row],[累计净值]]/$B$21-1</f>
        <v>3.303108808290145E-2</v>
      </c>
    </row>
    <row r="76" spans="1:8">
      <c r="A76" s="15">
        <v>44117</v>
      </c>
      <c r="B76" s="112">
        <v>1.6080000000000001</v>
      </c>
      <c r="C76" s="112">
        <f>C75*(1+表2_367162629303891213141523242526[[#This Row],[每日盈亏]])</f>
        <v>1.095598768110283</v>
      </c>
      <c r="D76" s="108">
        <f t="shared" si="6"/>
        <v>1.3000000000000123E-2</v>
      </c>
      <c r="E76" s="109" t="str">
        <f t="shared" si="10"/>
        <v>/</v>
      </c>
      <c r="F76" s="109">
        <f ca="1">IF(表2_367162629303891213141523242526[[#This Row],[累计净值]]/MAX(INDIRECT("B21:B" &amp; ROW()))-1&lt;F75,表2_367162629303891213141523242526[[#This Row],[累计净值]]/MAX(INDIRECT("B21:B" &amp; ROW()))-1,F75)</f>
        <v>-0.11559633027522942</v>
      </c>
      <c r="G76" s="110">
        <f>表2_367162629303891213141523242526[[#This Row],[累计净值]]</f>
        <v>1.6080000000000001</v>
      </c>
      <c r="H76" s="20">
        <f>表2_367162629303891213141523242526[[#This Row],[累计净值]]/$B$21-1</f>
        <v>4.1450777202072464E-2</v>
      </c>
    </row>
    <row r="77" spans="1:8">
      <c r="A77" s="15">
        <v>44118</v>
      </c>
      <c r="B77" s="112">
        <v>1.6020000000000001</v>
      </c>
      <c r="C77" s="112">
        <f>C76*(1+表2_367162629303891213141523242526[[#This Row],[每日盈亏]])</f>
        <v>1.0890251755016214</v>
      </c>
      <c r="D77" s="108">
        <f t="shared" si="6"/>
        <v>-6.0000000000000053E-3</v>
      </c>
      <c r="E77" s="109">
        <f t="shared" si="10"/>
        <v>-6.0000000000000053E-3</v>
      </c>
      <c r="F77" s="109">
        <f ca="1">IF(表2_367162629303891213141523242526[[#This Row],[累计净值]]/MAX(INDIRECT("B21:B" &amp; ROW()))-1&lt;F76,表2_367162629303891213141523242526[[#This Row],[累计净值]]/MAX(INDIRECT("B21:B" &amp; ROW()))-1,F76)</f>
        <v>-0.11559633027522942</v>
      </c>
      <c r="G77" s="110">
        <f>表2_367162629303891213141523242526[[#This Row],[累计净值]]</f>
        <v>1.6020000000000001</v>
      </c>
      <c r="H77" s="20">
        <f>表2_367162629303891213141523242526[[#This Row],[累计净值]]/$B$21-1</f>
        <v>3.7564766839378372E-2</v>
      </c>
    </row>
    <row r="78" spans="1:8">
      <c r="A78" s="15">
        <v>44119</v>
      </c>
      <c r="B78" s="112">
        <v>1.5840000000000001</v>
      </c>
      <c r="C78" s="112">
        <f>C77*(1+表2_367162629303891213141523242526[[#This Row],[每日盈亏]])</f>
        <v>1.0694227223425921</v>
      </c>
      <c r="D78" s="108">
        <f t="shared" si="6"/>
        <v>-1.8000000000000016E-2</v>
      </c>
      <c r="E78" s="109">
        <f t="shared" si="10"/>
        <v>-1.8000000000000016E-2</v>
      </c>
      <c r="F78" s="109">
        <f ca="1">IF(表2_367162629303891213141523242526[[#This Row],[累计净值]]/MAX(INDIRECT("B21:B" &amp; ROW()))-1&lt;F77,表2_367162629303891213141523242526[[#This Row],[累计净值]]/MAX(INDIRECT("B21:B" &amp; ROW()))-1,F77)</f>
        <v>-0.11559633027522942</v>
      </c>
      <c r="G78" s="110">
        <f>表2_367162629303891213141523242526[[#This Row],[累计净值]]</f>
        <v>1.5840000000000001</v>
      </c>
      <c r="H78" s="20">
        <f>表2_367162629303891213141523242526[[#This Row],[累计净值]]/$B$21-1</f>
        <v>2.5906735751295429E-2</v>
      </c>
    </row>
    <row r="79" spans="1:8">
      <c r="A79" s="15">
        <v>44120</v>
      </c>
      <c r="B79" s="112">
        <v>1.5840000000000001</v>
      </c>
      <c r="C79" s="112">
        <f>C78*(1+表2_367162629303891213141523242526[[#This Row],[每日盈亏]])</f>
        <v>1.0694227223425921</v>
      </c>
      <c r="D79" s="108">
        <f t="shared" si="6"/>
        <v>0</v>
      </c>
      <c r="E79" s="109" t="str">
        <f t="shared" ref="E79:E84" si="11">IF(D79&lt;0,D79,"/")</f>
        <v>/</v>
      </c>
      <c r="F79" s="109">
        <f ca="1">IF(表2_367162629303891213141523242526[[#This Row],[累计净值]]/MAX(INDIRECT("B21:B" &amp; ROW()))-1&lt;F78,表2_367162629303891213141523242526[[#This Row],[累计净值]]/MAX(INDIRECT("B21:B" &amp; ROW()))-1,F78)</f>
        <v>-0.11559633027522942</v>
      </c>
      <c r="G79" s="110">
        <f>表2_367162629303891213141523242526[[#This Row],[累计净值]]</f>
        <v>1.5840000000000001</v>
      </c>
      <c r="H79" s="20">
        <f>表2_367162629303891213141523242526[[#This Row],[累计净值]]/$B$21-1</f>
        <v>2.5906735751295429E-2</v>
      </c>
    </row>
    <row r="80" spans="1:8">
      <c r="A80" s="15">
        <v>44123</v>
      </c>
      <c r="B80" s="112">
        <v>1.569</v>
      </c>
      <c r="C80" s="112">
        <f>C79*(1+表2_367162629303891213141523242526[[#This Row],[每日盈亏]])</f>
        <v>1.0533813815074531</v>
      </c>
      <c r="D80" s="108">
        <f t="shared" si="6"/>
        <v>-1.5000000000000124E-2</v>
      </c>
      <c r="E80" s="109">
        <f t="shared" si="11"/>
        <v>-1.5000000000000124E-2</v>
      </c>
      <c r="F80" s="109">
        <f ca="1">IF(表2_367162629303891213141523242526[[#This Row],[累计净值]]/MAX(INDIRECT("B21:B" &amp; ROW()))-1&lt;F79,表2_367162629303891213141523242526[[#This Row],[累计净值]]/MAX(INDIRECT("B21:B" &amp; ROW()))-1,F79)</f>
        <v>-0.11559633027522942</v>
      </c>
      <c r="G80" s="110">
        <f>表2_367162629303891213141523242526[[#This Row],[累计净值]]</f>
        <v>1.569</v>
      </c>
      <c r="H80" s="20">
        <f>表2_367162629303891213141523242526[[#This Row],[累计净值]]/$B$21-1</f>
        <v>1.6191709844559421E-2</v>
      </c>
    </row>
    <row r="81" spans="1:8">
      <c r="A81" s="15">
        <v>44124</v>
      </c>
      <c r="B81" s="112">
        <v>1.5940000000000001</v>
      </c>
      <c r="C81" s="112">
        <f>C80*(1+表2_367162629303891213141523242526[[#This Row],[每日盈亏]])</f>
        <v>1.0797159160451395</v>
      </c>
      <c r="D81" s="108">
        <f t="shared" si="6"/>
        <v>2.5000000000000133E-2</v>
      </c>
      <c r="E81" s="109" t="str">
        <f t="shared" si="11"/>
        <v>/</v>
      </c>
      <c r="F81" s="109">
        <f ca="1">IF(表2_367162629303891213141523242526[[#This Row],[累计净值]]/MAX(INDIRECT("B21:B" &amp; ROW()))-1&lt;F80,表2_367162629303891213141523242526[[#This Row],[累计净值]]/MAX(INDIRECT("B21:B" &amp; ROW()))-1,F80)</f>
        <v>-0.11559633027522942</v>
      </c>
      <c r="G81" s="110">
        <f>表2_367162629303891213141523242526[[#This Row],[累计净值]]</f>
        <v>1.5940000000000001</v>
      </c>
      <c r="H81" s="20">
        <f>表2_367162629303891213141523242526[[#This Row],[累计净值]]/$B$21-1</f>
        <v>3.2383419689119286E-2</v>
      </c>
    </row>
    <row r="82" spans="1:8">
      <c r="A82" s="15">
        <v>44125</v>
      </c>
      <c r="B82" s="112">
        <v>1.573</v>
      </c>
      <c r="C82" s="112">
        <f>C81*(1+表2_367162629303891213141523242526[[#This Row],[每日盈亏]])</f>
        <v>1.0570418818081915</v>
      </c>
      <c r="D82" s="108">
        <f t="shared" si="6"/>
        <v>-2.100000000000013E-2</v>
      </c>
      <c r="E82" s="109">
        <f t="shared" si="11"/>
        <v>-2.100000000000013E-2</v>
      </c>
      <c r="F82" s="109">
        <f ca="1">IF(表2_367162629303891213141523242526[[#This Row],[累计净值]]/MAX(INDIRECT("B21:B" &amp; ROW()))-1&lt;F81,表2_367162629303891213141523242526[[#This Row],[累计净值]]/MAX(INDIRECT("B21:B" &amp; ROW()))-1,F81)</f>
        <v>-0.11559633027522942</v>
      </c>
      <c r="G82" s="110">
        <f>表2_367162629303891213141523242526[[#This Row],[累计净值]]</f>
        <v>1.573</v>
      </c>
      <c r="H82" s="20">
        <f>表2_367162629303891213141523242526[[#This Row],[累计净值]]/$B$21-1</f>
        <v>1.8782383419688964E-2</v>
      </c>
    </row>
    <row r="83" spans="1:8">
      <c r="A83" s="15">
        <v>44126</v>
      </c>
      <c r="B83" s="112">
        <v>1.5649999999999999</v>
      </c>
      <c r="C83" s="112">
        <f>C82*(1+表2_367162629303891213141523242526[[#This Row],[每日盈亏]])</f>
        <v>1.0485855467537259</v>
      </c>
      <c r="D83" s="108">
        <f t="shared" si="6"/>
        <v>-8.0000000000000071E-3</v>
      </c>
      <c r="E83" s="109">
        <f t="shared" si="11"/>
        <v>-8.0000000000000071E-3</v>
      </c>
      <c r="F83" s="109">
        <f ca="1">IF(表2_367162629303891213141523242526[[#This Row],[累计净值]]/MAX(INDIRECT("B21:B" &amp; ROW()))-1&lt;F82,表2_367162629303891213141523242526[[#This Row],[累计净值]]/MAX(INDIRECT("B21:B" &amp; ROW()))-1,F82)</f>
        <v>-0.11559633027522942</v>
      </c>
      <c r="G83" s="110">
        <f>表2_367162629303891213141523242526[[#This Row],[累计净值]]</f>
        <v>1.5649999999999999</v>
      </c>
      <c r="H83" s="20">
        <f>表2_367162629303891213141523242526[[#This Row],[累计净值]]/$B$21-1</f>
        <v>1.36010362694301E-2</v>
      </c>
    </row>
    <row r="84" spans="1:8">
      <c r="A84" s="15">
        <v>44127</v>
      </c>
      <c r="B84" s="112">
        <v>1.53</v>
      </c>
      <c r="C84" s="112">
        <f>C83*(1+表2_367162629303891213141523242526[[#This Row],[每日盈亏]])</f>
        <v>1.0118850526173455</v>
      </c>
      <c r="D84" s="108">
        <f t="shared" si="6"/>
        <v>-3.499999999999992E-2</v>
      </c>
      <c r="E84" s="109">
        <f t="shared" si="11"/>
        <v>-3.499999999999992E-2</v>
      </c>
      <c r="F84" s="109">
        <f ca="1">IF(表2_367162629303891213141523242526[[#This Row],[累计净值]]/MAX(INDIRECT("B21:B" &amp; ROW()))-1&lt;F83,表2_367162629303891213141523242526[[#This Row],[累计净值]]/MAX(INDIRECT("B21:B" &amp; ROW()))-1,F83)</f>
        <v>-0.11559633027522942</v>
      </c>
      <c r="G84" s="110">
        <f>表2_367162629303891213141523242526[[#This Row],[累计净值]]</f>
        <v>1.53</v>
      </c>
      <c r="H84" s="20">
        <f>表2_367162629303891213141523242526[[#This Row],[累计净值]]/$B$21-1</f>
        <v>-9.0673575129534001E-3</v>
      </c>
    </row>
    <row r="85" spans="1:8">
      <c r="A85" s="15">
        <v>44130</v>
      </c>
      <c r="B85" s="112">
        <v>1.548</v>
      </c>
      <c r="C85" s="112">
        <f>C84*(1+表2_367162629303891213141523242526[[#This Row],[每日盈亏]])</f>
        <v>1.0300989835644578</v>
      </c>
      <c r="D85" s="108">
        <f t="shared" ref="D85:D116" si="12">IFERROR(B85-B84,0)</f>
        <v>1.8000000000000016E-2</v>
      </c>
      <c r="E85" s="109" t="str">
        <f>IF(D85&lt;0,D85,"/")</f>
        <v>/</v>
      </c>
      <c r="F85" s="109">
        <f ca="1">IF(表2_367162629303891213141523242526[[#This Row],[累计净值]]/MAX(INDIRECT("B21:B" &amp; ROW()))-1&lt;F84,表2_367162629303891213141523242526[[#This Row],[累计净值]]/MAX(INDIRECT("B21:B" &amp; ROW()))-1,F84)</f>
        <v>-0.11559633027522942</v>
      </c>
      <c r="G85" s="110">
        <f>表2_367162629303891213141523242526[[#This Row],[累计净值]]</f>
        <v>1.548</v>
      </c>
      <c r="H85" s="20">
        <f>表2_367162629303891213141523242526[[#This Row],[累计净值]]/$B$21-1</f>
        <v>2.5906735751295429E-3</v>
      </c>
    </row>
    <row r="86" spans="1:8">
      <c r="A86" s="15">
        <v>44131</v>
      </c>
      <c r="B86" s="112">
        <v>1.5660000000000001</v>
      </c>
      <c r="C86" s="112">
        <f>C85*(1+表2_367162629303891213141523242526[[#This Row],[每日盈亏]])</f>
        <v>1.048640765268618</v>
      </c>
      <c r="D86" s="108">
        <f t="shared" si="12"/>
        <v>1.8000000000000016E-2</v>
      </c>
      <c r="E86" s="109" t="str">
        <f>IF(D86&lt;0,D86,"/")</f>
        <v>/</v>
      </c>
      <c r="F86" s="109">
        <f ca="1">IF(表2_367162629303891213141523242526[[#This Row],[累计净值]]/MAX(INDIRECT("B21:B" &amp; ROW()))-1&lt;F85,表2_367162629303891213141523242526[[#This Row],[累计净值]]/MAX(INDIRECT("B21:B" &amp; ROW()))-1,F85)</f>
        <v>-0.11559633027522942</v>
      </c>
      <c r="G86" s="110">
        <f>表2_367162629303891213141523242526[[#This Row],[累计净值]]</f>
        <v>1.5660000000000001</v>
      </c>
      <c r="H86" s="20">
        <f>表2_367162629303891213141523242526[[#This Row],[累计净值]]/$B$21-1</f>
        <v>1.4248704663212486E-2</v>
      </c>
    </row>
    <row r="87" spans="1:8">
      <c r="A87" s="15">
        <v>44132</v>
      </c>
      <c r="B87" s="112">
        <v>1.577</v>
      </c>
      <c r="C87" s="112">
        <f>C86*(1+表2_367162629303891213141523242526[[#This Row],[每日盈亏]])</f>
        <v>1.0601758136865727</v>
      </c>
      <c r="D87" s="108">
        <f t="shared" si="12"/>
        <v>1.0999999999999899E-2</v>
      </c>
      <c r="E87" s="109" t="str">
        <f>IF(D87&lt;0,D87,"/")</f>
        <v>/</v>
      </c>
      <c r="F87" s="109">
        <f ca="1">IF(表2_367162629303891213141523242526[[#This Row],[累计净值]]/MAX(INDIRECT("B21:B" &amp; ROW()))-1&lt;F86,表2_367162629303891213141523242526[[#This Row],[累计净值]]/MAX(INDIRECT("B21:B" &amp; ROW()))-1,F86)</f>
        <v>-0.11559633027522942</v>
      </c>
      <c r="G87" s="110">
        <f>表2_367162629303891213141523242526[[#This Row],[累计净值]]</f>
        <v>1.577</v>
      </c>
      <c r="H87" s="20">
        <f>表2_367162629303891213141523242526[[#This Row],[累计净值]]/$B$21-1</f>
        <v>2.1373056994818507E-2</v>
      </c>
    </row>
    <row r="88" spans="1:8">
      <c r="A88" s="15">
        <v>44133</v>
      </c>
      <c r="B88" s="112">
        <v>1.5840000000000001</v>
      </c>
      <c r="C88" s="112">
        <f>C87*(1+表2_367162629303891213141523242526[[#This Row],[每日盈亏]])</f>
        <v>1.0675970443823788</v>
      </c>
      <c r="D88" s="108">
        <f t="shared" si="12"/>
        <v>7.0000000000001172E-3</v>
      </c>
      <c r="E88" s="109" t="str">
        <f t="shared" ref="E88:E91" si="13">IF(D88&lt;0,D88,"/")</f>
        <v>/</v>
      </c>
      <c r="F88" s="109">
        <f ca="1">IF(表2_367162629303891213141523242526[[#This Row],[累计净值]]/MAX(INDIRECT("B21:B" &amp; ROW()))-1&lt;F87,表2_367162629303891213141523242526[[#This Row],[累计净值]]/MAX(INDIRECT("B21:B" &amp; ROW()))-1,F87)</f>
        <v>-0.11559633027522942</v>
      </c>
      <c r="G88" s="110">
        <f>表2_367162629303891213141523242526[[#This Row],[累计净值]]</f>
        <v>1.5840000000000001</v>
      </c>
      <c r="H88" s="20">
        <f>表2_367162629303891213141523242526[[#This Row],[累计净值]]/$B$21-1</f>
        <v>2.5906735751295429E-2</v>
      </c>
    </row>
    <row r="89" spans="1:8">
      <c r="A89" s="15">
        <v>44134</v>
      </c>
      <c r="B89" s="112">
        <v>1.5429999999999999</v>
      </c>
      <c r="C89" s="112">
        <f>C88*(1+表2_367162629303891213141523242526[[#This Row],[每日盈亏]])</f>
        <v>1.0238255655627011</v>
      </c>
      <c r="D89" s="108">
        <f t="shared" si="12"/>
        <v>-4.1000000000000147E-2</v>
      </c>
      <c r="E89" s="109">
        <f t="shared" si="13"/>
        <v>-4.1000000000000147E-2</v>
      </c>
      <c r="F89" s="109">
        <f ca="1">IF(表2_367162629303891213141523242526[[#This Row],[累计净值]]/MAX(INDIRECT("B21:B" &amp; ROW()))-1&lt;F88,表2_367162629303891213141523242526[[#This Row],[累计净值]]/MAX(INDIRECT("B21:B" &amp; ROW()))-1,F88)</f>
        <v>-0.11559633027522942</v>
      </c>
      <c r="G89" s="110">
        <f>表2_367162629303891213141523242526[[#This Row],[累计净值]]</f>
        <v>1.5429999999999999</v>
      </c>
      <c r="H89" s="20">
        <f>表2_367162629303891213141523242526[[#This Row],[累计净值]]/$B$21-1</f>
        <v>-6.4766839378249674E-4</v>
      </c>
    </row>
    <row r="90" spans="1:8">
      <c r="A90" s="15">
        <v>44137</v>
      </c>
      <c r="B90" s="112">
        <v>1.5589999999999999</v>
      </c>
      <c r="C90" s="112">
        <f>C89*(1+表2_367162629303891213141523242526[[#This Row],[每日盈亏]])</f>
        <v>1.0402067746117043</v>
      </c>
      <c r="D90" s="108">
        <f t="shared" si="12"/>
        <v>1.6000000000000014E-2</v>
      </c>
      <c r="E90" s="109" t="str">
        <f t="shared" si="13"/>
        <v>/</v>
      </c>
      <c r="F90" s="109">
        <f ca="1">IF(表2_367162629303891213141523242526[[#This Row],[累计净值]]/MAX(INDIRECT("B21:B" &amp; ROW()))-1&lt;F89,表2_367162629303891213141523242526[[#This Row],[累计净值]]/MAX(INDIRECT("B21:B" &amp; ROW()))-1,F89)</f>
        <v>-0.11559633027522942</v>
      </c>
      <c r="G90" s="110">
        <f>表2_367162629303891213141523242526[[#This Row],[累计净值]]</f>
        <v>1.5589999999999999</v>
      </c>
      <c r="H90" s="20">
        <f>表2_367162629303891213141523242526[[#This Row],[累计净值]]/$B$21-1</f>
        <v>9.7150259067357858E-3</v>
      </c>
    </row>
    <row r="91" spans="1:8">
      <c r="A91" s="15">
        <v>44138</v>
      </c>
      <c r="B91" s="112">
        <v>1.5880000000000001</v>
      </c>
      <c r="C91" s="112">
        <f>C90*(1+表2_367162629303891213141523242526[[#This Row],[每日盈亏]])</f>
        <v>1.0703727710754438</v>
      </c>
      <c r="D91" s="108">
        <f t="shared" si="12"/>
        <v>2.9000000000000137E-2</v>
      </c>
      <c r="E91" s="109" t="str">
        <f t="shared" si="13"/>
        <v>/</v>
      </c>
      <c r="F91" s="109">
        <f ca="1">IF(表2_367162629303891213141523242526[[#This Row],[累计净值]]/MAX(INDIRECT("B21:B" &amp; ROW()))-1&lt;F90,表2_367162629303891213141523242526[[#This Row],[累计净值]]/MAX(INDIRECT("B21:B" &amp; ROW()))-1,F90)</f>
        <v>-0.11559633027522942</v>
      </c>
      <c r="G91" s="110">
        <f>表2_367162629303891213141523242526[[#This Row],[累计净值]]</f>
        <v>1.5880000000000001</v>
      </c>
      <c r="H91" s="20">
        <f>表2_367162629303891213141523242526[[#This Row],[累计净值]]/$B$21-1</f>
        <v>2.8497409326424972E-2</v>
      </c>
    </row>
    <row r="92" spans="1:8">
      <c r="A92" s="15">
        <v>44139</v>
      </c>
      <c r="B92" s="112">
        <v>1.5880000000000001</v>
      </c>
      <c r="C92" s="112">
        <f>C91*(1+表2_367162629303891213141523242526[[#This Row],[每日盈亏]])</f>
        <v>1.0703727710754438</v>
      </c>
      <c r="D92" s="108">
        <f t="shared" si="12"/>
        <v>0</v>
      </c>
      <c r="E92" s="109" t="str">
        <f t="shared" ref="E92:E97" si="14">IF(D92&lt;0,D92,"/")</f>
        <v>/</v>
      </c>
      <c r="F92" s="109">
        <f ca="1">IF(表2_367162629303891213141523242526[[#This Row],[累计净值]]/MAX(INDIRECT("B21:B" &amp; ROW()))-1&lt;F91,表2_367162629303891213141523242526[[#This Row],[累计净值]]/MAX(INDIRECT("B21:B" &amp; ROW()))-1,F91)</f>
        <v>-0.11559633027522942</v>
      </c>
      <c r="G92" s="110">
        <f>表2_367162629303891213141523242526[[#This Row],[累计净值]]</f>
        <v>1.5880000000000001</v>
      </c>
      <c r="H92" s="20">
        <f>表2_367162629303891213141523242526[[#This Row],[累计净值]]/$B$21-1</f>
        <v>2.8497409326424972E-2</v>
      </c>
    </row>
    <row r="93" spans="1:8">
      <c r="A93" s="15">
        <v>44140</v>
      </c>
      <c r="B93" s="112">
        <v>1.6220000000000001</v>
      </c>
      <c r="C93" s="112">
        <f>C92*(1+表2_367162629303891213141523242526[[#This Row],[每日盈亏]])</f>
        <v>1.106765445292009</v>
      </c>
      <c r="D93" s="108">
        <f t="shared" si="12"/>
        <v>3.400000000000003E-2</v>
      </c>
      <c r="E93" s="109" t="str">
        <f t="shared" si="14"/>
        <v>/</v>
      </c>
      <c r="F93" s="109">
        <f ca="1">IF(表2_367162629303891213141523242526[[#This Row],[累计净值]]/MAX(INDIRECT("B21:B" &amp; ROW()))-1&lt;F92,表2_367162629303891213141523242526[[#This Row],[累计净值]]/MAX(INDIRECT("B21:B" &amp; ROW()))-1,F92)</f>
        <v>-0.11559633027522942</v>
      </c>
      <c r="G93" s="110">
        <f>表2_367162629303891213141523242526[[#This Row],[累计净值]]</f>
        <v>1.6220000000000001</v>
      </c>
      <c r="H93" s="20">
        <f>表2_367162629303891213141523242526[[#This Row],[累计净值]]/$B$21-1</f>
        <v>5.0518134715025864E-2</v>
      </c>
    </row>
    <row r="94" spans="1:8">
      <c r="A94" s="15">
        <v>44141</v>
      </c>
      <c r="B94" s="112">
        <v>1.6020000000000001</v>
      </c>
      <c r="C94" s="112">
        <f>C93*(1+表2_367162629303891213141523242526[[#This Row],[每日盈亏]])</f>
        <v>1.0846301363861688</v>
      </c>
      <c r="D94" s="108">
        <f t="shared" si="12"/>
        <v>-2.0000000000000018E-2</v>
      </c>
      <c r="E94" s="109">
        <f t="shared" si="14"/>
        <v>-2.0000000000000018E-2</v>
      </c>
      <c r="F94" s="109">
        <f ca="1">IF(表2_367162629303891213141523242526[[#This Row],[累计净值]]/MAX(INDIRECT("B21:B" &amp; ROW()))-1&lt;F93,表2_367162629303891213141523242526[[#This Row],[累计净值]]/MAX(INDIRECT("B21:B" &amp; ROW()))-1,F93)</f>
        <v>-0.11559633027522942</v>
      </c>
      <c r="G94" s="110">
        <f>表2_367162629303891213141523242526[[#This Row],[累计净值]]</f>
        <v>1.6020000000000001</v>
      </c>
      <c r="H94" s="20">
        <f>表2_367162629303891213141523242526[[#This Row],[累计净值]]/$B$21-1</f>
        <v>3.7564766839378372E-2</v>
      </c>
    </row>
    <row r="95" spans="1:8">
      <c r="A95" s="15">
        <v>44144</v>
      </c>
      <c r="B95" s="112">
        <v>1.639</v>
      </c>
      <c r="C95" s="112">
        <f>C94*(1+表2_367162629303891213141523242526[[#This Row],[每日盈亏]])</f>
        <v>1.1247614514324569</v>
      </c>
      <c r="D95" s="108">
        <f t="shared" si="12"/>
        <v>3.6999999999999922E-2</v>
      </c>
      <c r="E95" s="109" t="str">
        <f t="shared" si="14"/>
        <v>/</v>
      </c>
      <c r="F95" s="109">
        <f ca="1">IF(表2_367162629303891213141523242526[[#This Row],[累计净值]]/MAX(INDIRECT("B21:B" &amp; ROW()))-1&lt;F94,表2_367162629303891213141523242526[[#This Row],[累计净值]]/MAX(INDIRECT("B21:B" &amp; ROW()))-1,F94)</f>
        <v>-0.11559633027522942</v>
      </c>
      <c r="G95" s="110">
        <f>表2_367162629303891213141523242526[[#This Row],[累计净值]]</f>
        <v>1.639</v>
      </c>
      <c r="H95" s="20">
        <f>表2_367162629303891213141523242526[[#This Row],[累计净值]]/$B$21-1</f>
        <v>6.1528497409326421E-2</v>
      </c>
    </row>
    <row r="96" spans="1:8">
      <c r="A96" s="15">
        <v>44145</v>
      </c>
      <c r="B96" s="112">
        <v>1.623</v>
      </c>
      <c r="C96" s="112">
        <f>C95*(1+表2_367162629303891213141523242526[[#This Row],[每日盈亏]])</f>
        <v>1.1067652682095375</v>
      </c>
      <c r="D96" s="108">
        <f t="shared" si="12"/>
        <v>-1.6000000000000014E-2</v>
      </c>
      <c r="E96" s="109">
        <f t="shared" si="14"/>
        <v>-1.6000000000000014E-2</v>
      </c>
      <c r="F96" s="109">
        <f ca="1">IF(表2_367162629303891213141523242526[[#This Row],[累计净值]]/MAX(INDIRECT("B21:B" &amp; ROW()))-1&lt;F95,表2_367162629303891213141523242526[[#This Row],[累计净值]]/MAX(INDIRECT("B21:B" &amp; ROW()))-1,F95)</f>
        <v>-0.11559633027522942</v>
      </c>
      <c r="G96" s="110">
        <f>表2_367162629303891213141523242526[[#This Row],[累计净值]]</f>
        <v>1.623</v>
      </c>
      <c r="H96" s="20">
        <f>表2_367162629303891213141523242526[[#This Row],[累计净值]]/$B$21-1</f>
        <v>5.116580310880825E-2</v>
      </c>
    </row>
    <row r="97" spans="1:11">
      <c r="A97" s="15">
        <v>44146</v>
      </c>
      <c r="B97" s="112">
        <v>1.5820000000000001</v>
      </c>
      <c r="C97" s="112">
        <f>C96*(1+表2_367162629303891213141523242526[[#This Row],[每日盈亏]])</f>
        <v>1.0613878922129465</v>
      </c>
      <c r="D97" s="108">
        <f t="shared" si="12"/>
        <v>-4.0999999999999925E-2</v>
      </c>
      <c r="E97" s="109">
        <f t="shared" si="14"/>
        <v>-4.0999999999999925E-2</v>
      </c>
      <c r="F97" s="109">
        <f ca="1">IF(表2_367162629303891213141523242526[[#This Row],[累计净值]]/MAX(INDIRECT("B21:B" &amp; ROW()))-1&lt;F96,表2_367162629303891213141523242526[[#This Row],[累计净值]]/MAX(INDIRECT("B21:B" &amp; ROW()))-1,F96)</f>
        <v>-0.11559633027522942</v>
      </c>
      <c r="G97" s="110">
        <f>表2_367162629303891213141523242526[[#This Row],[累计净值]]</f>
        <v>1.5820000000000001</v>
      </c>
      <c r="H97" s="20">
        <f>表2_367162629303891213141523242526[[#This Row],[累计净值]]/$B$21-1</f>
        <v>2.4611398963730657E-2</v>
      </c>
    </row>
    <row r="98" spans="1:11">
      <c r="A98" s="15">
        <v>44147</v>
      </c>
      <c r="B98" s="112">
        <v>1.5880000000000001</v>
      </c>
      <c r="C98" s="112">
        <f>C97*(1+表2_367162629303891213141523242526[[#This Row],[每日盈亏]])</f>
        <v>1.0677562195662242</v>
      </c>
      <c r="D98" s="108">
        <f t="shared" si="12"/>
        <v>6.0000000000000053E-3</v>
      </c>
      <c r="E98" s="109" t="str">
        <f t="shared" ref="E98:E103" si="15">IF(D98&lt;0,D98,"/")</f>
        <v>/</v>
      </c>
      <c r="F98" s="109">
        <f ca="1">IF(表2_367162629303891213141523242526[[#This Row],[累计净值]]/MAX(INDIRECT("B21:B" &amp; ROW()))-1&lt;F97,表2_367162629303891213141523242526[[#This Row],[累计净值]]/MAX(INDIRECT("B21:B" &amp; ROW()))-1,F97)</f>
        <v>-0.11559633027522942</v>
      </c>
      <c r="G98" s="110">
        <f>表2_367162629303891213141523242526[[#This Row],[累计净值]]</f>
        <v>1.5880000000000001</v>
      </c>
      <c r="H98" s="20">
        <f>表2_367162629303891213141523242526[[#This Row],[累计净值]]/$B$21-1</f>
        <v>2.8497409326424972E-2</v>
      </c>
    </row>
    <row r="99" spans="1:11">
      <c r="A99" s="15">
        <v>44148</v>
      </c>
      <c r="B99" s="112">
        <v>1.5920000000000001</v>
      </c>
      <c r="C99" s="112">
        <f>C98*(1+表2_367162629303891213141523242526[[#This Row],[每日盈亏]])</f>
        <v>1.0720272444444892</v>
      </c>
      <c r="D99" s="108">
        <f t="shared" si="12"/>
        <v>4.0000000000000036E-3</v>
      </c>
      <c r="E99" s="109" t="str">
        <f t="shared" si="15"/>
        <v>/</v>
      </c>
      <c r="F99" s="109">
        <f ca="1">IF(表2_367162629303891213141523242526[[#This Row],[累计净值]]/MAX(INDIRECT("B21:B" &amp; ROW()))-1&lt;F98,表2_367162629303891213141523242526[[#This Row],[累计净值]]/MAX(INDIRECT("B21:B" &amp; ROW()))-1,F98)</f>
        <v>-0.11559633027522942</v>
      </c>
      <c r="G99" s="110">
        <f>表2_367162629303891213141523242526[[#This Row],[累计净值]]</f>
        <v>1.5920000000000001</v>
      </c>
      <c r="H99" s="20">
        <f>表2_367162629303891213141523242526[[#This Row],[累计净值]]/$B$21-1</f>
        <v>3.1088082901554515E-2</v>
      </c>
    </row>
    <row r="100" spans="1:11">
      <c r="A100" s="15">
        <v>44151</v>
      </c>
      <c r="B100" s="112">
        <v>1.601</v>
      </c>
      <c r="C100" s="112">
        <f>C99*(1+表2_367162629303891213141523242526[[#This Row],[每日盈亏]])</f>
        <v>1.0816754896444893</v>
      </c>
      <c r="D100" s="108">
        <f t="shared" si="12"/>
        <v>8.999999999999897E-3</v>
      </c>
      <c r="E100" s="109" t="str">
        <f t="shared" si="15"/>
        <v>/</v>
      </c>
      <c r="F100" s="109">
        <f ca="1">IF(表2_367162629303891213141523242526[[#This Row],[累计净值]]/MAX(INDIRECT("B21:B" &amp; ROW()))-1&lt;F99,表2_367162629303891213141523242526[[#This Row],[累计净值]]/MAX(INDIRECT("B21:B" &amp; ROW()))-1,F99)</f>
        <v>-0.11559633027522942</v>
      </c>
      <c r="G100" s="110">
        <f>表2_367162629303891213141523242526[[#This Row],[累计净值]]</f>
        <v>1.601</v>
      </c>
      <c r="H100" s="20">
        <f>表2_367162629303891213141523242526[[#This Row],[累计净值]]/$B$21-1</f>
        <v>3.6917098445595764E-2</v>
      </c>
    </row>
    <row r="101" spans="1:11">
      <c r="A101" s="15">
        <v>44152</v>
      </c>
      <c r="B101" s="112">
        <v>1.5840000000000001</v>
      </c>
      <c r="C101" s="112">
        <f>C100*(1+表2_367162629303891213141523242526[[#This Row],[每日盈亏]])</f>
        <v>1.0632870063205331</v>
      </c>
      <c r="D101" s="108">
        <f t="shared" si="12"/>
        <v>-1.6999999999999904E-2</v>
      </c>
      <c r="E101" s="109">
        <f t="shared" si="15"/>
        <v>-1.6999999999999904E-2</v>
      </c>
      <c r="F101" s="109">
        <f ca="1">IF(表2_367162629303891213141523242526[[#This Row],[累计净值]]/MAX(INDIRECT("B21:B" &amp; ROW()))-1&lt;F100,表2_367162629303891213141523242526[[#This Row],[累计净值]]/MAX(INDIRECT("B21:B" &amp; ROW()))-1,F100)</f>
        <v>-0.11559633027522942</v>
      </c>
      <c r="G101" s="110">
        <f>表2_367162629303891213141523242526[[#This Row],[累计净值]]</f>
        <v>1.5840000000000001</v>
      </c>
      <c r="H101" s="20">
        <f>表2_367162629303891213141523242526[[#This Row],[累计净值]]/$B$21-1</f>
        <v>2.5906735751295429E-2</v>
      </c>
      <c r="K101" s="196" t="s">
        <v>43</v>
      </c>
    </row>
    <row r="102" spans="1:11">
      <c r="A102" s="15">
        <v>44153</v>
      </c>
      <c r="B102" s="112">
        <v>1.583</v>
      </c>
      <c r="C102" s="112">
        <f>C101*(1+表2_367162629303891213141523242526[[#This Row],[每日盈亏]])</f>
        <v>1.0622237193142123</v>
      </c>
      <c r="D102" s="108">
        <f t="shared" si="12"/>
        <v>-1.0000000000001119E-3</v>
      </c>
      <c r="E102" s="109">
        <f t="shared" si="15"/>
        <v>-1.0000000000001119E-3</v>
      </c>
      <c r="F102" s="109">
        <f ca="1">IF(表2_367162629303891213141523242526[[#This Row],[累计净值]]/MAX(INDIRECT("B21:B" &amp; ROW()))-1&lt;F101,表2_367162629303891213141523242526[[#This Row],[累计净值]]/MAX(INDIRECT("B21:B" &amp; ROW()))-1,F101)</f>
        <v>-0.11559633027522942</v>
      </c>
      <c r="G102" s="110">
        <f>表2_367162629303891213141523242526[[#This Row],[累计净值]]</f>
        <v>1.583</v>
      </c>
      <c r="H102" s="20">
        <f>表2_367162629303891213141523242526[[#This Row],[累计净值]]/$B$21-1</f>
        <v>2.5259067357512821E-2</v>
      </c>
    </row>
    <row r="103" spans="1:11">
      <c r="A103" s="15">
        <v>44154</v>
      </c>
      <c r="B103" s="112">
        <v>1.6</v>
      </c>
      <c r="C103" s="112">
        <f>C102*(1+表2_367162629303891213141523242526[[#This Row],[每日盈亏]])</f>
        <v>1.0802815225425542</v>
      </c>
      <c r="D103" s="108">
        <f t="shared" si="12"/>
        <v>1.7000000000000126E-2</v>
      </c>
      <c r="E103" s="109" t="str">
        <f t="shared" si="15"/>
        <v>/</v>
      </c>
      <c r="F103" s="109">
        <f ca="1">IF(表2_367162629303891213141523242526[[#This Row],[累计净值]]/MAX(INDIRECT("B21:B" &amp; ROW()))-1&lt;F102,表2_367162629303891213141523242526[[#This Row],[累计净值]]/MAX(INDIRECT("B21:B" &amp; ROW()))-1,F102)</f>
        <v>-0.11559633027522942</v>
      </c>
      <c r="G103" s="110">
        <f>表2_367162629303891213141523242526[[#This Row],[累计净值]]</f>
        <v>1.6</v>
      </c>
      <c r="H103" s="20">
        <f>表2_367162629303891213141523242526[[#This Row],[累计净值]]/$B$21-1</f>
        <v>3.62694300518136E-2</v>
      </c>
    </row>
    <row r="104" spans="1:11">
      <c r="A104" s="15">
        <v>44155</v>
      </c>
      <c r="B104" s="112">
        <v>1.619</v>
      </c>
      <c r="C104" s="112">
        <f>C103*(1+表2_367162629303891213141523242526[[#This Row],[每日盈亏]])</f>
        <v>1.1008068714708625</v>
      </c>
      <c r="D104" s="108">
        <f t="shared" si="12"/>
        <v>1.8999999999999906E-2</v>
      </c>
      <c r="E104" s="109" t="str">
        <f t="shared" ref="E104:E109" si="16">IF(D104&lt;0,D104,"/")</f>
        <v>/</v>
      </c>
      <c r="F104" s="109">
        <f ca="1">IF(表2_367162629303891213141523242526[[#This Row],[累计净值]]/MAX(INDIRECT("B21:B" &amp; ROW()))-1&lt;F103,表2_367162629303891213141523242526[[#This Row],[累计净值]]/MAX(INDIRECT("B21:B" &amp; ROW()))-1,F103)</f>
        <v>-0.11559633027522942</v>
      </c>
      <c r="G104" s="110">
        <f>表2_367162629303891213141523242526[[#This Row],[累计净值]]</f>
        <v>1.619</v>
      </c>
      <c r="H104" s="20">
        <f>表2_367162629303891213141523242526[[#This Row],[累计净值]]/$B$21-1</f>
        <v>4.8575129533678707E-2</v>
      </c>
    </row>
    <row r="105" spans="1:11">
      <c r="A105" s="15">
        <v>44158</v>
      </c>
      <c r="B105" s="112">
        <v>1.635</v>
      </c>
      <c r="C105" s="112">
        <f>C104*(1+表2_367162629303891213141523242526[[#This Row],[每日盈亏]])</f>
        <v>1.1184197814143964</v>
      </c>
      <c r="D105" s="108">
        <f t="shared" si="12"/>
        <v>1.6000000000000014E-2</v>
      </c>
      <c r="E105" s="109" t="str">
        <f t="shared" si="16"/>
        <v>/</v>
      </c>
      <c r="F105" s="109">
        <f ca="1">IF(表2_367162629303891213141523242526[[#This Row],[累计净值]]/MAX(INDIRECT("B21:B" &amp; ROW()))-1&lt;F104,表2_367162629303891213141523242526[[#This Row],[累计净值]]/MAX(INDIRECT("B21:B" &amp; ROW()))-1,F104)</f>
        <v>-0.11559633027522942</v>
      </c>
      <c r="G105" s="110">
        <f>表2_367162629303891213141523242526[[#This Row],[累计净值]]</f>
        <v>1.635</v>
      </c>
      <c r="H105" s="20">
        <f>表2_367162629303891213141523242526[[#This Row],[累计净值]]/$B$21-1</f>
        <v>5.8937823834196879E-2</v>
      </c>
    </row>
    <row r="106" spans="1:11">
      <c r="A106" s="15">
        <v>44159</v>
      </c>
      <c r="B106" s="112">
        <v>1.6359999999999999</v>
      </c>
      <c r="C106" s="112">
        <f>C105*(1+表2_367162629303891213141523242526[[#This Row],[每日盈亏]])</f>
        <v>1.1195382011958106</v>
      </c>
      <c r="D106" s="108">
        <f t="shared" si="12"/>
        <v>9.9999999999988987E-4</v>
      </c>
      <c r="E106" s="109" t="str">
        <f t="shared" si="16"/>
        <v>/</v>
      </c>
      <c r="F106" s="109">
        <f ca="1">IF(表2_367162629303891213141523242526[[#This Row],[累计净值]]/MAX(INDIRECT("B21:B" &amp; ROW()))-1&lt;F105,表2_367162629303891213141523242526[[#This Row],[累计净值]]/MAX(INDIRECT("B21:B" &amp; ROW()))-1,F105)</f>
        <v>-0.11559633027522942</v>
      </c>
      <c r="G106" s="110">
        <f>表2_367162629303891213141523242526[[#This Row],[累计净值]]</f>
        <v>1.6359999999999999</v>
      </c>
      <c r="H106" s="20">
        <f>表2_367162629303891213141523242526[[#This Row],[累计净值]]/$B$21-1</f>
        <v>5.9585492227979264E-2</v>
      </c>
    </row>
    <row r="107" spans="1:11">
      <c r="A107" s="15">
        <v>44160</v>
      </c>
      <c r="B107" s="112">
        <v>1.6</v>
      </c>
      <c r="C107" s="112">
        <f>C106*(1+表2_367162629303891213141523242526[[#This Row],[每日盈亏]])</f>
        <v>1.0792348259527615</v>
      </c>
      <c r="D107" s="108">
        <f t="shared" si="12"/>
        <v>-3.599999999999981E-2</v>
      </c>
      <c r="E107" s="109">
        <f t="shared" si="16"/>
        <v>-3.599999999999981E-2</v>
      </c>
      <c r="F107" s="109">
        <f ca="1">IF(表2_367162629303891213141523242526[[#This Row],[累计净值]]/MAX(INDIRECT("B21:B" &amp; ROW()))-1&lt;F106,表2_367162629303891213141523242526[[#This Row],[累计净值]]/MAX(INDIRECT("B21:B" &amp; ROW()))-1,F106)</f>
        <v>-0.11559633027522942</v>
      </c>
      <c r="G107" s="110">
        <f>表2_367162629303891213141523242526[[#This Row],[累计净值]]</f>
        <v>1.6</v>
      </c>
      <c r="H107" s="20">
        <f>表2_367162629303891213141523242526[[#This Row],[累计净值]]/$B$21-1</f>
        <v>3.62694300518136E-2</v>
      </c>
    </row>
    <row r="108" spans="1:11">
      <c r="A108" s="15">
        <v>44161</v>
      </c>
      <c r="B108" s="112">
        <v>1.589</v>
      </c>
      <c r="C108" s="112">
        <f>C107*(1+表2_367162629303891213141523242526[[#This Row],[每日盈亏]])</f>
        <v>1.067363242867281</v>
      </c>
      <c r="D108" s="108">
        <f t="shared" si="12"/>
        <v>-1.1000000000000121E-2</v>
      </c>
      <c r="E108" s="109">
        <f t="shared" si="16"/>
        <v>-1.1000000000000121E-2</v>
      </c>
      <c r="F108" s="109">
        <f ca="1">IF(表2_367162629303891213141523242526[[#This Row],[累计净值]]/MAX(INDIRECT("B21:B" &amp; ROW()))-1&lt;F107,表2_367162629303891213141523242526[[#This Row],[累计净值]]/MAX(INDIRECT("B21:B" &amp; ROW()))-1,F107)</f>
        <v>-0.11559633027522942</v>
      </c>
      <c r="G108" s="110">
        <f>表2_367162629303891213141523242526[[#This Row],[累计净值]]</f>
        <v>1.589</v>
      </c>
      <c r="H108" s="20">
        <f>表2_367162629303891213141523242526[[#This Row],[累计净值]]/$B$21-1</f>
        <v>2.9145077720207135E-2</v>
      </c>
    </row>
    <row r="109" spans="1:11">
      <c r="A109" s="15">
        <v>44162</v>
      </c>
      <c r="B109" s="112">
        <v>1.5940000000000001</v>
      </c>
      <c r="C109" s="112">
        <f>C108*(1+表2_367162629303891213141523242526[[#This Row],[每日盈亏]])</f>
        <v>1.0727000590816176</v>
      </c>
      <c r="D109" s="108">
        <f t="shared" si="12"/>
        <v>5.0000000000001155E-3</v>
      </c>
      <c r="E109" s="109" t="str">
        <f t="shared" si="16"/>
        <v>/</v>
      </c>
      <c r="F109" s="109">
        <f ca="1">IF(表2_367162629303891213141523242526[[#This Row],[累计净值]]/MAX(INDIRECT("B21:B" &amp; ROW()))-1&lt;F108,表2_367162629303891213141523242526[[#This Row],[累计净值]]/MAX(INDIRECT("B21:B" &amp; ROW()))-1,F108)</f>
        <v>-0.11559633027522942</v>
      </c>
      <c r="G109" s="110">
        <f>表2_367162629303891213141523242526[[#This Row],[累计净值]]</f>
        <v>1.5940000000000001</v>
      </c>
      <c r="H109" s="20">
        <f>表2_367162629303891213141523242526[[#This Row],[累计净值]]/$B$21-1</f>
        <v>3.2383419689119286E-2</v>
      </c>
    </row>
    <row r="110" spans="1:11">
      <c r="A110" s="15">
        <v>44165</v>
      </c>
      <c r="B110" s="112">
        <v>1.59</v>
      </c>
      <c r="C110" s="112">
        <f>C109*(1+表2_367162629303891213141523242526[[#This Row],[每日盈亏]])</f>
        <v>1.0684092588452911</v>
      </c>
      <c r="D110" s="108">
        <f t="shared" si="12"/>
        <v>-4.0000000000000036E-3</v>
      </c>
      <c r="E110" s="109">
        <f t="shared" ref="E110:E115" si="17">IF(D110&lt;0,D110,"/")</f>
        <v>-4.0000000000000036E-3</v>
      </c>
      <c r="F110" s="109">
        <f ca="1">IF(表2_367162629303891213141523242526[[#This Row],[累计净值]]/MAX(INDIRECT("B21:B" &amp; ROW()))-1&lt;F109,表2_367162629303891213141523242526[[#This Row],[累计净值]]/MAX(INDIRECT("B21:B" &amp; ROW()))-1,F109)</f>
        <v>-0.11559633027522942</v>
      </c>
      <c r="G110" s="110">
        <f>表2_367162629303891213141523242526[[#This Row],[累计净值]]</f>
        <v>1.59</v>
      </c>
      <c r="H110" s="20">
        <f>表2_367162629303891213141523242526[[#This Row],[累计净值]]/$B$21-1</f>
        <v>2.9792746113989743E-2</v>
      </c>
    </row>
    <row r="111" spans="1:11">
      <c r="A111" s="15">
        <v>44166</v>
      </c>
      <c r="B111" s="112">
        <v>1.619</v>
      </c>
      <c r="C111" s="112">
        <f>C110*(1+表2_367162629303891213141523242526[[#This Row],[每日盈亏]])</f>
        <v>1.0993931273518045</v>
      </c>
      <c r="D111" s="108">
        <f t="shared" si="12"/>
        <v>2.8999999999999915E-2</v>
      </c>
      <c r="E111" s="109" t="str">
        <f t="shared" si="17"/>
        <v>/</v>
      </c>
      <c r="F111" s="109">
        <f ca="1">IF(表2_367162629303891213141523242526[[#This Row],[累计净值]]/MAX(INDIRECT("B21:B" &amp; ROW()))-1&lt;F110,表2_367162629303891213141523242526[[#This Row],[累计净值]]/MAX(INDIRECT("B21:B" &amp; ROW()))-1,F110)</f>
        <v>-0.11559633027522942</v>
      </c>
      <c r="G111" s="110">
        <f>表2_367162629303891213141523242526[[#This Row],[累计净值]]</f>
        <v>1.619</v>
      </c>
      <c r="H111" s="20">
        <f>表2_367162629303891213141523242526[[#This Row],[累计净值]]/$B$21-1</f>
        <v>4.8575129533678707E-2</v>
      </c>
    </row>
    <row r="112" spans="1:11">
      <c r="A112" s="15">
        <v>44167</v>
      </c>
      <c r="B112" s="112">
        <v>1.62</v>
      </c>
      <c r="C112" s="112">
        <f>C111*(1+表2_367162629303891213141523242526[[#This Row],[每日盈亏]])</f>
        <v>1.1004925204791565</v>
      </c>
      <c r="D112" s="108">
        <f t="shared" si="12"/>
        <v>1.0000000000001119E-3</v>
      </c>
      <c r="E112" s="109" t="str">
        <f t="shared" si="17"/>
        <v>/</v>
      </c>
      <c r="F112" s="109">
        <f ca="1">IF(表2_367162629303891213141523242526[[#This Row],[累计净值]]/MAX(INDIRECT("B21:B" &amp; ROW()))-1&lt;F111,表2_367162629303891213141523242526[[#This Row],[累计净值]]/MAX(INDIRECT("B21:B" &amp; ROW()))-1,F111)</f>
        <v>-0.11559633027522942</v>
      </c>
      <c r="G112" s="110">
        <f>表2_367162629303891213141523242526[[#This Row],[累计净值]]</f>
        <v>1.62</v>
      </c>
      <c r="H112" s="20">
        <f>表2_367162629303891213141523242526[[#This Row],[累计净值]]/$B$21-1</f>
        <v>4.9222797927461093E-2</v>
      </c>
    </row>
    <row r="113" spans="1:8">
      <c r="A113" s="15">
        <v>44168</v>
      </c>
      <c r="B113" s="112">
        <v>1.6160000000000001</v>
      </c>
      <c r="C113" s="112">
        <f>C112*(1+表2_367162629303891213141523242526[[#This Row],[每日盈亏]])</f>
        <v>1.0960905503972398</v>
      </c>
      <c r="D113" s="108">
        <f t="shared" si="12"/>
        <v>-4.0000000000000036E-3</v>
      </c>
      <c r="E113" s="109">
        <f t="shared" si="17"/>
        <v>-4.0000000000000036E-3</v>
      </c>
      <c r="F113" s="109">
        <f ca="1">IF(表2_367162629303891213141523242526[[#This Row],[累计净值]]/MAX(INDIRECT("B21:B" &amp; ROW()))-1&lt;F112,表2_367162629303891213141523242526[[#This Row],[累计净值]]/MAX(INDIRECT("B21:B" &amp; ROW()))-1,F112)</f>
        <v>-0.11559633027522942</v>
      </c>
      <c r="G113" s="110">
        <f>表2_367162629303891213141523242526[[#This Row],[累计净值]]</f>
        <v>1.6160000000000001</v>
      </c>
      <c r="H113" s="20">
        <f>表2_367162629303891213141523242526[[#This Row],[累计净值]]/$B$21-1</f>
        <v>4.663212435233155E-2</v>
      </c>
    </row>
    <row r="114" spans="1:8">
      <c r="A114" s="15">
        <v>44169</v>
      </c>
      <c r="B114" s="113">
        <v>1.627</v>
      </c>
      <c r="C114" s="112">
        <f>C113*(1+表2_367162629303891213141523242526[[#This Row],[每日盈亏]])</f>
        <v>1.1081475464516093</v>
      </c>
      <c r="D114" s="108">
        <f t="shared" si="12"/>
        <v>1.0999999999999899E-2</v>
      </c>
      <c r="E114" s="109" t="str">
        <f t="shared" si="17"/>
        <v>/</v>
      </c>
      <c r="F114" s="109">
        <f ca="1">IF(表2_367162629303891213141523242526[[#This Row],[累计净值]]/MAX(INDIRECT("B21:B" &amp; ROW()))-1&lt;F113,表2_367162629303891213141523242526[[#This Row],[累计净值]]/MAX(INDIRECT("B21:B" &amp; ROW()))-1,F113)</f>
        <v>-0.11559633027522942</v>
      </c>
      <c r="G114" s="110">
        <f>表2_367162629303891213141523242526[[#This Row],[累计净值]]</f>
        <v>1.627</v>
      </c>
      <c r="H114" s="20">
        <f>表2_367162629303891213141523242526[[#This Row],[累计净值]]/$B$21-1</f>
        <v>5.3756476683937793E-2</v>
      </c>
    </row>
    <row r="115" spans="1:8">
      <c r="A115" s="15">
        <v>44172</v>
      </c>
      <c r="B115" s="112">
        <v>1.6220000000000001</v>
      </c>
      <c r="C115" s="112">
        <f>C114*(1+表2_367162629303891213141523242526[[#This Row],[每日盈亏]])</f>
        <v>1.1026068087193515</v>
      </c>
      <c r="D115" s="108">
        <f t="shared" si="12"/>
        <v>-4.9999999999998934E-3</v>
      </c>
      <c r="E115" s="109">
        <f t="shared" si="17"/>
        <v>-4.9999999999998934E-3</v>
      </c>
      <c r="F115" s="109">
        <f ca="1">IF(表2_367162629303891213141523242526[[#This Row],[累计净值]]/MAX(INDIRECT("B21:B" &amp; ROW()))-1&lt;F114,表2_367162629303891213141523242526[[#This Row],[累计净值]]/MAX(INDIRECT("B21:B" &amp; ROW()))-1,F114)</f>
        <v>-0.11559633027522942</v>
      </c>
      <c r="G115" s="110">
        <f>表2_367162629303891213141523242526[[#This Row],[累计净值]]</f>
        <v>1.6220000000000001</v>
      </c>
      <c r="H115" s="20">
        <f>表2_367162629303891213141523242526[[#This Row],[累计净值]]/$B$21-1</f>
        <v>5.0518134715025864E-2</v>
      </c>
    </row>
    <row r="116" spans="1:8">
      <c r="A116" s="15">
        <v>44173</v>
      </c>
      <c r="B116" s="112">
        <v>1.6259999999999999</v>
      </c>
      <c r="C116" s="112">
        <f>C115*(1+表2_367162629303891213141523242526[[#This Row],[每日盈亏]])</f>
        <v>1.1070172359542285</v>
      </c>
      <c r="D116" s="108">
        <f t="shared" si="12"/>
        <v>3.9999999999997815E-3</v>
      </c>
      <c r="E116" s="109" t="str">
        <f t="shared" ref="E116:E121" si="18">IF(D116&lt;0,D116,"/")</f>
        <v>/</v>
      </c>
      <c r="F116" s="109">
        <f ca="1">IF(表2_367162629303891213141523242526[[#This Row],[累计净值]]/MAX(INDIRECT("B21:B" &amp; ROW()))-1&lt;F115,表2_367162629303891213141523242526[[#This Row],[累计净值]]/MAX(INDIRECT("B21:B" &amp; ROW()))-1,F115)</f>
        <v>-0.11559633027522942</v>
      </c>
      <c r="G116" s="110">
        <f>表2_367162629303891213141523242526[[#This Row],[累计净值]]</f>
        <v>1.6259999999999999</v>
      </c>
      <c r="H116" s="20">
        <f>表2_367162629303891213141523242526[[#This Row],[累计净值]]/$B$21-1</f>
        <v>5.3108808290155407E-2</v>
      </c>
    </row>
    <row r="117" spans="1:8">
      <c r="A117" s="15">
        <v>44174</v>
      </c>
      <c r="B117" s="112">
        <v>1.595</v>
      </c>
      <c r="C117" s="112">
        <f>C116*(1+表2_367162629303891213141523242526[[#This Row],[每日盈亏]])</f>
        <v>1.0726997016396476</v>
      </c>
      <c r="D117" s="108">
        <f t="shared" ref="D117:D148" si="19">IFERROR(B117-B116,0)</f>
        <v>-3.0999999999999917E-2</v>
      </c>
      <c r="E117" s="109">
        <f t="shared" si="18"/>
        <v>-3.0999999999999917E-2</v>
      </c>
      <c r="F117" s="109">
        <f ca="1">IF(表2_367162629303891213141523242526[[#This Row],[累计净值]]/MAX(INDIRECT("B21:B" &amp; ROW()))-1&lt;F116,表2_367162629303891213141523242526[[#This Row],[累计净值]]/MAX(INDIRECT("B21:B" &amp; ROW()))-1,F116)</f>
        <v>-0.11559633027522942</v>
      </c>
      <c r="G117" s="110">
        <f>表2_367162629303891213141523242526[[#This Row],[累计净值]]</f>
        <v>1.595</v>
      </c>
      <c r="H117" s="20">
        <f>表2_367162629303891213141523242526[[#This Row],[累计净值]]/$B$21-1</f>
        <v>3.303108808290145E-2</v>
      </c>
    </row>
    <row r="118" spans="1:8">
      <c r="A118" s="15">
        <v>44175</v>
      </c>
      <c r="B118" s="112">
        <v>1.6040000000000001</v>
      </c>
      <c r="C118" s="112">
        <f>C117*(1+表2_367162629303891213141523242526[[#This Row],[每日盈亏]])</f>
        <v>1.0823539989544044</v>
      </c>
      <c r="D118" s="108">
        <f t="shared" si="19"/>
        <v>9.000000000000119E-3</v>
      </c>
      <c r="E118" s="109" t="str">
        <f t="shared" si="18"/>
        <v>/</v>
      </c>
      <c r="F118" s="109">
        <f ca="1">IF(表2_367162629303891213141523242526[[#This Row],[累计净值]]/MAX(INDIRECT("B21:B" &amp; ROW()))-1&lt;F117,表2_367162629303891213141523242526[[#This Row],[累计净值]]/MAX(INDIRECT("B21:B" &amp; ROW()))-1,F117)</f>
        <v>-0.11559633027522942</v>
      </c>
      <c r="G118" s="110">
        <f>表2_367162629303891213141523242526[[#This Row],[累计净值]]</f>
        <v>1.6040000000000001</v>
      </c>
      <c r="H118" s="20">
        <f>表2_367162629303891213141523242526[[#This Row],[累计净值]]/$B$21-1</f>
        <v>3.8860103626943143E-2</v>
      </c>
    </row>
    <row r="119" spans="1:8">
      <c r="A119" s="15">
        <v>44176</v>
      </c>
      <c r="B119" s="112">
        <v>1.5820000000000001</v>
      </c>
      <c r="C119" s="112">
        <f>C118*(1+表2_367162629303891213141523242526[[#This Row],[每日盈亏]])</f>
        <v>1.0585422109774074</v>
      </c>
      <c r="D119" s="108">
        <f t="shared" si="19"/>
        <v>-2.200000000000002E-2</v>
      </c>
      <c r="E119" s="109">
        <f t="shared" si="18"/>
        <v>-2.200000000000002E-2</v>
      </c>
      <c r="F119" s="109">
        <f ca="1">IF(表2_367162629303891213141523242526[[#This Row],[累计净值]]/MAX(INDIRECT("B21:B" &amp; ROW()))-1&lt;F118,表2_367162629303891213141523242526[[#This Row],[累计净值]]/MAX(INDIRECT("B21:B" &amp; ROW()))-1,F118)</f>
        <v>-0.11559633027522942</v>
      </c>
      <c r="G119" s="110">
        <f>表2_367162629303891213141523242526[[#This Row],[累计净值]]</f>
        <v>1.5820000000000001</v>
      </c>
      <c r="H119" s="20">
        <f>表2_367162629303891213141523242526[[#This Row],[累计净值]]/$B$21-1</f>
        <v>2.4611398963730657E-2</v>
      </c>
    </row>
    <row r="120" spans="1:8">
      <c r="A120" s="15">
        <v>44179</v>
      </c>
      <c r="B120" s="112">
        <v>1.609</v>
      </c>
      <c r="C120" s="112">
        <f>C119*(1+表2_367162629303891213141523242526[[#This Row],[每日盈亏]])</f>
        <v>1.0871228506737973</v>
      </c>
      <c r="D120" s="108">
        <f t="shared" si="19"/>
        <v>2.6999999999999913E-2</v>
      </c>
      <c r="E120" s="109" t="str">
        <f t="shared" si="18"/>
        <v>/</v>
      </c>
      <c r="F120" s="109">
        <f ca="1">IF(表2_367162629303891213141523242526[[#This Row],[累计净值]]/MAX(INDIRECT("B21:B" &amp; ROW()))-1&lt;F119,表2_367162629303891213141523242526[[#This Row],[累计净值]]/MAX(INDIRECT("B21:B" &amp; ROW()))-1,F119)</f>
        <v>-0.11559633027522942</v>
      </c>
      <c r="G120" s="110">
        <f>表2_367162629303891213141523242526[[#This Row],[累计净值]]</f>
        <v>1.609</v>
      </c>
      <c r="H120" s="20">
        <f>表2_367162629303891213141523242526[[#This Row],[累计净值]]/$B$21-1</f>
        <v>4.209844559585485E-2</v>
      </c>
    </row>
    <row r="121" spans="1:8">
      <c r="A121" s="15">
        <v>44180</v>
      </c>
      <c r="B121" s="112">
        <v>1.6180000000000001</v>
      </c>
      <c r="C121" s="112">
        <f>C120*(1+表2_367162629303891213141523242526[[#This Row],[每日盈亏]])</f>
        <v>1.0969069563298617</v>
      </c>
      <c r="D121" s="108">
        <f t="shared" si="19"/>
        <v>9.000000000000119E-3</v>
      </c>
      <c r="E121" s="109" t="str">
        <f t="shared" si="18"/>
        <v>/</v>
      </c>
      <c r="F121" s="109">
        <f ca="1">IF(表2_367162629303891213141523242526[[#This Row],[累计净值]]/MAX(INDIRECT("B21:B" &amp; ROW()))-1&lt;F120,表2_367162629303891213141523242526[[#This Row],[累计净值]]/MAX(INDIRECT("B21:B" &amp; ROW()))-1,F120)</f>
        <v>-0.11559633027522942</v>
      </c>
      <c r="G121" s="110">
        <f>表2_367162629303891213141523242526[[#This Row],[累计净值]]</f>
        <v>1.6180000000000001</v>
      </c>
      <c r="H121" s="20">
        <f>表2_367162629303891213141523242526[[#This Row],[累计净值]]/$B$21-1</f>
        <v>4.7927461139896321E-2</v>
      </c>
    </row>
    <row r="122" spans="1:8">
      <c r="A122" s="15">
        <v>44181</v>
      </c>
      <c r="B122" s="112">
        <v>1.6060000000000001</v>
      </c>
      <c r="C122" s="112">
        <f>C121*(1+表2_367162629303891213141523242526[[#This Row],[每日盈亏]])</f>
        <v>1.0837440728539034</v>
      </c>
      <c r="D122" s="108">
        <f t="shared" si="19"/>
        <v>-1.2000000000000011E-2</v>
      </c>
      <c r="E122" s="109">
        <f t="shared" ref="E122:E127" si="20">IF(D122&lt;0,D122,"/")</f>
        <v>-1.2000000000000011E-2</v>
      </c>
      <c r="F122" s="109">
        <f ca="1">IF(表2_367162629303891213141523242526[[#This Row],[累计净值]]/MAX(INDIRECT("B21:B" &amp; ROW()))-1&lt;F121,表2_367162629303891213141523242526[[#This Row],[累计净值]]/MAX(INDIRECT("B21:B" &amp; ROW()))-1,F121)</f>
        <v>-0.11559633027522942</v>
      </c>
      <c r="G122" s="110">
        <f>表2_367162629303891213141523242526[[#This Row],[累计净值]]</f>
        <v>1.6060000000000001</v>
      </c>
      <c r="H122" s="20">
        <f>表2_367162629303891213141523242526[[#This Row],[累计净值]]/$B$21-1</f>
        <v>4.0155440414507915E-2</v>
      </c>
    </row>
    <row r="123" spans="1:8">
      <c r="A123" s="15">
        <v>44182</v>
      </c>
      <c r="B123" s="112">
        <v>1.6279999999999999</v>
      </c>
      <c r="C123" s="112">
        <f>C122*(1+表2_367162629303891213141523242526[[#This Row],[每日盈亏]])</f>
        <v>1.107586442456689</v>
      </c>
      <c r="D123" s="108">
        <f t="shared" si="19"/>
        <v>2.1999999999999797E-2</v>
      </c>
      <c r="E123" s="109" t="str">
        <f t="shared" si="20"/>
        <v>/</v>
      </c>
      <c r="F123" s="109">
        <f ca="1">IF(表2_367162629303891213141523242526[[#This Row],[累计净值]]/MAX(INDIRECT("B21:B" &amp; ROW()))-1&lt;F122,表2_367162629303891213141523242526[[#This Row],[累计净值]]/MAX(INDIRECT("B21:B" &amp; ROW()))-1,F122)</f>
        <v>-0.11559633027522942</v>
      </c>
      <c r="G123" s="110">
        <f>表2_367162629303891213141523242526[[#This Row],[累计净值]]</f>
        <v>1.6279999999999999</v>
      </c>
      <c r="H123" s="20">
        <f>表2_367162629303891213141523242526[[#This Row],[累计净值]]/$B$21-1</f>
        <v>5.4404145077720178E-2</v>
      </c>
    </row>
    <row r="124" spans="1:8">
      <c r="A124" s="15">
        <v>44183</v>
      </c>
      <c r="B124" s="112">
        <v>1.62</v>
      </c>
      <c r="C124" s="112">
        <f>C123*(1+表2_367162629303891213141523242526[[#This Row],[每日盈亏]])</f>
        <v>1.0987257509170358</v>
      </c>
      <c r="D124" s="108">
        <f t="shared" si="19"/>
        <v>-7.9999999999997851E-3</v>
      </c>
      <c r="E124" s="109">
        <f t="shared" si="20"/>
        <v>-7.9999999999997851E-3</v>
      </c>
      <c r="F124" s="109">
        <f ca="1">IF(表2_367162629303891213141523242526[[#This Row],[累计净值]]/MAX(INDIRECT("B21:B" &amp; ROW()))-1&lt;F123,表2_367162629303891213141523242526[[#This Row],[累计净值]]/MAX(INDIRECT("B21:B" &amp; ROW()))-1,F123)</f>
        <v>-0.11559633027522942</v>
      </c>
      <c r="G124" s="110">
        <f>表2_367162629303891213141523242526[[#This Row],[累计净值]]</f>
        <v>1.62</v>
      </c>
      <c r="H124" s="20">
        <f>表2_367162629303891213141523242526[[#This Row],[累计净值]]/$B$21-1</f>
        <v>4.9222797927461093E-2</v>
      </c>
    </row>
    <row r="125" spans="1:8">
      <c r="A125" s="15">
        <v>44186</v>
      </c>
      <c r="B125" s="112">
        <v>1.6539999999999999</v>
      </c>
      <c r="C125" s="112">
        <f>C124*(1+表2_367162629303891213141523242526[[#This Row],[每日盈亏]])</f>
        <v>1.1360824264482148</v>
      </c>
      <c r="D125" s="108">
        <f t="shared" si="19"/>
        <v>3.3999999999999808E-2</v>
      </c>
      <c r="E125" s="109" t="str">
        <f t="shared" si="20"/>
        <v>/</v>
      </c>
      <c r="F125" s="109">
        <f ca="1">IF(表2_367162629303891213141523242526[[#This Row],[累计净值]]/MAX(INDIRECT("B21:B" &amp; ROW()))-1&lt;F124,表2_367162629303891213141523242526[[#This Row],[累计净值]]/MAX(INDIRECT("B21:B" &amp; ROW()))-1,F124)</f>
        <v>-0.11559633027522942</v>
      </c>
      <c r="G125" s="110">
        <f>表2_367162629303891213141523242526[[#This Row],[累计净值]]</f>
        <v>1.6539999999999999</v>
      </c>
      <c r="H125" s="20">
        <f>表2_367162629303891213141523242526[[#This Row],[累计净值]]/$B$21-1</f>
        <v>7.1243523316061985E-2</v>
      </c>
    </row>
    <row r="126" spans="1:8">
      <c r="A126" s="15">
        <v>44187</v>
      </c>
      <c r="B126" s="112">
        <v>1.619</v>
      </c>
      <c r="C126" s="112">
        <f>C125*(1+表2_367162629303891213141523242526[[#This Row],[每日盈亏]])</f>
        <v>1.0963195415225273</v>
      </c>
      <c r="D126" s="108">
        <f t="shared" si="19"/>
        <v>-3.499999999999992E-2</v>
      </c>
      <c r="E126" s="109">
        <f t="shared" si="20"/>
        <v>-3.499999999999992E-2</v>
      </c>
      <c r="F126" s="109">
        <f ca="1">IF(表2_367162629303891213141523242526[[#This Row],[累计净值]]/MAX(INDIRECT("B21:B" &amp; ROW()))-1&lt;F125,表2_367162629303891213141523242526[[#This Row],[累计净值]]/MAX(INDIRECT("B21:B" &amp; ROW()))-1,F125)</f>
        <v>-0.11559633027522942</v>
      </c>
      <c r="G126" s="110">
        <f>表2_367162629303891213141523242526[[#This Row],[累计净值]]</f>
        <v>1.619</v>
      </c>
      <c r="H126" s="20">
        <f>表2_367162629303891213141523242526[[#This Row],[累计净值]]/$B$21-1</f>
        <v>4.8575129533678707E-2</v>
      </c>
    </row>
    <row r="127" spans="1:8">
      <c r="A127" s="15">
        <v>44188</v>
      </c>
      <c r="B127" s="112">
        <v>1.6419999999999999</v>
      </c>
      <c r="C127" s="112">
        <f>C126*(1+表2_367162629303891213141523242526[[#This Row],[每日盈亏]])</f>
        <v>1.1215348909775453</v>
      </c>
      <c r="D127" s="108">
        <f t="shared" si="19"/>
        <v>2.2999999999999909E-2</v>
      </c>
      <c r="E127" s="109" t="str">
        <f t="shared" si="20"/>
        <v>/</v>
      </c>
      <c r="F127" s="109">
        <f ca="1">IF(表2_367162629303891213141523242526[[#This Row],[累计净值]]/MAX(INDIRECT("B21:B" &amp; ROW()))-1&lt;F126,表2_367162629303891213141523242526[[#This Row],[累计净值]]/MAX(INDIRECT("B21:B" &amp; ROW()))-1,F126)</f>
        <v>-0.11559633027522942</v>
      </c>
      <c r="G127" s="110">
        <f>表2_367162629303891213141523242526[[#This Row],[累计净值]]</f>
        <v>1.6419999999999999</v>
      </c>
      <c r="H127" s="20">
        <f>表2_367162629303891213141523242526[[#This Row],[累计净值]]/$B$21-1</f>
        <v>6.3471502590673579E-2</v>
      </c>
    </row>
    <row r="128" spans="1:8">
      <c r="A128" s="15">
        <v>44189</v>
      </c>
      <c r="B128" s="112">
        <v>1.6240000000000001</v>
      </c>
      <c r="C128" s="112">
        <f>C127*(1+表2_367162629303891213141523242526[[#This Row],[每日盈亏]])</f>
        <v>1.1013472629399497</v>
      </c>
      <c r="D128" s="108">
        <f t="shared" si="19"/>
        <v>-1.7999999999999794E-2</v>
      </c>
      <c r="E128" s="109">
        <f t="shared" ref="E128:E129" si="21">IF(D128&lt;0,D128,"/")</f>
        <v>-1.7999999999999794E-2</v>
      </c>
      <c r="F128" s="109">
        <f ca="1">IF(表2_367162629303891213141523242526[[#This Row],[累计净值]]/MAX(INDIRECT("B21:B" &amp; ROW()))-1&lt;F127,表2_367162629303891213141523242526[[#This Row],[累计净值]]/MAX(INDIRECT("B21:B" &amp; ROW()))-1,F127)</f>
        <v>-0.11559633027522942</v>
      </c>
      <c r="G128" s="110">
        <f>表2_367162629303891213141523242526[[#This Row],[累计净值]]</f>
        <v>1.6240000000000001</v>
      </c>
      <c r="H128" s="20">
        <f>表2_367162629303891213141523242526[[#This Row],[累计净值]]/$B$21-1</f>
        <v>5.1813471502590636E-2</v>
      </c>
    </row>
    <row r="129" spans="1:8">
      <c r="A129" s="15">
        <v>44190</v>
      </c>
      <c r="B129" s="112">
        <v>1.645</v>
      </c>
      <c r="C129" s="112">
        <f>C128*(1+表2_367162629303891213141523242526[[#This Row],[每日盈亏]])</f>
        <v>1.1244755554616885</v>
      </c>
      <c r="D129" s="108">
        <f t="shared" si="19"/>
        <v>2.0999999999999908E-2</v>
      </c>
      <c r="E129" s="109" t="str">
        <f t="shared" si="21"/>
        <v>/</v>
      </c>
      <c r="F129" s="109">
        <f ca="1">IF(表2_367162629303891213141523242526[[#This Row],[累计净值]]/MAX(INDIRECT("B21:B" &amp; ROW()))-1&lt;F128,表2_367162629303891213141523242526[[#This Row],[累计净值]]/MAX(INDIRECT("B21:B" &amp; ROW()))-1,F128)</f>
        <v>-0.11559633027522942</v>
      </c>
      <c r="G129" s="110">
        <f>表2_367162629303891213141523242526[[#This Row],[累计净值]]</f>
        <v>1.645</v>
      </c>
      <c r="H129" s="20">
        <f>表2_367162629303891213141523242526[[#This Row],[累计净值]]/$B$21-1</f>
        <v>6.5414507772020736E-2</v>
      </c>
    </row>
    <row r="130" spans="1:8">
      <c r="A130" s="15">
        <v>44193</v>
      </c>
      <c r="B130" s="112">
        <v>1.64</v>
      </c>
      <c r="C130" s="112">
        <f>C129*(1+表2_367162629303891213141523242526[[#This Row],[每日盈亏]])</f>
        <v>1.11885317768438</v>
      </c>
      <c r="D130" s="108">
        <f t="shared" si="19"/>
        <v>-5.0000000000001155E-3</v>
      </c>
      <c r="E130" s="109">
        <f>IF(D130&lt;0,D130,"/")</f>
        <v>-5.0000000000001155E-3</v>
      </c>
      <c r="F130" s="109">
        <f ca="1">IF(表2_367162629303891213141523242526[[#This Row],[累计净值]]/MAX(INDIRECT("B21:B" &amp; ROW()))-1&lt;F129,表2_367162629303891213141523242526[[#This Row],[累计净值]]/MAX(INDIRECT("B21:B" &amp; ROW()))-1,F129)</f>
        <v>-0.11559633027522942</v>
      </c>
      <c r="G130" s="110">
        <f>表2_367162629303891213141523242526[[#This Row],[累计净值]]</f>
        <v>1.64</v>
      </c>
      <c r="H130" s="20">
        <f>表2_367162629303891213141523242526[[#This Row],[累计净值]]/$B$21-1</f>
        <v>6.2176165803108807E-2</v>
      </c>
    </row>
    <row r="131" spans="1:8">
      <c r="A131" s="15">
        <v>44194</v>
      </c>
      <c r="B131" s="112">
        <v>1.6359999999999999</v>
      </c>
      <c r="C131" s="112">
        <f>C130*(1+表2_367162629303891213141523242526[[#This Row],[每日盈亏]])</f>
        <v>1.1143777649736424</v>
      </c>
      <c r="D131" s="108">
        <f t="shared" si="19"/>
        <v>-4.0000000000000036E-3</v>
      </c>
      <c r="E131" s="109">
        <f>IF(D131&lt;0,D131,"/")</f>
        <v>-4.0000000000000036E-3</v>
      </c>
      <c r="F131" s="109">
        <f ca="1">IF(表2_367162629303891213141523242526[[#This Row],[累计净值]]/MAX(INDIRECT("B21:B" &amp; ROW()))-1&lt;F130,表2_367162629303891213141523242526[[#This Row],[累计净值]]/MAX(INDIRECT("B21:B" &amp; ROW()))-1,F130)</f>
        <v>-0.11559633027522942</v>
      </c>
      <c r="G131" s="110">
        <f>表2_367162629303891213141523242526[[#This Row],[累计净值]]</f>
        <v>1.6359999999999999</v>
      </c>
      <c r="H131" s="20">
        <f>表2_367162629303891213141523242526[[#This Row],[累计净值]]/$B$21-1</f>
        <v>5.9585492227979264E-2</v>
      </c>
    </row>
    <row r="132" spans="1:8">
      <c r="A132" s="15">
        <v>44195</v>
      </c>
      <c r="B132" s="112">
        <v>1.6559999999999999</v>
      </c>
      <c r="C132" s="112">
        <f>C131*(1+表2_367162629303891213141523242526[[#This Row],[每日盈亏]])</f>
        <v>1.1366653202731152</v>
      </c>
      <c r="D132" s="108">
        <f t="shared" si="19"/>
        <v>2.0000000000000018E-2</v>
      </c>
      <c r="E132" s="109" t="str">
        <f t="shared" ref="E132:E133" si="22">IF(D132&lt;0,D132,"/")</f>
        <v>/</v>
      </c>
      <c r="F132" s="109">
        <f ca="1">IF(表2_367162629303891213141523242526[[#This Row],[累计净值]]/MAX(INDIRECT("B21:B" &amp; ROW()))-1&lt;F131,表2_367162629303891213141523242526[[#This Row],[累计净值]]/MAX(INDIRECT("B21:B" &amp; ROW()))-1,F131)</f>
        <v>-0.11559633027522942</v>
      </c>
      <c r="G132" s="110">
        <f>表2_367162629303891213141523242526[[#This Row],[累计净值]]</f>
        <v>1.6559999999999999</v>
      </c>
      <c r="H132" s="20">
        <f>表2_367162629303891213141523242526[[#This Row],[累计净值]]/$B$21-1</f>
        <v>7.2538860103626757E-2</v>
      </c>
    </row>
    <row r="133" spans="1:8">
      <c r="A133" s="15">
        <v>44196</v>
      </c>
      <c r="B133" s="112">
        <v>1.6839999999999999</v>
      </c>
      <c r="C133" s="112">
        <f>C132*(1+表2_367162629303891213141523242526[[#This Row],[每日盈亏]])</f>
        <v>1.1684919492407624</v>
      </c>
      <c r="D133" s="108">
        <f t="shared" si="19"/>
        <v>2.8000000000000025E-2</v>
      </c>
      <c r="E133" s="109" t="str">
        <f t="shared" si="22"/>
        <v>/</v>
      </c>
      <c r="F133" s="109">
        <f ca="1">IF(表2_367162629303891213141523242526[[#This Row],[累计净值]]/MAX(INDIRECT("B21:B" &amp; ROW()))-1&lt;F132,表2_367162629303891213141523242526[[#This Row],[累计净值]]/MAX(INDIRECT("B21:B" &amp; ROW()))-1,F132)</f>
        <v>-0.11559633027522942</v>
      </c>
      <c r="G133" s="110">
        <f>表2_367162629303891213141523242526[[#This Row],[累计净值]]</f>
        <v>1.6839999999999999</v>
      </c>
      <c r="H133" s="20">
        <f>表2_367162629303891213141523242526[[#This Row],[累计净值]]/$B$21-1</f>
        <v>9.0673575129533557E-2</v>
      </c>
    </row>
    <row r="134" spans="1:8">
      <c r="A134" s="15">
        <v>44200</v>
      </c>
      <c r="B134" s="112">
        <v>1.73</v>
      </c>
      <c r="C134" s="112">
        <f>C133*(1+表2_367162629303891213141523242526[[#This Row],[每日盈亏]])</f>
        <v>1.2222425789058375</v>
      </c>
      <c r="D134" s="108">
        <f t="shared" si="19"/>
        <v>4.6000000000000041E-2</v>
      </c>
      <c r="E134" s="109" t="str">
        <f>IF(D134&lt;0,D134,"/")</f>
        <v>/</v>
      </c>
      <c r="F134" s="109">
        <f ca="1">IF(表2_367162629303891213141523242526[[#This Row],[累计净值]]/MAX(INDIRECT("B21:B" &amp; ROW()))-1&lt;F133,表2_367162629303891213141523242526[[#This Row],[累计净值]]/MAX(INDIRECT("B21:B" &amp; ROW()))-1,F133)</f>
        <v>-0.11559633027522942</v>
      </c>
      <c r="G134" s="110">
        <f>表2_367162629303891213141523242526[[#This Row],[累计净值]]</f>
        <v>1.73</v>
      </c>
      <c r="H134" s="20">
        <f>表2_367162629303891213141523242526[[#This Row],[累计净值]]/$B$21-1</f>
        <v>0.1204663212435233</v>
      </c>
    </row>
    <row r="135" spans="1:8">
      <c r="A135" s="15">
        <v>44201</v>
      </c>
      <c r="B135" s="117">
        <v>1.732</v>
      </c>
      <c r="C135" s="112">
        <f>C134*(1+表2_367162629303891213141523242526[[#This Row],[每日盈亏]])</f>
        <v>1.2246870640636491</v>
      </c>
      <c r="D135" s="108">
        <f t="shared" si="19"/>
        <v>2.0000000000000018E-3</v>
      </c>
      <c r="E135" s="109" t="str">
        <f>IF(D135&lt;0,D135,"/")</f>
        <v>/</v>
      </c>
      <c r="F135" s="109">
        <f ca="1">IF(表2_367162629303891213141523242526[[#This Row],[累计净值]]/MAX(INDIRECT("B21:B" &amp; ROW()))-1&lt;F134,表2_367162629303891213141523242526[[#This Row],[累计净值]]/MAX(INDIRECT("B21:B" &amp; ROW()))-1,F134)</f>
        <v>-0.11559633027522942</v>
      </c>
      <c r="G135" s="110">
        <f>表2_367162629303891213141523242526[[#This Row],[累计净值]]</f>
        <v>1.732</v>
      </c>
      <c r="H135" s="20">
        <f>表2_367162629303891213141523242526[[#This Row],[累计净值]]/$B$21-1</f>
        <v>0.12176165803108807</v>
      </c>
    </row>
    <row r="136" spans="1:8">
      <c r="A136" s="15">
        <v>44202</v>
      </c>
      <c r="B136" s="112">
        <v>1.7110000000000001</v>
      </c>
      <c r="C136" s="112">
        <f>C135*(1+表2_367162629303891213141523242526[[#This Row],[每日盈亏]])</f>
        <v>1.1989686357183127</v>
      </c>
      <c r="D136" s="108">
        <f t="shared" si="19"/>
        <v>-2.0999999999999908E-2</v>
      </c>
      <c r="E136" s="109">
        <f>IF(D136&lt;0,D136,"/")</f>
        <v>-2.0999999999999908E-2</v>
      </c>
      <c r="F136" s="109">
        <f ca="1">IF(表2_367162629303891213141523242526[[#This Row],[累计净值]]/MAX(INDIRECT("B21:B" &amp; ROW()))-1&lt;F135,表2_367162629303891213141523242526[[#This Row],[累计净值]]/MAX(INDIRECT("B21:B" &amp; ROW()))-1,F135)</f>
        <v>-0.11559633027522942</v>
      </c>
      <c r="G136" s="110">
        <f>表2_367162629303891213141523242526[[#This Row],[累计净值]]</f>
        <v>1.7110000000000001</v>
      </c>
      <c r="H136" s="20">
        <f>表2_367162629303891213141523242526[[#This Row],[累计净值]]/$B$21-1</f>
        <v>0.10816062176165797</v>
      </c>
    </row>
    <row r="137" spans="1:8">
      <c r="A137" s="15">
        <v>44203</v>
      </c>
      <c r="B137" s="112">
        <v>1.696</v>
      </c>
      <c r="C137" s="112">
        <f>C136*(1+表2_367162629303891213141523242526[[#This Row],[每日盈亏]])</f>
        <v>1.1809841061825379</v>
      </c>
      <c r="D137" s="108">
        <f t="shared" si="19"/>
        <v>-1.5000000000000124E-2</v>
      </c>
      <c r="E137" s="109">
        <f t="shared" ref="E137:E138" si="23">IF(D137&lt;0,D137,"/")</f>
        <v>-1.5000000000000124E-2</v>
      </c>
      <c r="F137" s="109">
        <f ca="1">IF(表2_367162629303891213141523242526[[#This Row],[累计净值]]/MAX(INDIRECT("B21:B" &amp; ROW()))-1&lt;F136,表2_367162629303891213141523242526[[#This Row],[累计净值]]/MAX(INDIRECT("B21:B" &amp; ROW()))-1,F136)</f>
        <v>-0.11559633027522942</v>
      </c>
      <c r="G137" s="110">
        <f>表2_367162629303891213141523242526[[#This Row],[累计净值]]</f>
        <v>1.696</v>
      </c>
      <c r="H137" s="20">
        <f>表2_367162629303891213141523242526[[#This Row],[累计净值]]/$B$21-1</f>
        <v>9.8445595854922185E-2</v>
      </c>
    </row>
    <row r="138" spans="1:8">
      <c r="A138" s="15">
        <v>44204</v>
      </c>
      <c r="B138" s="112">
        <v>1.696</v>
      </c>
      <c r="C138" s="112">
        <f>C137*(1+表2_367162629303891213141523242526[[#This Row],[每日盈亏]])</f>
        <v>1.1809841061825379</v>
      </c>
      <c r="D138" s="108">
        <f t="shared" si="19"/>
        <v>0</v>
      </c>
      <c r="E138" s="109" t="str">
        <f t="shared" si="23"/>
        <v>/</v>
      </c>
      <c r="F138" s="109">
        <f ca="1">IF(表2_367162629303891213141523242526[[#This Row],[累计净值]]/MAX(INDIRECT("B21:B" &amp; ROW()))-1&lt;F137,表2_367162629303891213141523242526[[#This Row],[累计净值]]/MAX(INDIRECT("B21:B" &amp; ROW()))-1,F137)</f>
        <v>-0.11559633027522942</v>
      </c>
      <c r="G138" s="110">
        <f>表2_367162629303891213141523242526[[#This Row],[累计净值]]</f>
        <v>1.696</v>
      </c>
      <c r="H138" s="20">
        <f>表2_367162629303891213141523242526[[#This Row],[累计净值]]/$B$21-1</f>
        <v>9.8445595854922185E-2</v>
      </c>
    </row>
    <row r="139" spans="1:8">
      <c r="A139" s="15">
        <v>44207</v>
      </c>
      <c r="B139" s="112">
        <v>1.675</v>
      </c>
      <c r="C139" s="112">
        <f>C138*(1+表2_367162629303891213141523242526[[#This Row],[每日盈亏]])</f>
        <v>1.1561834399527047</v>
      </c>
      <c r="D139" s="108">
        <f t="shared" si="19"/>
        <v>-2.0999999999999908E-2</v>
      </c>
      <c r="E139" s="109">
        <f t="shared" ref="E139:E144" si="24">IF(D139&lt;0,D139,"/")</f>
        <v>-2.0999999999999908E-2</v>
      </c>
      <c r="F139" s="109">
        <f ca="1">IF(表2_367162629303891213141523242526[[#This Row],[累计净值]]/MAX(INDIRECT("B21:B" &amp; ROW()))-1&lt;F138,表2_367162629303891213141523242526[[#This Row],[累计净值]]/MAX(INDIRECT("B21:B" &amp; ROW()))-1,F138)</f>
        <v>-0.11559633027522942</v>
      </c>
      <c r="G139" s="110">
        <f>表2_367162629303891213141523242526[[#This Row],[累计净值]]</f>
        <v>1.675</v>
      </c>
      <c r="H139" s="20">
        <f>表2_367162629303891213141523242526[[#This Row],[累计净值]]/$B$21-1</f>
        <v>8.4844559585492307E-2</v>
      </c>
    </row>
    <row r="140" spans="1:8">
      <c r="A140" s="15">
        <v>44208</v>
      </c>
      <c r="B140" s="112">
        <v>1.7050000000000001</v>
      </c>
      <c r="C140" s="112">
        <f>C139*(1+表2_367162629303891213141523242526[[#This Row],[每日盈亏]])</f>
        <v>1.1908689431512858</v>
      </c>
      <c r="D140" s="108">
        <f t="shared" si="19"/>
        <v>3.0000000000000027E-2</v>
      </c>
      <c r="E140" s="109" t="str">
        <f t="shared" si="24"/>
        <v>/</v>
      </c>
      <c r="F140" s="109">
        <f ca="1">IF(表2_367162629303891213141523242526[[#This Row],[累计净值]]/MAX(INDIRECT("B21:B" &amp; ROW()))-1&lt;F139,表2_367162629303891213141523242526[[#This Row],[累计净值]]/MAX(INDIRECT("B21:B" &amp; ROW()))-1,F139)</f>
        <v>-0.11559633027522942</v>
      </c>
      <c r="G140" s="110">
        <f>表2_367162629303891213141523242526[[#This Row],[累计净值]]</f>
        <v>1.7050000000000001</v>
      </c>
      <c r="H140" s="20">
        <f>表2_367162629303891213141523242526[[#This Row],[累计净值]]/$B$21-1</f>
        <v>0.10427461139896366</v>
      </c>
    </row>
    <row r="141" spans="1:8">
      <c r="A141" s="15">
        <v>44209</v>
      </c>
      <c r="B141" s="112">
        <v>1.6839999999999999</v>
      </c>
      <c r="C141" s="112">
        <f>C140*(1+表2_367162629303891213141523242526[[#This Row],[每日盈亏]])</f>
        <v>1.1658606953451087</v>
      </c>
      <c r="D141" s="108">
        <f t="shared" si="19"/>
        <v>-2.100000000000013E-2</v>
      </c>
      <c r="E141" s="109">
        <f t="shared" si="24"/>
        <v>-2.100000000000013E-2</v>
      </c>
      <c r="F141" s="109">
        <f ca="1">IF(表2_367162629303891213141523242526[[#This Row],[累计净值]]/MAX(INDIRECT("B21:B" &amp; ROW()))-1&lt;F140,表2_367162629303891213141523242526[[#This Row],[累计净值]]/MAX(INDIRECT("B21:B" &amp; ROW()))-1,F140)</f>
        <v>-0.11559633027522942</v>
      </c>
      <c r="G141" s="110">
        <f>表2_367162629303891213141523242526[[#This Row],[累计净值]]</f>
        <v>1.6839999999999999</v>
      </c>
      <c r="H141" s="20">
        <f>表2_367162629303891213141523242526[[#This Row],[累计净值]]/$B$21-1</f>
        <v>9.0673575129533557E-2</v>
      </c>
    </row>
    <row r="142" spans="1:8">
      <c r="A142" s="15">
        <v>44210</v>
      </c>
      <c r="B142" s="112">
        <v>1.6639999999999999</v>
      </c>
      <c r="C142" s="112">
        <f>C141*(1+表2_367162629303891213141523242526[[#This Row],[每日盈亏]])</f>
        <v>1.1425434814382065</v>
      </c>
      <c r="D142" s="108">
        <f t="shared" si="19"/>
        <v>-2.0000000000000018E-2</v>
      </c>
      <c r="E142" s="109">
        <f t="shared" si="24"/>
        <v>-2.0000000000000018E-2</v>
      </c>
      <c r="F142" s="109">
        <f ca="1">IF(表2_367162629303891213141523242526[[#This Row],[累计净值]]/MAX(INDIRECT("B21:B" &amp; ROW()))-1&lt;F141,表2_367162629303891213141523242526[[#This Row],[累计净值]]/MAX(INDIRECT("B21:B" &amp; ROW()))-1,F141)</f>
        <v>-0.11559633027522942</v>
      </c>
      <c r="G142" s="110">
        <f>表2_367162629303891213141523242526[[#This Row],[累计净值]]</f>
        <v>1.6639999999999999</v>
      </c>
      <c r="H142" s="20">
        <f>表2_367162629303891213141523242526[[#This Row],[累计净值]]/$B$21-1</f>
        <v>7.7720207253885842E-2</v>
      </c>
    </row>
    <row r="143" spans="1:8">
      <c r="A143" s="15">
        <v>44211</v>
      </c>
      <c r="B143" s="112">
        <v>1.681</v>
      </c>
      <c r="C143" s="112">
        <f>C142*(1+表2_367162629303891213141523242526[[#This Row],[每日盈亏]])</f>
        <v>1.161966720622656</v>
      </c>
      <c r="D143" s="108">
        <f t="shared" si="19"/>
        <v>1.7000000000000126E-2</v>
      </c>
      <c r="E143" s="109" t="str">
        <f t="shared" si="24"/>
        <v>/</v>
      </c>
      <c r="F143" s="109">
        <f ca="1">IF(表2_367162629303891213141523242526[[#This Row],[累计净值]]/MAX(INDIRECT("B21:B" &amp; ROW()))-1&lt;F142,表2_367162629303891213141523242526[[#This Row],[累计净值]]/MAX(INDIRECT("B21:B" &amp; ROW()))-1,F142)</f>
        <v>-0.11559633027522942</v>
      </c>
      <c r="G143" s="110">
        <f>表2_367162629303891213141523242526[[#This Row],[累计净值]]</f>
        <v>1.681</v>
      </c>
      <c r="H143" s="20">
        <f>表2_367162629303891213141523242526[[#This Row],[累计净值]]/$B$21-1</f>
        <v>8.8730569948186622E-2</v>
      </c>
    </row>
    <row r="144" spans="1:8">
      <c r="A144" s="15">
        <v>44214</v>
      </c>
      <c r="B144" s="112">
        <v>1.716</v>
      </c>
      <c r="C144" s="112">
        <f>C143*(1+表2_367162629303891213141523242526[[#This Row],[每日盈亏]])</f>
        <v>1.2026355558444488</v>
      </c>
      <c r="D144" s="108">
        <f t="shared" si="19"/>
        <v>3.499999999999992E-2</v>
      </c>
      <c r="E144" s="109" t="str">
        <f t="shared" si="24"/>
        <v>/</v>
      </c>
      <c r="F144" s="109">
        <f ca="1">IF(表2_367162629303891213141523242526[[#This Row],[累计净值]]/MAX(INDIRECT("B21:B" &amp; ROW()))-1&lt;F143,表2_367162629303891213141523242526[[#This Row],[累计净值]]/MAX(INDIRECT("B21:B" &amp; ROW()))-1,F143)</f>
        <v>-0.11559633027522942</v>
      </c>
      <c r="G144" s="110">
        <f>表2_367162629303891213141523242526[[#This Row],[累计净值]]</f>
        <v>1.716</v>
      </c>
      <c r="H144" s="20">
        <f>表2_367162629303891213141523242526[[#This Row],[累计净值]]/$B$21-1</f>
        <v>0.1113989637305699</v>
      </c>
    </row>
    <row r="145" spans="1:11">
      <c r="A145" s="15">
        <v>44215</v>
      </c>
      <c r="B145" s="112">
        <v>1.698</v>
      </c>
      <c r="C145" s="112">
        <f>C144*(1+表2_367162629303891213141523242526[[#This Row],[每日盈亏]])</f>
        <v>1.1809881158392488</v>
      </c>
      <c r="D145" s="108">
        <f t="shared" si="19"/>
        <v>-1.8000000000000016E-2</v>
      </c>
      <c r="E145" s="109">
        <f t="shared" ref="E145:E150" si="25">IF(D145&lt;0,D145,"/")</f>
        <v>-1.8000000000000016E-2</v>
      </c>
      <c r="F145" s="109">
        <f ca="1">IF(表2_367162629303891213141523242526[[#This Row],[累计净值]]/MAX(INDIRECT("B21:B" &amp; ROW()))-1&lt;F144,表2_367162629303891213141523242526[[#This Row],[累计净值]]/MAX(INDIRECT("B21:B" &amp; ROW()))-1,F144)</f>
        <v>-0.11559633027522942</v>
      </c>
      <c r="G145" s="110">
        <f>表2_367162629303891213141523242526[[#This Row],[累计净值]]</f>
        <v>1.698</v>
      </c>
      <c r="H145" s="20">
        <f>表2_367162629303891213141523242526[[#This Row],[累计净值]]/$B$21-1</f>
        <v>9.9740932642486957E-2</v>
      </c>
    </row>
    <row r="146" spans="1:11">
      <c r="A146" s="15">
        <v>44216</v>
      </c>
      <c r="B146" s="112">
        <v>1.724</v>
      </c>
      <c r="C146" s="112">
        <f>C145*(1+表2_367162629303891213141523242526[[#This Row],[每日盈亏]])</f>
        <v>1.2116938068510692</v>
      </c>
      <c r="D146" s="108">
        <f t="shared" si="19"/>
        <v>2.6000000000000023E-2</v>
      </c>
      <c r="E146" s="109" t="str">
        <f t="shared" si="25"/>
        <v>/</v>
      </c>
      <c r="F146" s="109">
        <f ca="1">IF(表2_367162629303891213141523242526[[#This Row],[累计净值]]/MAX(INDIRECT("B21:B" &amp; ROW()))-1&lt;F145,表2_367162629303891213141523242526[[#This Row],[累计净值]]/MAX(INDIRECT("B21:B" &amp; ROW()))-1,F145)</f>
        <v>-0.11559633027522942</v>
      </c>
      <c r="G146" s="110">
        <f>表2_367162629303891213141523242526[[#This Row],[累计净值]]</f>
        <v>1.724</v>
      </c>
      <c r="H146" s="20">
        <f>表2_367162629303891213141523242526[[#This Row],[累计净值]]/$B$21-1</f>
        <v>0.11658031088082899</v>
      </c>
    </row>
    <row r="147" spans="1:11">
      <c r="A147" s="15">
        <v>44217</v>
      </c>
      <c r="B147" s="112">
        <v>1.7529999999999999</v>
      </c>
      <c r="C147" s="112">
        <f>C146*(1+表2_367162629303891213141523242526[[#This Row],[每日盈亏]])</f>
        <v>1.24683292724975</v>
      </c>
      <c r="D147" s="108">
        <f t="shared" si="19"/>
        <v>2.8999999999999915E-2</v>
      </c>
      <c r="E147" s="109" t="str">
        <f t="shared" si="25"/>
        <v>/</v>
      </c>
      <c r="F147" s="109">
        <f ca="1">IF(表2_367162629303891213141523242526[[#This Row],[累计净值]]/MAX(INDIRECT("B21:B" &amp; ROW()))-1&lt;F146,表2_367162629303891213141523242526[[#This Row],[累计净值]]/MAX(INDIRECT("B21:B" &amp; ROW()))-1,F146)</f>
        <v>-0.11559633027522942</v>
      </c>
      <c r="G147" s="110">
        <f>表2_367162629303891213141523242526[[#This Row],[累计净值]]</f>
        <v>1.7529999999999999</v>
      </c>
      <c r="H147" s="20">
        <f>表2_367162629303891213141523242526[[#This Row],[累计净值]]/$B$21-1</f>
        <v>0.13536269430051795</v>
      </c>
      <c r="K147" s="198"/>
    </row>
    <row r="148" spans="1:11">
      <c r="A148" s="15">
        <v>44218</v>
      </c>
      <c r="B148" s="112">
        <v>1.766</v>
      </c>
      <c r="C148" s="112">
        <f>C147*(1+表2_367162629303891213141523242526[[#This Row],[每日盈亏]])</f>
        <v>1.263041755303997</v>
      </c>
      <c r="D148" s="108">
        <f t="shared" si="19"/>
        <v>1.3000000000000123E-2</v>
      </c>
      <c r="E148" s="109" t="str">
        <f t="shared" si="25"/>
        <v>/</v>
      </c>
      <c r="F148" s="109">
        <f ca="1">IF(表2_367162629303891213141523242526[[#This Row],[累计净值]]/MAX(INDIRECT("B21:B" &amp; ROW()))-1&lt;F147,表2_367162629303891213141523242526[[#This Row],[累计净值]]/MAX(INDIRECT("B21:B" &amp; ROW()))-1,F147)</f>
        <v>-0.11559633027522942</v>
      </c>
      <c r="G148" s="110">
        <f>表2_367162629303891213141523242526[[#This Row],[累计净值]]</f>
        <v>1.766</v>
      </c>
      <c r="H148" s="20">
        <f>表2_367162629303891213141523242526[[#This Row],[累计净值]]/$B$21-1</f>
        <v>0.14378238341968919</v>
      </c>
    </row>
    <row r="149" spans="1:11">
      <c r="A149" s="15">
        <v>44221</v>
      </c>
      <c r="B149" s="112">
        <v>1.77</v>
      </c>
      <c r="C149" s="112">
        <f>C148*(1+表2_367162629303891213141523242526[[#This Row],[每日盈亏]])</f>
        <v>1.268093922325213</v>
      </c>
      <c r="D149" s="108">
        <f t="shared" ref="D149:D180" si="26">IFERROR(B149-B148,0)</f>
        <v>4.0000000000000036E-3</v>
      </c>
      <c r="E149" s="109" t="str">
        <f t="shared" si="25"/>
        <v>/</v>
      </c>
      <c r="F149" s="109">
        <f ca="1">IF(表2_367162629303891213141523242526[[#This Row],[累计净值]]/MAX(INDIRECT("B21:B" &amp; ROW()))-1&lt;F148,表2_367162629303891213141523242526[[#This Row],[累计净值]]/MAX(INDIRECT("B21:B" &amp; ROW()))-1,F148)</f>
        <v>-0.11559633027522942</v>
      </c>
      <c r="G149" s="110">
        <f>表2_367162629303891213141523242526[[#This Row],[累计净值]]</f>
        <v>1.77</v>
      </c>
      <c r="H149" s="20">
        <f>表2_367162629303891213141523242526[[#This Row],[累计净值]]/$B$21-1</f>
        <v>0.14637305699481873</v>
      </c>
    </row>
    <row r="150" spans="1:11">
      <c r="A150" s="15">
        <v>44222</v>
      </c>
      <c r="B150" s="112">
        <v>1.748</v>
      </c>
      <c r="C150" s="112">
        <f>C149*(1+表2_367162629303891213141523242526[[#This Row],[每日盈亏]])</f>
        <v>1.2401958560340582</v>
      </c>
      <c r="D150" s="108">
        <f t="shared" si="26"/>
        <v>-2.200000000000002E-2</v>
      </c>
      <c r="E150" s="109">
        <f t="shared" si="25"/>
        <v>-2.200000000000002E-2</v>
      </c>
      <c r="F150" s="109">
        <f ca="1">IF(表2_367162629303891213141523242526[[#This Row],[累计净值]]/MAX(INDIRECT("B21:B" &amp; ROW()))-1&lt;F149,表2_367162629303891213141523242526[[#This Row],[累计净值]]/MAX(INDIRECT("B21:B" &amp; ROW()))-1,F149)</f>
        <v>-0.11559633027522942</v>
      </c>
      <c r="G150" s="110">
        <f>表2_367162629303891213141523242526[[#This Row],[累计净值]]</f>
        <v>1.748</v>
      </c>
      <c r="H150" s="20">
        <f>表2_367162629303891213141523242526[[#This Row],[累计净值]]/$B$21-1</f>
        <v>0.13212435233160624</v>
      </c>
    </row>
    <row r="151" spans="1:11">
      <c r="A151" s="15">
        <v>44223</v>
      </c>
      <c r="B151" s="112">
        <v>1.7589999999999999</v>
      </c>
      <c r="C151" s="112">
        <f>C150*(1+表2_367162629303891213141523242526[[#This Row],[每日盈亏]])</f>
        <v>1.2538380104504327</v>
      </c>
      <c r="D151" s="108">
        <f t="shared" si="26"/>
        <v>1.0999999999999899E-2</v>
      </c>
      <c r="E151" s="109" t="str">
        <f t="shared" ref="E151:E156" si="27">IF(D151&lt;0,D151,"/")</f>
        <v>/</v>
      </c>
      <c r="F151" s="109">
        <f ca="1">IF(表2_367162629303891213141523242526[[#This Row],[累计净值]]/MAX(INDIRECT("B21:B" &amp; ROW()))-1&lt;F150,表2_367162629303891213141523242526[[#This Row],[累计净值]]/MAX(INDIRECT("B21:B" &amp; ROW()))-1,F150)</f>
        <v>-0.11559633027522942</v>
      </c>
      <c r="G151" s="110">
        <f>表2_367162629303891213141523242526[[#This Row],[累计净值]]</f>
        <v>1.7589999999999999</v>
      </c>
      <c r="H151" s="20">
        <f>表2_367162629303891213141523242526[[#This Row],[累计净值]]/$B$21-1</f>
        <v>0.13924870466321226</v>
      </c>
    </row>
    <row r="152" spans="1:11">
      <c r="A152" s="15">
        <v>44224</v>
      </c>
      <c r="B152" s="112">
        <v>1.706</v>
      </c>
      <c r="C152" s="112">
        <f>C151*(1+表2_367162629303891213141523242526[[#This Row],[每日盈亏]])</f>
        <v>1.1873845958965599</v>
      </c>
      <c r="D152" s="108">
        <f t="shared" si="26"/>
        <v>-5.2999999999999936E-2</v>
      </c>
      <c r="E152" s="109">
        <f t="shared" si="27"/>
        <v>-5.2999999999999936E-2</v>
      </c>
      <c r="F152" s="109">
        <f ca="1">IF(表2_367162629303891213141523242526[[#This Row],[累计净值]]/MAX(INDIRECT("B21:B" &amp; ROW()))-1&lt;F151,表2_367162629303891213141523242526[[#This Row],[累计净值]]/MAX(INDIRECT("B21:B" &amp; ROW()))-1,F151)</f>
        <v>-0.11559633027522942</v>
      </c>
      <c r="G152" s="110">
        <f>表2_367162629303891213141523242526[[#This Row],[累计净值]]</f>
        <v>1.706</v>
      </c>
      <c r="H152" s="20">
        <f>表2_367162629303891213141523242526[[#This Row],[累计净值]]/$B$21-1</f>
        <v>0.10492227979274604</v>
      </c>
    </row>
    <row r="153" spans="1:11">
      <c r="A153" s="15">
        <v>44225</v>
      </c>
      <c r="B153" s="112">
        <v>1.6870000000000001</v>
      </c>
      <c r="C153" s="112">
        <f>C152*(1+表2_367162629303891213141523242526[[#This Row],[每日盈亏]])</f>
        <v>1.1648242885745252</v>
      </c>
      <c r="D153" s="108">
        <f t="shared" si="26"/>
        <v>-1.8999999999999906E-2</v>
      </c>
      <c r="E153" s="109">
        <f t="shared" si="27"/>
        <v>-1.8999999999999906E-2</v>
      </c>
      <c r="F153" s="109">
        <f ca="1">IF(表2_367162629303891213141523242526[[#This Row],[累计净值]]/MAX(INDIRECT("B21:B" &amp; ROW()))-1&lt;F152,表2_367162629303891213141523242526[[#This Row],[累计净值]]/MAX(INDIRECT("B21:B" &amp; ROW()))-1,F152)</f>
        <v>-0.11559633027522942</v>
      </c>
      <c r="G153" s="110">
        <f>表2_367162629303891213141523242526[[#This Row],[累计净值]]</f>
        <v>1.6870000000000001</v>
      </c>
      <c r="H153" s="20">
        <f>表2_367162629303891213141523242526[[#This Row],[累计净值]]/$B$21-1</f>
        <v>9.2616580310880936E-2</v>
      </c>
      <c r="J153" s="198"/>
    </row>
    <row r="154" spans="1:11">
      <c r="A154" s="15">
        <v>44228</v>
      </c>
      <c r="B154" s="112">
        <v>1.71</v>
      </c>
      <c r="C154" s="112">
        <f>C153*(1+表2_367162629303891213141523242526[[#This Row],[每日盈亏]])</f>
        <v>1.1916152472117392</v>
      </c>
      <c r="D154" s="108">
        <f t="shared" si="26"/>
        <v>2.2999999999999909E-2</v>
      </c>
      <c r="E154" s="109" t="str">
        <f t="shared" si="27"/>
        <v>/</v>
      </c>
      <c r="F154" s="109">
        <f ca="1">IF(表2_367162629303891213141523242526[[#This Row],[累计净值]]/MAX(INDIRECT("B21:B" &amp; ROW()))-1&lt;F153,表2_367162629303891213141523242526[[#This Row],[累计净值]]/MAX(INDIRECT("B21:B" &amp; ROW()))-1,F153)</f>
        <v>-0.11559633027522942</v>
      </c>
      <c r="G154" s="110">
        <f>表2_367162629303891213141523242526[[#This Row],[累计净值]]</f>
        <v>1.71</v>
      </c>
      <c r="H154" s="20">
        <f>表2_367162629303891213141523242526[[#This Row],[累计净值]]/$B$21-1</f>
        <v>0.10751295336787559</v>
      </c>
    </row>
    <row r="155" spans="1:11">
      <c r="A155" s="15">
        <v>44229</v>
      </c>
      <c r="B155" s="112">
        <v>1.7450000000000001</v>
      </c>
      <c r="C155" s="112">
        <f>C154*(1+表2_367162629303891213141523242526[[#This Row],[每日盈亏]])</f>
        <v>1.2333217808641501</v>
      </c>
      <c r="D155" s="108">
        <f t="shared" si="26"/>
        <v>3.5000000000000142E-2</v>
      </c>
      <c r="E155" s="109" t="str">
        <f t="shared" si="27"/>
        <v>/</v>
      </c>
      <c r="F155" s="109">
        <f ca="1">IF(表2_367162629303891213141523242526[[#This Row],[累计净值]]/MAX(INDIRECT("B21:B" &amp; ROW()))-1&lt;F154,表2_367162629303891213141523242526[[#This Row],[累计净值]]/MAX(INDIRECT("B21:B" &amp; ROW()))-1,F154)</f>
        <v>-0.11559633027522942</v>
      </c>
      <c r="G155" s="110">
        <f>表2_367162629303891213141523242526[[#This Row],[累计净值]]</f>
        <v>1.7450000000000001</v>
      </c>
      <c r="H155" s="20">
        <f>表2_367162629303891213141523242526[[#This Row],[累计净值]]/$B$21-1</f>
        <v>0.13018134715025909</v>
      </c>
    </row>
    <row r="156" spans="1:11">
      <c r="A156" s="15">
        <v>44230</v>
      </c>
      <c r="B156" s="112">
        <v>1.724</v>
      </c>
      <c r="C156" s="112">
        <f>C155*(1+表2_367162629303891213141523242526[[#This Row],[每日盈亏]])</f>
        <v>1.2074220234660029</v>
      </c>
      <c r="D156" s="108">
        <f t="shared" si="26"/>
        <v>-2.100000000000013E-2</v>
      </c>
      <c r="E156" s="109">
        <f t="shared" si="27"/>
        <v>-2.100000000000013E-2</v>
      </c>
      <c r="F156" s="109">
        <f ca="1">IF(表2_367162629303891213141523242526[[#This Row],[累计净值]]/MAX(INDIRECT("B21:B" &amp; ROW()))-1&lt;F155,表2_367162629303891213141523242526[[#This Row],[累计净值]]/MAX(INDIRECT("B21:B" &amp; ROW()))-1,F155)</f>
        <v>-0.11559633027522942</v>
      </c>
      <c r="G156" s="110">
        <f>表2_367162629303891213141523242526[[#This Row],[累计净值]]</f>
        <v>1.724</v>
      </c>
      <c r="H156" s="20">
        <f>表2_367162629303891213141523242526[[#This Row],[累计净值]]/$B$21-1</f>
        <v>0.11658031088082899</v>
      </c>
    </row>
    <row r="157" spans="1:11">
      <c r="A157" s="15">
        <v>44231</v>
      </c>
      <c r="B157" s="112">
        <v>1.698</v>
      </c>
      <c r="C157" s="112">
        <f>C156*(1+表2_367162629303891213141523242526[[#This Row],[每日盈亏]])</f>
        <v>1.1760290508558868</v>
      </c>
      <c r="D157" s="108">
        <f t="shared" si="26"/>
        <v>-2.6000000000000023E-2</v>
      </c>
      <c r="E157" s="109">
        <f>IF(D157&lt;0,D157,"/")</f>
        <v>-2.6000000000000023E-2</v>
      </c>
      <c r="F157" s="109">
        <f ca="1">IF(表2_367162629303891213141523242526[[#This Row],[累计净值]]/MAX(INDIRECT("B21:B" &amp; ROW()))-1&lt;F156,表2_367162629303891213141523242526[[#This Row],[累计净值]]/MAX(INDIRECT("B21:B" &amp; ROW()))-1,F156)</f>
        <v>-0.11559633027522942</v>
      </c>
      <c r="G157" s="110">
        <f>表2_367162629303891213141523242526[[#This Row],[累计净值]]</f>
        <v>1.698</v>
      </c>
      <c r="H157" s="20">
        <f>表2_367162629303891213141523242526[[#This Row],[累计净值]]/$B$21-1</f>
        <v>9.9740932642486957E-2</v>
      </c>
    </row>
    <row r="158" spans="1:11">
      <c r="A158" s="15">
        <v>44232</v>
      </c>
      <c r="B158" s="112">
        <v>1.6659999999999999</v>
      </c>
      <c r="C158" s="112">
        <f>C157*(1+表2_367162629303891213141523242526[[#This Row],[每日盈亏]])</f>
        <v>1.1383961212284983</v>
      </c>
      <c r="D158" s="108">
        <f t="shared" si="26"/>
        <v>-3.2000000000000028E-2</v>
      </c>
      <c r="E158" s="109">
        <f>IF(D158&lt;0,D158,"/")</f>
        <v>-3.2000000000000028E-2</v>
      </c>
      <c r="F158" s="109">
        <f ca="1">IF(表2_367162629303891213141523242526[[#This Row],[累计净值]]/MAX(INDIRECT("B21:B" &amp; ROW()))-1&lt;F157,表2_367162629303891213141523242526[[#This Row],[累计净值]]/MAX(INDIRECT("B21:B" &amp; ROW()))-1,F157)</f>
        <v>-0.11559633027522942</v>
      </c>
      <c r="G158" s="110">
        <f>表2_367162629303891213141523242526[[#This Row],[累计净值]]</f>
        <v>1.6659999999999999</v>
      </c>
      <c r="H158" s="20">
        <f>表2_367162629303891213141523242526[[#This Row],[累计净值]]/$B$21-1</f>
        <v>7.9015544041450614E-2</v>
      </c>
    </row>
    <row r="159" spans="1:11">
      <c r="A159" s="15">
        <v>44235</v>
      </c>
      <c r="B159" s="112">
        <v>1.6890000000000001</v>
      </c>
      <c r="C159" s="112">
        <f>C158*(1+表2_367162629303891213141523242526[[#This Row],[每日盈亏]])</f>
        <v>1.1645792320167538</v>
      </c>
      <c r="D159" s="108">
        <f t="shared" si="26"/>
        <v>2.3000000000000131E-2</v>
      </c>
      <c r="E159" s="109" t="str">
        <f>IF(D159&lt;0,D159,"/")</f>
        <v>/</v>
      </c>
      <c r="F159" s="109">
        <f ca="1">IF(表2_367162629303891213141523242526[[#This Row],[累计净值]]/MAX(INDIRECT("B21:B" &amp; ROW()))-1&lt;F158,表2_367162629303891213141523242526[[#This Row],[累计净值]]/MAX(INDIRECT("B21:B" &amp; ROW()))-1,F158)</f>
        <v>-0.11559633027522942</v>
      </c>
      <c r="G159" s="110">
        <f>表2_367162629303891213141523242526[[#This Row],[累计净值]]</f>
        <v>1.6890000000000001</v>
      </c>
      <c r="H159" s="20">
        <f>表2_367162629303891213141523242526[[#This Row],[累计净值]]/$B$21-1</f>
        <v>9.3911917098445707E-2</v>
      </c>
    </row>
    <row r="160" spans="1:11">
      <c r="A160" s="15">
        <v>44236</v>
      </c>
      <c r="B160" s="112">
        <v>1.744</v>
      </c>
      <c r="C160" s="112">
        <f>C159*(1+表2_367162629303891213141523242526[[#This Row],[每日盈亏]])</f>
        <v>1.2286310897776753</v>
      </c>
      <c r="D160" s="108">
        <f t="shared" si="26"/>
        <v>5.4999999999999938E-2</v>
      </c>
      <c r="E160" s="109" t="str">
        <f t="shared" ref="E160:E162" si="28">IF(D160&lt;0,D160,"/")</f>
        <v>/</v>
      </c>
      <c r="F160" s="109">
        <f ca="1">IF(表2_367162629303891213141523242526[[#This Row],[累计净值]]/MAX(INDIRECT("B21:B" &amp; ROW()))-1&lt;F159,表2_367162629303891213141523242526[[#This Row],[累计净值]]/MAX(INDIRECT("B21:B" &amp; ROW()))-1,F159)</f>
        <v>-0.11559633027522942</v>
      </c>
      <c r="G160" s="110">
        <f>表2_367162629303891213141523242526[[#This Row],[累计净值]]</f>
        <v>1.744</v>
      </c>
      <c r="H160" s="20">
        <f>表2_367162629303891213141523242526[[#This Row],[累计净值]]/$B$21-1</f>
        <v>0.1295336787564767</v>
      </c>
    </row>
    <row r="161" spans="1:10">
      <c r="A161" s="15">
        <v>44237</v>
      </c>
      <c r="B161" s="112">
        <v>1.7609999999999999</v>
      </c>
      <c r="C161" s="112">
        <f>C160*(1+表2_367162629303891213141523242526[[#This Row],[每日盈亏]])</f>
        <v>1.2495178183038957</v>
      </c>
      <c r="D161" s="108">
        <f t="shared" si="26"/>
        <v>1.6999999999999904E-2</v>
      </c>
      <c r="E161" s="109" t="str">
        <f t="shared" si="28"/>
        <v>/</v>
      </c>
      <c r="F161" s="109">
        <f ca="1">IF(表2_367162629303891213141523242526[[#This Row],[累计净值]]/MAX(INDIRECT("B21:B" &amp; ROW()))-1&lt;F160,表2_367162629303891213141523242526[[#This Row],[累计净值]]/MAX(INDIRECT("B21:B" &amp; ROW()))-1,F160)</f>
        <v>-0.11559633027522942</v>
      </c>
      <c r="G161" s="110">
        <f>表2_367162629303891213141523242526[[#This Row],[累计净值]]</f>
        <v>1.7609999999999999</v>
      </c>
      <c r="H161" s="20">
        <f>表2_367162629303891213141523242526[[#This Row],[累计净值]]/$B$21-1</f>
        <v>0.14054404145077704</v>
      </c>
    </row>
    <row r="162" spans="1:10">
      <c r="A162" s="15">
        <v>44245</v>
      </c>
      <c r="B162" s="112">
        <v>1.774</v>
      </c>
      <c r="C162" s="112">
        <f>C161*(1+表2_367162629303891213141523242526[[#This Row],[每日盈亏]])</f>
        <v>1.2657615499418466</v>
      </c>
      <c r="D162" s="108">
        <f t="shared" si="26"/>
        <v>1.3000000000000123E-2</v>
      </c>
      <c r="E162" s="109" t="str">
        <f t="shared" si="28"/>
        <v>/</v>
      </c>
      <c r="F162" s="109">
        <f ca="1">IF(表2_367162629303891213141523242526[[#This Row],[累计净值]]/MAX(INDIRECT("B21:B" &amp; ROW()))-1&lt;F161,表2_367162629303891213141523242526[[#This Row],[累计净值]]/MAX(INDIRECT("B21:B" &amp; ROW()))-1,F161)</f>
        <v>-0.11559633027522942</v>
      </c>
      <c r="G162" s="110">
        <f>表2_367162629303891213141523242526[[#This Row],[累计净值]]</f>
        <v>1.774</v>
      </c>
      <c r="H162" s="20">
        <f>表2_367162629303891213141523242526[[#This Row],[累计净值]]/$B$21-1</f>
        <v>0.14896373056994827</v>
      </c>
      <c r="J162" s="223" t="s">
        <v>51</v>
      </c>
    </row>
    <row r="163" spans="1:10">
      <c r="A163" s="15">
        <v>44246</v>
      </c>
      <c r="B163" s="117">
        <v>1.7909999999999999</v>
      </c>
      <c r="C163" s="112">
        <f>C162*(1+表2_367162629303891213141523242526[[#This Row],[每日盈亏]])</f>
        <v>1.2872794962908578</v>
      </c>
      <c r="D163" s="108">
        <f t="shared" si="26"/>
        <v>1.6999999999999904E-2</v>
      </c>
      <c r="E163" s="109" t="str">
        <f t="shared" ref="E163:E164" si="29">IF(D163&lt;0,D163,"/")</f>
        <v>/</v>
      </c>
      <c r="F163" s="109">
        <f ca="1">IF(表2_367162629303891213141523242526[[#This Row],[累计净值]]/MAX(INDIRECT("B21:B" &amp; ROW()))-1&lt;F162,表2_367162629303891213141523242526[[#This Row],[累计净值]]/MAX(INDIRECT("B21:B" &amp; ROW()))-1,F162)</f>
        <v>-0.11559633027522942</v>
      </c>
      <c r="G163" s="110">
        <f>表2_367162629303891213141523242526[[#This Row],[累计净值]]</f>
        <v>1.7909999999999999</v>
      </c>
      <c r="H163" s="20">
        <f>表2_367162629303891213141523242526[[#This Row],[累计净值]]/$B$21-1</f>
        <v>0.15997409326424861</v>
      </c>
    </row>
    <row r="164" spans="1:10">
      <c r="A164" s="15">
        <v>44249</v>
      </c>
      <c r="B164" s="112">
        <v>1.774</v>
      </c>
      <c r="C164" s="112">
        <f>C163*(1+表2_367162629303891213141523242526[[#This Row],[每日盈亏]])</f>
        <v>1.2653957448539133</v>
      </c>
      <c r="D164" s="108">
        <f t="shared" si="26"/>
        <v>-1.6999999999999904E-2</v>
      </c>
      <c r="E164" s="109">
        <f t="shared" si="29"/>
        <v>-1.6999999999999904E-2</v>
      </c>
      <c r="F164" s="109">
        <f ca="1">IF(表2_367162629303891213141523242526[[#This Row],[累计净值]]/MAX(INDIRECT("B21:B" &amp; ROW()))-1&lt;F163,表2_367162629303891213141523242526[[#This Row],[累计净值]]/MAX(INDIRECT("B21:B" &amp; ROW()))-1,F163)</f>
        <v>-0.11559633027522942</v>
      </c>
      <c r="G164" s="110">
        <f>表2_367162629303891213141523242526[[#This Row],[累计净值]]</f>
        <v>1.774</v>
      </c>
      <c r="H164" s="20">
        <f>表2_367162629303891213141523242526[[#This Row],[累计净值]]/$B$21-1</f>
        <v>0.14896373056994827</v>
      </c>
    </row>
    <row r="165" spans="1:10">
      <c r="A165" s="15">
        <v>44250</v>
      </c>
      <c r="B165" s="112">
        <v>1.766</v>
      </c>
      <c r="C165" s="112">
        <f>C164*(1+表2_367162629303891213141523242526[[#This Row],[每日盈亏]])</f>
        <v>1.255272578895082</v>
      </c>
      <c r="D165" s="108">
        <f t="shared" si="26"/>
        <v>-8.0000000000000071E-3</v>
      </c>
      <c r="E165" s="109">
        <f>IF(D165&lt;0,D165,"/")</f>
        <v>-8.0000000000000071E-3</v>
      </c>
      <c r="F165" s="109">
        <f ca="1">IF(表2_367162629303891213141523242526[[#This Row],[累计净值]]/MAX(INDIRECT("B21:B" &amp; ROW()))-1&lt;F164,表2_367162629303891213141523242526[[#This Row],[累计净值]]/MAX(INDIRECT("B21:B" &amp; ROW()))-1,F164)</f>
        <v>-0.11559633027522942</v>
      </c>
      <c r="G165" s="110">
        <f>表2_367162629303891213141523242526[[#This Row],[累计净值]]</f>
        <v>1.766</v>
      </c>
      <c r="H165" s="20">
        <f>表2_367162629303891213141523242526[[#This Row],[累计净值]]/$B$21-1</f>
        <v>0.14378238341968919</v>
      </c>
    </row>
    <row r="166" spans="1:10">
      <c r="A166" s="15">
        <v>44251</v>
      </c>
      <c r="B166" s="112">
        <v>1.73</v>
      </c>
      <c r="C166" s="112">
        <f>C165*(1+表2_367162629303891213141523242526[[#This Row],[每日盈亏]])</f>
        <v>1.210082766054859</v>
      </c>
      <c r="D166" s="108">
        <f t="shared" si="26"/>
        <v>-3.6000000000000032E-2</v>
      </c>
      <c r="E166" s="109">
        <f t="shared" ref="E166:E168" si="30">IF(D166&lt;0,D166,"/")</f>
        <v>-3.6000000000000032E-2</v>
      </c>
      <c r="F166" s="109">
        <f ca="1">IF(表2_367162629303891213141523242526[[#This Row],[累计净值]]/MAX(INDIRECT("B21:B" &amp; ROW()))-1&lt;F165,表2_367162629303891213141523242526[[#This Row],[累计净值]]/MAX(INDIRECT("B21:B" &amp; ROW()))-1,F165)</f>
        <v>-0.11559633027522942</v>
      </c>
      <c r="G166" s="110">
        <f>表2_367162629303891213141523242526[[#This Row],[累计净值]]</f>
        <v>1.73</v>
      </c>
      <c r="H166" s="20">
        <f>表2_367162629303891213141523242526[[#This Row],[累计净值]]/$B$21-1</f>
        <v>0.1204663212435233</v>
      </c>
    </row>
    <row r="167" spans="1:10">
      <c r="A167" s="15">
        <v>44252</v>
      </c>
      <c r="B167" s="112">
        <v>1.7250000000000001</v>
      </c>
      <c r="C167" s="112">
        <f>C166*(1+表2_367162629303891213141523242526[[#This Row],[每日盈亏]])</f>
        <v>1.2040323522245848</v>
      </c>
      <c r="D167" s="108">
        <f t="shared" si="26"/>
        <v>-4.9999999999998934E-3</v>
      </c>
      <c r="E167" s="109">
        <f t="shared" si="30"/>
        <v>-4.9999999999998934E-3</v>
      </c>
      <c r="F167" s="109">
        <f ca="1">IF(表2_367162629303891213141523242526[[#This Row],[累计净值]]/MAX(INDIRECT("B21:B" &amp; ROW()))-1&lt;F166,表2_367162629303891213141523242526[[#This Row],[累计净值]]/MAX(INDIRECT("B21:B" &amp; ROW()))-1,F166)</f>
        <v>-0.11559633027522942</v>
      </c>
      <c r="G167" s="110">
        <f>表2_367162629303891213141523242526[[#This Row],[累计净值]]</f>
        <v>1.7250000000000001</v>
      </c>
      <c r="H167" s="20">
        <f>表2_367162629303891213141523242526[[#This Row],[累计净值]]/$B$21-1</f>
        <v>0.11722797927461137</v>
      </c>
    </row>
    <row r="168" spans="1:10">
      <c r="A168" s="15">
        <v>44253</v>
      </c>
      <c r="B168" s="112">
        <v>1.6830000000000001</v>
      </c>
      <c r="C168" s="112">
        <f>C167*(1+表2_367162629303891213141523242526[[#This Row],[每日盈亏]])</f>
        <v>1.1534629934311522</v>
      </c>
      <c r="D168" s="108">
        <f t="shared" si="26"/>
        <v>-4.2000000000000037E-2</v>
      </c>
      <c r="E168" s="109">
        <f t="shared" si="30"/>
        <v>-4.2000000000000037E-2</v>
      </c>
      <c r="F168" s="109">
        <f ca="1">IF(表2_367162629303891213141523242526[[#This Row],[累计净值]]/MAX(INDIRECT("B21:B" &amp; ROW()))-1&lt;F167,表2_367162629303891213141523242526[[#This Row],[累计净值]]/MAX(INDIRECT("B21:B" &amp; ROW()))-1,F167)</f>
        <v>-0.11559633027522942</v>
      </c>
      <c r="G168" s="110">
        <f>表2_367162629303891213141523242526[[#This Row],[累计净值]]</f>
        <v>1.6830000000000001</v>
      </c>
      <c r="H168" s="20">
        <f>表2_367162629303891213141523242526[[#This Row],[累计净值]]/$B$21-1</f>
        <v>9.0025906735751393E-2</v>
      </c>
    </row>
    <row r="169" spans="1:10">
      <c r="A169" s="15">
        <v>44256</v>
      </c>
      <c r="B169" s="112">
        <v>1.7270000000000001</v>
      </c>
      <c r="C169" s="112">
        <f>C168*(1+表2_367162629303891213141523242526[[#This Row],[每日盈亏]])</f>
        <v>1.204215365142123</v>
      </c>
      <c r="D169" s="108">
        <f t="shared" si="26"/>
        <v>4.4000000000000039E-2</v>
      </c>
      <c r="E169" s="109" t="str">
        <f t="shared" ref="E169" si="31">IF(D169&lt;0,D169,"/")</f>
        <v>/</v>
      </c>
      <c r="F169" s="109">
        <f ca="1">IF(表2_367162629303891213141523242526[[#This Row],[累计净值]]/MAX(INDIRECT("B21:B" &amp; ROW()))-1&lt;F168,表2_367162629303891213141523242526[[#This Row],[累计净值]]/MAX(INDIRECT("B21:B" &amp; ROW()))-1,F168)</f>
        <v>-0.11559633027522942</v>
      </c>
      <c r="G169" s="110">
        <f>表2_367162629303891213141523242526[[#This Row],[累计净值]]</f>
        <v>1.7270000000000001</v>
      </c>
      <c r="H169" s="20">
        <f>表2_367162629303891213141523242526[[#This Row],[累计净值]]/$B$21-1</f>
        <v>0.11852331606217614</v>
      </c>
    </row>
    <row r="170" spans="1:10">
      <c r="A170" s="15">
        <v>44257</v>
      </c>
      <c r="B170" s="112">
        <v>1.7130000000000001</v>
      </c>
      <c r="C170" s="112">
        <f>C169*(1+表2_367162629303891213141523242526[[#This Row],[每日盈亏]])</f>
        <v>1.1873563500301332</v>
      </c>
      <c r="D170" s="108">
        <f t="shared" si="26"/>
        <v>-1.4000000000000012E-2</v>
      </c>
      <c r="E170" s="109">
        <f t="shared" ref="E170:E171" si="32">IF(D170&lt;0,D170,"/")</f>
        <v>-1.4000000000000012E-2</v>
      </c>
      <c r="F170" s="109">
        <f ca="1">IF(表2_367162629303891213141523242526[[#This Row],[累计净值]]/MAX(INDIRECT("B21:B" &amp; ROW()))-1&lt;F169,表2_367162629303891213141523242526[[#This Row],[累计净值]]/MAX(INDIRECT("B21:B" &amp; ROW()))-1,F169)</f>
        <v>-0.11559633027522942</v>
      </c>
      <c r="G170" s="110">
        <f>表2_367162629303891213141523242526[[#This Row],[累计净值]]</f>
        <v>1.7130000000000001</v>
      </c>
      <c r="H170" s="20">
        <f>表2_367162629303891213141523242526[[#This Row],[累计净值]]/$B$21-1</f>
        <v>0.10945595854922274</v>
      </c>
    </row>
    <row r="171" spans="1:10">
      <c r="A171" s="15">
        <v>44258</v>
      </c>
      <c r="B171" s="112">
        <v>1.742</v>
      </c>
      <c r="C171" s="112">
        <f>C170*(1+表2_367162629303891213141523242526[[#This Row],[每日盈亏]])</f>
        <v>1.221789684181007</v>
      </c>
      <c r="D171" s="108">
        <f t="shared" si="26"/>
        <v>2.8999999999999915E-2</v>
      </c>
      <c r="E171" s="109" t="str">
        <f t="shared" si="32"/>
        <v>/</v>
      </c>
      <c r="F171" s="109">
        <f ca="1">IF(表2_367162629303891213141523242526[[#This Row],[累计净值]]/MAX(INDIRECT("B21:B" &amp; ROW()))-1&lt;F170,表2_367162629303891213141523242526[[#This Row],[累计净值]]/MAX(INDIRECT("B21:B" &amp; ROW()))-1,F170)</f>
        <v>-0.11559633027522942</v>
      </c>
      <c r="G171" s="110">
        <f>表2_367162629303891213141523242526[[#This Row],[累计净值]]</f>
        <v>1.742</v>
      </c>
      <c r="H171" s="20">
        <f>表2_367162629303891213141523242526[[#This Row],[累计净值]]/$B$21-1</f>
        <v>0.12823834196891193</v>
      </c>
    </row>
    <row r="172" spans="1:10">
      <c r="A172" s="15">
        <v>44259</v>
      </c>
      <c r="B172" s="112">
        <v>1.675</v>
      </c>
      <c r="C172" s="112">
        <f>C171*(1+表2_367162629303891213141523242526[[#This Row],[每日盈亏]])</f>
        <v>1.1399297753408795</v>
      </c>
      <c r="D172" s="108">
        <f t="shared" si="26"/>
        <v>-6.6999999999999948E-2</v>
      </c>
      <c r="E172" s="109">
        <f t="shared" ref="E172:E173" si="33">IF(D172&lt;0,D172,"/")</f>
        <v>-6.6999999999999948E-2</v>
      </c>
      <c r="F172" s="109">
        <f ca="1">IF(表2_367162629303891213141523242526[[#This Row],[累计净值]]/MAX(INDIRECT("B21:B" &amp; ROW()))-1&lt;F171,表2_367162629303891213141523242526[[#This Row],[累计净值]]/MAX(INDIRECT("B21:B" &amp; ROW()))-1,F171)</f>
        <v>-0.11559633027522942</v>
      </c>
      <c r="G172" s="110">
        <f>表2_367162629303891213141523242526[[#This Row],[累计净值]]</f>
        <v>1.675</v>
      </c>
      <c r="H172" s="20">
        <f>表2_367162629303891213141523242526[[#This Row],[累计净值]]/$B$21-1</f>
        <v>8.4844559585492307E-2</v>
      </c>
    </row>
    <row r="173" spans="1:10">
      <c r="A173" s="15">
        <v>44260</v>
      </c>
      <c r="B173" s="112">
        <v>1.6739999999999999</v>
      </c>
      <c r="C173" s="112">
        <f>C172*(1+表2_367162629303891213141523242526[[#This Row],[每日盈亏]])</f>
        <v>1.1387898455655385</v>
      </c>
      <c r="D173" s="108">
        <f t="shared" si="26"/>
        <v>-1.0000000000001119E-3</v>
      </c>
      <c r="E173" s="109">
        <f t="shared" si="33"/>
        <v>-1.0000000000001119E-3</v>
      </c>
      <c r="F173" s="109">
        <f ca="1">IF(表2_367162629303891213141523242526[[#This Row],[累计净值]]/MAX(INDIRECT("B21:B" &amp; ROW()))-1&lt;F172,表2_367162629303891213141523242526[[#This Row],[累计净值]]/MAX(INDIRECT("B21:B" &amp; ROW()))-1,F172)</f>
        <v>-0.11559633027522942</v>
      </c>
      <c r="G173" s="110">
        <f>表2_367162629303891213141523242526[[#This Row],[累计净值]]</f>
        <v>1.6739999999999999</v>
      </c>
      <c r="H173" s="20">
        <f>表2_367162629303891213141523242526[[#This Row],[累计净值]]/$B$21-1</f>
        <v>8.41968911917097E-2</v>
      </c>
    </row>
    <row r="174" spans="1:10">
      <c r="A174" s="15">
        <v>44263</v>
      </c>
      <c r="B174" s="112">
        <v>1.603</v>
      </c>
      <c r="C174" s="112">
        <f>C173*(1+表2_367162629303891213141523242526[[#This Row],[每日盈亏]])</f>
        <v>1.0579357665303855</v>
      </c>
      <c r="D174" s="108">
        <f t="shared" si="26"/>
        <v>-7.0999999999999952E-2</v>
      </c>
      <c r="E174" s="109">
        <f>IF(D174&lt;0,D174,"/")</f>
        <v>-7.0999999999999952E-2</v>
      </c>
      <c r="F174" s="109">
        <f ca="1">IF(表2_367162629303891213141523242526[[#This Row],[累计净值]]/MAX(INDIRECT("B21:B" &amp; ROW()))-1&lt;F173,表2_367162629303891213141523242526[[#This Row],[累计净值]]/MAX(INDIRECT("B21:B" &amp; ROW()))-1,F173)</f>
        <v>-0.11559633027522942</v>
      </c>
      <c r="G174" s="110">
        <f>表2_367162629303891213141523242526[[#This Row],[累计净值]]</f>
        <v>1.603</v>
      </c>
      <c r="H174" s="20">
        <f>表2_367162629303891213141523242526[[#This Row],[累计净值]]/$B$21-1</f>
        <v>3.8212435233160535E-2</v>
      </c>
    </row>
    <row r="175" spans="1:10">
      <c r="A175" s="15">
        <v>44264</v>
      </c>
      <c r="B175" s="112">
        <v>1.5580000000000001</v>
      </c>
      <c r="C175" s="112">
        <f>C174*(1+表2_367162629303891213141523242526[[#This Row],[每日盈亏]])</f>
        <v>1.0103286570365182</v>
      </c>
      <c r="D175" s="108">
        <f t="shared" si="26"/>
        <v>-4.4999999999999929E-2</v>
      </c>
      <c r="E175" s="109">
        <f>IF(D175&lt;0,D175,"/")</f>
        <v>-4.4999999999999929E-2</v>
      </c>
      <c r="F175" s="109">
        <f ca="1">IF(表2_367162629303891213141523242526[[#This Row],[累计净值]]/MAX(INDIRECT("B21:B" &amp; ROW()))-1&lt;F174,表2_367162629303891213141523242526[[#This Row],[累计净值]]/MAX(INDIRECT("B21:B" &amp; ROW()))-1,F174)</f>
        <v>-0.13009491903964254</v>
      </c>
      <c r="G175" s="110">
        <f>表2_367162629303891213141523242526[[#This Row],[累计净值]]</f>
        <v>1.5580000000000001</v>
      </c>
      <c r="H175" s="20">
        <f>表2_367162629303891213141523242526[[#This Row],[累计净值]]/$B$21-1</f>
        <v>9.0673575129534001E-3</v>
      </c>
    </row>
    <row r="176" spans="1:10">
      <c r="A176" s="15">
        <v>44265</v>
      </c>
      <c r="B176" s="112">
        <v>1.583</v>
      </c>
      <c r="C176" s="112">
        <f>C175*(1+表2_367162629303891213141523242526[[#This Row],[每日盈亏]])</f>
        <v>1.0355868734624312</v>
      </c>
      <c r="D176" s="108">
        <f t="shared" si="26"/>
        <v>2.4999999999999911E-2</v>
      </c>
      <c r="E176" s="109" t="str">
        <f t="shared" ref="E176:E180" si="34">IF(D176&lt;0,D176,"/")</f>
        <v>/</v>
      </c>
      <c r="F176" s="109">
        <f ca="1">IF(表2_367162629303891213141523242526[[#This Row],[累计净值]]/MAX(INDIRECT("B21:B" &amp; ROW()))-1&lt;F175,表2_367162629303891213141523242526[[#This Row],[累计净值]]/MAX(INDIRECT("B21:B" &amp; ROW()))-1,F175)</f>
        <v>-0.13009491903964254</v>
      </c>
      <c r="G176" s="110">
        <f>表2_367162629303891213141523242526[[#This Row],[累计净值]]</f>
        <v>1.583</v>
      </c>
      <c r="H176" s="20">
        <f>表2_367162629303891213141523242526[[#This Row],[累计净值]]/$B$21-1</f>
        <v>2.5259067357512821E-2</v>
      </c>
    </row>
    <row r="177" spans="1:8">
      <c r="A177" s="15">
        <v>44266</v>
      </c>
      <c r="B177" s="112">
        <v>1.6339999999999999</v>
      </c>
      <c r="C177" s="112">
        <f>C176*(1+表2_367162629303891213141523242526[[#This Row],[每日盈亏]])</f>
        <v>1.0884018040090151</v>
      </c>
      <c r="D177" s="108">
        <f t="shared" si="26"/>
        <v>5.0999999999999934E-2</v>
      </c>
      <c r="E177" s="109" t="str">
        <f t="shared" si="34"/>
        <v>/</v>
      </c>
      <c r="F177" s="109">
        <f ca="1">IF(表2_367162629303891213141523242526[[#This Row],[累计净值]]/MAX(INDIRECT("B21:B" &amp; ROW()))-1&lt;F176,表2_367162629303891213141523242526[[#This Row],[累计净值]]/MAX(INDIRECT("B21:B" &amp; ROW()))-1,F176)</f>
        <v>-0.13009491903964254</v>
      </c>
      <c r="G177" s="110">
        <f>表2_367162629303891213141523242526[[#This Row],[累计净值]]</f>
        <v>1.6339999999999999</v>
      </c>
      <c r="H177" s="20">
        <f>表2_367162629303891213141523242526[[#This Row],[累计净值]]/$B$21-1</f>
        <v>5.8290155440414493E-2</v>
      </c>
    </row>
    <row r="178" spans="1:8">
      <c r="A178" s="15">
        <v>44267</v>
      </c>
      <c r="B178" s="112">
        <v>1.639</v>
      </c>
      <c r="C178" s="112">
        <f>C177*(1+表2_367162629303891213141523242526[[#This Row],[每日盈亏]])</f>
        <v>1.0938438130290602</v>
      </c>
      <c r="D178" s="108">
        <f t="shared" si="26"/>
        <v>5.0000000000001155E-3</v>
      </c>
      <c r="E178" s="109" t="str">
        <f t="shared" ref="E178:E179" si="35">IF(D178&lt;0,D178,"/")</f>
        <v>/</v>
      </c>
      <c r="F178" s="109">
        <f ca="1">IF(表2_367162629303891213141523242526[[#This Row],[累计净值]]/MAX(INDIRECT("B21:B" &amp; ROW()))-1&lt;F177,表2_367162629303891213141523242526[[#This Row],[累计净值]]/MAX(INDIRECT("B21:B" &amp; ROW()))-1,F177)</f>
        <v>-0.13009491903964254</v>
      </c>
      <c r="G178" s="110">
        <f>表2_367162629303891213141523242526[[#This Row],[累计净值]]</f>
        <v>1.639</v>
      </c>
      <c r="H178" s="20">
        <f>表2_367162629303891213141523242526[[#This Row],[累计净值]]/$B$21-1</f>
        <v>6.1528497409326421E-2</v>
      </c>
    </row>
    <row r="179" spans="1:8">
      <c r="A179" s="15">
        <v>44270</v>
      </c>
      <c r="B179" s="112">
        <v>1.6</v>
      </c>
      <c r="C179" s="112">
        <f>C178*(1+表2_367162629303891213141523242526[[#This Row],[每日盈亏]])</f>
        <v>1.051183904320927</v>
      </c>
      <c r="D179" s="108">
        <f t="shared" si="26"/>
        <v>-3.8999999999999924E-2</v>
      </c>
      <c r="E179" s="109">
        <f t="shared" si="35"/>
        <v>-3.8999999999999924E-2</v>
      </c>
      <c r="F179" s="109">
        <f ca="1">IF(表2_367162629303891213141523242526[[#This Row],[累计净值]]/MAX(INDIRECT("B21:B" &amp; ROW()))-1&lt;F178,表2_367162629303891213141523242526[[#This Row],[累计净值]]/MAX(INDIRECT("B21:B" &amp; ROW()))-1,F178)</f>
        <v>-0.13009491903964254</v>
      </c>
      <c r="G179" s="110">
        <f>表2_367162629303891213141523242526[[#This Row],[累计净值]]</f>
        <v>1.6</v>
      </c>
      <c r="H179" s="20">
        <f>表2_367162629303891213141523242526[[#This Row],[累计净值]]/$B$21-1</f>
        <v>3.62694300518136E-2</v>
      </c>
    </row>
    <row r="180" spans="1:8">
      <c r="A180" s="15">
        <v>44271</v>
      </c>
      <c r="B180" s="112">
        <v>1.6120000000000001</v>
      </c>
      <c r="C180" s="112">
        <f>C179*(1+表2_367162629303891213141523242526[[#This Row],[每日盈亏]])</f>
        <v>1.0637981111727781</v>
      </c>
      <c r="D180" s="108">
        <f t="shared" si="26"/>
        <v>1.2000000000000011E-2</v>
      </c>
      <c r="E180" s="109" t="str">
        <f t="shared" si="34"/>
        <v>/</v>
      </c>
      <c r="F180" s="109">
        <f ca="1">IF(表2_367162629303891213141523242526[[#This Row],[累计净值]]/MAX(INDIRECT("B21:B" &amp; ROW()))-1&lt;F179,表2_367162629303891213141523242526[[#This Row],[累计净值]]/MAX(INDIRECT("B21:B" &amp; ROW()))-1,F179)</f>
        <v>-0.13009491903964254</v>
      </c>
      <c r="G180" s="110">
        <f>表2_367162629303891213141523242526[[#This Row],[累计净值]]</f>
        <v>1.6120000000000001</v>
      </c>
      <c r="H180" s="20">
        <f>表2_367162629303891213141523242526[[#This Row],[累计净值]]/$B$21-1</f>
        <v>4.4041450777202007E-2</v>
      </c>
    </row>
    <row r="181" spans="1:8">
      <c r="A181" s="15">
        <v>44272</v>
      </c>
      <c r="B181" s="112">
        <v>1.6379999999999999</v>
      </c>
      <c r="C181" s="112">
        <f>C180*(1+表2_367162629303891213141523242526[[#This Row],[每日盈亏]])</f>
        <v>1.0914568620632701</v>
      </c>
      <c r="D181" s="108">
        <f t="shared" ref="D181:D212" si="36">IFERROR(B181-B180,0)</f>
        <v>2.5999999999999801E-2</v>
      </c>
      <c r="E181" s="109" t="str">
        <f>IF(D181&lt;0,D181,"/")</f>
        <v>/</v>
      </c>
      <c r="F181" s="109">
        <f ca="1">IF(表2_367162629303891213141523242526[[#This Row],[累计净值]]/MAX(INDIRECT("B21:B" &amp; ROW()))-1&lt;F180,表2_367162629303891213141523242526[[#This Row],[累计净值]]/MAX(INDIRECT("B21:B" &amp; ROW()))-1,F180)</f>
        <v>-0.13009491903964254</v>
      </c>
      <c r="G181" s="110">
        <f>表2_367162629303891213141523242526[[#This Row],[累计净值]]</f>
        <v>1.6379999999999999</v>
      </c>
      <c r="H181" s="20">
        <f>表2_367162629303891213141523242526[[#This Row],[累计净值]]/$B$21-1</f>
        <v>6.0880829015544036E-2</v>
      </c>
    </row>
    <row r="182" spans="1:8">
      <c r="A182" s="15">
        <v>44273</v>
      </c>
      <c r="B182" s="112">
        <v>1.657</v>
      </c>
      <c r="C182" s="112">
        <f>C181*(1+表2_367162629303891213141523242526[[#This Row],[每日盈亏]])</f>
        <v>1.1121945424424724</v>
      </c>
      <c r="D182" s="108">
        <f t="shared" si="36"/>
        <v>1.9000000000000128E-2</v>
      </c>
      <c r="E182" s="109" t="str">
        <f>IF(D182&lt;0,D182,"/")</f>
        <v>/</v>
      </c>
      <c r="F182" s="109">
        <f ca="1">IF(表2_367162629303891213141523242526[[#This Row],[累计净值]]/MAX(INDIRECT("B21:B" &amp; ROW()))-1&lt;F181,表2_367162629303891213141523242526[[#This Row],[累计净值]]/MAX(INDIRECT("B21:B" &amp; ROW()))-1,F181)</f>
        <v>-0.13009491903964254</v>
      </c>
      <c r="G182" s="110">
        <f>表2_367162629303891213141523242526[[#This Row],[累计净值]]</f>
        <v>1.657</v>
      </c>
      <c r="H182" s="20">
        <f>表2_367162629303891213141523242526[[#This Row],[累计净值]]/$B$21-1</f>
        <v>7.3186528497409364E-2</v>
      </c>
    </row>
    <row r="183" spans="1:8">
      <c r="A183" s="15">
        <v>44274</v>
      </c>
      <c r="B183" s="112">
        <v>1.625</v>
      </c>
      <c r="C183" s="112">
        <f>C182*(1+表2_367162629303891213141523242526[[#This Row],[每日盈亏]])</f>
        <v>1.0766043170843131</v>
      </c>
      <c r="D183" s="108">
        <f t="shared" si="36"/>
        <v>-3.2000000000000028E-2</v>
      </c>
      <c r="E183" s="109">
        <f>IF(D183&lt;0,D183,"/")</f>
        <v>-3.2000000000000028E-2</v>
      </c>
      <c r="F183" s="109">
        <f ca="1">IF(表2_367162629303891213141523242526[[#This Row],[累计净值]]/MAX(INDIRECT("B21:B" &amp; ROW()))-1&lt;F182,表2_367162629303891213141523242526[[#This Row],[累计净值]]/MAX(INDIRECT("B21:B" &amp; ROW()))-1,F182)</f>
        <v>-0.13009491903964254</v>
      </c>
      <c r="G183" s="110">
        <f>表2_367162629303891213141523242526[[#This Row],[累计净值]]</f>
        <v>1.625</v>
      </c>
      <c r="H183" s="20">
        <f>表2_367162629303891213141523242526[[#This Row],[累计净值]]/$B$21-1</f>
        <v>5.2461139896373021E-2</v>
      </c>
    </row>
    <row r="184" spans="1:8">
      <c r="A184" s="15">
        <v>44277</v>
      </c>
      <c r="B184" s="112">
        <v>1.643</v>
      </c>
      <c r="C184" s="112">
        <f>C183*(1+表2_367162629303891213141523242526[[#This Row],[每日盈亏]])</f>
        <v>1.0959831947918308</v>
      </c>
      <c r="D184" s="108">
        <f t="shared" si="36"/>
        <v>1.8000000000000016E-2</v>
      </c>
      <c r="E184" s="109" t="str">
        <f>IF(D184&lt;0,D184,"/")</f>
        <v>/</v>
      </c>
      <c r="F184" s="109">
        <f ca="1">IF(表2_367162629303891213141523242526[[#This Row],[累计净值]]/MAX(INDIRECT("B21:B" &amp; ROW()))-1&lt;F183,表2_367162629303891213141523242526[[#This Row],[累计净值]]/MAX(INDIRECT("B21:B" &amp; ROW()))-1,F183)</f>
        <v>-0.13009491903964254</v>
      </c>
      <c r="G184" s="110">
        <f>表2_367162629303891213141523242526[[#This Row],[累计净值]]</f>
        <v>1.643</v>
      </c>
      <c r="H184" s="20">
        <f>表2_367162629303891213141523242526[[#This Row],[累计净值]]/$B$21-1</f>
        <v>6.4119170984455964E-2</v>
      </c>
    </row>
    <row r="185" spans="1:8">
      <c r="A185" s="15">
        <v>44278</v>
      </c>
      <c r="B185" s="112">
        <v>1.613</v>
      </c>
      <c r="C185" s="112">
        <f>C184*(1+表2_367162629303891213141523242526[[#This Row],[每日盈亏]])</f>
        <v>1.0631036989480758</v>
      </c>
      <c r="D185" s="108">
        <f t="shared" si="36"/>
        <v>-3.0000000000000027E-2</v>
      </c>
      <c r="E185" s="109">
        <f t="shared" ref="E185:E188" si="37">IF(D185&lt;0,D185,"/")</f>
        <v>-3.0000000000000027E-2</v>
      </c>
      <c r="F185" s="109">
        <f ca="1">IF(表2_367162629303891213141523242526[[#This Row],[累计净值]]/MAX(INDIRECT("B21:B" &amp; ROW()))-1&lt;F184,表2_367162629303891213141523242526[[#This Row],[累计净值]]/MAX(INDIRECT("B21:B" &amp; ROW()))-1,F184)</f>
        <v>-0.13009491903964254</v>
      </c>
      <c r="G185" s="110">
        <f>表2_367162629303891213141523242526[[#This Row],[累计净值]]</f>
        <v>1.613</v>
      </c>
      <c r="H185" s="20">
        <f>表2_367162629303891213141523242526[[#This Row],[累计净值]]/$B$21-1</f>
        <v>4.4689119170984393E-2</v>
      </c>
    </row>
    <row r="186" spans="1:8">
      <c r="A186" s="15">
        <v>44279</v>
      </c>
      <c r="B186" s="112">
        <v>1.5780000000000001</v>
      </c>
      <c r="C186" s="112">
        <f>C185*(1+表2_367162629303891213141523242526[[#This Row],[每日盈亏]])</f>
        <v>1.0258950694848932</v>
      </c>
      <c r="D186" s="108">
        <f t="shared" si="36"/>
        <v>-3.499999999999992E-2</v>
      </c>
      <c r="E186" s="109">
        <f t="shared" si="37"/>
        <v>-3.499999999999992E-2</v>
      </c>
      <c r="F186" s="109">
        <f ca="1">IF(表2_367162629303891213141523242526[[#This Row],[累计净值]]/MAX(INDIRECT("B21:B" &amp; ROW()))-1&lt;F185,表2_367162629303891213141523242526[[#This Row],[累计净值]]/MAX(INDIRECT("B21:B" &amp; ROW()))-1,F185)</f>
        <v>-0.13009491903964254</v>
      </c>
      <c r="G186" s="110">
        <f>表2_367162629303891213141523242526[[#This Row],[累计净值]]</f>
        <v>1.5780000000000001</v>
      </c>
      <c r="H186" s="20">
        <f>表2_367162629303891213141523242526[[#This Row],[累计净值]]/$B$21-1</f>
        <v>2.2020725388601115E-2</v>
      </c>
    </row>
    <row r="187" spans="1:8">
      <c r="A187" s="15">
        <v>44280</v>
      </c>
      <c r="B187" s="112">
        <v>1.593</v>
      </c>
      <c r="C187" s="112">
        <f>C186*(1+表2_367162629303891213141523242526[[#This Row],[每日盈亏]])</f>
        <v>1.0412834955271664</v>
      </c>
      <c r="D187" s="108">
        <f t="shared" si="36"/>
        <v>1.4999999999999902E-2</v>
      </c>
      <c r="E187" s="109" t="str">
        <f t="shared" si="37"/>
        <v>/</v>
      </c>
      <c r="F187" s="109">
        <f ca="1">IF(表2_367162629303891213141523242526[[#This Row],[累计净值]]/MAX(INDIRECT("B21:B" &amp; ROW()))-1&lt;F186,表2_367162629303891213141523242526[[#This Row],[累计净值]]/MAX(INDIRECT("B21:B" &amp; ROW()))-1,F186)</f>
        <v>-0.13009491903964254</v>
      </c>
      <c r="G187" s="110">
        <f>表2_367162629303891213141523242526[[#This Row],[累计净值]]</f>
        <v>1.593</v>
      </c>
      <c r="H187" s="20">
        <f>表2_367162629303891213141523242526[[#This Row],[累计净值]]/$B$21-1</f>
        <v>3.1735751295336678E-2</v>
      </c>
    </row>
    <row r="188" spans="1:8">
      <c r="A188" s="15">
        <v>44281</v>
      </c>
      <c r="B188" s="112">
        <v>1.64</v>
      </c>
      <c r="C188" s="112">
        <f>C187*(1+表2_367162629303891213141523242526[[#This Row],[每日盈亏]])</f>
        <v>1.0902238198169432</v>
      </c>
      <c r="D188" s="108">
        <f t="shared" si="36"/>
        <v>4.6999999999999931E-2</v>
      </c>
      <c r="E188" s="109" t="str">
        <f t="shared" si="37"/>
        <v>/</v>
      </c>
      <c r="F188" s="109">
        <f ca="1">IF(表2_367162629303891213141523242526[[#This Row],[累计净值]]/MAX(INDIRECT("B21:B" &amp; ROW()))-1&lt;F187,表2_367162629303891213141523242526[[#This Row],[累计净值]]/MAX(INDIRECT("B21:B" &amp; ROW()))-1,F187)</f>
        <v>-0.13009491903964254</v>
      </c>
      <c r="G188" s="110">
        <f>表2_367162629303891213141523242526[[#This Row],[累计净值]]</f>
        <v>1.64</v>
      </c>
      <c r="H188" s="20">
        <f>表2_367162629303891213141523242526[[#This Row],[累计净值]]/$B$21-1</f>
        <v>6.2176165803108807E-2</v>
      </c>
    </row>
    <row r="189" spans="1:8">
      <c r="A189" s="15">
        <v>44284</v>
      </c>
      <c r="B189" s="112">
        <v>1.6439999999999999</v>
      </c>
      <c r="C189" s="112">
        <f>C188*(1+表2_367162629303891213141523242526[[#This Row],[每日盈亏]])</f>
        <v>1.0945847150962109</v>
      </c>
      <c r="D189" s="108">
        <f t="shared" si="36"/>
        <v>4.0000000000000036E-3</v>
      </c>
      <c r="E189" s="109" t="str">
        <f t="shared" ref="E189:E194" si="38">IF(D189&lt;0,D189,"/")</f>
        <v>/</v>
      </c>
      <c r="F189" s="109">
        <f ca="1">IF(表2_367162629303891213141523242526[[#This Row],[累计净值]]/MAX(INDIRECT("B21:B" &amp; ROW()))-1&lt;F188,表2_367162629303891213141523242526[[#This Row],[累计净值]]/MAX(INDIRECT("B21:B" &amp; ROW()))-1,F188)</f>
        <v>-0.13009491903964254</v>
      </c>
      <c r="G189" s="110">
        <f>表2_367162629303891213141523242526[[#This Row],[累计净值]]</f>
        <v>1.6439999999999999</v>
      </c>
      <c r="H189" s="20">
        <f>表2_367162629303891213141523242526[[#This Row],[累计净值]]/$B$21-1</f>
        <v>6.476683937823835E-2</v>
      </c>
    </row>
    <row r="190" spans="1:8">
      <c r="A190" s="15">
        <v>44285</v>
      </c>
      <c r="B190" s="112">
        <v>1.661</v>
      </c>
      <c r="C190" s="112">
        <f>C189*(1+表2_367162629303891213141523242526[[#This Row],[每日盈亏]])</f>
        <v>1.1131926552528466</v>
      </c>
      <c r="D190" s="108">
        <f t="shared" si="36"/>
        <v>1.7000000000000126E-2</v>
      </c>
      <c r="E190" s="109" t="str">
        <f t="shared" si="38"/>
        <v>/</v>
      </c>
      <c r="F190" s="109">
        <f ca="1">IF(表2_367162629303891213141523242526[[#This Row],[累计净值]]/MAX(INDIRECT("B21:B" &amp; ROW()))-1&lt;F189,表2_367162629303891213141523242526[[#This Row],[累计净值]]/MAX(INDIRECT("B21:B" &amp; ROW()))-1,F189)</f>
        <v>-0.13009491903964254</v>
      </c>
      <c r="G190" s="110">
        <f>表2_367162629303891213141523242526[[#This Row],[累计净值]]</f>
        <v>1.661</v>
      </c>
      <c r="H190" s="20">
        <f>表2_367162629303891213141523242526[[#This Row],[累计净值]]/$B$21-1</f>
        <v>7.5777202072538907E-2</v>
      </c>
    </row>
    <row r="191" spans="1:8">
      <c r="A191" s="15">
        <v>44286</v>
      </c>
      <c r="B191" s="112">
        <v>1.649</v>
      </c>
      <c r="C191" s="112">
        <f>C190*(1+表2_367162629303891213141523242526[[#This Row],[每日盈亏]])</f>
        <v>1.0998343433898123</v>
      </c>
      <c r="D191" s="108">
        <f t="shared" si="36"/>
        <v>-1.2000000000000011E-2</v>
      </c>
      <c r="E191" s="109">
        <f t="shared" si="38"/>
        <v>-1.2000000000000011E-2</v>
      </c>
      <c r="F191" s="109">
        <f ca="1">IF(表2_367162629303891213141523242526[[#This Row],[累计净值]]/MAX(INDIRECT("B21:B" &amp; ROW()))-1&lt;F190,表2_367162629303891213141523242526[[#This Row],[累计净值]]/MAX(INDIRECT("B21:B" &amp; ROW()))-1,F190)</f>
        <v>-0.13009491903964254</v>
      </c>
      <c r="G191" s="110">
        <f>表2_367162629303891213141523242526[[#This Row],[累计净值]]</f>
        <v>1.649</v>
      </c>
      <c r="H191" s="20">
        <f>表2_367162629303891213141523242526[[#This Row],[累计净值]]/$B$21-1</f>
        <v>6.8005181347150279E-2</v>
      </c>
    </row>
    <row r="192" spans="1:8">
      <c r="A192" s="15">
        <v>44287</v>
      </c>
      <c r="B192" s="112">
        <v>1.669</v>
      </c>
      <c r="C192" s="112">
        <f>C191*(1+表2_367162629303891213141523242526[[#This Row],[每日盈亏]])</f>
        <v>1.1218310302576087</v>
      </c>
      <c r="D192" s="108">
        <f t="shared" si="36"/>
        <v>2.0000000000000018E-2</v>
      </c>
      <c r="E192" s="109" t="str">
        <f t="shared" si="38"/>
        <v>/</v>
      </c>
      <c r="F192" s="109">
        <f ca="1">IF(表2_367162629303891213141523242526[[#This Row],[累计净值]]/MAX(INDIRECT("B21:B" &amp; ROW()))-1&lt;F191,表2_367162629303891213141523242526[[#This Row],[累计净值]]/MAX(INDIRECT("B21:B" &amp; ROW()))-1,F191)</f>
        <v>-0.13009491903964254</v>
      </c>
      <c r="G192" s="110">
        <f>表2_367162629303891213141523242526[[#This Row],[累计净值]]</f>
        <v>1.669</v>
      </c>
      <c r="H192" s="20">
        <f>表2_367162629303891213141523242526[[#This Row],[累计净值]]/$B$21-1</f>
        <v>8.0958549222797993E-2</v>
      </c>
    </row>
    <row r="193" spans="1:8">
      <c r="A193" s="15">
        <v>44288</v>
      </c>
      <c r="B193" s="112">
        <v>1.6850000000000001</v>
      </c>
      <c r="C193" s="112">
        <f>C192*(1+表2_367162629303891213141523242526[[#This Row],[每日盈亏]])</f>
        <v>1.1397803267417304</v>
      </c>
      <c r="D193" s="108">
        <f t="shared" si="36"/>
        <v>1.6000000000000014E-2</v>
      </c>
      <c r="E193" s="109" t="str">
        <f t="shared" si="38"/>
        <v>/</v>
      </c>
      <c r="F193" s="109">
        <f ca="1">IF(表2_367162629303891213141523242526[[#This Row],[累计净值]]/MAX(INDIRECT("B21:B" &amp; ROW()))-1&lt;F192,表2_367162629303891213141523242526[[#This Row],[累计净值]]/MAX(INDIRECT("B21:B" &amp; ROW()))-1,F192)</f>
        <v>-0.13009491903964254</v>
      </c>
      <c r="G193" s="110">
        <f>表2_367162629303891213141523242526[[#This Row],[累计净值]]</f>
        <v>1.6850000000000001</v>
      </c>
      <c r="H193" s="20">
        <f>表2_367162629303891213141523242526[[#This Row],[累计净值]]/$B$21-1</f>
        <v>9.1321243523316165E-2</v>
      </c>
    </row>
    <row r="194" spans="1:8">
      <c r="A194" s="15">
        <v>44292</v>
      </c>
      <c r="B194" s="112">
        <v>1.6930000000000001</v>
      </c>
      <c r="C194" s="112">
        <f>C193*(1+表2_367162629303891213141523242526[[#This Row],[每日盈亏]])</f>
        <v>1.1488985693556641</v>
      </c>
      <c r="D194" s="108">
        <f t="shared" si="36"/>
        <v>8.0000000000000071E-3</v>
      </c>
      <c r="E194" s="109" t="str">
        <f t="shared" si="38"/>
        <v>/</v>
      </c>
      <c r="F194" s="109">
        <f ca="1">IF(表2_367162629303891213141523242526[[#This Row],[累计净值]]/MAX(INDIRECT("B21:B" &amp; ROW()))-1&lt;F193,表2_367162629303891213141523242526[[#This Row],[累计净值]]/MAX(INDIRECT("B21:B" &amp; ROW()))-1,F193)</f>
        <v>-0.13009491903964254</v>
      </c>
      <c r="G194" s="110">
        <f>表2_367162629303891213141523242526[[#This Row],[累计净值]]</f>
        <v>1.6930000000000001</v>
      </c>
      <c r="H194" s="20">
        <f>表2_367162629303891213141523242526[[#This Row],[累计净值]]/$B$21-1</f>
        <v>9.650259067357525E-2</v>
      </c>
    </row>
    <row r="195" spans="1:8">
      <c r="A195" s="15">
        <v>44293</v>
      </c>
      <c r="B195" s="112">
        <v>1.6970000000000001</v>
      </c>
      <c r="C195" s="112">
        <f>C194*(1+表2_367162629303891213141523242526[[#This Row],[每日盈亏]])</f>
        <v>1.1534941636330869</v>
      </c>
      <c r="D195" s="108">
        <f t="shared" si="36"/>
        <v>4.0000000000000036E-3</v>
      </c>
      <c r="E195" s="109" t="str">
        <f t="shared" ref="E195:E200" si="39">IF(D195&lt;0,D195,"/")</f>
        <v>/</v>
      </c>
      <c r="F195" s="109">
        <f ca="1">IF(表2_367162629303891213141523242526[[#This Row],[累计净值]]/MAX(INDIRECT("B21:B" &amp; ROW()))-1&lt;F194,表2_367162629303891213141523242526[[#This Row],[累计净值]]/MAX(INDIRECT("B21:B" &amp; ROW()))-1,F194)</f>
        <v>-0.13009491903964254</v>
      </c>
      <c r="G195" s="110">
        <f>表2_367162629303891213141523242526[[#This Row],[累计净值]]</f>
        <v>1.6970000000000001</v>
      </c>
      <c r="H195" s="20">
        <f>表2_367162629303891213141523242526[[#This Row],[累计净值]]/$B$21-1</f>
        <v>9.9093264248704571E-2</v>
      </c>
    </row>
    <row r="196" spans="1:8">
      <c r="A196" s="15">
        <v>44294</v>
      </c>
      <c r="B196" s="112">
        <v>1.702</v>
      </c>
      <c r="C196" s="112">
        <f>C195*(1+表2_367162629303891213141523242526[[#This Row],[每日盈亏]])</f>
        <v>1.1592616344512523</v>
      </c>
      <c r="D196" s="108">
        <f t="shared" si="36"/>
        <v>4.9999999999998934E-3</v>
      </c>
      <c r="E196" s="109" t="str">
        <f t="shared" si="39"/>
        <v>/</v>
      </c>
      <c r="F196" s="109">
        <f ca="1">IF(表2_367162629303891213141523242526[[#This Row],[累计净值]]/MAX(INDIRECT("B21:B" &amp; ROW()))-1&lt;F195,表2_367162629303891213141523242526[[#This Row],[累计净值]]/MAX(INDIRECT("B21:B" &amp; ROW()))-1,F195)</f>
        <v>-0.13009491903964254</v>
      </c>
      <c r="G196" s="110">
        <f>表2_367162629303891213141523242526[[#This Row],[累计净值]]</f>
        <v>1.702</v>
      </c>
      <c r="H196" s="20">
        <f>表2_367162629303891213141523242526[[#This Row],[累计净值]]/$B$21-1</f>
        <v>0.1023316062176165</v>
      </c>
    </row>
    <row r="197" spans="1:8">
      <c r="A197" s="15">
        <v>44295</v>
      </c>
      <c r="B197" s="112">
        <v>1.696</v>
      </c>
      <c r="C197" s="112">
        <f>C196*(1+表2_367162629303891213141523242526[[#This Row],[每日盈亏]])</f>
        <v>1.1523060646445449</v>
      </c>
      <c r="D197" s="108">
        <f t="shared" si="36"/>
        <v>-6.0000000000000053E-3</v>
      </c>
      <c r="E197" s="109">
        <f t="shared" si="39"/>
        <v>-6.0000000000000053E-3</v>
      </c>
      <c r="F197" s="109">
        <f ca="1">IF(表2_367162629303891213141523242526[[#This Row],[累计净值]]/MAX(INDIRECT("B21:B" &amp; ROW()))-1&lt;F196,表2_367162629303891213141523242526[[#This Row],[累计净值]]/MAX(INDIRECT("B21:B" &amp; ROW()))-1,F196)</f>
        <v>-0.13009491903964254</v>
      </c>
      <c r="G197" s="110">
        <f>表2_367162629303891213141523242526[[#This Row],[累计净值]]</f>
        <v>1.696</v>
      </c>
      <c r="H197" s="20">
        <f>表2_367162629303891213141523242526[[#This Row],[累计净值]]/$B$21-1</f>
        <v>9.8445595854922185E-2</v>
      </c>
    </row>
    <row r="198" spans="1:8">
      <c r="A198" s="15">
        <v>44298</v>
      </c>
      <c r="B198" s="112">
        <v>1.66</v>
      </c>
      <c r="C198" s="112">
        <f>C197*(1+表2_367162629303891213141523242526[[#This Row],[每日盈亏]])</f>
        <v>1.1108230463173412</v>
      </c>
      <c r="D198" s="108">
        <f t="shared" si="36"/>
        <v>-3.6000000000000032E-2</v>
      </c>
      <c r="E198" s="109">
        <f t="shared" si="39"/>
        <v>-3.6000000000000032E-2</v>
      </c>
      <c r="F198" s="109">
        <f ca="1">IF(表2_367162629303891213141523242526[[#This Row],[累计净值]]/MAX(INDIRECT("B21:B" &amp; ROW()))-1&lt;F197,表2_367162629303891213141523242526[[#This Row],[累计净值]]/MAX(INDIRECT("B21:B" &amp; ROW()))-1,F197)</f>
        <v>-0.13009491903964254</v>
      </c>
      <c r="G198" s="110">
        <f>表2_367162629303891213141523242526[[#This Row],[累计净值]]</f>
        <v>1.66</v>
      </c>
      <c r="H198" s="20">
        <f>表2_367162629303891213141523242526[[#This Row],[累计净值]]/$B$21-1</f>
        <v>7.51295336787563E-2</v>
      </c>
    </row>
    <row r="199" spans="1:8">
      <c r="A199" s="15">
        <v>44299</v>
      </c>
      <c r="B199" s="112">
        <v>1.6559999999999999</v>
      </c>
      <c r="C199" s="112">
        <f>C198*(1+表2_367162629303891213141523242526[[#This Row],[每日盈亏]])</f>
        <v>1.1063797541320719</v>
      </c>
      <c r="D199" s="108">
        <f t="shared" si="36"/>
        <v>-4.0000000000000036E-3</v>
      </c>
      <c r="E199" s="109">
        <f t="shared" si="39"/>
        <v>-4.0000000000000036E-3</v>
      </c>
      <c r="F199" s="109">
        <f ca="1">IF(表2_367162629303891213141523242526[[#This Row],[累计净值]]/MAX(INDIRECT("B21:B" &amp; ROW()))-1&lt;F198,表2_367162629303891213141523242526[[#This Row],[累计净值]]/MAX(INDIRECT("B21:B" &amp; ROW()))-1,F198)</f>
        <v>-0.13009491903964254</v>
      </c>
      <c r="G199" s="110">
        <f>表2_367162629303891213141523242526[[#This Row],[累计净值]]</f>
        <v>1.6559999999999999</v>
      </c>
      <c r="H199" s="20">
        <f>表2_367162629303891213141523242526[[#This Row],[累计净值]]/$B$21-1</f>
        <v>7.2538860103626757E-2</v>
      </c>
    </row>
    <row r="200" spans="1:8">
      <c r="A200" s="15">
        <v>44300</v>
      </c>
      <c r="B200" s="112">
        <v>1.681</v>
      </c>
      <c r="C200" s="112">
        <f>C199*(1+表2_367162629303891213141523242526[[#This Row],[每日盈亏]])</f>
        <v>1.1340392479853738</v>
      </c>
      <c r="D200" s="108">
        <f t="shared" si="36"/>
        <v>2.5000000000000133E-2</v>
      </c>
      <c r="E200" s="109" t="str">
        <f t="shared" si="39"/>
        <v>/</v>
      </c>
      <c r="F200" s="109">
        <f ca="1">IF(表2_367162629303891213141523242526[[#This Row],[累计净值]]/MAX(INDIRECT("B21:B" &amp; ROW()))-1&lt;F199,表2_367162629303891213141523242526[[#This Row],[累计净值]]/MAX(INDIRECT("B21:B" &amp; ROW()))-1,F199)</f>
        <v>-0.13009491903964254</v>
      </c>
      <c r="G200" s="110">
        <f>表2_367162629303891213141523242526[[#This Row],[累计净值]]</f>
        <v>1.681</v>
      </c>
      <c r="H200" s="20">
        <f>表2_367162629303891213141523242526[[#This Row],[累计净值]]/$B$21-1</f>
        <v>8.8730569948186622E-2</v>
      </c>
    </row>
    <row r="201" spans="1:8">
      <c r="A201" s="15">
        <v>44301</v>
      </c>
      <c r="B201" s="112">
        <v>1.6759999999999999</v>
      </c>
      <c r="C201" s="112">
        <f>C200*(1+表2_367162629303891213141523242526[[#This Row],[每日盈亏]])</f>
        <v>1.1283690517454468</v>
      </c>
      <c r="D201" s="108">
        <f t="shared" si="36"/>
        <v>-5.0000000000001155E-3</v>
      </c>
      <c r="E201" s="109">
        <f t="shared" ref="E201:E206" si="40">IF(D201&lt;0,D201,"/")</f>
        <v>-5.0000000000001155E-3</v>
      </c>
      <c r="F201" s="109">
        <f ca="1">IF(表2_367162629303891213141523242526[[#This Row],[累计净值]]/MAX(INDIRECT("B21:B" &amp; ROW()))-1&lt;F200,表2_367162629303891213141523242526[[#This Row],[累计净值]]/MAX(INDIRECT("B21:B" &amp; ROW()))-1,F200)</f>
        <v>-0.13009491903964254</v>
      </c>
      <c r="G201" s="110">
        <f>表2_367162629303891213141523242526[[#This Row],[累计净值]]</f>
        <v>1.6759999999999999</v>
      </c>
      <c r="H201" s="20">
        <f>表2_367162629303891213141523242526[[#This Row],[累计净值]]/$B$21-1</f>
        <v>8.5492227979274471E-2</v>
      </c>
    </row>
    <row r="202" spans="1:8">
      <c r="A202" s="15">
        <v>44302</v>
      </c>
      <c r="B202" s="112">
        <v>1.6850000000000001</v>
      </c>
      <c r="C202" s="112">
        <f>C201*(1+表2_367162629303891213141523242526[[#This Row],[每日盈亏]])</f>
        <v>1.1385243732111558</v>
      </c>
      <c r="D202" s="108">
        <f t="shared" si="36"/>
        <v>9.000000000000119E-3</v>
      </c>
      <c r="E202" s="109" t="str">
        <f t="shared" si="40"/>
        <v>/</v>
      </c>
      <c r="F202" s="109">
        <f ca="1">IF(表2_367162629303891213141523242526[[#This Row],[累计净值]]/MAX(INDIRECT("B21:B" &amp; ROW()))-1&lt;F201,表2_367162629303891213141523242526[[#This Row],[累计净值]]/MAX(INDIRECT("B21:B" &amp; ROW()))-1,F201)</f>
        <v>-0.13009491903964254</v>
      </c>
      <c r="G202" s="110">
        <f>表2_367162629303891213141523242526[[#This Row],[累计净值]]</f>
        <v>1.6850000000000001</v>
      </c>
      <c r="H202" s="20">
        <f>表2_367162629303891213141523242526[[#This Row],[累计净值]]/$B$21-1</f>
        <v>9.1321243523316165E-2</v>
      </c>
    </row>
    <row r="203" spans="1:8">
      <c r="A203" s="15">
        <v>44305</v>
      </c>
      <c r="B203" s="112">
        <v>1.72</v>
      </c>
      <c r="C203" s="112">
        <f>C202*(1+表2_367162629303891213141523242526[[#This Row],[每日盈亏]])</f>
        <v>1.1783727262735462</v>
      </c>
      <c r="D203" s="108">
        <f t="shared" si="36"/>
        <v>3.499999999999992E-2</v>
      </c>
      <c r="E203" s="109" t="str">
        <f t="shared" si="40"/>
        <v>/</v>
      </c>
      <c r="F203" s="109">
        <f ca="1">IF(表2_367162629303891213141523242526[[#This Row],[累计净值]]/MAX(INDIRECT("B21:B" &amp; ROW()))-1&lt;F202,表2_367162629303891213141523242526[[#This Row],[累计净值]]/MAX(INDIRECT("B21:B" &amp; ROW()))-1,F202)</f>
        <v>-0.13009491903964254</v>
      </c>
      <c r="G203" s="110">
        <f>表2_367162629303891213141523242526[[#This Row],[累计净值]]</f>
        <v>1.72</v>
      </c>
      <c r="H203" s="20">
        <f>表2_367162629303891213141523242526[[#This Row],[累计净值]]/$B$21-1</f>
        <v>0.11398963730569944</v>
      </c>
    </row>
    <row r="204" spans="1:8">
      <c r="A204" s="15">
        <v>44306</v>
      </c>
      <c r="B204" s="112">
        <v>1.722</v>
      </c>
      <c r="C204" s="112">
        <f>C203*(1+表2_367162629303891213141523242526[[#This Row],[每日盈亏]])</f>
        <v>1.1807294717260932</v>
      </c>
      <c r="D204" s="108">
        <f t="shared" si="36"/>
        <v>2.0000000000000018E-3</v>
      </c>
      <c r="E204" s="109" t="str">
        <f t="shared" si="40"/>
        <v>/</v>
      </c>
      <c r="F204" s="109">
        <f ca="1">IF(表2_367162629303891213141523242526[[#This Row],[累计净值]]/MAX(INDIRECT("B21:B" &amp; ROW()))-1&lt;F203,表2_367162629303891213141523242526[[#This Row],[累计净值]]/MAX(INDIRECT("B21:B" &amp; ROW()))-1,F203)</f>
        <v>-0.13009491903964254</v>
      </c>
      <c r="G204" s="110">
        <f>表2_367162629303891213141523242526[[#This Row],[累计净值]]</f>
        <v>1.722</v>
      </c>
      <c r="H204" s="20">
        <f>表2_367162629303891213141523242526[[#This Row],[累计净值]]/$B$21-1</f>
        <v>0.11528497409326421</v>
      </c>
    </row>
    <row r="205" spans="1:8">
      <c r="A205" s="15">
        <v>44307</v>
      </c>
      <c r="B205" s="112">
        <v>1.7250000000000001</v>
      </c>
      <c r="C205" s="112">
        <f>C204*(1+表2_367162629303891213141523242526[[#This Row],[每日盈亏]])</f>
        <v>1.1842716601412717</v>
      </c>
      <c r="D205" s="108">
        <f t="shared" si="36"/>
        <v>3.0000000000001137E-3</v>
      </c>
      <c r="E205" s="109" t="str">
        <f t="shared" si="40"/>
        <v>/</v>
      </c>
      <c r="F205" s="109">
        <f ca="1">IF(表2_367162629303891213141523242526[[#This Row],[累计净值]]/MAX(INDIRECT("B21:B" &amp; ROW()))-1&lt;F204,表2_367162629303891213141523242526[[#This Row],[累计净值]]/MAX(INDIRECT("B21:B" &amp; ROW()))-1,F204)</f>
        <v>-0.13009491903964254</v>
      </c>
      <c r="G205" s="110">
        <f>表2_367162629303891213141523242526[[#This Row],[累计净值]]</f>
        <v>1.7250000000000001</v>
      </c>
      <c r="H205" s="20">
        <f>表2_367162629303891213141523242526[[#This Row],[累计净值]]/$B$21-1</f>
        <v>0.11722797927461137</v>
      </c>
    </row>
    <row r="206" spans="1:8">
      <c r="A206" s="15">
        <v>44308</v>
      </c>
      <c r="B206" s="112">
        <v>1.74</v>
      </c>
      <c r="C206" s="112">
        <f>C205*(1+表2_367162629303891213141523242526[[#This Row],[每日盈亏]])</f>
        <v>1.2020357350433908</v>
      </c>
      <c r="D206" s="108">
        <f t="shared" si="36"/>
        <v>1.4999999999999902E-2</v>
      </c>
      <c r="E206" s="109" t="str">
        <f t="shared" si="40"/>
        <v>/</v>
      </c>
      <c r="F206" s="109">
        <f ca="1">IF(表2_367162629303891213141523242526[[#This Row],[累计净值]]/MAX(INDIRECT("B21:B" &amp; ROW()))-1&lt;F205,表2_367162629303891213141523242526[[#This Row],[累计净值]]/MAX(INDIRECT("B21:B" &amp; ROW()))-1,F205)</f>
        <v>-0.13009491903964254</v>
      </c>
      <c r="G206" s="110">
        <f>表2_367162629303891213141523242526[[#This Row],[累计净值]]</f>
        <v>1.74</v>
      </c>
      <c r="H206" s="20">
        <f>表2_367162629303891213141523242526[[#This Row],[累计净值]]/$B$21-1</f>
        <v>0.12694300518134716</v>
      </c>
    </row>
    <row r="207" spans="1:8">
      <c r="A207" s="15">
        <v>44309</v>
      </c>
      <c r="B207" s="112">
        <v>1.742</v>
      </c>
      <c r="C207" s="112">
        <f>C206*(1+表2_367162629303891213141523242526[[#This Row],[每日盈亏]])</f>
        <v>1.2044398065134776</v>
      </c>
      <c r="D207" s="108">
        <f t="shared" si="36"/>
        <v>2.0000000000000018E-3</v>
      </c>
      <c r="E207" s="109" t="str">
        <f>IF(D207&lt;0,D207,"/")</f>
        <v>/</v>
      </c>
      <c r="F207" s="109">
        <f ca="1">IF(表2_367162629303891213141523242526[[#This Row],[累计净值]]/MAX(INDIRECT("B21:B" &amp; ROW()))-1&lt;F206,表2_367162629303891213141523242526[[#This Row],[累计净值]]/MAX(INDIRECT("B21:B" &amp; ROW()))-1,F206)</f>
        <v>-0.13009491903964254</v>
      </c>
      <c r="G207" s="110">
        <f>表2_367162629303891213141523242526[[#This Row],[累计净值]]</f>
        <v>1.742</v>
      </c>
      <c r="H207" s="20">
        <f>表2_367162629303891213141523242526[[#This Row],[累计净值]]/$B$21-1</f>
        <v>0.12823834196891193</v>
      </c>
    </row>
    <row r="208" spans="1:8">
      <c r="A208" s="15">
        <v>44312</v>
      </c>
      <c r="B208" s="112">
        <v>1.7350000000000001</v>
      </c>
      <c r="C208" s="112">
        <f>C207*(1+表2_367162629303891213141523242526[[#This Row],[每日盈亏]])</f>
        <v>1.1960087278678835</v>
      </c>
      <c r="D208" s="108">
        <f t="shared" si="36"/>
        <v>-6.9999999999998952E-3</v>
      </c>
      <c r="E208" s="109">
        <f>IF(D208&lt;0,D208,"/")</f>
        <v>-6.9999999999998952E-3</v>
      </c>
      <c r="F208" s="109">
        <f ca="1">IF(表2_367162629303891213141523242526[[#This Row],[累计净值]]/MAX(INDIRECT("B21:B" &amp; ROW()))-1&lt;F207,表2_367162629303891213141523242526[[#This Row],[累计净值]]/MAX(INDIRECT("B21:B" &amp; ROW()))-1,F207)</f>
        <v>-0.13009491903964254</v>
      </c>
      <c r="G208" s="110">
        <f>表2_367162629303891213141523242526[[#This Row],[累计净值]]</f>
        <v>1.7350000000000001</v>
      </c>
      <c r="H208" s="20">
        <f>表2_367162629303891213141523242526[[#This Row],[累计净值]]/$B$21-1</f>
        <v>0.12370466321243523</v>
      </c>
    </row>
    <row r="209" spans="1:8">
      <c r="A209" s="15">
        <v>44313</v>
      </c>
      <c r="B209" s="112">
        <v>1.7350000000000001</v>
      </c>
      <c r="C209" s="112">
        <f>C208*(1+表2_367162629303891213141523242526[[#This Row],[每日盈亏]])</f>
        <v>1.1960087278678835</v>
      </c>
      <c r="D209" s="108">
        <f t="shared" si="36"/>
        <v>0</v>
      </c>
      <c r="E209" s="109" t="str">
        <f>IF(D209&lt;0,D209,"/")</f>
        <v>/</v>
      </c>
      <c r="F209" s="109">
        <f ca="1">IF(表2_367162629303891213141523242526[[#This Row],[累计净值]]/MAX(INDIRECT("B21:B" &amp; ROW()))-1&lt;F208,表2_367162629303891213141523242526[[#This Row],[累计净值]]/MAX(INDIRECT("B21:B" &amp; ROW()))-1,F208)</f>
        <v>-0.13009491903964254</v>
      </c>
      <c r="G209" s="110">
        <f>表2_367162629303891213141523242526[[#This Row],[累计净值]]</f>
        <v>1.7350000000000001</v>
      </c>
      <c r="H209" s="20">
        <f>表2_367162629303891213141523242526[[#This Row],[累计净值]]/$B$21-1</f>
        <v>0.12370466321243523</v>
      </c>
    </row>
    <row r="210" spans="1:8">
      <c r="A210" s="15">
        <v>44314</v>
      </c>
      <c r="B210" s="112">
        <v>1.7509999999999999</v>
      </c>
      <c r="C210" s="112">
        <f>C209*(1+表2_367162629303891213141523242526[[#This Row],[每日盈亏]])</f>
        <v>1.2151448675137693</v>
      </c>
      <c r="D210" s="108">
        <f t="shared" si="36"/>
        <v>1.5999999999999792E-2</v>
      </c>
      <c r="E210" s="109" t="str">
        <f>IF(D210&lt;0,D210,"/")</f>
        <v>/</v>
      </c>
      <c r="F210" s="109">
        <f ca="1">IF(表2_367162629303891213141523242526[[#This Row],[累计净值]]/MAX(INDIRECT("B21:B" &amp; ROW()))-1&lt;F209,表2_367162629303891213141523242526[[#This Row],[累计净值]]/MAX(INDIRECT("B21:B" &amp; ROW()))-1,F209)</f>
        <v>-0.13009491903964254</v>
      </c>
      <c r="G210" s="110">
        <f>表2_367162629303891213141523242526[[#This Row],[累计净值]]</f>
        <v>1.7509999999999999</v>
      </c>
      <c r="H210" s="20">
        <f>表2_367162629303891213141523242526[[#This Row],[累计净值]]/$B$21-1</f>
        <v>0.13406735751295318</v>
      </c>
    </row>
    <row r="211" spans="1:8">
      <c r="A211" s="15">
        <v>44315</v>
      </c>
      <c r="B211" s="112">
        <v>1.7470000000000001</v>
      </c>
      <c r="C211" s="112">
        <f>C210*(1+表2_367162629303891213141523242526[[#This Row],[每日盈亏]])</f>
        <v>1.2102842880437144</v>
      </c>
      <c r="D211" s="108">
        <f t="shared" si="36"/>
        <v>-3.9999999999997815E-3</v>
      </c>
      <c r="E211" s="109">
        <f t="shared" ref="E211:E213" si="41">IF(D211&lt;0,D211,"/")</f>
        <v>-3.9999999999997815E-3</v>
      </c>
      <c r="F211" s="109">
        <f ca="1">IF(表2_367162629303891213141523242526[[#This Row],[累计净值]]/MAX(INDIRECT("B21:B" &amp; ROW()))-1&lt;F210,表2_367162629303891213141523242526[[#This Row],[累计净值]]/MAX(INDIRECT("B21:B" &amp; ROW()))-1,F210)</f>
        <v>-0.13009491903964254</v>
      </c>
      <c r="G211" s="110">
        <f>表2_367162629303891213141523242526[[#This Row],[累计净值]]</f>
        <v>1.7470000000000001</v>
      </c>
      <c r="H211" s="20">
        <f>表2_367162629303891213141523242526[[#This Row],[累计净值]]/$B$21-1</f>
        <v>0.13147668393782386</v>
      </c>
    </row>
    <row r="212" spans="1:8">
      <c r="A212" s="15">
        <v>44316</v>
      </c>
      <c r="B212" s="112">
        <v>1.742</v>
      </c>
      <c r="C212" s="112">
        <f>C211*(1+表2_367162629303891213141523242526[[#This Row],[每日盈亏]])</f>
        <v>1.2042328666034956</v>
      </c>
      <c r="D212" s="108">
        <f t="shared" si="36"/>
        <v>-5.0000000000001155E-3</v>
      </c>
      <c r="E212" s="109">
        <f t="shared" si="41"/>
        <v>-5.0000000000001155E-3</v>
      </c>
      <c r="F212" s="109">
        <f ca="1">IF(表2_367162629303891213141523242526[[#This Row],[累计净值]]/MAX(INDIRECT("B21:B" &amp; ROW()))-1&lt;F211,表2_367162629303891213141523242526[[#This Row],[累计净值]]/MAX(INDIRECT("B21:B" &amp; ROW()))-1,F211)</f>
        <v>-0.13009491903964254</v>
      </c>
      <c r="G212" s="110">
        <f>表2_367162629303891213141523242526[[#This Row],[累计净值]]</f>
        <v>1.742</v>
      </c>
      <c r="H212" s="20">
        <f>表2_367162629303891213141523242526[[#This Row],[累计净值]]/$B$21-1</f>
        <v>0.12823834196891193</v>
      </c>
    </row>
    <row r="213" spans="1:8">
      <c r="A213" s="15">
        <v>44322</v>
      </c>
      <c r="B213" s="112">
        <v>1.7370000000000001</v>
      </c>
      <c r="C213" s="112">
        <f>C212*(1+表2_367162629303891213141523242526[[#This Row],[每日盈亏]])</f>
        <v>1.1982117022704784</v>
      </c>
      <c r="D213" s="108">
        <f t="shared" ref="D213:D220" si="42">IFERROR(B213-B212,0)</f>
        <v>-4.9999999999998934E-3</v>
      </c>
      <c r="E213" s="109">
        <f t="shared" si="41"/>
        <v>-4.9999999999998934E-3</v>
      </c>
      <c r="F213" s="109">
        <f ca="1">IF(表2_367162629303891213141523242526[[#This Row],[累计净值]]/MAX(INDIRECT("B21:B" &amp; ROW()))-1&lt;F212,表2_367162629303891213141523242526[[#This Row],[累计净值]]/MAX(INDIRECT("B21:B" &amp; ROW()))-1,F212)</f>
        <v>-0.13009491903964254</v>
      </c>
      <c r="G213" s="110">
        <f>表2_367162629303891213141523242526[[#This Row],[累计净值]]</f>
        <v>1.7370000000000001</v>
      </c>
      <c r="H213" s="20">
        <f>表2_367162629303891213141523242526[[#This Row],[累计净值]]/$B$21-1</f>
        <v>0.125</v>
      </c>
    </row>
    <row r="214" spans="1:8">
      <c r="A214" s="15">
        <v>44323</v>
      </c>
      <c r="B214" s="112">
        <v>1.702</v>
      </c>
      <c r="C214" s="112">
        <f>C213*(1+表2_367162629303891213141523242526[[#This Row],[每日盈亏]])</f>
        <v>1.1562742926910115</v>
      </c>
      <c r="D214" s="108">
        <f t="shared" si="42"/>
        <v>-3.5000000000000142E-2</v>
      </c>
      <c r="E214" s="109">
        <f t="shared" ref="E214:E219" si="43">IF(D214&lt;0,D214,"/")</f>
        <v>-3.5000000000000142E-2</v>
      </c>
      <c r="F214" s="109">
        <f ca="1">IF(表2_367162629303891213141523242526[[#This Row],[累计净值]]/MAX(INDIRECT("B21:B" &amp; ROW()))-1&lt;F213,表2_367162629303891213141523242526[[#This Row],[累计净值]]/MAX(INDIRECT("B21:B" &amp; ROW()))-1,F213)</f>
        <v>-0.13009491903964254</v>
      </c>
      <c r="G214" s="110">
        <f>表2_367162629303891213141523242526[[#This Row],[累计净值]]</f>
        <v>1.702</v>
      </c>
      <c r="H214" s="20">
        <f>表2_367162629303891213141523242526[[#This Row],[累计净值]]/$B$21-1</f>
        <v>0.1023316062176165</v>
      </c>
    </row>
    <row r="215" spans="1:8">
      <c r="A215" s="15">
        <v>44326</v>
      </c>
      <c r="B215" s="112">
        <v>1.71</v>
      </c>
      <c r="C215" s="112">
        <f>C214*(1+表2_367162629303891213141523242526[[#This Row],[每日盈亏]])</f>
        <v>1.1655244870325396</v>
      </c>
      <c r="D215" s="108">
        <f t="shared" si="42"/>
        <v>8.0000000000000071E-3</v>
      </c>
      <c r="E215" s="109" t="str">
        <f t="shared" si="43"/>
        <v>/</v>
      </c>
      <c r="F215" s="109">
        <f ca="1">IF(表2_367162629303891213141523242526[[#This Row],[累计净值]]/MAX(INDIRECT("B21:B" &amp; ROW()))-1&lt;F214,表2_367162629303891213141523242526[[#This Row],[累计净值]]/MAX(INDIRECT("B21:B" &amp; ROW()))-1,F214)</f>
        <v>-0.13009491903964254</v>
      </c>
      <c r="G215" s="110">
        <f>表2_367162629303891213141523242526[[#This Row],[累计净值]]</f>
        <v>1.71</v>
      </c>
      <c r="H215" s="20">
        <f>表2_367162629303891213141523242526[[#This Row],[累计净值]]/$B$21-1</f>
        <v>0.10751295336787559</v>
      </c>
    </row>
    <row r="216" spans="1:8">
      <c r="A216" s="15">
        <v>44327</v>
      </c>
      <c r="B216" s="112">
        <v>1.708</v>
      </c>
      <c r="C216" s="112">
        <f>C215*(1+表2_367162629303891213141523242526[[#This Row],[每日盈亏]])</f>
        <v>1.1631934380584745</v>
      </c>
      <c r="D216" s="108">
        <f t="shared" si="42"/>
        <v>-2.0000000000000018E-3</v>
      </c>
      <c r="E216" s="109">
        <f t="shared" si="43"/>
        <v>-2.0000000000000018E-3</v>
      </c>
      <c r="F216" s="109">
        <f ca="1">IF(表2_367162629303891213141523242526[[#This Row],[累计净值]]/MAX(INDIRECT("B21:B" &amp; ROW()))-1&lt;F215,表2_367162629303891213141523242526[[#This Row],[累计净值]]/MAX(INDIRECT("B21:B" &amp; ROW()))-1,F215)</f>
        <v>-0.13009491903964254</v>
      </c>
      <c r="G216" s="110">
        <f>表2_367162629303891213141523242526[[#This Row],[累计净值]]</f>
        <v>1.708</v>
      </c>
      <c r="H216" s="20">
        <f>表2_367162629303891213141523242526[[#This Row],[累计净值]]/$B$21-1</f>
        <v>0.10621761658031081</v>
      </c>
    </row>
    <row r="217" spans="1:8">
      <c r="A217" s="15">
        <v>44328</v>
      </c>
      <c r="B217" s="112">
        <v>1.732</v>
      </c>
      <c r="C217" s="112">
        <f>C216*(1+表2_367162629303891213141523242526[[#This Row],[每日盈亏]])</f>
        <v>1.1911100805718779</v>
      </c>
      <c r="D217" s="108">
        <f t="shared" si="42"/>
        <v>2.4000000000000021E-2</v>
      </c>
      <c r="E217" s="109" t="str">
        <f t="shared" si="43"/>
        <v>/</v>
      </c>
      <c r="F217" s="109">
        <f ca="1">IF(表2_367162629303891213141523242526[[#This Row],[累计净值]]/MAX(INDIRECT("B21:B" &amp; ROW()))-1&lt;F216,表2_367162629303891213141523242526[[#This Row],[累计净值]]/MAX(INDIRECT("B21:B" &amp; ROW()))-1,F216)</f>
        <v>-0.13009491903964254</v>
      </c>
      <c r="G217" s="110">
        <f>表2_367162629303891213141523242526[[#This Row],[累计净值]]</f>
        <v>1.732</v>
      </c>
      <c r="H217" s="20">
        <f>表2_367162629303891213141523242526[[#This Row],[累计净值]]/$B$21-1</f>
        <v>0.12176165803108807</v>
      </c>
    </row>
    <row r="218" spans="1:8">
      <c r="A218" s="15">
        <v>44329</v>
      </c>
      <c r="B218" s="112">
        <v>1.7170000000000001</v>
      </c>
      <c r="C218" s="112">
        <f>C217*(1+表2_367162629303891213141523242526[[#This Row],[每日盈亏]])</f>
        <v>1.1732434293632998</v>
      </c>
      <c r="D218" s="108">
        <f t="shared" si="42"/>
        <v>-1.4999999999999902E-2</v>
      </c>
      <c r="E218" s="109">
        <f t="shared" si="43"/>
        <v>-1.4999999999999902E-2</v>
      </c>
      <c r="F218" s="109">
        <f ca="1">IF(表2_367162629303891213141523242526[[#This Row],[累计净值]]/MAX(INDIRECT("B21:B" &amp; ROW()))-1&lt;F217,表2_367162629303891213141523242526[[#This Row],[累计净值]]/MAX(INDIRECT("B21:B" &amp; ROW()))-1,F217)</f>
        <v>-0.13009491903964254</v>
      </c>
      <c r="G218" s="110">
        <f>表2_367162629303891213141523242526[[#This Row],[累计净值]]</f>
        <v>1.7170000000000001</v>
      </c>
      <c r="H218" s="20">
        <f>表2_367162629303891213141523242526[[#This Row],[累计净值]]/$B$21-1</f>
        <v>0.11204663212435229</v>
      </c>
    </row>
    <row r="219" spans="1:8">
      <c r="A219" s="15">
        <v>44330</v>
      </c>
      <c r="B219" s="112">
        <v>1.742</v>
      </c>
      <c r="C219" s="112">
        <f>C218*(1+表2_367162629303891213141523242526[[#This Row],[每日盈亏]])</f>
        <v>1.2025745150973823</v>
      </c>
      <c r="D219" s="108">
        <f t="shared" si="42"/>
        <v>2.4999999999999911E-2</v>
      </c>
      <c r="E219" s="109" t="str">
        <f t="shared" si="43"/>
        <v>/</v>
      </c>
      <c r="F219" s="109">
        <f ca="1">IF(表2_367162629303891213141523242526[[#This Row],[累计净值]]/MAX(INDIRECT("B21:B" &amp; ROW()))-1&lt;F218,表2_367162629303891213141523242526[[#This Row],[累计净值]]/MAX(INDIRECT("B21:B" &amp; ROW()))-1,F218)</f>
        <v>-0.13009491903964254</v>
      </c>
      <c r="G219" s="110">
        <f>表2_367162629303891213141523242526[[#This Row],[累计净值]]</f>
        <v>1.742</v>
      </c>
      <c r="H219" s="20">
        <f>表2_367162629303891213141523242526[[#This Row],[累计净值]]/$B$21-1</f>
        <v>0.12823834196891193</v>
      </c>
    </row>
    <row r="220" spans="1:8">
      <c r="A220" s="15">
        <v>44333</v>
      </c>
      <c r="B220" s="112">
        <v>1.7549999999999999</v>
      </c>
      <c r="C220" s="112">
        <f>C219*(1+表2_367162629303891213141523242526[[#This Row],[每日盈亏]])</f>
        <v>1.2182079837936481</v>
      </c>
      <c r="D220" s="108">
        <f t="shared" si="42"/>
        <v>1.2999999999999901E-2</v>
      </c>
      <c r="E220" s="109" t="str">
        <f>IF(D220&lt;0,D220,"/")</f>
        <v>/</v>
      </c>
      <c r="F220" s="109">
        <f ca="1">IF(表2_367162629303891213141523242526[[#This Row],[累计净值]]/MAX(INDIRECT("B21:B" &amp; ROW()))-1&lt;F219,表2_367162629303891213141523242526[[#This Row],[累计净值]]/MAX(INDIRECT("B21:B" &amp; ROW()))-1,F219)</f>
        <v>-0.13009491903964254</v>
      </c>
      <c r="G220" s="110">
        <f>表2_367162629303891213141523242526[[#This Row],[累计净值]]</f>
        <v>1.7549999999999999</v>
      </c>
      <c r="H220" s="20">
        <f>表2_367162629303891213141523242526[[#This Row],[累计净值]]/$B$21-1</f>
        <v>0.13665803108808272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P190"/>
  <sheetViews>
    <sheetView topLeftCell="A157" workbookViewId="0">
      <selection activeCell="C184" activeCellId="33" sqref="C25 C30 C35 C40 C44 C49 C54 C59 C64 C69 C74 C79 C84 C89 C94 C99 C103 C108 C113 C118 C123 C128 C133 C138 C143 C148 C153 C158 C163 C167 C172 C177 C182 C184"/>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4" width="9" style="1"/>
    <col min="15" max="15" width="10.33203125" style="1" bestFit="1" customWidth="1"/>
    <col min="16" max="16384" width="9" style="1"/>
  </cols>
  <sheetData>
    <row r="1" spans="1:7" ht="16" thickBot="1"/>
    <row r="2" spans="1:7" ht="16" thickBot="1">
      <c r="A2" s="23" t="s">
        <v>0</v>
      </c>
      <c r="B2" s="24">
        <f>COUNT(表2_367162629303891213141523242526272829[每日盈亏])</f>
        <v>170</v>
      </c>
      <c r="C2" s="27"/>
      <c r="D2" s="3" t="s">
        <v>1</v>
      </c>
      <c r="E2" s="28"/>
      <c r="F2" s="1" t="s">
        <v>2</v>
      </c>
      <c r="G2" s="400" t="s">
        <v>3</v>
      </c>
    </row>
    <row r="3" spans="1:7">
      <c r="A3" s="25" t="s">
        <v>4</v>
      </c>
      <c r="B3" s="26">
        <f>COUNTIF(表2_367162629303891213141523242526272829[每日盈亏],"&gt;0")</f>
        <v>86</v>
      </c>
      <c r="C3" s="29"/>
      <c r="D3" s="30" t="s">
        <v>5</v>
      </c>
      <c r="E3" s="31">
        <f>245^0.5*(B10-0.025/365)/E10</f>
        <v>0.66171402816601432</v>
      </c>
      <c r="G3" s="400"/>
    </row>
    <row r="4" spans="1:7">
      <c r="A4" s="25" t="s">
        <v>6</v>
      </c>
      <c r="B4" s="26">
        <f>COUNTIF(表2_367162629303891213141523242526272829[每日盈亏],"&lt;0")</f>
        <v>82</v>
      </c>
      <c r="C4" s="29"/>
      <c r="D4" s="32" t="s">
        <v>7</v>
      </c>
      <c r="E4" s="31">
        <f ca="1">-B9/E8</f>
        <v>1.5470388195286104</v>
      </c>
      <c r="G4" s="2">
        <f>LOOKUP(999^10,表2_367162629303891213141523242526272829[累计净值])</f>
        <v>1.091</v>
      </c>
    </row>
    <row r="5" spans="1:7">
      <c r="A5" s="25" t="s">
        <v>8</v>
      </c>
      <c r="B5" s="26">
        <f>B2-B3-B4</f>
        <v>2</v>
      </c>
      <c r="C5" s="29"/>
      <c r="D5" s="33" t="s">
        <v>9</v>
      </c>
      <c r="E5" s="4">
        <f>245^0.5*(B10-0.025/365)/E9</f>
        <v>1.062806851598882</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LOOKUP(999^10,表2_367162629303891213141523242526272829[累计净值])/$B$21-1</f>
        <v>9.1218243648729658E-2</v>
      </c>
      <c r="C8" s="40"/>
      <c r="D8" s="30" t="s">
        <v>13</v>
      </c>
      <c r="E8" s="41">
        <f ca="1">MIN(表2_367162629303891213141523242526272829[最大回撤])</f>
        <v>-8.4976268711208447E-2</v>
      </c>
    </row>
    <row r="9" spans="1:7">
      <c r="A9" s="25" t="s">
        <v>14</v>
      </c>
      <c r="B9" s="32">
        <f>B8*245/B2</f>
        <v>0.13146158643493391</v>
      </c>
      <c r="C9" s="40"/>
      <c r="D9" s="33" t="s">
        <v>15</v>
      </c>
      <c r="E9" s="6">
        <f>STDEV(表2_367162629303891213141523242526272829[下跌幅度])</f>
        <v>6.8921323992893945E-3</v>
      </c>
    </row>
    <row r="10" spans="1:7">
      <c r="A10" s="42" t="s">
        <v>16</v>
      </c>
      <c r="B10" s="43">
        <f>AVERAGE(表2_367162629303891213141523242526272829[每日盈亏])</f>
        <v>5.3647058823529385E-4</v>
      </c>
      <c r="C10" s="44"/>
      <c r="D10" s="33" t="s">
        <v>17</v>
      </c>
      <c r="E10" s="6">
        <f>STDEV(表2_367162629303891213141523242526272829[每日盈亏])</f>
        <v>1.1069744971847073E-2</v>
      </c>
    </row>
    <row r="11" spans="1:7">
      <c r="A11" s="7" t="s">
        <v>18</v>
      </c>
      <c r="B11" s="32">
        <f>B3/B2</f>
        <v>0.50588235294117645</v>
      </c>
      <c r="C11" s="40"/>
      <c r="D11" s="32" t="s">
        <v>19</v>
      </c>
      <c r="E11" s="41">
        <f>245^0.5*E10</f>
        <v>0.17326891575445585</v>
      </c>
    </row>
    <row r="12" spans="1:7" ht="16" thickBot="1">
      <c r="A12" s="45" t="s">
        <v>20</v>
      </c>
      <c r="B12" s="46">
        <f>-(SUMIF(表2_367162629303891213141523242526272829[每日盈亏],"&gt;=0")/B3)/(SUMIF(表2_367162629303891213141523242526272829[每日盈亏],"&lt;0")/B4)</f>
        <v>1.0776256162541704</v>
      </c>
      <c r="C12" s="47"/>
      <c r="D12" s="48"/>
      <c r="E12" s="49"/>
    </row>
    <row r="14" spans="1:7" ht="32">
      <c r="A14" s="50" t="s">
        <v>21</v>
      </c>
      <c r="B14" s="50" t="s">
        <v>14</v>
      </c>
      <c r="C14" s="51" t="s">
        <v>19</v>
      </c>
      <c r="D14" s="51" t="s">
        <v>13</v>
      </c>
      <c r="E14" s="51" t="s">
        <v>5</v>
      </c>
      <c r="F14" s="51" t="s">
        <v>7</v>
      </c>
    </row>
    <row r="15" spans="1:7">
      <c r="A15" s="78">
        <f>B2</f>
        <v>170</v>
      </c>
      <c r="B15" s="53">
        <f>B9</f>
        <v>0.13146158643493391</v>
      </c>
      <c r="C15" s="53">
        <f>E11</f>
        <v>0.17326891575445585</v>
      </c>
      <c r="D15" s="53">
        <f ca="1">E8</f>
        <v>-8.4976268711208447E-2</v>
      </c>
      <c r="E15" s="54">
        <f>E3</f>
        <v>0.66171402816601432</v>
      </c>
      <c r="F15" s="54">
        <f ca="1">E4</f>
        <v>1.5470388195286104</v>
      </c>
    </row>
    <row r="19" spans="1:8">
      <c r="A19" s="8"/>
      <c r="B19" s="1" t="s">
        <v>22</v>
      </c>
    </row>
    <row r="20" spans="1:8" ht="16">
      <c r="A20" s="22" t="s">
        <v>23</v>
      </c>
      <c r="B20" s="22" t="s">
        <v>24</v>
      </c>
      <c r="C20" s="22" t="s">
        <v>113</v>
      </c>
      <c r="D20" s="22" t="s">
        <v>25</v>
      </c>
      <c r="E20" s="22" t="s">
        <v>26</v>
      </c>
      <c r="F20" s="22" t="s">
        <v>27</v>
      </c>
      <c r="G20" s="22" t="s">
        <v>28</v>
      </c>
      <c r="H20" s="22" t="s">
        <v>29</v>
      </c>
    </row>
    <row r="21" spans="1:8">
      <c r="A21" s="15">
        <v>44074</v>
      </c>
      <c r="B21" s="112">
        <v>0.99980000000000002</v>
      </c>
      <c r="C21" s="112"/>
      <c r="D21" s="11">
        <f t="shared" ref="D21:D52" si="0">IFERROR(B21-B20,0)</f>
        <v>0</v>
      </c>
      <c r="E21" s="12" t="str">
        <f t="shared" ref="E21:E27" si="1">IF(D21&lt;0,D21,"/")</f>
        <v>/</v>
      </c>
      <c r="F21" s="12">
        <f ca="1">IF(表2_367162629303891213141523242526272829[[#This Row],[累计净值]]/MAX(INDIRECT("B21:B" &amp; ROW()))-1&lt;F20,表2_367162629303891213141523242526272829[[#This Row],[累计净值]]/MAX(INDIRECT("B21:B" &amp; ROW()))-1,F20)</f>
        <v>0</v>
      </c>
      <c r="G21" s="13">
        <f>表2_367162629303891213141523242526272829[[#This Row],[累计净值]]</f>
        <v>0.99980000000000002</v>
      </c>
      <c r="H21" s="194" t="s">
        <v>30</v>
      </c>
    </row>
    <row r="22" spans="1:8">
      <c r="A22" s="15">
        <v>44075</v>
      </c>
      <c r="B22" s="112">
        <v>0.99980000000000002</v>
      </c>
      <c r="C22" s="112"/>
      <c r="D22" s="17">
        <f t="shared" si="0"/>
        <v>0</v>
      </c>
      <c r="E22" s="18" t="str">
        <f t="shared" si="1"/>
        <v>/</v>
      </c>
      <c r="F22" s="18">
        <f ca="1">IF(表2_367162629303891213141523242526272829[[#This Row],[累计净值]]/MAX(INDIRECT("B21:B" &amp; ROW()))-1&lt;F21,表2_367162629303891213141523242526272829[[#This Row],[累计净值]]/MAX(INDIRECT("B21:B" &amp; ROW()))-1,F21)</f>
        <v>0</v>
      </c>
      <c r="G22" s="19">
        <f>表2_367162629303891213141523242526272829[[#This Row],[累计净值]]</f>
        <v>0.99980000000000002</v>
      </c>
      <c r="H22" s="20">
        <f>表2_367162629303891213141523242526272829[[#This Row],[累计净值]]/$B$21-1</f>
        <v>0</v>
      </c>
    </row>
    <row r="23" spans="1:8">
      <c r="A23" s="15">
        <v>44076</v>
      </c>
      <c r="B23" s="112">
        <v>0.99819999999999998</v>
      </c>
      <c r="C23" s="112"/>
      <c r="D23" s="17">
        <f t="shared" si="0"/>
        <v>-1.6000000000000458E-3</v>
      </c>
      <c r="E23" s="109">
        <f t="shared" si="1"/>
        <v>-1.6000000000000458E-3</v>
      </c>
      <c r="F23" s="18">
        <f ca="1">IF(表2_367162629303891213141523242526272829[[#This Row],[累计净值]]/MAX(INDIRECT("B21:B" &amp; ROW()))-1&lt;F22,表2_367162629303891213141523242526272829[[#This Row],[累计净值]]/MAX(INDIRECT("B21:B" &amp; ROW()))-1,F22)</f>
        <v>-1.6003200640128945E-3</v>
      </c>
      <c r="G23" s="110">
        <f>表2_367162629303891213141523242526272829[[#This Row],[累计净值]]</f>
        <v>0.99819999999999998</v>
      </c>
      <c r="H23" s="20">
        <f>表2_367162629303891213141523242526272829[[#This Row],[累计净值]]/$B$21-1</f>
        <v>-1.6003200640128945E-3</v>
      </c>
    </row>
    <row r="24" spans="1:8">
      <c r="A24" s="15">
        <v>44077</v>
      </c>
      <c r="B24" s="112">
        <v>0.99129999999999996</v>
      </c>
      <c r="C24" s="112"/>
      <c r="D24" s="17">
        <f t="shared" si="0"/>
        <v>-6.9000000000000172E-3</v>
      </c>
      <c r="E24" s="109">
        <f t="shared" si="1"/>
        <v>-6.9000000000000172E-3</v>
      </c>
      <c r="F24" s="18">
        <f ca="1">IF(表2_367162629303891213141523242526272829[[#This Row],[累计净值]]/MAX(INDIRECT("B21:B" &amp; ROW()))-1&lt;F23,表2_367162629303891213141523242526272829[[#This Row],[累计净值]]/MAX(INDIRECT("B21:B" &amp; ROW()))-1,F23)</f>
        <v>-8.5017003400680302E-3</v>
      </c>
      <c r="G24" s="110">
        <f>表2_367162629303891213141523242526272829[[#This Row],[累计净值]]</f>
        <v>0.99129999999999996</v>
      </c>
      <c r="H24" s="20">
        <f>表2_367162629303891213141523242526272829[[#This Row],[累计净值]]/$B$21-1</f>
        <v>-8.5017003400680302E-3</v>
      </c>
    </row>
    <row r="25" spans="1:8">
      <c r="A25" s="15">
        <v>44078</v>
      </c>
      <c r="B25" s="112">
        <v>0.98460000000000003</v>
      </c>
      <c r="C25" s="112">
        <v>1</v>
      </c>
      <c r="D25" s="17">
        <f t="shared" si="0"/>
        <v>-6.6999999999999282E-3</v>
      </c>
      <c r="E25" s="109">
        <f t="shared" si="1"/>
        <v>-6.6999999999999282E-3</v>
      </c>
      <c r="F25" s="18">
        <f ca="1">IF(表2_367162629303891213141523242526272829[[#This Row],[累计净值]]/MAX(INDIRECT("B21:B" &amp; ROW()))-1&lt;F24,表2_367162629303891213141523242526272829[[#This Row],[累计净值]]/MAX(INDIRECT("B21:B" &amp; ROW()))-1,F24)</f>
        <v>-1.520304060812161E-2</v>
      </c>
      <c r="G25" s="110">
        <f>表2_367162629303891213141523242526272829[[#This Row],[累计净值]]</f>
        <v>0.98460000000000003</v>
      </c>
      <c r="H25" s="20">
        <f>表2_367162629303891213141523242526272829[[#This Row],[累计净值]]/$B$21-1</f>
        <v>-1.520304060812161E-2</v>
      </c>
    </row>
    <row r="26" spans="1:8">
      <c r="A26" s="15">
        <v>44081</v>
      </c>
      <c r="B26" s="112">
        <v>0.96789999999999998</v>
      </c>
      <c r="C26" s="112">
        <f>C25*(1+表2_367162629303891213141523242526272829[[#This Row],[每日盈亏]])</f>
        <v>0.98329999999999995</v>
      </c>
      <c r="D26" s="17">
        <f t="shared" si="0"/>
        <v>-1.6700000000000048E-2</v>
      </c>
      <c r="E26" s="109">
        <f t="shared" si="1"/>
        <v>-1.6700000000000048E-2</v>
      </c>
      <c r="F26" s="18">
        <f ca="1">IF(表2_367162629303891213141523242526272829[[#This Row],[累计净值]]/MAX(INDIRECT("B21:B" &amp; ROW()))-1&lt;F25,表2_367162629303891213141523242526272829[[#This Row],[累计净值]]/MAX(INDIRECT("B21:B" &amp; ROW()))-1,F25)</f>
        <v>-3.1906381276255336E-2</v>
      </c>
      <c r="G26" s="110">
        <f>表2_367162629303891213141523242526272829[[#This Row],[累计净值]]</f>
        <v>0.96789999999999998</v>
      </c>
      <c r="H26" s="20">
        <f>表2_367162629303891213141523242526272829[[#This Row],[累计净值]]/$B$21-1</f>
        <v>-3.1906381276255336E-2</v>
      </c>
    </row>
    <row r="27" spans="1:8">
      <c r="A27" s="15">
        <v>44082</v>
      </c>
      <c r="B27" s="112">
        <v>0.97160000000000002</v>
      </c>
      <c r="C27" s="112">
        <f>C26*(1+表2_367162629303891213141523242526272829[[#This Row],[每日盈亏]])</f>
        <v>0.98693821000000004</v>
      </c>
      <c r="D27" s="17">
        <f t="shared" si="0"/>
        <v>3.7000000000000366E-3</v>
      </c>
      <c r="E27" s="109" t="str">
        <f t="shared" si="1"/>
        <v>/</v>
      </c>
      <c r="F27" s="18">
        <f ca="1">IF(表2_367162629303891213141523242526272829[[#This Row],[累计净值]]/MAX(INDIRECT("B21:B" &amp; ROW()))-1&lt;F26,表2_367162629303891213141523242526272829[[#This Row],[累计净值]]/MAX(INDIRECT("B21:B" &amp; ROW()))-1,F26)</f>
        <v>-3.1906381276255336E-2</v>
      </c>
      <c r="G27" s="110">
        <f>表2_367162629303891213141523242526272829[[#This Row],[累计净值]]</f>
        <v>0.97160000000000002</v>
      </c>
      <c r="H27" s="20">
        <f>表2_367162629303891213141523242526272829[[#This Row],[累计净值]]/$B$21-1</f>
        <v>-2.8205641128225656E-2</v>
      </c>
    </row>
    <row r="28" spans="1:8">
      <c r="A28" s="15">
        <v>44083</v>
      </c>
      <c r="B28" s="112">
        <v>0.94879999999999998</v>
      </c>
      <c r="C28" s="112">
        <f>C27*(1+表2_367162629303891213141523242526272829[[#This Row],[每日盈亏]])</f>
        <v>0.96443601881200003</v>
      </c>
      <c r="D28" s="108">
        <f t="shared" si="0"/>
        <v>-2.2800000000000042E-2</v>
      </c>
      <c r="E28" s="109">
        <f t="shared" ref="E28:E33" si="2">IF(D28&lt;0,D28,"/")</f>
        <v>-2.2800000000000042E-2</v>
      </c>
      <c r="F28" s="109">
        <f ca="1">IF(表2_367162629303891213141523242526272829[[#This Row],[累计净值]]/MAX(INDIRECT("B21:B" &amp; ROW()))-1&lt;F27,表2_367162629303891213141523242526272829[[#This Row],[累计净值]]/MAX(INDIRECT("B21:B" &amp; ROW()))-1,F27)</f>
        <v>-5.1010202040408181E-2</v>
      </c>
      <c r="G28" s="110">
        <f>表2_367162629303891213141523242526272829[[#This Row],[累计净值]]</f>
        <v>0.94879999999999998</v>
      </c>
      <c r="H28" s="20">
        <f>表2_367162629303891213141523242526272829[[#This Row],[累计净值]]/$B$21-1</f>
        <v>-5.1010202040408181E-2</v>
      </c>
    </row>
    <row r="29" spans="1:8">
      <c r="A29" s="15">
        <v>44084</v>
      </c>
      <c r="B29" s="112">
        <v>0.93520000000000003</v>
      </c>
      <c r="C29" s="112">
        <f>C28*(1+表2_367162629303891213141523242526272829[[#This Row],[每日盈亏]])</f>
        <v>0.95131968895615693</v>
      </c>
      <c r="D29" s="108">
        <f t="shared" si="0"/>
        <v>-1.3599999999999945E-2</v>
      </c>
      <c r="E29" s="109">
        <f t="shared" si="2"/>
        <v>-1.3599999999999945E-2</v>
      </c>
      <c r="F29" s="109">
        <f ca="1">IF(表2_367162629303891213141523242526272829[[#This Row],[累计净值]]/MAX(INDIRECT("B21:B" &amp; ROW()))-1&lt;F28,表2_367162629303891213141523242526272829[[#This Row],[累计净值]]/MAX(INDIRECT("B21:B" &amp; ROW()))-1,F28)</f>
        <v>-6.4612922584516896E-2</v>
      </c>
      <c r="G29" s="110">
        <f>表2_367162629303891213141523242526272829[[#This Row],[累计净值]]</f>
        <v>0.93520000000000003</v>
      </c>
      <c r="H29" s="20">
        <f>表2_367162629303891213141523242526272829[[#This Row],[累计净值]]/$B$21-1</f>
        <v>-6.4612922584516896E-2</v>
      </c>
    </row>
    <row r="30" spans="1:8">
      <c r="A30" s="15">
        <v>44085</v>
      </c>
      <c r="B30" s="112">
        <v>0.9466</v>
      </c>
      <c r="C30" s="112">
        <f>C29*(1+表2_367162629303891213141523242526272829[[#This Row],[每日盈亏]])</f>
        <v>0.96216473341025721</v>
      </c>
      <c r="D30" s="108">
        <f t="shared" si="0"/>
        <v>1.1399999999999966E-2</v>
      </c>
      <c r="E30" s="109" t="str">
        <f t="shared" si="2"/>
        <v>/</v>
      </c>
      <c r="F30" s="109">
        <f ca="1">IF(表2_367162629303891213141523242526272829[[#This Row],[累计净值]]/MAX(INDIRECT("B21:B" &amp; ROW()))-1&lt;F29,表2_367162629303891213141523242526272829[[#This Row],[累计净值]]/MAX(INDIRECT("B21:B" &amp; ROW()))-1,F29)</f>
        <v>-6.4612922584516896E-2</v>
      </c>
      <c r="G30" s="110">
        <f>表2_367162629303891213141523242526272829[[#This Row],[累计净值]]</f>
        <v>0.9466</v>
      </c>
      <c r="H30" s="20">
        <f>表2_367162629303891213141523242526272829[[#This Row],[累计净值]]/$B$21-1</f>
        <v>-5.3210642128425745E-2</v>
      </c>
    </row>
    <row r="31" spans="1:8">
      <c r="A31" s="15">
        <v>44088</v>
      </c>
      <c r="B31" s="112">
        <v>0.95430000000000004</v>
      </c>
      <c r="C31" s="112">
        <f>C30*(1+表2_367162629303891213141523242526272829[[#This Row],[每日盈亏]])</f>
        <v>0.96957340185751628</v>
      </c>
      <c r="D31" s="108">
        <f t="shared" si="0"/>
        <v>7.7000000000000401E-3</v>
      </c>
      <c r="E31" s="109" t="str">
        <f t="shared" si="2"/>
        <v>/</v>
      </c>
      <c r="F31" s="109">
        <f ca="1">IF(表2_367162629303891213141523242526272829[[#This Row],[累计净值]]/MAX(INDIRECT("B21:B" &amp; ROW()))-1&lt;F30,表2_367162629303891213141523242526272829[[#This Row],[累计净值]]/MAX(INDIRECT("B21:B" &amp; ROW()))-1,F30)</f>
        <v>-6.4612922584516896E-2</v>
      </c>
      <c r="G31" s="110">
        <f>表2_367162629303891213141523242526272829[[#This Row],[累计净值]]</f>
        <v>0.95430000000000004</v>
      </c>
      <c r="H31" s="20">
        <f>表2_367162629303891213141523242526272829[[#This Row],[累计净值]]/$B$21-1</f>
        <v>-4.5509101820364051E-2</v>
      </c>
    </row>
    <row r="32" spans="1:8">
      <c r="A32" s="15">
        <v>44089</v>
      </c>
      <c r="B32" s="112">
        <v>0.95930000000000004</v>
      </c>
      <c r="C32" s="112">
        <f>C31*(1+表2_367162629303891213141523242526272829[[#This Row],[每日盈亏]])</f>
        <v>0.9744212688668038</v>
      </c>
      <c r="D32" s="108">
        <f t="shared" si="0"/>
        <v>5.0000000000000044E-3</v>
      </c>
      <c r="E32" s="109" t="str">
        <f t="shared" si="2"/>
        <v>/</v>
      </c>
      <c r="F32" s="109">
        <f ca="1">IF(表2_367162629303891213141523242526272829[[#This Row],[累计净值]]/MAX(INDIRECT("B21:B" &amp; ROW()))-1&lt;F31,表2_367162629303891213141523242526272829[[#This Row],[累计净值]]/MAX(INDIRECT("B21:B" &amp; ROW()))-1,F31)</f>
        <v>-6.4612922584516896E-2</v>
      </c>
      <c r="G32" s="110">
        <f>表2_367162629303891213141523242526272829[[#This Row],[累计净值]]</f>
        <v>0.95930000000000004</v>
      </c>
      <c r="H32" s="20">
        <f>表2_367162629303891213141523242526272829[[#This Row],[累计净值]]/$B$21-1</f>
        <v>-4.0508101620324033E-2</v>
      </c>
    </row>
    <row r="33" spans="1:10">
      <c r="A33" s="15">
        <v>44090</v>
      </c>
      <c r="B33" s="112">
        <v>0.95450000000000002</v>
      </c>
      <c r="C33" s="112">
        <f>C32*(1+表2_367162629303891213141523242526272829[[#This Row],[每日盈亏]])</f>
        <v>0.96974404677624315</v>
      </c>
      <c r="D33" s="108">
        <f t="shared" si="0"/>
        <v>-4.8000000000000265E-3</v>
      </c>
      <c r="E33" s="109">
        <f t="shared" si="2"/>
        <v>-4.8000000000000265E-3</v>
      </c>
      <c r="F33" s="109">
        <f ca="1">IF(表2_367162629303891213141523242526272829[[#This Row],[累计净值]]/MAX(INDIRECT("B21:B" &amp; ROW()))-1&lt;F32,表2_367162629303891213141523242526272829[[#This Row],[累计净值]]/MAX(INDIRECT("B21:B" &amp; ROW()))-1,F32)</f>
        <v>-6.4612922584516896E-2</v>
      </c>
      <c r="G33" s="110">
        <f>表2_367162629303891213141523242526272829[[#This Row],[累计净值]]</f>
        <v>0.95450000000000002</v>
      </c>
      <c r="H33" s="20">
        <f>表2_367162629303891213141523242526272829[[#This Row],[累计净值]]/$B$21-1</f>
        <v>-4.5309061812362494E-2</v>
      </c>
    </row>
    <row r="34" spans="1:10">
      <c r="A34" s="15">
        <v>44091</v>
      </c>
      <c r="B34" s="112">
        <v>0.95760000000000001</v>
      </c>
      <c r="C34" s="112">
        <f>C33*(1+表2_367162629303891213141523242526272829[[#This Row],[每日盈亏]])</f>
        <v>0.97275025332124943</v>
      </c>
      <c r="D34" s="108">
        <f t="shared" si="0"/>
        <v>3.0999999999999917E-3</v>
      </c>
      <c r="E34" s="109" t="str">
        <f t="shared" ref="E34:E39" si="3">IF(D34&lt;0,D34,"/")</f>
        <v>/</v>
      </c>
      <c r="F34" s="109">
        <f ca="1">IF(表2_367162629303891213141523242526272829[[#This Row],[累计净值]]/MAX(INDIRECT("B21:B" &amp; ROW()))-1&lt;F33,表2_367162629303891213141523242526272829[[#This Row],[累计净值]]/MAX(INDIRECT("B21:B" &amp; ROW()))-1,F33)</f>
        <v>-6.4612922584516896E-2</v>
      </c>
      <c r="G34" s="110">
        <f>表2_367162629303891213141523242526272829[[#This Row],[累计净值]]</f>
        <v>0.95760000000000001</v>
      </c>
      <c r="H34" s="20">
        <f>表2_367162629303891213141523242526272829[[#This Row],[累计净值]]/$B$21-1</f>
        <v>-4.2208441688337706E-2</v>
      </c>
    </row>
    <row r="35" spans="1:10">
      <c r="A35" s="15">
        <v>44092</v>
      </c>
      <c r="B35" s="112">
        <v>0.97040000000000004</v>
      </c>
      <c r="C35" s="112">
        <f>C34*(1+表2_367162629303891213141523242526272829[[#This Row],[每日盈亏]])</f>
        <v>0.98520145656376135</v>
      </c>
      <c r="D35" s="108">
        <f t="shared" si="0"/>
        <v>1.2800000000000034E-2</v>
      </c>
      <c r="E35" s="109" t="str">
        <f t="shared" si="3"/>
        <v>/</v>
      </c>
      <c r="F35" s="109">
        <f ca="1">IF(表2_367162629303891213141523242526272829[[#This Row],[累计净值]]/MAX(INDIRECT("B21:B" &amp; ROW()))-1&lt;F34,表2_367162629303891213141523242526272829[[#This Row],[累计净值]]/MAX(INDIRECT("B21:B" &amp; ROW()))-1,F34)</f>
        <v>-6.4612922584516896E-2</v>
      </c>
      <c r="G35" s="110">
        <f>表2_367162629303891213141523242526272829[[#This Row],[累计净值]]</f>
        <v>0.97040000000000004</v>
      </c>
      <c r="H35" s="20">
        <f>表2_367162629303891213141523242526272829[[#This Row],[累计净值]]/$B$21-1</f>
        <v>-2.9405881176235216E-2</v>
      </c>
    </row>
    <row r="36" spans="1:10">
      <c r="A36" s="15">
        <v>44095</v>
      </c>
      <c r="B36" s="112">
        <v>0.96509999999999996</v>
      </c>
      <c r="C36" s="112">
        <f>C35*(1+表2_367162629303891213141523242526272829[[#This Row],[每日盈亏]])</f>
        <v>0.97997988884397336</v>
      </c>
      <c r="D36" s="108">
        <f t="shared" si="0"/>
        <v>-5.3000000000000824E-3</v>
      </c>
      <c r="E36" s="109">
        <f t="shared" si="3"/>
        <v>-5.3000000000000824E-3</v>
      </c>
      <c r="F36" s="109">
        <f ca="1">IF(表2_367162629303891213141523242526272829[[#This Row],[累计净值]]/MAX(INDIRECT("B21:B" &amp; ROW()))-1&lt;F35,表2_367162629303891213141523242526272829[[#This Row],[累计净值]]/MAX(INDIRECT("B21:B" &amp; ROW()))-1,F35)</f>
        <v>-6.4612922584516896E-2</v>
      </c>
      <c r="G36" s="110">
        <f>表2_367162629303891213141523242526272829[[#This Row],[累计净值]]</f>
        <v>0.96509999999999996</v>
      </c>
      <c r="H36" s="20">
        <f>表2_367162629303891213141523242526272829[[#This Row],[累计净值]]/$B$21-1</f>
        <v>-3.4706941388277679E-2</v>
      </c>
    </row>
    <row r="37" spans="1:10">
      <c r="A37" s="15">
        <v>44096</v>
      </c>
      <c r="B37" s="112">
        <v>0.95499999999999996</v>
      </c>
      <c r="C37" s="112">
        <f>C36*(1+表2_367162629303891213141523242526272829[[#This Row],[每日盈亏]])</f>
        <v>0.97008209196664918</v>
      </c>
      <c r="D37" s="108">
        <f t="shared" si="0"/>
        <v>-1.0099999999999998E-2</v>
      </c>
      <c r="E37" s="109">
        <f t="shared" si="3"/>
        <v>-1.0099999999999998E-2</v>
      </c>
      <c r="F37" s="109">
        <f ca="1">IF(表2_367162629303891213141523242526272829[[#This Row],[累计净值]]/MAX(INDIRECT("B21:B" &amp; ROW()))-1&lt;F36,表2_367162629303891213141523242526272829[[#This Row],[累计净值]]/MAX(INDIRECT("B21:B" &amp; ROW()))-1,F36)</f>
        <v>-6.4612922584516896E-2</v>
      </c>
      <c r="G37" s="110">
        <f>表2_367162629303891213141523242526272829[[#This Row],[累计净值]]</f>
        <v>0.95499999999999996</v>
      </c>
      <c r="H37" s="20">
        <f>表2_367162629303891213141523242526272829[[#This Row],[累计净值]]/$B$21-1</f>
        <v>-4.4808961792358493E-2</v>
      </c>
    </row>
    <row r="38" spans="1:10">
      <c r="A38" s="15">
        <v>44097</v>
      </c>
      <c r="B38" s="112">
        <v>0.96150000000000002</v>
      </c>
      <c r="C38" s="112">
        <f>C37*(1+表2_367162629303891213141523242526272829[[#This Row],[每日盈亏]])</f>
        <v>0.97638762556443237</v>
      </c>
      <c r="D38" s="108">
        <f t="shared" si="0"/>
        <v>6.5000000000000613E-3</v>
      </c>
      <c r="E38" s="109" t="str">
        <f t="shared" si="3"/>
        <v>/</v>
      </c>
      <c r="F38" s="109">
        <f ca="1">IF(表2_367162629303891213141523242526272829[[#This Row],[累计净值]]/MAX(INDIRECT("B21:B" &amp; ROW()))-1&lt;F37,表2_367162629303891213141523242526272829[[#This Row],[累计净值]]/MAX(INDIRECT("B21:B" &amp; ROW()))-1,F37)</f>
        <v>-6.4612922584516896E-2</v>
      </c>
      <c r="G38" s="110">
        <f>表2_367162629303891213141523242526272829[[#This Row],[累计净值]]</f>
        <v>0.96150000000000002</v>
      </c>
      <c r="H38" s="20">
        <f>表2_367162629303891213141523242526272829[[#This Row],[累计净值]]/$B$21-1</f>
        <v>-3.830766153230647E-2</v>
      </c>
    </row>
    <row r="39" spans="1:10">
      <c r="A39" s="15">
        <v>44098</v>
      </c>
      <c r="B39" s="112">
        <v>0.94099999999999995</v>
      </c>
      <c r="C39" s="112">
        <f>C38*(1+表2_367162629303891213141523242526272829[[#This Row],[每日盈亏]])</f>
        <v>0.95637167924036148</v>
      </c>
      <c r="D39" s="108">
        <f t="shared" si="0"/>
        <v>-2.0500000000000074E-2</v>
      </c>
      <c r="E39" s="109">
        <f t="shared" si="3"/>
        <v>-2.0500000000000074E-2</v>
      </c>
      <c r="F39" s="109">
        <f ca="1">IF(表2_367162629303891213141523242526272829[[#This Row],[累计净值]]/MAX(INDIRECT("B21:B" &amp; ROW()))-1&lt;F38,表2_367162629303891213141523242526272829[[#This Row],[累计净值]]/MAX(INDIRECT("B21:B" &amp; ROW()))-1,F38)</f>
        <v>-6.4612922584516896E-2</v>
      </c>
      <c r="G39" s="110">
        <f>表2_367162629303891213141523242526272829[[#This Row],[累计净值]]</f>
        <v>0.94099999999999995</v>
      </c>
      <c r="H39" s="20">
        <f>表2_367162629303891213141523242526272829[[#This Row],[累计净值]]/$B$21-1</f>
        <v>-5.8811762352470542E-2</v>
      </c>
    </row>
    <row r="40" spans="1:10">
      <c r="A40" s="15">
        <v>44099</v>
      </c>
      <c r="B40" s="112">
        <v>0.93940000000000001</v>
      </c>
      <c r="C40" s="112">
        <f>C39*(1+表2_367162629303891213141523242526272829[[#This Row],[每日盈亏]])</f>
        <v>0.95484148455357698</v>
      </c>
      <c r="D40" s="108">
        <f t="shared" si="0"/>
        <v>-1.5999999999999348E-3</v>
      </c>
      <c r="E40" s="109">
        <f>IF(D40&lt;0,D40,"/")</f>
        <v>-1.5999999999999348E-3</v>
      </c>
      <c r="F40" s="109">
        <f ca="1">IF(表2_367162629303891213141523242526272829[[#This Row],[累计净值]]/MAX(INDIRECT("B21:B" &amp; ROW()))-1&lt;F39,表2_367162629303891213141523242526272829[[#This Row],[累计净值]]/MAX(INDIRECT("B21:B" &amp; ROW()))-1,F39)</f>
        <v>-6.4612922584516896E-2</v>
      </c>
      <c r="G40" s="110">
        <f>表2_367162629303891213141523242526272829[[#This Row],[累计净值]]</f>
        <v>0.93940000000000001</v>
      </c>
      <c r="H40" s="20">
        <f>表2_367162629303891213141523242526272829[[#This Row],[累计净值]]/$B$21-1</f>
        <v>-6.0412082416483326E-2</v>
      </c>
    </row>
    <row r="41" spans="1:10">
      <c r="A41" s="15">
        <v>44102</v>
      </c>
      <c r="B41" s="112">
        <v>0.93400000000000005</v>
      </c>
      <c r="C41" s="112">
        <f>C40*(1+表2_367162629303891213141523242526272829[[#This Row],[每日盈亏]])</f>
        <v>0.94968534053698772</v>
      </c>
      <c r="D41" s="108">
        <f t="shared" si="0"/>
        <v>-5.3999999999999604E-3</v>
      </c>
      <c r="E41" s="109">
        <f>IF(D41&lt;0,D41,"/")</f>
        <v>-5.3999999999999604E-3</v>
      </c>
      <c r="F41" s="109">
        <f ca="1">IF(表2_367162629303891213141523242526272829[[#This Row],[累计净值]]/MAX(INDIRECT("B21:B" &amp; ROW()))-1&lt;F40,表2_367162629303891213141523242526272829[[#This Row],[累计净值]]/MAX(INDIRECT("B21:B" &amp; ROW()))-1,F40)</f>
        <v>-6.5813162632526456E-2</v>
      </c>
      <c r="G41" s="110">
        <f>表2_367162629303891213141523242526272829[[#This Row],[累计净值]]</f>
        <v>0.93400000000000005</v>
      </c>
      <c r="H41" s="20">
        <f>表2_367162629303891213141523242526272829[[#This Row],[累计净值]]/$B$21-1</f>
        <v>-6.5813162632526456E-2</v>
      </c>
    </row>
    <row r="42" spans="1:10">
      <c r="A42" s="15">
        <v>44103</v>
      </c>
      <c r="B42" s="112">
        <v>0.94169999999999998</v>
      </c>
      <c r="C42" s="112">
        <f>C41*(1+表2_367162629303891213141523242526272829[[#This Row],[每日盈亏]])</f>
        <v>0.95699791765912234</v>
      </c>
      <c r="D42" s="108">
        <f t="shared" si="0"/>
        <v>7.6999999999999291E-3</v>
      </c>
      <c r="E42" s="109" t="str">
        <f t="shared" ref="E42:E43" si="4">IF(D42&lt;0,D42,"/")</f>
        <v>/</v>
      </c>
      <c r="F42" s="109">
        <f ca="1">IF(表2_367162629303891213141523242526272829[[#This Row],[累计净值]]/MAX(INDIRECT("B21:B" &amp; ROW()))-1&lt;F41,表2_367162629303891213141523242526272829[[#This Row],[累计净值]]/MAX(INDIRECT("B21:B" &amp; ROW()))-1,F41)</f>
        <v>-6.5813162632526456E-2</v>
      </c>
      <c r="G42" s="110">
        <f>表2_367162629303891213141523242526272829[[#This Row],[累计净值]]</f>
        <v>0.94169999999999998</v>
      </c>
      <c r="H42" s="20">
        <f>表2_367162629303891213141523242526272829[[#This Row],[累计净值]]/$B$21-1</f>
        <v>-5.8111622324464984E-2</v>
      </c>
    </row>
    <row r="43" spans="1:10">
      <c r="A43" s="15">
        <v>44104</v>
      </c>
      <c r="B43" s="112">
        <v>0.94030000000000002</v>
      </c>
      <c r="C43" s="112">
        <f>C42*(1+表2_367162629303891213141523242526272829[[#This Row],[每日盈亏]])</f>
        <v>0.95565812057439958</v>
      </c>
      <c r="D43" s="108">
        <f t="shared" si="0"/>
        <v>-1.3999999999999568E-3</v>
      </c>
      <c r="E43" s="109">
        <f t="shared" si="4"/>
        <v>-1.3999999999999568E-3</v>
      </c>
      <c r="F43" s="109">
        <f ca="1">IF(表2_367162629303891213141523242526272829[[#This Row],[累计净值]]/MAX(INDIRECT("B21:B" &amp; ROW()))-1&lt;F42,表2_367162629303891213141523242526272829[[#This Row],[累计净值]]/MAX(INDIRECT("B21:B" &amp; ROW()))-1,F42)</f>
        <v>-6.5813162632526456E-2</v>
      </c>
      <c r="G43" s="110">
        <f>表2_367162629303891213141523242526272829[[#This Row],[累计净值]]</f>
        <v>0.94030000000000002</v>
      </c>
      <c r="H43" s="20">
        <f>表2_367162629303891213141523242526272829[[#This Row],[累计净值]]/$B$21-1</f>
        <v>-5.95119023804761E-2</v>
      </c>
    </row>
    <row r="44" spans="1:10">
      <c r="A44" s="15">
        <v>44113</v>
      </c>
      <c r="B44" s="112">
        <v>0.96319999999999995</v>
      </c>
      <c r="C44" s="112">
        <f>C43*(1+表2_367162629303891213141523242526272829[[#This Row],[每日盈亏]])</f>
        <v>0.97754269153555329</v>
      </c>
      <c r="D44" s="108">
        <f t="shared" si="0"/>
        <v>2.289999999999992E-2</v>
      </c>
      <c r="E44" s="109" t="str">
        <f t="shared" ref="E44:E50" si="5">IF(D44&lt;0,D44,"/")</f>
        <v>/</v>
      </c>
      <c r="F44" s="109">
        <f ca="1">IF(表2_367162629303891213141523242526272829[[#This Row],[累计净值]]/MAX(INDIRECT("B21:B" &amp; ROW()))-1&lt;F43,表2_367162629303891213141523242526272829[[#This Row],[累计净值]]/MAX(INDIRECT("B21:B" &amp; ROW()))-1,F43)</f>
        <v>-6.5813162632526456E-2</v>
      </c>
      <c r="G44" s="110">
        <f>表2_367162629303891213141523242526272829[[#This Row],[累计净值]]</f>
        <v>0.96319999999999995</v>
      </c>
      <c r="H44" s="20">
        <f>表2_367162629303891213141523242526272829[[#This Row],[累计净值]]/$B$21-1</f>
        <v>-3.6607321464292908E-2</v>
      </c>
    </row>
    <row r="45" spans="1:10">
      <c r="A45" s="15">
        <v>44116</v>
      </c>
      <c r="B45" s="112">
        <v>0.98550000000000004</v>
      </c>
      <c r="C45" s="112">
        <f>C44*(1+表2_367162629303891213141523242526272829[[#This Row],[每日盈亏]])</f>
        <v>0.99934189355679615</v>
      </c>
      <c r="D45" s="108">
        <f t="shared" si="0"/>
        <v>2.2300000000000098E-2</v>
      </c>
      <c r="E45" s="109" t="str">
        <f t="shared" si="5"/>
        <v>/</v>
      </c>
      <c r="F45" s="109">
        <f ca="1">IF(表2_367162629303891213141523242526272829[[#This Row],[累计净值]]/MAX(INDIRECT("B21:B" &amp; ROW()))-1&lt;F44,表2_367162629303891213141523242526272829[[#This Row],[累计净值]]/MAX(INDIRECT("B21:B" &amp; ROW()))-1,F44)</f>
        <v>-6.5813162632526456E-2</v>
      </c>
      <c r="G45" s="110">
        <f>表2_367162629303891213141523242526272829[[#This Row],[累计净值]]</f>
        <v>0.98550000000000004</v>
      </c>
      <c r="H45" s="20">
        <f>表2_367162629303891213141523242526272829[[#This Row],[累计净值]]/$B$21-1</f>
        <v>-1.4302860572114384E-2</v>
      </c>
      <c r="J45" s="196" t="s">
        <v>42</v>
      </c>
    </row>
    <row r="46" spans="1:10">
      <c r="A46" s="15">
        <v>44117</v>
      </c>
      <c r="B46" s="112">
        <v>0.99</v>
      </c>
      <c r="C46" s="112">
        <f>C45*(1+表2_367162629303891213141523242526272829[[#This Row],[每日盈亏]])</f>
        <v>1.0038389320778016</v>
      </c>
      <c r="D46" s="108">
        <f t="shared" si="0"/>
        <v>4.4999999999999485E-3</v>
      </c>
      <c r="E46" s="109" t="str">
        <f t="shared" si="5"/>
        <v>/</v>
      </c>
      <c r="F46" s="109">
        <f ca="1">IF(表2_367162629303891213141523242526272829[[#This Row],[累计净值]]/MAX(INDIRECT("B21:B" &amp; ROW()))-1&lt;F45,表2_367162629303891213141523242526272829[[#This Row],[累计净值]]/MAX(INDIRECT("B21:B" &amp; ROW()))-1,F45)</f>
        <v>-6.5813162632526456E-2</v>
      </c>
      <c r="G46" s="110">
        <f>表2_367162629303891213141523242526272829[[#This Row],[累计净值]]</f>
        <v>0.99</v>
      </c>
      <c r="H46" s="20">
        <f>表2_367162629303891213141523242526272829[[#This Row],[累计净值]]/$B$21-1</f>
        <v>-9.8019603920784792E-3</v>
      </c>
    </row>
    <row r="47" spans="1:10">
      <c r="A47" s="15">
        <v>44118</v>
      </c>
      <c r="B47" s="112">
        <v>0.9869</v>
      </c>
      <c r="C47" s="112">
        <f>C46*(1+表2_367162629303891213141523242526272829[[#This Row],[每日盈亏]])</f>
        <v>1.0007270313883605</v>
      </c>
      <c r="D47" s="108">
        <f t="shared" si="0"/>
        <v>-3.0999999999999917E-3</v>
      </c>
      <c r="E47" s="109">
        <f t="shared" si="5"/>
        <v>-3.0999999999999917E-3</v>
      </c>
      <c r="F47" s="109">
        <f ca="1">IF(表2_367162629303891213141523242526272829[[#This Row],[累计净值]]/MAX(INDIRECT("B21:B" &amp; ROW()))-1&lt;F46,表2_367162629303891213141523242526272829[[#This Row],[累计净值]]/MAX(INDIRECT("B21:B" &amp; ROW()))-1,F46)</f>
        <v>-6.5813162632526456E-2</v>
      </c>
      <c r="G47" s="110">
        <f>表2_367162629303891213141523242526272829[[#This Row],[累计净值]]</f>
        <v>0.9869</v>
      </c>
      <c r="H47" s="20">
        <f>表2_367162629303891213141523242526272829[[#This Row],[累计净值]]/$B$21-1</f>
        <v>-1.2902580516103268E-2</v>
      </c>
    </row>
    <row r="48" spans="1:10">
      <c r="A48" s="15">
        <v>44119</v>
      </c>
      <c r="B48" s="112">
        <v>0.98140000000000005</v>
      </c>
      <c r="C48" s="112">
        <f>C47*(1+表2_367162629303891213141523242526272829[[#This Row],[每日盈亏]])</f>
        <v>0.99522303271572454</v>
      </c>
      <c r="D48" s="108">
        <f t="shared" si="0"/>
        <v>-5.4999999999999494E-3</v>
      </c>
      <c r="E48" s="109">
        <f t="shared" si="5"/>
        <v>-5.4999999999999494E-3</v>
      </c>
      <c r="F48" s="109">
        <f ca="1">IF(表2_367162629303891213141523242526272829[[#This Row],[累计净值]]/MAX(INDIRECT("B21:B" &amp; ROW()))-1&lt;F47,表2_367162629303891213141523242526272829[[#This Row],[累计净值]]/MAX(INDIRECT("B21:B" &amp; ROW()))-1,F47)</f>
        <v>-6.5813162632526456E-2</v>
      </c>
      <c r="G48" s="110">
        <f>表2_367162629303891213141523242526272829[[#This Row],[累计净值]]</f>
        <v>0.98140000000000005</v>
      </c>
      <c r="H48" s="20">
        <f>表2_367162629303891213141523242526272829[[#This Row],[累计净值]]/$B$21-1</f>
        <v>-1.8403680736147177E-2</v>
      </c>
    </row>
    <row r="49" spans="1:8">
      <c r="A49" s="15">
        <v>44120</v>
      </c>
      <c r="B49" s="112">
        <v>0.97909999999999997</v>
      </c>
      <c r="C49" s="112">
        <f>C48*(1+表2_367162629303891213141523242526272829[[#This Row],[每日盈亏]])</f>
        <v>0.99293401974047835</v>
      </c>
      <c r="D49" s="108">
        <f t="shared" si="0"/>
        <v>-2.3000000000000798E-3</v>
      </c>
      <c r="E49" s="109">
        <f t="shared" si="5"/>
        <v>-2.3000000000000798E-3</v>
      </c>
      <c r="F49" s="109">
        <f ca="1">IF(表2_367162629303891213141523242526272829[[#This Row],[累计净值]]/MAX(INDIRECT("B21:B" &amp; ROW()))-1&lt;F48,表2_367162629303891213141523242526272829[[#This Row],[累计净值]]/MAX(INDIRECT("B21:B" &amp; ROW()))-1,F48)</f>
        <v>-6.5813162632526456E-2</v>
      </c>
      <c r="G49" s="110">
        <f>表2_367162629303891213141523242526272829[[#This Row],[累计净值]]</f>
        <v>0.97909999999999997</v>
      </c>
      <c r="H49" s="20">
        <f>表2_367162629303891213141523242526272829[[#This Row],[累计净值]]/$B$21-1</f>
        <v>-2.0704140828165629E-2</v>
      </c>
    </row>
    <row r="50" spans="1:8">
      <c r="A50" s="15">
        <v>44123</v>
      </c>
      <c r="B50" s="112">
        <v>0.97260000000000002</v>
      </c>
      <c r="C50" s="112">
        <f>C49*(1+表2_367162629303891213141523242526272829[[#This Row],[每日盈亏]])</f>
        <v>0.98647994861216526</v>
      </c>
      <c r="D50" s="108">
        <f t="shared" si="0"/>
        <v>-6.4999999999999503E-3</v>
      </c>
      <c r="E50" s="109">
        <f t="shared" si="5"/>
        <v>-6.4999999999999503E-3</v>
      </c>
      <c r="F50" s="109">
        <f ca="1">IF(表2_367162629303891213141523242526272829[[#This Row],[累计净值]]/MAX(INDIRECT("B21:B" &amp; ROW()))-1&lt;F49,表2_367162629303891213141523242526272829[[#This Row],[累计净值]]/MAX(INDIRECT("B21:B" &amp; ROW()))-1,F49)</f>
        <v>-6.5813162632526456E-2</v>
      </c>
      <c r="G50" s="110">
        <f>表2_367162629303891213141523242526272829[[#This Row],[累计净值]]</f>
        <v>0.97260000000000002</v>
      </c>
      <c r="H50" s="20">
        <f>表2_367162629303891213141523242526272829[[#This Row],[累计净值]]/$B$21-1</f>
        <v>-2.7205441088217652E-2</v>
      </c>
    </row>
    <row r="51" spans="1:8">
      <c r="A51" s="15">
        <v>44124</v>
      </c>
      <c r="B51" s="112">
        <v>0.98199999999999998</v>
      </c>
      <c r="C51" s="112">
        <f>C50*(1+表2_367162629303891213141523242526272829[[#This Row],[每日盈亏]])</f>
        <v>0.99575286012911945</v>
      </c>
      <c r="D51" s="108">
        <f t="shared" si="0"/>
        <v>9.3999999999999639E-3</v>
      </c>
      <c r="E51" s="109" t="str">
        <f t="shared" ref="E51:E56" si="6">IF(D51&lt;0,D51,"/")</f>
        <v>/</v>
      </c>
      <c r="F51" s="109">
        <f ca="1">IF(表2_367162629303891213141523242526272829[[#This Row],[累计净值]]/MAX(INDIRECT("B21:B" &amp; ROW()))-1&lt;F50,表2_367162629303891213141523242526272829[[#This Row],[累计净值]]/MAX(INDIRECT("B21:B" &amp; ROW()))-1,F50)</f>
        <v>-6.5813162632526456E-2</v>
      </c>
      <c r="G51" s="110">
        <f>表2_367162629303891213141523242526272829[[#This Row],[累计净值]]</f>
        <v>0.98199999999999998</v>
      </c>
      <c r="H51" s="20">
        <f>表2_367162629303891213141523242526272829[[#This Row],[累计净值]]/$B$21-1</f>
        <v>-1.7803560712142508E-2</v>
      </c>
    </row>
    <row r="52" spans="1:8">
      <c r="A52" s="15">
        <v>44125</v>
      </c>
      <c r="B52" s="112">
        <v>0.9728</v>
      </c>
      <c r="C52" s="112">
        <f>C51*(1+表2_367162629303891213141523242526272829[[#This Row],[每日盈亏]])</f>
        <v>0.98659193381593158</v>
      </c>
      <c r="D52" s="108">
        <f t="shared" si="0"/>
        <v>-9.199999999999986E-3</v>
      </c>
      <c r="E52" s="109">
        <f t="shared" si="6"/>
        <v>-9.199999999999986E-3</v>
      </c>
      <c r="F52" s="109">
        <f ca="1">IF(表2_367162629303891213141523242526272829[[#This Row],[累计净值]]/MAX(INDIRECT("B21:B" &amp; ROW()))-1&lt;F51,表2_367162629303891213141523242526272829[[#This Row],[累计净值]]/MAX(INDIRECT("B21:B" &amp; ROW()))-1,F51)</f>
        <v>-6.5813162632526456E-2</v>
      </c>
      <c r="G52" s="110">
        <f>表2_367162629303891213141523242526272829[[#This Row],[累计净值]]</f>
        <v>0.9728</v>
      </c>
      <c r="H52" s="20">
        <f>表2_367162629303891213141523242526272829[[#This Row],[累计净值]]/$B$21-1</f>
        <v>-2.7005401080216096E-2</v>
      </c>
    </row>
    <row r="53" spans="1:8">
      <c r="A53" s="15">
        <v>44126</v>
      </c>
      <c r="B53" s="112">
        <v>0.96870000000000001</v>
      </c>
      <c r="C53" s="112">
        <f>C52*(1+表2_367162629303891213141523242526272829[[#This Row],[每日盈亏]])</f>
        <v>0.9825469068872863</v>
      </c>
      <c r="D53" s="108">
        <f t="shared" ref="D53:D84" si="7">IFERROR(B53-B52,0)</f>
        <v>-4.0999999999999925E-3</v>
      </c>
      <c r="E53" s="109">
        <f t="shared" si="6"/>
        <v>-4.0999999999999925E-3</v>
      </c>
      <c r="F53" s="109">
        <f ca="1">IF(表2_367162629303891213141523242526272829[[#This Row],[累计净值]]/MAX(INDIRECT("B21:B" &amp; ROW()))-1&lt;F52,表2_367162629303891213141523242526272829[[#This Row],[累计净值]]/MAX(INDIRECT("B21:B" &amp; ROW()))-1,F52)</f>
        <v>-6.5813162632526456E-2</v>
      </c>
      <c r="G53" s="110">
        <f>表2_367162629303891213141523242526272829[[#This Row],[累计净值]]</f>
        <v>0.96870000000000001</v>
      </c>
      <c r="H53" s="20">
        <f>表2_367162629303891213141523242526272829[[#This Row],[累计净值]]/$B$21-1</f>
        <v>-3.1106221244248888E-2</v>
      </c>
    </row>
    <row r="54" spans="1:8">
      <c r="A54" s="15">
        <v>44127</v>
      </c>
      <c r="B54" s="112">
        <v>0.95450000000000002</v>
      </c>
      <c r="C54" s="112">
        <f>C53*(1+表2_367162629303891213141523242526272829[[#This Row],[每日盈亏]])</f>
        <v>0.96859474080948682</v>
      </c>
      <c r="D54" s="108">
        <f t="shared" si="7"/>
        <v>-1.419999999999999E-2</v>
      </c>
      <c r="E54" s="109">
        <f t="shared" si="6"/>
        <v>-1.419999999999999E-2</v>
      </c>
      <c r="F54" s="109">
        <f ca="1">IF(表2_367162629303891213141523242526272829[[#This Row],[累计净值]]/MAX(INDIRECT("B21:B" &amp; ROW()))-1&lt;F53,表2_367162629303891213141523242526272829[[#This Row],[累计净值]]/MAX(INDIRECT("B21:B" &amp; ROW()))-1,F53)</f>
        <v>-6.5813162632526456E-2</v>
      </c>
      <c r="G54" s="110">
        <f>表2_367162629303891213141523242526272829[[#This Row],[累计净值]]</f>
        <v>0.95450000000000002</v>
      </c>
      <c r="H54" s="20">
        <f>表2_367162629303891213141523242526272829[[#This Row],[累计净值]]/$B$21-1</f>
        <v>-4.5309061812362494E-2</v>
      </c>
    </row>
    <row r="55" spans="1:8">
      <c r="A55" s="15">
        <v>44130</v>
      </c>
      <c r="B55" s="112">
        <v>0.95850000000000002</v>
      </c>
      <c r="C55" s="112">
        <f>C54*(1+表2_367162629303891213141523242526272829[[#This Row],[每日盈亏]])</f>
        <v>0.97246911977272477</v>
      </c>
      <c r="D55" s="108">
        <f t="shared" si="7"/>
        <v>4.0000000000000036E-3</v>
      </c>
      <c r="E55" s="109" t="str">
        <f t="shared" si="6"/>
        <v>/</v>
      </c>
      <c r="F55" s="109">
        <f ca="1">IF(表2_367162629303891213141523242526272829[[#This Row],[累计净值]]/MAX(INDIRECT("B21:B" &amp; ROW()))-1&lt;F54,表2_367162629303891213141523242526272829[[#This Row],[累计净值]]/MAX(INDIRECT("B21:B" &amp; ROW()))-1,F54)</f>
        <v>-6.5813162632526456E-2</v>
      </c>
      <c r="G55" s="110">
        <f>表2_367162629303891213141523242526272829[[#This Row],[累计净值]]</f>
        <v>0.95850000000000002</v>
      </c>
      <c r="H55" s="20">
        <f>表2_367162629303891213141523242526272829[[#This Row],[累计净值]]/$B$21-1</f>
        <v>-4.130826165233048E-2</v>
      </c>
    </row>
    <row r="56" spans="1:8">
      <c r="A56" s="15">
        <v>44131</v>
      </c>
      <c r="B56" s="112">
        <v>0.96160000000000001</v>
      </c>
      <c r="C56" s="112">
        <f>C55*(1+表2_367162629303891213141523242526272829[[#This Row],[每日盈亏]])</f>
        <v>0.97548377404402009</v>
      </c>
      <c r="D56" s="108">
        <f t="shared" si="7"/>
        <v>3.0999999999999917E-3</v>
      </c>
      <c r="E56" s="109" t="str">
        <f t="shared" si="6"/>
        <v>/</v>
      </c>
      <c r="F56" s="109">
        <f ca="1">IF(表2_367162629303891213141523242526272829[[#This Row],[累计净值]]/MAX(INDIRECT("B21:B" &amp; ROW()))-1&lt;F55,表2_367162629303891213141523242526272829[[#This Row],[累计净值]]/MAX(INDIRECT("B21:B" &amp; ROW()))-1,F55)</f>
        <v>-6.5813162632526456E-2</v>
      </c>
      <c r="G56" s="110">
        <f>表2_367162629303891213141523242526272829[[#This Row],[累计净值]]</f>
        <v>0.96160000000000001</v>
      </c>
      <c r="H56" s="20">
        <f>表2_367162629303891213141523242526272829[[#This Row],[累计净值]]/$B$21-1</f>
        <v>-3.8207641528305691E-2</v>
      </c>
    </row>
    <row r="57" spans="1:8">
      <c r="A57" s="15">
        <v>44132</v>
      </c>
      <c r="B57" s="112">
        <v>0.96809999999999996</v>
      </c>
      <c r="C57" s="112">
        <f>C56*(1+表2_367162629303891213141523242526272829[[#This Row],[每日盈亏]])</f>
        <v>0.98182441857530622</v>
      </c>
      <c r="D57" s="108">
        <f t="shared" si="7"/>
        <v>6.4999999999999503E-3</v>
      </c>
      <c r="E57" s="109" t="str">
        <f t="shared" ref="E57:E63" si="8">IF(D57&lt;0,D57,"/")</f>
        <v>/</v>
      </c>
      <c r="F57" s="109">
        <f ca="1">IF(表2_367162629303891213141523242526272829[[#This Row],[累计净值]]/MAX(INDIRECT("B21:B" &amp; ROW()))-1&lt;F56,表2_367162629303891213141523242526272829[[#This Row],[累计净值]]/MAX(INDIRECT("B21:B" &amp; ROW()))-1,F56)</f>
        <v>-6.5813162632526456E-2</v>
      </c>
      <c r="G57" s="110">
        <f>表2_367162629303891213141523242526272829[[#This Row],[累计净值]]</f>
        <v>0.96809999999999996</v>
      </c>
      <c r="H57" s="20">
        <f>表2_367162629303891213141523242526272829[[#This Row],[累计净值]]/$B$21-1</f>
        <v>-3.1706341268253668E-2</v>
      </c>
    </row>
    <row r="58" spans="1:8">
      <c r="A58" s="15">
        <v>44133</v>
      </c>
      <c r="B58" s="112">
        <v>0.97130000000000005</v>
      </c>
      <c r="C58" s="112">
        <f>C57*(1+表2_367162629303891213141523242526272829[[#This Row],[每日盈亏]])</f>
        <v>0.98496625671474725</v>
      </c>
      <c r="D58" s="108">
        <f t="shared" si="7"/>
        <v>3.2000000000000917E-3</v>
      </c>
      <c r="E58" s="109" t="str">
        <f t="shared" si="8"/>
        <v>/</v>
      </c>
      <c r="F58" s="109">
        <f ca="1">IF(表2_367162629303891213141523242526272829[[#This Row],[累计净值]]/MAX(INDIRECT("B21:B" &amp; ROW()))-1&lt;F57,表2_367162629303891213141523242526272829[[#This Row],[累计净值]]/MAX(INDIRECT("B21:B" &amp; ROW()))-1,F57)</f>
        <v>-6.5813162632526456E-2</v>
      </c>
      <c r="G58" s="110">
        <f>表2_367162629303891213141523242526272829[[#This Row],[累计净值]]</f>
        <v>0.97130000000000005</v>
      </c>
      <c r="H58" s="20">
        <f>表2_367162629303891213141523242526272829[[#This Row],[累计净值]]/$B$21-1</f>
        <v>-2.850570114022799E-2</v>
      </c>
    </row>
    <row r="59" spans="1:8">
      <c r="A59" s="15">
        <v>44134</v>
      </c>
      <c r="B59" s="112">
        <v>0.95220000000000005</v>
      </c>
      <c r="C59" s="112">
        <f>C58*(1+表2_367162629303891213141523242526272829[[#This Row],[每日盈亏]])</f>
        <v>0.96615340121149562</v>
      </c>
      <c r="D59" s="108">
        <f t="shared" si="7"/>
        <v>-1.9100000000000006E-2</v>
      </c>
      <c r="E59" s="109">
        <f t="shared" si="8"/>
        <v>-1.9100000000000006E-2</v>
      </c>
      <c r="F59" s="109">
        <f ca="1">IF(表2_367162629303891213141523242526272829[[#This Row],[累计净值]]/MAX(INDIRECT("B21:B" &amp; ROW()))-1&lt;F58,表2_367162629303891213141523242526272829[[#This Row],[累计净值]]/MAX(INDIRECT("B21:B" &amp; ROW()))-1,F58)</f>
        <v>-6.5813162632526456E-2</v>
      </c>
      <c r="G59" s="110">
        <f>表2_367162629303891213141523242526272829[[#This Row],[累计净值]]</f>
        <v>0.95220000000000005</v>
      </c>
      <c r="H59" s="20">
        <f>表2_367162629303891213141523242526272829[[#This Row],[累计净值]]/$B$21-1</f>
        <v>-4.7609521904380836E-2</v>
      </c>
    </row>
    <row r="60" spans="1:8">
      <c r="A60" s="15">
        <v>44137</v>
      </c>
      <c r="B60" s="112">
        <v>0.96120000000000005</v>
      </c>
      <c r="C60" s="112">
        <f>C59*(1+表2_367162629303891213141523242526272829[[#This Row],[每日盈亏]])</f>
        <v>0.97484878182239898</v>
      </c>
      <c r="D60" s="108">
        <f t="shared" si="7"/>
        <v>9.000000000000008E-3</v>
      </c>
      <c r="E60" s="109" t="str">
        <f t="shared" si="8"/>
        <v>/</v>
      </c>
      <c r="F60" s="109">
        <f ca="1">IF(表2_367162629303891213141523242526272829[[#This Row],[累计净值]]/MAX(INDIRECT("B21:B" &amp; ROW()))-1&lt;F59,表2_367162629303891213141523242526272829[[#This Row],[累计净值]]/MAX(INDIRECT("B21:B" &amp; ROW()))-1,F59)</f>
        <v>-6.5813162632526456E-2</v>
      </c>
      <c r="G60" s="110">
        <f>表2_367162629303891213141523242526272829[[#This Row],[累计净值]]</f>
        <v>0.96120000000000005</v>
      </c>
      <c r="H60" s="20">
        <f>表2_367162629303891213141523242526272829[[#This Row],[累计净值]]/$B$21-1</f>
        <v>-3.8607721544308804E-2</v>
      </c>
    </row>
    <row r="61" spans="1:8">
      <c r="A61" s="15">
        <v>44138</v>
      </c>
      <c r="B61" s="112">
        <v>0.97409999999999997</v>
      </c>
      <c r="C61" s="112">
        <f>C60*(1+表2_367162629303891213141523242526272829[[#This Row],[每日盈亏]])</f>
        <v>0.98742433110790784</v>
      </c>
      <c r="D61" s="108">
        <f t="shared" si="7"/>
        <v>1.2899999999999912E-2</v>
      </c>
      <c r="E61" s="109" t="str">
        <f t="shared" si="8"/>
        <v>/</v>
      </c>
      <c r="F61" s="109">
        <f ca="1">IF(表2_367162629303891213141523242526272829[[#This Row],[累计净值]]/MAX(INDIRECT("B21:B" &amp; ROW()))-1&lt;F60,表2_367162629303891213141523242526272829[[#This Row],[累计净值]]/MAX(INDIRECT("B21:B" &amp; ROW()))-1,F60)</f>
        <v>-6.5813162632526456E-2</v>
      </c>
      <c r="G61" s="110">
        <f>表2_367162629303891213141523242526272829[[#This Row],[累计净值]]</f>
        <v>0.97409999999999997</v>
      </c>
      <c r="H61" s="20">
        <f>表2_367162629303891213141523242526272829[[#This Row],[累计净值]]/$B$21-1</f>
        <v>-2.5705141028205647E-2</v>
      </c>
    </row>
    <row r="62" spans="1:8">
      <c r="A62" s="15">
        <v>44139</v>
      </c>
      <c r="B62" s="112">
        <v>0.97660000000000002</v>
      </c>
      <c r="C62" s="112">
        <f>C61*(1+表2_367162629303891213141523242526272829[[#This Row],[每日盈亏]])</f>
        <v>0.98989289193567753</v>
      </c>
      <c r="D62" s="108">
        <f t="shared" si="7"/>
        <v>2.5000000000000577E-3</v>
      </c>
      <c r="E62" s="109" t="str">
        <f t="shared" si="8"/>
        <v>/</v>
      </c>
      <c r="F62" s="109">
        <f ca="1">IF(表2_367162629303891213141523242526272829[[#This Row],[累计净值]]/MAX(INDIRECT("B21:B" &amp; ROW()))-1&lt;F61,表2_367162629303891213141523242526272829[[#This Row],[累计净值]]/MAX(INDIRECT("B21:B" &amp; ROW()))-1,F61)</f>
        <v>-6.5813162632526456E-2</v>
      </c>
      <c r="G62" s="110">
        <f>表2_367162629303891213141523242526272829[[#This Row],[累计净值]]</f>
        <v>0.97660000000000002</v>
      </c>
      <c r="H62" s="20">
        <f>表2_367162629303891213141523242526272829[[#This Row],[累计净值]]/$B$21-1</f>
        <v>-2.3204640928185638E-2</v>
      </c>
    </row>
    <row r="63" spans="1:8">
      <c r="A63" s="15">
        <v>44140</v>
      </c>
      <c r="B63" s="112">
        <v>0.99209999999999998</v>
      </c>
      <c r="C63" s="112">
        <f>C62*(1+表2_367162629303891213141523242526272829[[#This Row],[每日盈亏]])</f>
        <v>1.0052362317606804</v>
      </c>
      <c r="D63" s="108">
        <f t="shared" si="7"/>
        <v>1.5499999999999958E-2</v>
      </c>
      <c r="E63" s="109" t="str">
        <f t="shared" si="8"/>
        <v>/</v>
      </c>
      <c r="F63" s="109">
        <f ca="1">IF(表2_367162629303891213141523242526272829[[#This Row],[累计净值]]/MAX(INDIRECT("B21:B" &amp; ROW()))-1&lt;F62,表2_367162629303891213141523242526272829[[#This Row],[累计净值]]/MAX(INDIRECT("B21:B" &amp; ROW()))-1,F62)</f>
        <v>-6.5813162632526456E-2</v>
      </c>
      <c r="G63" s="110">
        <f>表2_367162629303891213141523242526272829[[#This Row],[累计净值]]</f>
        <v>0.99209999999999998</v>
      </c>
      <c r="H63" s="20">
        <f>表2_367162629303891213141523242526272829[[#This Row],[累计净值]]/$B$21-1</f>
        <v>-7.701540308061694E-3</v>
      </c>
    </row>
    <row r="64" spans="1:8">
      <c r="A64" s="15">
        <v>44141</v>
      </c>
      <c r="B64" s="112">
        <v>0.98829999999999996</v>
      </c>
      <c r="C64" s="112">
        <f>C63*(1+表2_367162629303891213141523242526272829[[#This Row],[每日盈亏]])</f>
        <v>1.0014163340799898</v>
      </c>
      <c r="D64" s="108">
        <f t="shared" si="7"/>
        <v>-3.8000000000000256E-3</v>
      </c>
      <c r="E64" s="109">
        <f>IF(D64&lt;0,D64,"/")</f>
        <v>-3.8000000000000256E-3</v>
      </c>
      <c r="F64" s="109">
        <f ca="1">IF(表2_367162629303891213141523242526272829[[#This Row],[累计净值]]/MAX(INDIRECT("B21:B" &amp; ROW()))-1&lt;F63,表2_367162629303891213141523242526272829[[#This Row],[累计净值]]/MAX(INDIRECT("B21:B" &amp; ROW()))-1,F63)</f>
        <v>-6.5813162632526456E-2</v>
      </c>
      <c r="G64" s="110">
        <f>表2_367162629303891213141523242526272829[[#This Row],[累计净值]]</f>
        <v>0.98829999999999996</v>
      </c>
      <c r="H64" s="20">
        <f>表2_367162629303891213141523242526272829[[#This Row],[累计净值]]/$B$21-1</f>
        <v>-1.1502300460092041E-2</v>
      </c>
    </row>
    <row r="65" spans="1:8">
      <c r="A65" s="15">
        <v>44144</v>
      </c>
      <c r="B65" s="112">
        <v>1.0096000000000001</v>
      </c>
      <c r="C65" s="112">
        <f>C64*(1+表2_367162629303891213141523242526272829[[#This Row],[每日盈亏]])</f>
        <v>1.0227465019958937</v>
      </c>
      <c r="D65" s="108">
        <f t="shared" si="7"/>
        <v>2.1300000000000097E-2</v>
      </c>
      <c r="E65" s="109" t="str">
        <f>IF(D65&lt;0,D65,"/")</f>
        <v>/</v>
      </c>
      <c r="F65" s="109">
        <f ca="1">IF(表2_367162629303891213141523242526272829[[#This Row],[累计净值]]/MAX(INDIRECT("B21:B" &amp; ROW()))-1&lt;F64,表2_367162629303891213141523242526272829[[#This Row],[累计净值]]/MAX(INDIRECT("B21:B" &amp; ROW()))-1,F64)</f>
        <v>-6.5813162632526456E-2</v>
      </c>
      <c r="G65" s="110">
        <f>表2_367162629303891213141523242526272829[[#This Row],[累计净值]]</f>
        <v>1.0096000000000001</v>
      </c>
      <c r="H65" s="20">
        <f>表2_367162629303891213141523242526272829[[#This Row],[累计净值]]/$B$21-1</f>
        <v>9.8019603920784792E-3</v>
      </c>
    </row>
    <row r="66" spans="1:8">
      <c r="A66" s="15">
        <v>44145</v>
      </c>
      <c r="B66" s="112">
        <v>1.0015000000000001</v>
      </c>
      <c r="C66" s="112">
        <f>C65*(1+表2_367162629303891213141523242526272829[[#This Row],[每日盈亏]])</f>
        <v>1.0144622553297269</v>
      </c>
      <c r="D66" s="108">
        <f t="shared" si="7"/>
        <v>-8.0999999999999961E-3</v>
      </c>
      <c r="E66" s="109">
        <f>IF(D66&lt;0,D66,"/")</f>
        <v>-8.0999999999999961E-3</v>
      </c>
      <c r="F66" s="109">
        <f ca="1">IF(表2_367162629303891213141523242526272829[[#This Row],[累计净值]]/MAX(INDIRECT("B21:B" &amp; ROW()))-1&lt;F65,表2_367162629303891213141523242526272829[[#This Row],[累计净值]]/MAX(INDIRECT("B21:B" &amp; ROW()))-1,F65)</f>
        <v>-6.5813162632526456E-2</v>
      </c>
      <c r="G66" s="110">
        <f>表2_367162629303891213141523242526272829[[#This Row],[累计净值]]</f>
        <v>1.0015000000000001</v>
      </c>
      <c r="H66" s="20">
        <f>表2_367162629303891213141523242526272829[[#This Row],[累计净值]]/$B$21-1</f>
        <v>1.7003400680135616E-3</v>
      </c>
    </row>
    <row r="67" spans="1:8">
      <c r="A67" s="15">
        <v>44146</v>
      </c>
      <c r="B67" s="112">
        <v>0.98950000000000005</v>
      </c>
      <c r="C67" s="112">
        <f>C66*(1+表2_367162629303891213141523242526272829[[#This Row],[每日盈亏]])</f>
        <v>1.0022887082657701</v>
      </c>
      <c r="D67" s="108">
        <f t="shared" si="7"/>
        <v>-1.2000000000000011E-2</v>
      </c>
      <c r="E67" s="109">
        <f t="shared" ref="E67:E68" si="9">IF(D67&lt;0,D67,"/")</f>
        <v>-1.2000000000000011E-2</v>
      </c>
      <c r="F67" s="109">
        <f ca="1">IF(表2_367162629303891213141523242526272829[[#This Row],[累计净值]]/MAX(INDIRECT("B21:B" &amp; ROW()))-1&lt;F66,表2_367162629303891213141523242526272829[[#This Row],[累计净值]]/MAX(INDIRECT("B21:B" &amp; ROW()))-1,F66)</f>
        <v>-6.5813162632526456E-2</v>
      </c>
      <c r="G67" s="110">
        <f>表2_367162629303891213141523242526272829[[#This Row],[累计净值]]</f>
        <v>0.98950000000000005</v>
      </c>
      <c r="H67" s="20">
        <f>表2_367162629303891213141523242526272829[[#This Row],[累计净值]]/$B$21-1</f>
        <v>-1.030206041208237E-2</v>
      </c>
    </row>
    <row r="68" spans="1:8">
      <c r="A68" s="15">
        <v>44147</v>
      </c>
      <c r="B68" s="112">
        <v>0.99450000000000005</v>
      </c>
      <c r="C68" s="112">
        <f>C67*(1+表2_367162629303891213141523242526272829[[#This Row],[每日盈亏]])</f>
        <v>1.0073001518070988</v>
      </c>
      <c r="D68" s="108">
        <f t="shared" si="7"/>
        <v>5.0000000000000044E-3</v>
      </c>
      <c r="E68" s="109" t="str">
        <f t="shared" si="9"/>
        <v>/</v>
      </c>
      <c r="F68" s="109">
        <f ca="1">IF(表2_367162629303891213141523242526272829[[#This Row],[累计净值]]/MAX(INDIRECT("B21:B" &amp; ROW()))-1&lt;F67,表2_367162629303891213141523242526272829[[#This Row],[累计净值]]/MAX(INDIRECT("B21:B" &amp; ROW()))-1,F67)</f>
        <v>-6.5813162632526456E-2</v>
      </c>
      <c r="G68" s="110">
        <f>表2_367162629303891213141523242526272829[[#This Row],[累计净值]]</f>
        <v>0.99450000000000005</v>
      </c>
      <c r="H68" s="20">
        <f>表2_367162629303891213141523242526272829[[#This Row],[累计净值]]/$B$21-1</f>
        <v>-5.3010602120423522E-3</v>
      </c>
    </row>
    <row r="69" spans="1:8">
      <c r="A69" s="15">
        <v>44148</v>
      </c>
      <c r="B69" s="112">
        <v>0.99239999999999995</v>
      </c>
      <c r="C69" s="112">
        <f>C68*(1+表2_367162629303891213141523242526272829[[#This Row],[每日盈亏]])</f>
        <v>1.0051848214883037</v>
      </c>
      <c r="D69" s="108">
        <f t="shared" si="7"/>
        <v>-2.1000000000001018E-3</v>
      </c>
      <c r="E69" s="109">
        <f t="shared" ref="E69:E74" si="10">IF(D69&lt;0,D69,"/")</f>
        <v>-2.1000000000001018E-3</v>
      </c>
      <c r="F69" s="109">
        <f ca="1">IF(表2_367162629303891213141523242526272829[[#This Row],[累计净值]]/MAX(INDIRECT("B21:B" &amp; ROW()))-1&lt;F68,表2_367162629303891213141523242526272829[[#This Row],[累计净值]]/MAX(INDIRECT("B21:B" &amp; ROW()))-1,F68)</f>
        <v>-6.5813162632526456E-2</v>
      </c>
      <c r="G69" s="110">
        <f>表2_367162629303891213141523242526272829[[#This Row],[累计净值]]</f>
        <v>0.99239999999999995</v>
      </c>
      <c r="H69" s="20">
        <f>表2_367162629303891213141523242526272829[[#This Row],[累计净值]]/$B$21-1</f>
        <v>-7.4014802960592485E-3</v>
      </c>
    </row>
    <row r="70" spans="1:8">
      <c r="A70" s="15">
        <v>44151</v>
      </c>
      <c r="B70" s="112">
        <v>1.0041</v>
      </c>
      <c r="C70" s="112">
        <f>C69*(1+表2_367162629303891213141523242526272829[[#This Row],[每日盈亏]])</f>
        <v>1.016945483899717</v>
      </c>
      <c r="D70" s="108">
        <f t="shared" si="7"/>
        <v>1.1700000000000044E-2</v>
      </c>
      <c r="E70" s="109" t="str">
        <f t="shared" si="10"/>
        <v>/</v>
      </c>
      <c r="F70" s="109">
        <f ca="1">IF(表2_367162629303891213141523242526272829[[#This Row],[累计净值]]/MAX(INDIRECT("B21:B" &amp; ROW()))-1&lt;F69,表2_367162629303891213141523242526272829[[#This Row],[累计净值]]/MAX(INDIRECT("B21:B" &amp; ROW()))-1,F69)</f>
        <v>-6.5813162632526456E-2</v>
      </c>
      <c r="G70" s="110">
        <f>表2_367162629303891213141523242526272829[[#This Row],[累计净值]]</f>
        <v>1.0041</v>
      </c>
      <c r="H70" s="20">
        <f>表2_367162629303891213141523242526272829[[#This Row],[累计净值]]/$B$21-1</f>
        <v>4.3008601720344597E-3</v>
      </c>
    </row>
    <row r="71" spans="1:8">
      <c r="A71" s="15">
        <v>44152</v>
      </c>
      <c r="B71" s="112">
        <v>0.99739999999999995</v>
      </c>
      <c r="C71" s="112">
        <f>C70*(1+表2_367162629303891213141523242526272829[[#This Row],[每日盈亏]])</f>
        <v>1.0101319491575889</v>
      </c>
      <c r="D71" s="108">
        <f t="shared" si="7"/>
        <v>-6.7000000000000393E-3</v>
      </c>
      <c r="E71" s="109">
        <f t="shared" si="10"/>
        <v>-6.7000000000000393E-3</v>
      </c>
      <c r="F71" s="109">
        <f ca="1">IF(表2_367162629303891213141523242526272829[[#This Row],[累计净值]]/MAX(INDIRECT("B21:B" &amp; ROW()))-1&lt;F70,表2_367162629303891213141523242526272829[[#This Row],[累计净值]]/MAX(INDIRECT("B21:B" &amp; ROW()))-1,F70)</f>
        <v>-6.5813162632526456E-2</v>
      </c>
      <c r="G71" s="110">
        <f>表2_367162629303891213141523242526272829[[#This Row],[累计净值]]</f>
        <v>0.99739999999999995</v>
      </c>
      <c r="H71" s="20">
        <f>表2_367162629303891213141523242526272829[[#This Row],[累计净值]]/$B$21-1</f>
        <v>-2.4004800960192307E-3</v>
      </c>
    </row>
    <row r="72" spans="1:8">
      <c r="A72" s="15">
        <v>44153</v>
      </c>
      <c r="B72" s="112">
        <v>0.99919999999999998</v>
      </c>
      <c r="C72" s="112">
        <f>C71*(1+表2_367162629303891213141523242526272829[[#This Row],[每日盈亏]])</f>
        <v>1.0119501866660725</v>
      </c>
      <c r="D72" s="108">
        <f t="shared" si="7"/>
        <v>1.8000000000000238E-3</v>
      </c>
      <c r="E72" s="109" t="str">
        <f t="shared" si="10"/>
        <v>/</v>
      </c>
      <c r="F72" s="109">
        <f ca="1">IF(表2_367162629303891213141523242526272829[[#This Row],[累计净值]]/MAX(INDIRECT("B21:B" &amp; ROW()))-1&lt;F71,表2_367162629303891213141523242526272829[[#This Row],[累计净值]]/MAX(INDIRECT("B21:B" &amp; ROW()))-1,F71)</f>
        <v>-6.5813162632526456E-2</v>
      </c>
      <c r="G72" s="110">
        <f>表2_367162629303891213141523242526272829[[#This Row],[累计净值]]</f>
        <v>0.99919999999999998</v>
      </c>
      <c r="H72" s="20">
        <f>表2_367162629303891213141523242526272829[[#This Row],[累计净值]]/$B$21-1</f>
        <v>-6.0012002400489095E-4</v>
      </c>
    </row>
    <row r="73" spans="1:8">
      <c r="A73" s="15">
        <v>44154</v>
      </c>
      <c r="B73" s="112">
        <v>1.0024</v>
      </c>
      <c r="C73" s="112">
        <f>C72*(1+表2_367162629303891213141523242526272829[[#This Row],[每日盈亏]])</f>
        <v>1.015188427263404</v>
      </c>
      <c r="D73" s="108">
        <f t="shared" si="7"/>
        <v>3.1999999999999806E-3</v>
      </c>
      <c r="E73" s="109" t="str">
        <f t="shared" si="10"/>
        <v>/</v>
      </c>
      <c r="F73" s="109">
        <f ca="1">IF(表2_367162629303891213141523242526272829[[#This Row],[累计净值]]/MAX(INDIRECT("B21:B" &amp; ROW()))-1&lt;F72,表2_367162629303891213141523242526272829[[#This Row],[累计净值]]/MAX(INDIRECT("B21:B" &amp; ROW()))-1,F72)</f>
        <v>-6.5813162632526456E-2</v>
      </c>
      <c r="G73" s="110">
        <f>表2_367162629303891213141523242526272829[[#This Row],[累计净值]]</f>
        <v>1.0024</v>
      </c>
      <c r="H73" s="20">
        <f>表2_367162629303891213141523242526272829[[#This Row],[累计净值]]/$B$21-1</f>
        <v>2.600520104020676E-3</v>
      </c>
    </row>
    <row r="74" spans="1:8">
      <c r="A74" s="15">
        <v>44155</v>
      </c>
      <c r="B74" s="112">
        <v>1.0104</v>
      </c>
      <c r="C74" s="112">
        <f>C73*(1+表2_367162629303891213141523242526272829[[#This Row],[每日盈亏]])</f>
        <v>1.0233099346815111</v>
      </c>
      <c r="D74" s="108">
        <f t="shared" si="7"/>
        <v>8.0000000000000071E-3</v>
      </c>
      <c r="E74" s="109" t="str">
        <f t="shared" si="10"/>
        <v>/</v>
      </c>
      <c r="F74" s="109">
        <f ca="1">IF(表2_367162629303891213141523242526272829[[#This Row],[累计净值]]/MAX(INDIRECT("B21:B" &amp; ROW()))-1&lt;F73,表2_367162629303891213141523242526272829[[#This Row],[累计净值]]/MAX(INDIRECT("B21:B" &amp; ROW()))-1,F73)</f>
        <v>-6.5813162632526456E-2</v>
      </c>
      <c r="G74" s="110">
        <f>表2_367162629303891213141523242526272829[[#This Row],[累计净值]]</f>
        <v>1.0104</v>
      </c>
      <c r="H74" s="20">
        <f>表2_367162629303891213141523242526272829[[#This Row],[累计净值]]/$B$21-1</f>
        <v>1.0602120424084704E-2</v>
      </c>
    </row>
    <row r="75" spans="1:8">
      <c r="A75" s="15">
        <v>44158</v>
      </c>
      <c r="B75" s="112">
        <v>1.0206999999999999</v>
      </c>
      <c r="C75" s="112">
        <f>C74*(1+表2_367162629303891213141523242526272829[[#This Row],[每日盈亏]])</f>
        <v>1.0338500270087307</v>
      </c>
      <c r="D75" s="108">
        <f t="shared" si="7"/>
        <v>1.0299999999999976E-2</v>
      </c>
      <c r="E75" s="109" t="str">
        <f t="shared" ref="E75:E80" si="11">IF(D75&lt;0,D75,"/")</f>
        <v>/</v>
      </c>
      <c r="F75" s="109">
        <f ca="1">IF(表2_367162629303891213141523242526272829[[#This Row],[累计净值]]/MAX(INDIRECT("B21:B" &amp; ROW()))-1&lt;F74,表2_367162629303891213141523242526272829[[#This Row],[累计净值]]/MAX(INDIRECT("B21:B" &amp; ROW()))-1,F74)</f>
        <v>-6.5813162632526456E-2</v>
      </c>
      <c r="G75" s="110">
        <f>表2_367162629303891213141523242526272829[[#This Row],[累计净值]]</f>
        <v>1.0206999999999999</v>
      </c>
      <c r="H75" s="20">
        <f>表2_367162629303891213141523242526272829[[#This Row],[累计净值]]/$B$21-1</f>
        <v>2.0904180836167185E-2</v>
      </c>
    </row>
    <row r="76" spans="1:8">
      <c r="A76" s="15">
        <v>44159</v>
      </c>
      <c r="B76" s="112">
        <v>1.0198</v>
      </c>
      <c r="C76" s="112">
        <f>C75*(1+表2_367162629303891213141523242526272829[[#This Row],[每日盈亏]])</f>
        <v>1.0329195619844229</v>
      </c>
      <c r="D76" s="108">
        <f t="shared" si="7"/>
        <v>-8.9999999999990088E-4</v>
      </c>
      <c r="E76" s="109">
        <f t="shared" si="11"/>
        <v>-8.9999999999990088E-4</v>
      </c>
      <c r="F76" s="109">
        <f ca="1">IF(表2_367162629303891213141523242526272829[[#This Row],[累计净值]]/MAX(INDIRECT("B21:B" &amp; ROW()))-1&lt;F75,表2_367162629303891213141523242526272829[[#This Row],[累计净值]]/MAX(INDIRECT("B21:B" &amp; ROW()))-1,F75)</f>
        <v>-6.5813162632526456E-2</v>
      </c>
      <c r="G76" s="110">
        <f>表2_367162629303891213141523242526272829[[#This Row],[累计净值]]</f>
        <v>1.0198</v>
      </c>
      <c r="H76" s="20">
        <f>表2_367162629303891213141523242526272829[[#This Row],[累计净值]]/$B$21-1</f>
        <v>2.0004000800160071E-2</v>
      </c>
    </row>
    <row r="77" spans="1:8">
      <c r="A77" s="15">
        <v>44160</v>
      </c>
      <c r="B77" s="112">
        <v>1.0002</v>
      </c>
      <c r="C77" s="112">
        <f>C76*(1+表2_367162629303891213141523242526272829[[#This Row],[每日盈亏]])</f>
        <v>1.0126743385695283</v>
      </c>
      <c r="D77" s="108">
        <f t="shared" si="7"/>
        <v>-1.9600000000000062E-2</v>
      </c>
      <c r="E77" s="109">
        <f t="shared" si="11"/>
        <v>-1.9600000000000062E-2</v>
      </c>
      <c r="F77" s="109">
        <f ca="1">IF(表2_367162629303891213141523242526272829[[#This Row],[累计净值]]/MAX(INDIRECT("B21:B" &amp; ROW()))-1&lt;F76,表2_367162629303891213141523242526272829[[#This Row],[累计净值]]/MAX(INDIRECT("B21:B" &amp; ROW()))-1,F76)</f>
        <v>-6.5813162632526456E-2</v>
      </c>
      <c r="G77" s="110">
        <f>表2_367162629303891213141523242526272829[[#This Row],[累计净值]]</f>
        <v>1.0002</v>
      </c>
      <c r="H77" s="20">
        <f>表2_367162629303891213141523242526272829[[#This Row],[累计净值]]/$B$21-1</f>
        <v>4.000800160031126E-4</v>
      </c>
    </row>
    <row r="78" spans="1:8">
      <c r="A78" s="15">
        <v>44161</v>
      </c>
      <c r="B78" s="112">
        <v>0.996</v>
      </c>
      <c r="C78" s="112">
        <f>C77*(1+表2_367162629303891213141523242526272829[[#This Row],[每日盈亏]])</f>
        <v>1.0084211063475363</v>
      </c>
      <c r="D78" s="108">
        <f t="shared" si="7"/>
        <v>-4.1999999999999815E-3</v>
      </c>
      <c r="E78" s="109">
        <f t="shared" si="11"/>
        <v>-4.1999999999999815E-3</v>
      </c>
      <c r="F78" s="109">
        <f ca="1">IF(表2_367162629303891213141523242526272829[[#This Row],[累计净值]]/MAX(INDIRECT("B21:B" &amp; ROW()))-1&lt;F77,表2_367162629303891213141523242526272829[[#This Row],[累计净值]]/MAX(INDIRECT("B21:B" &amp; ROW()))-1,F77)</f>
        <v>-6.5813162632526456E-2</v>
      </c>
      <c r="G78" s="110">
        <f>表2_367162629303891213141523242526272829[[#This Row],[累计净值]]</f>
        <v>0.996</v>
      </c>
      <c r="H78" s="20">
        <f>表2_367162629303891213141523242526272829[[#This Row],[累计净值]]/$B$21-1</f>
        <v>-3.8007601520304579E-3</v>
      </c>
    </row>
    <row r="79" spans="1:8">
      <c r="A79" s="15">
        <v>44162</v>
      </c>
      <c r="B79" s="112">
        <v>0.99829999999999997</v>
      </c>
      <c r="C79" s="112">
        <f>C78*(1+表2_367162629303891213141523242526272829[[#This Row],[每日盈亏]])</f>
        <v>1.0107404748921356</v>
      </c>
      <c r="D79" s="108">
        <f t="shared" si="7"/>
        <v>2.2999999999999687E-3</v>
      </c>
      <c r="E79" s="109" t="str">
        <f t="shared" si="11"/>
        <v>/</v>
      </c>
      <c r="F79" s="109">
        <f ca="1">IF(表2_367162629303891213141523242526272829[[#This Row],[累计净值]]/MAX(INDIRECT("B21:B" &amp; ROW()))-1&lt;F78,表2_367162629303891213141523242526272829[[#This Row],[累计净值]]/MAX(INDIRECT("B21:B" &amp; ROW()))-1,F78)</f>
        <v>-6.5813162632526456E-2</v>
      </c>
      <c r="G79" s="110">
        <f>表2_367162629303891213141523242526272829[[#This Row],[累计净值]]</f>
        <v>0.99829999999999997</v>
      </c>
      <c r="H79" s="20">
        <f>表2_367162629303891213141523242526272829[[#This Row],[累计净值]]/$B$21-1</f>
        <v>-1.5003000600120053E-3</v>
      </c>
    </row>
    <row r="80" spans="1:8">
      <c r="A80" s="15">
        <v>44165</v>
      </c>
      <c r="B80" s="112">
        <v>0.99409999999999998</v>
      </c>
      <c r="C80" s="112">
        <f>C79*(1+表2_367162629303891213141523242526272829[[#This Row],[每日盈亏]])</f>
        <v>1.0064953648975887</v>
      </c>
      <c r="D80" s="108">
        <f t="shared" si="7"/>
        <v>-4.1999999999999815E-3</v>
      </c>
      <c r="E80" s="109">
        <f t="shared" si="11"/>
        <v>-4.1999999999999815E-3</v>
      </c>
      <c r="F80" s="109">
        <f ca="1">IF(表2_367162629303891213141523242526272829[[#This Row],[累计净值]]/MAX(INDIRECT("B21:B" &amp; ROW()))-1&lt;F79,表2_367162629303891213141523242526272829[[#This Row],[累计净值]]/MAX(INDIRECT("B21:B" &amp; ROW()))-1,F79)</f>
        <v>-6.5813162632526456E-2</v>
      </c>
      <c r="G80" s="110">
        <f>表2_367162629303891213141523242526272829[[#This Row],[累计净值]]</f>
        <v>0.99409999999999998</v>
      </c>
      <c r="H80" s="20">
        <f>表2_367162629303891213141523242526272829[[#This Row],[累计净值]]/$B$21-1</f>
        <v>-5.7011402280456869E-3</v>
      </c>
    </row>
    <row r="81" spans="1:8">
      <c r="A81" s="15">
        <v>44166</v>
      </c>
      <c r="B81" s="112">
        <v>1.0045999999999999</v>
      </c>
      <c r="C81" s="112">
        <f>C80*(1+表2_367162629303891213141523242526272829[[#This Row],[每日盈亏]])</f>
        <v>1.0170635662290133</v>
      </c>
      <c r="D81" s="108">
        <f t="shared" si="7"/>
        <v>1.0499999999999954E-2</v>
      </c>
      <c r="E81" s="109" t="str">
        <f t="shared" ref="E81:E86" si="12">IF(D81&lt;0,D81,"/")</f>
        <v>/</v>
      </c>
      <c r="F81" s="109">
        <f ca="1">IF(表2_367162629303891213141523242526272829[[#This Row],[累计净值]]/MAX(INDIRECT("B21:B" &amp; ROW()))-1&lt;F80,表2_367162629303891213141523242526272829[[#This Row],[累计净值]]/MAX(INDIRECT("B21:B" &amp; ROW()))-1,F80)</f>
        <v>-6.5813162632526456E-2</v>
      </c>
      <c r="G81" s="110">
        <f>表2_367162629303891213141523242526272829[[#This Row],[累计净值]]</f>
        <v>1.0045999999999999</v>
      </c>
      <c r="H81" s="20">
        <f>表2_367162629303891213141523242526272829[[#This Row],[累计净值]]/$B$21-1</f>
        <v>4.8009601920382394E-3</v>
      </c>
    </row>
    <row r="82" spans="1:8">
      <c r="A82" s="15">
        <v>44167</v>
      </c>
      <c r="B82" s="112">
        <v>1.0047999999999999</v>
      </c>
      <c r="C82" s="112">
        <f>C81*(1+表2_367162629303891213141523242526272829[[#This Row],[每日盈亏]])</f>
        <v>1.017266978942259</v>
      </c>
      <c r="D82" s="108">
        <f t="shared" si="7"/>
        <v>1.9999999999997797E-4</v>
      </c>
      <c r="E82" s="109" t="str">
        <f t="shared" si="12"/>
        <v>/</v>
      </c>
      <c r="F82" s="109">
        <f ca="1">IF(表2_367162629303891213141523242526272829[[#This Row],[累计净值]]/MAX(INDIRECT("B21:B" &amp; ROW()))-1&lt;F81,表2_367162629303891213141523242526272829[[#This Row],[累计净值]]/MAX(INDIRECT("B21:B" &amp; ROW()))-1,F81)</f>
        <v>-6.5813162632526456E-2</v>
      </c>
      <c r="G82" s="110">
        <f>表2_367162629303891213141523242526272829[[#This Row],[累计净值]]</f>
        <v>1.0047999999999999</v>
      </c>
      <c r="H82" s="20">
        <f>表2_367162629303891213141523242526272829[[#This Row],[累计净值]]/$B$21-1</f>
        <v>5.0010002000397957E-3</v>
      </c>
    </row>
    <row r="83" spans="1:8">
      <c r="A83" s="15">
        <v>44168</v>
      </c>
      <c r="B83" s="112">
        <v>1.0012000000000001</v>
      </c>
      <c r="C83" s="112">
        <f>C82*(1+表2_367162629303891213141523242526272829[[#This Row],[每日盈亏]])</f>
        <v>1.013604817818067</v>
      </c>
      <c r="D83" s="108">
        <f t="shared" si="7"/>
        <v>-3.5999999999998256E-3</v>
      </c>
      <c r="E83" s="109">
        <f t="shared" si="12"/>
        <v>-3.5999999999998256E-3</v>
      </c>
      <c r="F83" s="109">
        <f ca="1">IF(表2_367162629303891213141523242526272829[[#This Row],[累计净值]]/MAX(INDIRECT("B21:B" &amp; ROW()))-1&lt;F82,表2_367162629303891213141523242526272829[[#This Row],[累计净值]]/MAX(INDIRECT("B21:B" &amp; ROW()))-1,F82)</f>
        <v>-6.5813162632526456E-2</v>
      </c>
      <c r="G83" s="110">
        <f>表2_367162629303891213141523242526272829[[#This Row],[累计净值]]</f>
        <v>1.0012000000000001</v>
      </c>
      <c r="H83" s="20">
        <f>表2_367162629303891213141523242526272829[[#This Row],[累计净值]]/$B$21-1</f>
        <v>1.4002800560113382E-3</v>
      </c>
    </row>
    <row r="84" spans="1:8">
      <c r="A84" s="15">
        <v>44169</v>
      </c>
      <c r="B84" s="112">
        <v>1.0056</v>
      </c>
      <c r="C84" s="112">
        <f>C83*(1+表2_367162629303891213141523242526272829[[#This Row],[每日盈亏]])</f>
        <v>1.0180646790164665</v>
      </c>
      <c r="D84" s="108">
        <f t="shared" si="7"/>
        <v>4.3999999999999595E-3</v>
      </c>
      <c r="E84" s="109" t="str">
        <f t="shared" si="12"/>
        <v>/</v>
      </c>
      <c r="F84" s="109">
        <f ca="1">IF(表2_367162629303891213141523242526272829[[#This Row],[累计净值]]/MAX(INDIRECT("B21:B" &amp; ROW()))-1&lt;F83,表2_367162629303891213141523242526272829[[#This Row],[累计净值]]/MAX(INDIRECT("B21:B" &amp; ROW()))-1,F83)</f>
        <v>-6.5813162632526456E-2</v>
      </c>
      <c r="G84" s="110">
        <f>表2_367162629303891213141523242526272829[[#This Row],[累计净值]]</f>
        <v>1.0056</v>
      </c>
      <c r="H84" s="20">
        <f>表2_367162629303891213141523242526272829[[#This Row],[累计净值]]/$B$21-1</f>
        <v>5.801160232046465E-3</v>
      </c>
    </row>
    <row r="85" spans="1:8">
      <c r="A85" s="15">
        <v>44172</v>
      </c>
      <c r="B85" s="112">
        <v>1.002</v>
      </c>
      <c r="C85" s="112">
        <f>C84*(1+表2_367162629303891213141523242526272829[[#This Row],[每日盈亏]])</f>
        <v>1.0143996461720071</v>
      </c>
      <c r="D85" s="108">
        <f t="shared" ref="D85:D116" si="13">IFERROR(B85-B84,0)</f>
        <v>-3.6000000000000476E-3</v>
      </c>
      <c r="E85" s="109">
        <f t="shared" si="12"/>
        <v>-3.6000000000000476E-3</v>
      </c>
      <c r="F85" s="109">
        <f ca="1">IF(表2_367162629303891213141523242526272829[[#This Row],[累计净值]]/MAX(INDIRECT("B21:B" &amp; ROW()))-1&lt;F84,表2_367162629303891213141523242526272829[[#This Row],[累计净值]]/MAX(INDIRECT("B21:B" &amp; ROW()))-1,F84)</f>
        <v>-6.5813162632526456E-2</v>
      </c>
      <c r="G85" s="110">
        <f>表2_367162629303891213141523242526272829[[#This Row],[累计净值]]</f>
        <v>1.002</v>
      </c>
      <c r="H85" s="20">
        <f>表2_367162629303891213141523242526272829[[#This Row],[累计净值]]/$B$21-1</f>
        <v>2.2004400880175634E-3</v>
      </c>
    </row>
    <row r="86" spans="1:8">
      <c r="A86" s="15">
        <v>44173</v>
      </c>
      <c r="B86" s="112">
        <v>1.0024999999999999</v>
      </c>
      <c r="C86" s="112">
        <f>C85*(1+表2_367162629303891213141523242526272829[[#This Row],[每日盈亏]])</f>
        <v>1.014906845995093</v>
      </c>
      <c r="D86" s="108">
        <f t="shared" si="13"/>
        <v>4.9999999999994493E-4</v>
      </c>
      <c r="E86" s="109" t="str">
        <f t="shared" si="12"/>
        <v>/</v>
      </c>
      <c r="F86" s="109">
        <f ca="1">IF(表2_367162629303891213141523242526272829[[#This Row],[累计净值]]/MAX(INDIRECT("B21:B" &amp; ROW()))-1&lt;F85,表2_367162629303891213141523242526272829[[#This Row],[累计净值]]/MAX(INDIRECT("B21:B" &amp; ROW()))-1,F85)</f>
        <v>-6.5813162632526456E-2</v>
      </c>
      <c r="G86" s="110">
        <f>表2_367162629303891213141523242526272829[[#This Row],[累计净值]]</f>
        <v>1.0024999999999999</v>
      </c>
      <c r="H86" s="20">
        <f>表2_367162629303891213141523242526272829[[#This Row],[累计净值]]/$B$21-1</f>
        <v>2.7005401080215652E-3</v>
      </c>
    </row>
    <row r="87" spans="1:8">
      <c r="A87" s="15">
        <v>44174</v>
      </c>
      <c r="B87" s="112">
        <v>0.98560000000000003</v>
      </c>
      <c r="C87" s="112">
        <f>C86*(1+表2_367162629303891213141523242526272829[[#This Row],[每日盈亏]])</f>
        <v>0.99775492029777602</v>
      </c>
      <c r="D87" s="108">
        <f t="shared" si="13"/>
        <v>-1.6899999999999915E-2</v>
      </c>
      <c r="E87" s="109">
        <f t="shared" ref="E87:E92" si="14">IF(D87&lt;0,D87,"/")</f>
        <v>-1.6899999999999915E-2</v>
      </c>
      <c r="F87" s="109">
        <f ca="1">IF(表2_367162629303891213141523242526272829[[#This Row],[累计净值]]/MAX(INDIRECT("B21:B" &amp; ROW()))-1&lt;F86,表2_367162629303891213141523242526272829[[#This Row],[累计净值]]/MAX(INDIRECT("B21:B" &amp; ROW()))-1,F86)</f>
        <v>-6.5813162632526456E-2</v>
      </c>
      <c r="G87" s="110">
        <f>表2_367162629303891213141523242526272829[[#This Row],[累计净值]]</f>
        <v>0.98560000000000003</v>
      </c>
      <c r="H87" s="20">
        <f>表2_367162629303891213141523242526272829[[#This Row],[累计净值]]/$B$21-1</f>
        <v>-1.4202840568113606E-2</v>
      </c>
    </row>
    <row r="88" spans="1:8">
      <c r="A88" s="15">
        <v>44175</v>
      </c>
      <c r="B88" s="112">
        <v>0.98850000000000005</v>
      </c>
      <c r="C88" s="112">
        <f>C87*(1+表2_367162629303891213141523242526272829[[#This Row],[每日盈亏]])</f>
        <v>1.0006484095666395</v>
      </c>
      <c r="D88" s="108">
        <f t="shared" si="13"/>
        <v>2.9000000000000137E-3</v>
      </c>
      <c r="E88" s="109" t="str">
        <f t="shared" si="14"/>
        <v>/</v>
      </c>
      <c r="F88" s="109">
        <f ca="1">IF(表2_367162629303891213141523242526272829[[#This Row],[累计净值]]/MAX(INDIRECT("B21:B" &amp; ROW()))-1&lt;F87,表2_367162629303891213141523242526272829[[#This Row],[累计净值]]/MAX(INDIRECT("B21:B" &amp; ROW()))-1,F87)</f>
        <v>-6.5813162632526456E-2</v>
      </c>
      <c r="G88" s="110">
        <f>表2_367162629303891213141523242526272829[[#This Row],[累计净值]]</f>
        <v>0.98850000000000005</v>
      </c>
      <c r="H88" s="20">
        <f>表2_367162629303891213141523242526272829[[#This Row],[累计净值]]/$B$21-1</f>
        <v>-1.1302260452090374E-2</v>
      </c>
    </row>
    <row r="89" spans="1:8">
      <c r="A89" s="15">
        <v>44176</v>
      </c>
      <c r="B89" s="112">
        <v>0.97460000000000002</v>
      </c>
      <c r="C89" s="112">
        <f>C88*(1+表2_367162629303891213141523242526272829[[#This Row],[每日盈亏]])</f>
        <v>0.98673939667366317</v>
      </c>
      <c r="D89" s="108">
        <f t="shared" si="13"/>
        <v>-1.3900000000000023E-2</v>
      </c>
      <c r="E89" s="109">
        <f t="shared" si="14"/>
        <v>-1.3900000000000023E-2</v>
      </c>
      <c r="F89" s="109">
        <f ca="1">IF(表2_367162629303891213141523242526272829[[#This Row],[累计净值]]/MAX(INDIRECT("B21:B" &amp; ROW()))-1&lt;F88,表2_367162629303891213141523242526272829[[#This Row],[累计净值]]/MAX(INDIRECT("B21:B" &amp; ROW()))-1,F88)</f>
        <v>-6.5813162632526456E-2</v>
      </c>
      <c r="G89" s="110">
        <f>表2_367162629303891213141523242526272829[[#This Row],[累计净值]]</f>
        <v>0.97460000000000002</v>
      </c>
      <c r="H89" s="20">
        <f>表2_367162629303891213141523242526272829[[#This Row],[累计净值]]/$B$21-1</f>
        <v>-2.5205041008201645E-2</v>
      </c>
    </row>
    <row r="90" spans="1:8">
      <c r="A90" s="15">
        <v>44179</v>
      </c>
      <c r="B90" s="112">
        <v>0.98460000000000003</v>
      </c>
      <c r="C90" s="112">
        <f>C89*(1+表2_367162629303891213141523242526272829[[#This Row],[每日盈亏]])</f>
        <v>0.99660679064039981</v>
      </c>
      <c r="D90" s="108">
        <f t="shared" si="13"/>
        <v>1.0000000000000009E-2</v>
      </c>
      <c r="E90" s="109" t="str">
        <f t="shared" si="14"/>
        <v>/</v>
      </c>
      <c r="F90" s="109">
        <f ca="1">IF(表2_367162629303891213141523242526272829[[#This Row],[累计净值]]/MAX(INDIRECT("B21:B" &amp; ROW()))-1&lt;F89,表2_367162629303891213141523242526272829[[#This Row],[累计净值]]/MAX(INDIRECT("B21:B" &amp; ROW()))-1,F89)</f>
        <v>-6.5813162632526456E-2</v>
      </c>
      <c r="G90" s="110">
        <f>表2_367162629303891213141523242526272829[[#This Row],[累计净值]]</f>
        <v>0.98460000000000003</v>
      </c>
      <c r="H90" s="20">
        <f>表2_367162629303891213141523242526272829[[#This Row],[累计净值]]/$B$21-1</f>
        <v>-1.520304060812161E-2</v>
      </c>
    </row>
    <row r="91" spans="1:8">
      <c r="A91" s="15">
        <v>44180</v>
      </c>
      <c r="B91" s="112">
        <v>0.98919999999999997</v>
      </c>
      <c r="C91" s="112">
        <f>C90*(1+表2_367162629303891213141523242526272829[[#This Row],[每日盈亏]])</f>
        <v>1.0011911818773456</v>
      </c>
      <c r="D91" s="108">
        <f t="shared" si="13"/>
        <v>4.5999999999999375E-3</v>
      </c>
      <c r="E91" s="109" t="str">
        <f t="shared" si="14"/>
        <v>/</v>
      </c>
      <c r="F91" s="109">
        <f ca="1">IF(表2_367162629303891213141523242526272829[[#This Row],[累计净值]]/MAX(INDIRECT("B21:B" &amp; ROW()))-1&lt;F90,表2_367162629303891213141523242526272829[[#This Row],[累计净值]]/MAX(INDIRECT("B21:B" &amp; ROW()))-1,F90)</f>
        <v>-6.5813162632526456E-2</v>
      </c>
      <c r="G91" s="110">
        <f>表2_367162629303891213141523242526272829[[#This Row],[累计净值]]</f>
        <v>0.98919999999999997</v>
      </c>
      <c r="H91" s="20">
        <f>表2_367162629303891213141523242526272829[[#This Row],[累计净值]]/$B$21-1</f>
        <v>-1.0602120424084815E-2</v>
      </c>
    </row>
    <row r="92" spans="1:8">
      <c r="A92" s="15">
        <v>44181</v>
      </c>
      <c r="B92" s="112">
        <v>0.98680000000000001</v>
      </c>
      <c r="C92" s="112">
        <f>C91*(1+表2_367162629303891213141523242526272829[[#This Row],[每日盈亏]])</f>
        <v>0.99878832304083998</v>
      </c>
      <c r="D92" s="108">
        <f t="shared" si="13"/>
        <v>-2.3999999999999577E-3</v>
      </c>
      <c r="E92" s="109">
        <f t="shared" si="14"/>
        <v>-2.3999999999999577E-3</v>
      </c>
      <c r="F92" s="109">
        <f ca="1">IF(表2_367162629303891213141523242526272829[[#This Row],[累计净值]]/MAX(INDIRECT("B21:B" &amp; ROW()))-1&lt;F91,表2_367162629303891213141523242526272829[[#This Row],[累计净值]]/MAX(INDIRECT("B21:B" &amp; ROW()))-1,F91)</f>
        <v>-6.5813162632526456E-2</v>
      </c>
      <c r="G92" s="110">
        <f>表2_367162629303891213141523242526272829[[#This Row],[累计净值]]</f>
        <v>0.98680000000000001</v>
      </c>
      <c r="H92" s="20">
        <f>表2_367162629303891213141523242526272829[[#This Row],[累计净值]]/$B$21-1</f>
        <v>-1.3002600520104046E-2</v>
      </c>
    </row>
    <row r="93" spans="1:8">
      <c r="A93" s="15">
        <v>44182</v>
      </c>
      <c r="B93" s="112">
        <v>0.99770000000000003</v>
      </c>
      <c r="C93" s="112">
        <f>C92*(1+表2_367162629303891213141523242526272829[[#This Row],[每日盈亏]])</f>
        <v>1.009675115761985</v>
      </c>
      <c r="D93" s="108">
        <f t="shared" si="13"/>
        <v>1.0900000000000021E-2</v>
      </c>
      <c r="E93" s="109" t="str">
        <f t="shared" ref="E93:E98" si="15">IF(D93&lt;0,D93,"/")</f>
        <v>/</v>
      </c>
      <c r="F93" s="109">
        <f ca="1">IF(表2_367162629303891213141523242526272829[[#This Row],[累计净值]]/MAX(INDIRECT("B21:B" &amp; ROW()))-1&lt;F92,表2_367162629303891213141523242526272829[[#This Row],[累计净值]]/MAX(INDIRECT("B21:B" &amp; ROW()))-1,F92)</f>
        <v>-6.5813162632526456E-2</v>
      </c>
      <c r="G93" s="110">
        <f>表2_367162629303891213141523242526272829[[#This Row],[累计净值]]</f>
        <v>0.99770000000000003</v>
      </c>
      <c r="H93" s="20">
        <f>表2_367162629303891213141523242526272829[[#This Row],[累计净值]]/$B$21-1</f>
        <v>-2.1004200840167853E-3</v>
      </c>
    </row>
    <row r="94" spans="1:8">
      <c r="A94" s="15">
        <v>44183</v>
      </c>
      <c r="B94" s="112">
        <v>0.99660000000000004</v>
      </c>
      <c r="C94" s="112">
        <f>C93*(1+表2_367162629303891213141523242526272829[[#This Row],[每日盈亏]])</f>
        <v>1.0085644731346468</v>
      </c>
      <c r="D94" s="108">
        <f t="shared" si="13"/>
        <v>-1.0999999999999899E-3</v>
      </c>
      <c r="E94" s="109">
        <f t="shared" si="15"/>
        <v>-1.0999999999999899E-3</v>
      </c>
      <c r="F94" s="109">
        <f ca="1">IF(表2_367162629303891213141523242526272829[[#This Row],[累计净值]]/MAX(INDIRECT("B21:B" &amp; ROW()))-1&lt;F93,表2_367162629303891213141523242526272829[[#This Row],[累计净值]]/MAX(INDIRECT("B21:B" &amp; ROW()))-1,F93)</f>
        <v>-6.5813162632526456E-2</v>
      </c>
      <c r="G94" s="110">
        <f>表2_367162629303891213141523242526272829[[#This Row],[累计净值]]</f>
        <v>0.99660000000000004</v>
      </c>
      <c r="H94" s="20">
        <f>表2_367162629303891213141523242526272829[[#This Row],[累计净值]]/$B$21-1</f>
        <v>-3.200640128025567E-3</v>
      </c>
    </row>
    <row r="95" spans="1:8">
      <c r="A95" s="15">
        <v>44186</v>
      </c>
      <c r="B95" s="112">
        <v>1.0113000000000001</v>
      </c>
      <c r="C95" s="112">
        <f>C94*(1+表2_367162629303891213141523242526272829[[#This Row],[每日盈亏]])</f>
        <v>1.0233903708897261</v>
      </c>
      <c r="D95" s="108">
        <f t="shared" si="13"/>
        <v>1.4700000000000046E-2</v>
      </c>
      <c r="E95" s="109" t="str">
        <f t="shared" si="15"/>
        <v>/</v>
      </c>
      <c r="F95" s="109">
        <f ca="1">IF(表2_367162629303891213141523242526272829[[#This Row],[累计净值]]/MAX(INDIRECT("B21:B" &amp; ROW()))-1&lt;F94,表2_367162629303891213141523242526272829[[#This Row],[累计净值]]/MAX(INDIRECT("B21:B" &amp; ROW()))-1,F94)</f>
        <v>-6.5813162632526456E-2</v>
      </c>
      <c r="G95" s="110">
        <f>表2_367162629303891213141523242526272829[[#This Row],[累计净值]]</f>
        <v>1.0113000000000001</v>
      </c>
      <c r="H95" s="20">
        <f>表2_367162629303891213141523242526272829[[#This Row],[累计净值]]/$B$21-1</f>
        <v>1.1502300460092041E-2</v>
      </c>
    </row>
    <row r="96" spans="1:8">
      <c r="A96" s="15">
        <v>44187</v>
      </c>
      <c r="B96" s="112">
        <v>0.99029999999999996</v>
      </c>
      <c r="C96" s="112">
        <f>C95*(1+表2_367162629303891213141523242526272829[[#This Row],[每日盈亏]])</f>
        <v>1.0018991731010416</v>
      </c>
      <c r="D96" s="108">
        <f t="shared" si="13"/>
        <v>-2.100000000000013E-2</v>
      </c>
      <c r="E96" s="109">
        <f t="shared" si="15"/>
        <v>-2.100000000000013E-2</v>
      </c>
      <c r="F96" s="109">
        <f ca="1">IF(表2_367162629303891213141523242526272829[[#This Row],[累计净值]]/MAX(INDIRECT("B21:B" &amp; ROW()))-1&lt;F95,表2_367162629303891213141523242526272829[[#This Row],[累计净值]]/MAX(INDIRECT("B21:B" &amp; ROW()))-1,F95)</f>
        <v>-6.5813162632526456E-2</v>
      </c>
      <c r="G96" s="110">
        <f>表2_367162629303891213141523242526272829[[#This Row],[累计净值]]</f>
        <v>0.99029999999999996</v>
      </c>
      <c r="H96" s="20">
        <f>表2_367162629303891213141523242526272829[[#This Row],[累计净值]]/$B$21-1</f>
        <v>-9.5019003800760338E-3</v>
      </c>
    </row>
    <row r="97" spans="1:8">
      <c r="A97" s="15">
        <v>44188</v>
      </c>
      <c r="B97" s="112">
        <v>1.0017</v>
      </c>
      <c r="C97" s="112">
        <f>C96*(1+表2_367162629303891213141523242526272829[[#This Row],[每日盈亏]])</f>
        <v>1.0133208236743936</v>
      </c>
      <c r="D97" s="108">
        <f t="shared" si="13"/>
        <v>1.1400000000000077E-2</v>
      </c>
      <c r="E97" s="109" t="str">
        <f t="shared" si="15"/>
        <v>/</v>
      </c>
      <c r="F97" s="109">
        <f ca="1">IF(表2_367162629303891213141523242526272829[[#This Row],[累计净值]]/MAX(INDIRECT("B21:B" &amp; ROW()))-1&lt;F96,表2_367162629303891213141523242526272829[[#This Row],[累计净值]]/MAX(INDIRECT("B21:B" &amp; ROW()))-1,F96)</f>
        <v>-6.5813162632526456E-2</v>
      </c>
      <c r="G97" s="110">
        <f>表2_367162629303891213141523242526272829[[#This Row],[累计净值]]</f>
        <v>1.0017</v>
      </c>
      <c r="H97" s="20">
        <f>表2_367162629303891213141523242526272829[[#This Row],[累计净值]]/$B$21-1</f>
        <v>1.9003800760151179E-3</v>
      </c>
    </row>
    <row r="98" spans="1:8">
      <c r="A98" s="15">
        <v>44189</v>
      </c>
      <c r="B98" s="112">
        <v>0.98939999999999995</v>
      </c>
      <c r="C98" s="112">
        <f>C97*(1+表2_367162629303891213141523242526272829[[#This Row],[每日盈亏]])</f>
        <v>1.0008569775431984</v>
      </c>
      <c r="D98" s="108">
        <f t="shared" si="13"/>
        <v>-1.2300000000000089E-2</v>
      </c>
      <c r="E98" s="109">
        <f t="shared" si="15"/>
        <v>-1.2300000000000089E-2</v>
      </c>
      <c r="F98" s="109">
        <f ca="1">IF(表2_367162629303891213141523242526272829[[#This Row],[累计净值]]/MAX(INDIRECT("B21:B" &amp; ROW()))-1&lt;F97,表2_367162629303891213141523242526272829[[#This Row],[累计净值]]/MAX(INDIRECT("B21:B" &amp; ROW()))-1,F97)</f>
        <v>-6.5813162632526456E-2</v>
      </c>
      <c r="G98" s="110">
        <f>表2_367162629303891213141523242526272829[[#This Row],[累计净值]]</f>
        <v>0.98939999999999995</v>
      </c>
      <c r="H98" s="20">
        <f>表2_367162629303891213141523242526272829[[#This Row],[累计净值]]/$B$21-1</f>
        <v>-1.0402080416083259E-2</v>
      </c>
    </row>
    <row r="99" spans="1:8">
      <c r="A99" s="15">
        <v>44190</v>
      </c>
      <c r="B99" s="112">
        <v>1.0041</v>
      </c>
      <c r="C99" s="112">
        <f>C98*(1+表2_367162629303891213141523242526272829[[#This Row],[每日盈亏]])</f>
        <v>1.0155695751130833</v>
      </c>
      <c r="D99" s="108">
        <f t="shared" si="13"/>
        <v>1.4700000000000046E-2</v>
      </c>
      <c r="E99" s="109" t="str">
        <f t="shared" ref="E99:E104" si="16">IF(D99&lt;0,D99,"/")</f>
        <v>/</v>
      </c>
      <c r="F99" s="109">
        <f ca="1">IF(表2_367162629303891213141523242526272829[[#This Row],[累计净值]]/MAX(INDIRECT("B21:B" &amp; ROW()))-1&lt;F98,表2_367162629303891213141523242526272829[[#This Row],[累计净值]]/MAX(INDIRECT("B21:B" &amp; ROW()))-1,F98)</f>
        <v>-6.5813162632526456E-2</v>
      </c>
      <c r="G99" s="110">
        <f>表2_367162629303891213141523242526272829[[#This Row],[累计净值]]</f>
        <v>1.0041</v>
      </c>
      <c r="H99" s="20">
        <f>表2_367162629303891213141523242526272829[[#This Row],[累计净值]]/$B$21-1</f>
        <v>4.3008601720344597E-3</v>
      </c>
    </row>
    <row r="100" spans="1:8">
      <c r="A100" s="15">
        <v>44193</v>
      </c>
      <c r="B100" s="112">
        <v>1.0007999999999999</v>
      </c>
      <c r="C100" s="112">
        <f>C99*(1+表2_367162629303891213141523242526272829[[#This Row],[每日盈亏]])</f>
        <v>1.0122181955152101</v>
      </c>
      <c r="D100" s="108">
        <f t="shared" si="13"/>
        <v>-3.3000000000000806E-3</v>
      </c>
      <c r="E100" s="109">
        <f t="shared" si="16"/>
        <v>-3.3000000000000806E-3</v>
      </c>
      <c r="F100" s="109">
        <f ca="1">IF(表2_367162629303891213141523242526272829[[#This Row],[累计净值]]/MAX(INDIRECT("B21:B" &amp; ROW()))-1&lt;F99,表2_367162629303891213141523242526272829[[#This Row],[累计净值]]/MAX(INDIRECT("B21:B" &amp; ROW()))-1,F99)</f>
        <v>-6.5813162632526456E-2</v>
      </c>
      <c r="G100" s="110">
        <f>表2_367162629303891213141523242526272829[[#This Row],[累计净值]]</f>
        <v>1.0007999999999999</v>
      </c>
      <c r="H100" s="20">
        <f>表2_367162629303891213141523242526272829[[#This Row],[累计净值]]/$B$21-1</f>
        <v>1.0002000400077815E-3</v>
      </c>
    </row>
    <row r="101" spans="1:8">
      <c r="A101" s="15">
        <v>44194</v>
      </c>
      <c r="B101" s="112">
        <v>0.99099999999999999</v>
      </c>
      <c r="C101" s="112">
        <f>C100*(1+表2_367162629303891213141523242526272829[[#This Row],[每日盈亏]])</f>
        <v>1.0022984571991611</v>
      </c>
      <c r="D101" s="108">
        <f t="shared" si="13"/>
        <v>-9.7999999999999199E-3</v>
      </c>
      <c r="E101" s="109">
        <f t="shared" si="16"/>
        <v>-9.7999999999999199E-3</v>
      </c>
      <c r="F101" s="109">
        <f ca="1">IF(表2_367162629303891213141523242526272829[[#This Row],[累计净值]]/MAX(INDIRECT("B21:B" &amp; ROW()))-1&lt;F100,表2_367162629303891213141523242526272829[[#This Row],[累计净值]]/MAX(INDIRECT("B21:B" &amp; ROW()))-1,F100)</f>
        <v>-6.5813162632526456E-2</v>
      </c>
      <c r="G101" s="110">
        <f>表2_367162629303891213141523242526272829[[#This Row],[累计净值]]</f>
        <v>0.99099999999999999</v>
      </c>
      <c r="H101" s="20">
        <f>表2_367162629303891213141523242526272829[[#This Row],[累计净值]]/$B$21-1</f>
        <v>-8.8017603520704757E-3</v>
      </c>
    </row>
    <row r="102" spans="1:8">
      <c r="A102" s="15">
        <v>44195</v>
      </c>
      <c r="B102" s="112">
        <v>1.0005999999999999</v>
      </c>
      <c r="C102" s="112">
        <f>C101*(1+表2_367162629303891213141523242526272829[[#This Row],[每日盈亏]])</f>
        <v>1.0119205223882728</v>
      </c>
      <c r="D102" s="108">
        <f t="shared" si="13"/>
        <v>9.5999999999999419E-3</v>
      </c>
      <c r="E102" s="109" t="str">
        <f t="shared" si="16"/>
        <v>/</v>
      </c>
      <c r="F102" s="109">
        <f ca="1">IF(表2_367162629303891213141523242526272829[[#This Row],[累计净值]]/MAX(INDIRECT("B21:B" &amp; ROW()))-1&lt;F101,表2_367162629303891213141523242526272829[[#This Row],[累计净值]]/MAX(INDIRECT("B21:B" &amp; ROW()))-1,F101)</f>
        <v>-6.5813162632526456E-2</v>
      </c>
      <c r="G102" s="110">
        <f>表2_367162629303891213141523242526272829[[#This Row],[累计净值]]</f>
        <v>1.0005999999999999</v>
      </c>
      <c r="H102" s="20">
        <f>表2_367162629303891213141523242526272829[[#This Row],[累计净值]]/$B$21-1</f>
        <v>8.0016003200622521E-4</v>
      </c>
    </row>
    <row r="103" spans="1:8">
      <c r="A103" s="15">
        <v>44196</v>
      </c>
      <c r="B103" s="112">
        <v>1.0209999999999999</v>
      </c>
      <c r="C103" s="112">
        <f>C102*(1+表2_367162629303891213141523242526272829[[#This Row],[每日盈亏]])</f>
        <v>1.0325637010449935</v>
      </c>
      <c r="D103" s="108">
        <f t="shared" si="13"/>
        <v>2.0399999999999974E-2</v>
      </c>
      <c r="E103" s="109" t="str">
        <f t="shared" si="16"/>
        <v>/</v>
      </c>
      <c r="F103" s="109">
        <f ca="1">IF(表2_367162629303891213141523242526272829[[#This Row],[累计净值]]/MAX(INDIRECT("B21:B" &amp; ROW()))-1&lt;F102,表2_367162629303891213141523242526272829[[#This Row],[累计净值]]/MAX(INDIRECT("B21:B" &amp; ROW()))-1,F102)</f>
        <v>-6.5813162632526456E-2</v>
      </c>
      <c r="G103" s="110">
        <f>表2_367162629303891213141523242526272829[[#This Row],[累计净值]]</f>
        <v>1.0209999999999999</v>
      </c>
      <c r="H103" s="20">
        <f>表2_367162629303891213141523242526272829[[#This Row],[累计净值]]/$B$21-1</f>
        <v>2.1204240848169409E-2</v>
      </c>
    </row>
    <row r="104" spans="1:8">
      <c r="A104" s="15">
        <v>44200</v>
      </c>
      <c r="B104" s="112">
        <v>1.0397000000000001</v>
      </c>
      <c r="C104" s="112">
        <f>C103*(1+表2_367162629303891213141523242526272829[[#This Row],[每日盈亏]])</f>
        <v>1.051872642254535</v>
      </c>
      <c r="D104" s="108">
        <f t="shared" si="13"/>
        <v>1.8700000000000161E-2</v>
      </c>
      <c r="E104" s="109" t="str">
        <f t="shared" si="16"/>
        <v>/</v>
      </c>
      <c r="F104" s="109">
        <f ca="1">IF(表2_367162629303891213141523242526272829[[#This Row],[累计净值]]/MAX(INDIRECT("B21:B" &amp; ROW()))-1&lt;F103,表2_367162629303891213141523242526272829[[#This Row],[累计净值]]/MAX(INDIRECT("B21:B" &amp; ROW()))-1,F103)</f>
        <v>-6.5813162632526456E-2</v>
      </c>
      <c r="G104" s="110">
        <f>表2_367162629303891213141523242526272829[[#This Row],[累计净值]]</f>
        <v>1.0397000000000001</v>
      </c>
      <c r="H104" s="20">
        <f>表2_367162629303891213141523242526272829[[#This Row],[累计净值]]/$B$21-1</f>
        <v>3.9907981596319253E-2</v>
      </c>
    </row>
    <row r="105" spans="1:8">
      <c r="A105" s="15">
        <v>44201</v>
      </c>
      <c r="B105" s="112">
        <v>1.0484</v>
      </c>
      <c r="C105" s="112">
        <f>C104*(1+表2_367162629303891213141523242526272829[[#This Row],[每日盈亏]])</f>
        <v>1.0610239342421495</v>
      </c>
      <c r="D105" s="108">
        <f t="shared" si="13"/>
        <v>8.69999999999993E-3</v>
      </c>
      <c r="E105" s="109" t="str">
        <f t="shared" ref="E105:E111" si="17">IF(D105&lt;0,D105,"/")</f>
        <v>/</v>
      </c>
      <c r="F105" s="109">
        <f ca="1">IF(表2_367162629303891213141523242526272829[[#This Row],[累计净值]]/MAX(INDIRECT("B21:B" &amp; ROW()))-1&lt;F104,表2_367162629303891213141523242526272829[[#This Row],[累计净值]]/MAX(INDIRECT("B21:B" &amp; ROW()))-1,F104)</f>
        <v>-6.5813162632526456E-2</v>
      </c>
      <c r="G105" s="110">
        <f>表2_367162629303891213141523242526272829[[#This Row],[累计净值]]</f>
        <v>1.0484</v>
      </c>
      <c r="H105" s="20">
        <f>表2_367162629303891213141523242526272829[[#This Row],[累计净值]]/$B$21-1</f>
        <v>4.860972194438884E-2</v>
      </c>
    </row>
    <row r="106" spans="1:8">
      <c r="A106" s="15">
        <v>44202</v>
      </c>
      <c r="B106" s="112">
        <v>1.0466</v>
      </c>
      <c r="C106" s="112">
        <f>C105*(1+表2_367162629303891213141523242526272829[[#This Row],[每日盈亏]])</f>
        <v>1.0591140911605135</v>
      </c>
      <c r="D106" s="108">
        <f t="shared" si="13"/>
        <v>-1.8000000000000238E-3</v>
      </c>
      <c r="E106" s="109">
        <f t="shared" si="17"/>
        <v>-1.8000000000000238E-3</v>
      </c>
      <c r="F106" s="109">
        <f ca="1">IF(表2_367162629303891213141523242526272829[[#This Row],[累计净值]]/MAX(INDIRECT("B21:B" &amp; ROW()))-1&lt;F105,表2_367162629303891213141523242526272829[[#This Row],[累计净值]]/MAX(INDIRECT("B21:B" &amp; ROW()))-1,F105)</f>
        <v>-6.5813162632526456E-2</v>
      </c>
      <c r="G106" s="110">
        <f>表2_367162629303891213141523242526272829[[#This Row],[累计净值]]</f>
        <v>1.0466</v>
      </c>
      <c r="H106" s="20">
        <f>表2_367162629303891213141523242526272829[[#This Row],[累计净值]]/$B$21-1</f>
        <v>4.6809361872374389E-2</v>
      </c>
    </row>
    <row r="107" spans="1:8">
      <c r="A107" s="15">
        <v>44203</v>
      </c>
      <c r="B107" s="112">
        <v>1.0432999999999999</v>
      </c>
      <c r="C107" s="112">
        <f>C106*(1+表2_367162629303891213141523242526272829[[#This Row],[每日盈亏]])</f>
        <v>1.0556190146596838</v>
      </c>
      <c r="D107" s="108">
        <f t="shared" si="13"/>
        <v>-3.3000000000000806E-3</v>
      </c>
      <c r="E107" s="109">
        <f t="shared" si="17"/>
        <v>-3.3000000000000806E-3</v>
      </c>
      <c r="F107" s="109">
        <f ca="1">IF(表2_367162629303891213141523242526272829[[#This Row],[累计净值]]/MAX(INDIRECT("B21:B" &amp; ROW()))-1&lt;F106,表2_367162629303891213141523242526272829[[#This Row],[累计净值]]/MAX(INDIRECT("B21:B" &amp; ROW()))-1,F106)</f>
        <v>-6.5813162632526456E-2</v>
      </c>
      <c r="G107" s="110">
        <f>表2_367162629303891213141523242526272829[[#This Row],[累计净值]]</f>
        <v>1.0432999999999999</v>
      </c>
      <c r="H107" s="20">
        <f>表2_367162629303891213141523242526272829[[#This Row],[累计净值]]/$B$21-1</f>
        <v>4.3508701740347933E-2</v>
      </c>
    </row>
    <row r="108" spans="1:8">
      <c r="A108" s="15">
        <v>44204</v>
      </c>
      <c r="B108" s="112">
        <v>1.0443</v>
      </c>
      <c r="C108" s="112">
        <f>C107*(1+表2_367162629303891213141523242526272829[[#This Row],[每日盈亏]])</f>
        <v>1.0566746336743436</v>
      </c>
      <c r="D108" s="108">
        <f t="shared" si="13"/>
        <v>1.0000000000001119E-3</v>
      </c>
      <c r="E108" s="109" t="str">
        <f t="shared" si="17"/>
        <v>/</v>
      </c>
      <c r="F108" s="109">
        <f ca="1">IF(表2_367162629303891213141523242526272829[[#This Row],[累计净值]]/MAX(INDIRECT("B21:B" &amp; ROW()))-1&lt;F107,表2_367162629303891213141523242526272829[[#This Row],[累计净值]]/MAX(INDIRECT("B21:B" &amp; ROW()))-1,F107)</f>
        <v>-6.5813162632526456E-2</v>
      </c>
      <c r="G108" s="110">
        <f>表2_367162629303891213141523242526272829[[#This Row],[累计净值]]</f>
        <v>1.0443</v>
      </c>
      <c r="H108" s="20">
        <f>表2_367162629303891213141523242526272829[[#This Row],[累计净值]]/$B$21-1</f>
        <v>4.4508901780356158E-2</v>
      </c>
    </row>
    <row r="109" spans="1:8">
      <c r="A109" s="15">
        <v>44207</v>
      </c>
      <c r="B109" s="112">
        <v>1.0349999999999999</v>
      </c>
      <c r="C109" s="112">
        <f>C108*(1+表2_367162629303891213141523242526272829[[#This Row],[每日盈亏]])</f>
        <v>1.0468475595811721</v>
      </c>
      <c r="D109" s="108">
        <f t="shared" si="13"/>
        <v>-9.300000000000086E-3</v>
      </c>
      <c r="E109" s="109">
        <f t="shared" si="17"/>
        <v>-9.300000000000086E-3</v>
      </c>
      <c r="F109" s="109">
        <f ca="1">IF(表2_367162629303891213141523242526272829[[#This Row],[累计净值]]/MAX(INDIRECT("B21:B" &amp; ROW()))-1&lt;F108,表2_367162629303891213141523242526272829[[#This Row],[累计净值]]/MAX(INDIRECT("B21:B" &amp; ROW()))-1,F108)</f>
        <v>-6.5813162632526456E-2</v>
      </c>
      <c r="G109" s="110">
        <f>表2_367162629303891213141523242526272829[[#This Row],[累计净值]]</f>
        <v>1.0349999999999999</v>
      </c>
      <c r="H109" s="20">
        <f>表2_367162629303891213141523242526272829[[#This Row],[累计净值]]/$B$21-1</f>
        <v>3.5207041408281459E-2</v>
      </c>
    </row>
    <row r="110" spans="1:8">
      <c r="A110" s="15">
        <v>44208</v>
      </c>
      <c r="B110" s="112">
        <v>1.0476000000000001</v>
      </c>
      <c r="C110" s="112">
        <f>C109*(1+表2_367162629303891213141523242526272829[[#This Row],[每日盈亏]])</f>
        <v>1.0600378388318952</v>
      </c>
      <c r="D110" s="108">
        <f t="shared" si="13"/>
        <v>1.2600000000000167E-2</v>
      </c>
      <c r="E110" s="109" t="str">
        <f t="shared" si="17"/>
        <v>/</v>
      </c>
      <c r="F110" s="109">
        <f ca="1">IF(表2_367162629303891213141523242526272829[[#This Row],[累计净值]]/MAX(INDIRECT("B21:B" &amp; ROW()))-1&lt;F109,表2_367162629303891213141523242526272829[[#This Row],[累计净值]]/MAX(INDIRECT("B21:B" &amp; ROW()))-1,F109)</f>
        <v>-6.5813162632526456E-2</v>
      </c>
      <c r="G110" s="110">
        <f>表2_367162629303891213141523242526272829[[#This Row],[累计净值]]</f>
        <v>1.0476000000000001</v>
      </c>
      <c r="H110" s="20">
        <f>表2_367162629303891213141523242526272829[[#This Row],[累计净值]]/$B$21-1</f>
        <v>4.7809561912382614E-2</v>
      </c>
    </row>
    <row r="111" spans="1:8">
      <c r="A111" s="15">
        <v>44209</v>
      </c>
      <c r="B111" s="112">
        <v>1.0429999999999999</v>
      </c>
      <c r="C111" s="112">
        <f>C110*(1+表2_367162629303891213141523242526272829[[#This Row],[每日盈亏]])</f>
        <v>1.0551616647732682</v>
      </c>
      <c r="D111" s="108">
        <f t="shared" si="13"/>
        <v>-4.6000000000001595E-3</v>
      </c>
      <c r="E111" s="109">
        <f t="shared" si="17"/>
        <v>-4.6000000000001595E-3</v>
      </c>
      <c r="F111" s="109">
        <f ca="1">IF(表2_367162629303891213141523242526272829[[#This Row],[累计净值]]/MAX(INDIRECT("B21:B" &amp; ROW()))-1&lt;F110,表2_367162629303891213141523242526272829[[#This Row],[累计净值]]/MAX(INDIRECT("B21:B" &amp; ROW()))-1,F110)</f>
        <v>-6.5813162632526456E-2</v>
      </c>
      <c r="G111" s="110">
        <f>表2_367162629303891213141523242526272829[[#This Row],[累计净值]]</f>
        <v>1.0429999999999999</v>
      </c>
      <c r="H111" s="20">
        <f>表2_367162629303891213141523242526272829[[#This Row],[累计净值]]/$B$21-1</f>
        <v>4.3208641728345487E-2</v>
      </c>
    </row>
    <row r="112" spans="1:8">
      <c r="A112" s="15">
        <v>44210</v>
      </c>
      <c r="B112" s="112">
        <v>1.0364</v>
      </c>
      <c r="C112" s="112">
        <f>C111*(1+表2_367162629303891213141523242526272829[[#This Row],[每日盈亏]])</f>
        <v>1.0481975977857647</v>
      </c>
      <c r="D112" s="108">
        <f t="shared" si="13"/>
        <v>-6.5999999999999392E-3</v>
      </c>
      <c r="E112" s="109">
        <f t="shared" ref="E112:E117" si="18">IF(D112&lt;0,D112,"/")</f>
        <v>-6.5999999999999392E-3</v>
      </c>
      <c r="F112" s="109">
        <f ca="1">IF(表2_367162629303891213141523242526272829[[#This Row],[累计净值]]/MAX(INDIRECT("B21:B" &amp; ROW()))-1&lt;F111,表2_367162629303891213141523242526272829[[#This Row],[累计净值]]/MAX(INDIRECT("B21:B" &amp; ROW()))-1,F111)</f>
        <v>-6.5813162632526456E-2</v>
      </c>
      <c r="G112" s="110">
        <f>表2_367162629303891213141523242526272829[[#This Row],[累计净值]]</f>
        <v>1.0364</v>
      </c>
      <c r="H112" s="20">
        <f>表2_367162629303891213141523242526272829[[#This Row],[累计净值]]/$B$21-1</f>
        <v>3.6607321464292797E-2</v>
      </c>
    </row>
    <row r="113" spans="1:16">
      <c r="A113" s="15">
        <v>44211</v>
      </c>
      <c r="B113" s="112">
        <v>1.0346</v>
      </c>
      <c r="C113" s="112">
        <f>C112*(1+表2_367162629303891213141523242526272829[[#This Row],[每日盈亏]])</f>
        <v>1.0463108421097502</v>
      </c>
      <c r="D113" s="108">
        <f t="shared" si="13"/>
        <v>-1.8000000000000238E-3</v>
      </c>
      <c r="E113" s="109">
        <f t="shared" si="18"/>
        <v>-1.8000000000000238E-3</v>
      </c>
      <c r="F113" s="109">
        <f ca="1">IF(表2_367162629303891213141523242526272829[[#This Row],[累计净值]]/MAX(INDIRECT("B21:B" &amp; ROW()))-1&lt;F112,表2_367162629303891213141523242526272829[[#This Row],[累计净值]]/MAX(INDIRECT("B21:B" &amp; ROW()))-1,F112)</f>
        <v>-6.5813162632526456E-2</v>
      </c>
      <c r="G113" s="110">
        <f>表2_367162629303891213141523242526272829[[#This Row],[累计净值]]</f>
        <v>1.0346</v>
      </c>
      <c r="H113" s="20">
        <f>表2_367162629303891213141523242526272829[[#This Row],[累计净值]]/$B$21-1</f>
        <v>3.4806961392278346E-2</v>
      </c>
    </row>
    <row r="114" spans="1:16">
      <c r="A114" s="15">
        <v>44214</v>
      </c>
      <c r="B114" s="112">
        <v>1.0523</v>
      </c>
      <c r="C114" s="112">
        <f>C113*(1+表2_367162629303891213141523242526272829[[#This Row],[每日盈亏]])</f>
        <v>1.0648305440150929</v>
      </c>
      <c r="D114" s="108">
        <f t="shared" si="13"/>
        <v>1.7700000000000049E-2</v>
      </c>
      <c r="E114" s="109" t="str">
        <f t="shared" si="18"/>
        <v>/</v>
      </c>
      <c r="F114" s="109">
        <f ca="1">IF(表2_367162629303891213141523242526272829[[#This Row],[累计净值]]/MAX(INDIRECT("B21:B" &amp; ROW()))-1&lt;F113,表2_367162629303891213141523242526272829[[#This Row],[累计净值]]/MAX(INDIRECT("B21:B" &amp; ROW()))-1,F113)</f>
        <v>-6.5813162632526456E-2</v>
      </c>
      <c r="G114" s="110">
        <f>表2_367162629303891213141523242526272829[[#This Row],[累计净值]]</f>
        <v>1.0523</v>
      </c>
      <c r="H114" s="20">
        <f>表2_367162629303891213141523242526272829[[#This Row],[累计净值]]/$B$21-1</f>
        <v>5.2510502100419965E-2</v>
      </c>
    </row>
    <row r="115" spans="1:16">
      <c r="A115" s="15">
        <v>44215</v>
      </c>
      <c r="B115" s="112">
        <v>1.0476000000000001</v>
      </c>
      <c r="C115" s="112">
        <f>C114*(1+表2_367162629303891213141523242526272829[[#This Row],[每日盈亏]])</f>
        <v>1.0598258404582221</v>
      </c>
      <c r="D115" s="108">
        <f t="shared" si="13"/>
        <v>-4.6999999999999265E-3</v>
      </c>
      <c r="E115" s="109">
        <f t="shared" si="18"/>
        <v>-4.6999999999999265E-3</v>
      </c>
      <c r="F115" s="109">
        <f ca="1">IF(表2_367162629303891213141523242526272829[[#This Row],[累计净值]]/MAX(INDIRECT("B21:B" &amp; ROW()))-1&lt;F114,表2_367162629303891213141523242526272829[[#This Row],[累计净值]]/MAX(INDIRECT("B21:B" &amp; ROW()))-1,F114)</f>
        <v>-6.5813162632526456E-2</v>
      </c>
      <c r="G115" s="110">
        <f>表2_367162629303891213141523242526272829[[#This Row],[累计净值]]</f>
        <v>1.0476000000000001</v>
      </c>
      <c r="H115" s="20">
        <f>表2_367162629303891213141523242526272829[[#This Row],[累计净值]]/$B$21-1</f>
        <v>4.7809561912382614E-2</v>
      </c>
    </row>
    <row r="116" spans="1:16">
      <c r="A116" s="15">
        <v>44216</v>
      </c>
      <c r="B116" s="112">
        <v>1.0567</v>
      </c>
      <c r="C116" s="112">
        <f>C115*(1+表2_367162629303891213141523242526272829[[#This Row],[每日盈亏]])</f>
        <v>1.0694702556063918</v>
      </c>
      <c r="D116" s="108">
        <f t="shared" si="13"/>
        <v>9.099999999999886E-3</v>
      </c>
      <c r="E116" s="109" t="str">
        <f t="shared" si="18"/>
        <v>/</v>
      </c>
      <c r="F116" s="109">
        <f ca="1">IF(表2_367162629303891213141523242526272829[[#This Row],[累计净值]]/MAX(INDIRECT("B21:B" &amp; ROW()))-1&lt;F115,表2_367162629303891213141523242526272829[[#This Row],[累计净值]]/MAX(INDIRECT("B21:B" &amp; ROW()))-1,F115)</f>
        <v>-6.5813162632526456E-2</v>
      </c>
      <c r="G116" s="110">
        <f>表2_367162629303891213141523242526272829[[#This Row],[累计净值]]</f>
        <v>1.0567</v>
      </c>
      <c r="H116" s="20">
        <f>表2_367162629303891213141523242526272829[[#This Row],[累计净值]]/$B$21-1</f>
        <v>5.6911382276455313E-2</v>
      </c>
    </row>
    <row r="117" spans="1:16">
      <c r="A117" s="15">
        <v>44217</v>
      </c>
      <c r="B117" s="112">
        <v>1.0691999999999999</v>
      </c>
      <c r="C117" s="112">
        <f>C116*(1+表2_367162629303891213141523242526272829[[#This Row],[每日盈亏]])</f>
        <v>1.0828386338014715</v>
      </c>
      <c r="D117" s="108">
        <f t="shared" ref="D117:D148" si="19">IFERROR(B117-B116,0)</f>
        <v>1.2499999999999956E-2</v>
      </c>
      <c r="E117" s="109" t="str">
        <f t="shared" si="18"/>
        <v>/</v>
      </c>
      <c r="F117" s="109">
        <f ca="1">IF(表2_367162629303891213141523242526272829[[#This Row],[累计净值]]/MAX(INDIRECT("B21:B" &amp; ROW()))-1&lt;F116,表2_367162629303891213141523242526272829[[#This Row],[累计净值]]/MAX(INDIRECT("B21:B" &amp; ROW()))-1,F116)</f>
        <v>-6.5813162632526456E-2</v>
      </c>
      <c r="G117" s="110">
        <f>表2_367162629303891213141523242526272829[[#This Row],[累计净值]]</f>
        <v>1.0691999999999999</v>
      </c>
      <c r="H117" s="20">
        <f>表2_367162629303891213141523242526272829[[#This Row],[累计净值]]/$B$21-1</f>
        <v>6.9413882776555136E-2</v>
      </c>
    </row>
    <row r="118" spans="1:16">
      <c r="A118" s="15">
        <v>44218</v>
      </c>
      <c r="B118" s="112">
        <v>1.0722</v>
      </c>
      <c r="C118" s="112">
        <f>C117*(1+表2_367162629303891213141523242526272829[[#This Row],[每日盈亏]])</f>
        <v>1.0860871497028761</v>
      </c>
      <c r="D118" s="108">
        <f t="shared" si="19"/>
        <v>3.0000000000001137E-3</v>
      </c>
      <c r="E118" s="109" t="str">
        <f t="shared" ref="E118:E123" si="20">IF(D118&lt;0,D118,"/")</f>
        <v>/</v>
      </c>
      <c r="F118" s="109">
        <f ca="1">IF(表2_367162629303891213141523242526272829[[#This Row],[累计净值]]/MAX(INDIRECT("B21:B" &amp; ROW()))-1&lt;F117,表2_367162629303891213141523242526272829[[#This Row],[累计净值]]/MAX(INDIRECT("B21:B" &amp; ROW()))-1,F117)</f>
        <v>-6.5813162632526456E-2</v>
      </c>
      <c r="G118" s="110">
        <f>表2_367162629303891213141523242526272829[[#This Row],[累计净值]]</f>
        <v>1.0722</v>
      </c>
      <c r="H118" s="20">
        <f>表2_367162629303891213141523242526272829[[#This Row],[累计净值]]/$B$21-1</f>
        <v>7.2414482896579369E-2</v>
      </c>
    </row>
    <row r="119" spans="1:16">
      <c r="A119" s="15">
        <v>44221</v>
      </c>
      <c r="B119" s="112">
        <v>1.0727</v>
      </c>
      <c r="C119" s="112">
        <f>C118*(1+表2_367162629303891213141523242526272829[[#This Row],[每日盈亏]])</f>
        <v>1.0866301932777276</v>
      </c>
      <c r="D119" s="108">
        <f t="shared" si="19"/>
        <v>4.9999999999994493E-4</v>
      </c>
      <c r="E119" s="109" t="str">
        <f t="shared" si="20"/>
        <v>/</v>
      </c>
      <c r="F119" s="109">
        <f ca="1">IF(表2_367162629303891213141523242526272829[[#This Row],[累计净值]]/MAX(INDIRECT("B21:B" &amp; ROW()))-1&lt;F118,表2_367162629303891213141523242526272829[[#This Row],[累计净值]]/MAX(INDIRECT("B21:B" &amp; ROW()))-1,F118)</f>
        <v>-6.5813162632526456E-2</v>
      </c>
      <c r="G119" s="110">
        <f>表2_367162629303891213141523242526272829[[#This Row],[累计净值]]</f>
        <v>1.0727</v>
      </c>
      <c r="H119" s="20">
        <f>表2_367162629303891213141523242526272829[[#This Row],[累计净值]]/$B$21-1</f>
        <v>7.291458291658337E-2</v>
      </c>
    </row>
    <row r="120" spans="1:16">
      <c r="A120" s="15">
        <v>44222</v>
      </c>
      <c r="B120" s="112">
        <v>1.0579000000000001</v>
      </c>
      <c r="C120" s="112">
        <f>C119*(1+表2_367162629303891213141523242526272829[[#This Row],[每日盈亏]])</f>
        <v>1.0705480664172173</v>
      </c>
      <c r="D120" s="108">
        <f t="shared" si="19"/>
        <v>-1.4799999999999924E-2</v>
      </c>
      <c r="E120" s="109">
        <f t="shared" si="20"/>
        <v>-1.4799999999999924E-2</v>
      </c>
      <c r="F120" s="109">
        <f ca="1">IF(表2_367162629303891213141523242526272829[[#This Row],[累计净值]]/MAX(INDIRECT("B21:B" &amp; ROW()))-1&lt;F119,表2_367162629303891213141523242526272829[[#This Row],[累计净值]]/MAX(INDIRECT("B21:B" &amp; ROW()))-1,F119)</f>
        <v>-6.5813162632526456E-2</v>
      </c>
      <c r="G120" s="110">
        <f>表2_367162629303891213141523242526272829[[#This Row],[累计净值]]</f>
        <v>1.0579000000000001</v>
      </c>
      <c r="H120" s="20">
        <f>表2_367162629303891213141523242526272829[[#This Row],[累计净值]]/$B$21-1</f>
        <v>5.8111622324464873E-2</v>
      </c>
    </row>
    <row r="121" spans="1:16">
      <c r="A121" s="15">
        <v>44223</v>
      </c>
      <c r="B121" s="112">
        <v>1.0610999999999999</v>
      </c>
      <c r="C121" s="112">
        <f>C120*(1+表2_367162629303891213141523242526272829[[#This Row],[每日盈亏]])</f>
        <v>1.0739738202297522</v>
      </c>
      <c r="D121" s="108">
        <f t="shared" si="19"/>
        <v>3.1999999999998696E-3</v>
      </c>
      <c r="E121" s="109" t="str">
        <f t="shared" si="20"/>
        <v>/</v>
      </c>
      <c r="F121" s="109">
        <f ca="1">IF(表2_367162629303891213141523242526272829[[#This Row],[累计净值]]/MAX(INDIRECT("B21:B" &amp; ROW()))-1&lt;F120,表2_367162629303891213141523242526272829[[#This Row],[累计净值]]/MAX(INDIRECT("B21:B" &amp; ROW()))-1,F120)</f>
        <v>-6.5813162632526456E-2</v>
      </c>
      <c r="G121" s="110">
        <f>表2_367162629303891213141523242526272829[[#This Row],[累计净值]]</f>
        <v>1.0610999999999999</v>
      </c>
      <c r="H121" s="20">
        <f>表2_367162629303891213141523242526272829[[#This Row],[累计净值]]/$B$21-1</f>
        <v>6.131226245249044E-2</v>
      </c>
    </row>
    <row r="122" spans="1:16">
      <c r="A122" s="15">
        <v>44224</v>
      </c>
      <c r="B122" s="112">
        <v>1.0398000000000001</v>
      </c>
      <c r="C122" s="112">
        <f>C121*(1+表2_367162629303891213141523242526272829[[#This Row],[每日盈亏]])</f>
        <v>1.0510981778588586</v>
      </c>
      <c r="D122" s="108">
        <f t="shared" si="19"/>
        <v>-2.1299999999999875E-2</v>
      </c>
      <c r="E122" s="109">
        <f t="shared" si="20"/>
        <v>-2.1299999999999875E-2</v>
      </c>
      <c r="F122" s="109">
        <f ca="1">IF(表2_367162629303891213141523242526272829[[#This Row],[累计净值]]/MAX(INDIRECT("B21:B" &amp; ROW()))-1&lt;F121,表2_367162629303891213141523242526272829[[#This Row],[累计净值]]/MAX(INDIRECT("B21:B" &amp; ROW()))-1,F121)</f>
        <v>-6.5813162632526456E-2</v>
      </c>
      <c r="G122" s="110">
        <f>表2_367162629303891213141523242526272829[[#This Row],[累计净值]]</f>
        <v>1.0398000000000001</v>
      </c>
      <c r="H122" s="20">
        <f>表2_367162629303891213141523242526272829[[#This Row],[累计净值]]/$B$21-1</f>
        <v>4.0008001600320142E-2</v>
      </c>
      <c r="P122" s="220"/>
    </row>
    <row r="123" spans="1:16">
      <c r="A123" s="15">
        <v>44225</v>
      </c>
      <c r="B123" s="112">
        <v>1.0306</v>
      </c>
      <c r="C123" s="112">
        <f>C122*(1+表2_367162629303891213141523242526272829[[#This Row],[每日盈亏]])</f>
        <v>1.041428074622557</v>
      </c>
      <c r="D123" s="108">
        <f t="shared" si="19"/>
        <v>-9.200000000000097E-3</v>
      </c>
      <c r="E123" s="109">
        <f t="shared" si="20"/>
        <v>-9.200000000000097E-3</v>
      </c>
      <c r="F123" s="109">
        <f ca="1">IF(表2_367162629303891213141523242526272829[[#This Row],[累计净值]]/MAX(INDIRECT("B21:B" &amp; ROW()))-1&lt;F122,表2_367162629303891213141523242526272829[[#This Row],[累计净值]]/MAX(INDIRECT("B21:B" &amp; ROW()))-1,F122)</f>
        <v>-6.5813162632526456E-2</v>
      </c>
      <c r="G123" s="110">
        <f>表2_367162629303891213141523242526272829[[#This Row],[累计净值]]</f>
        <v>1.0306</v>
      </c>
      <c r="H123" s="20">
        <f>表2_367162629303891213141523242526272829[[#This Row],[累计净值]]/$B$21-1</f>
        <v>3.0806161232246332E-2</v>
      </c>
    </row>
    <row r="124" spans="1:16">
      <c r="A124" s="15">
        <v>44228</v>
      </c>
      <c r="B124" s="112">
        <v>1.0452999999999999</v>
      </c>
      <c r="C124" s="112">
        <f>C123*(1+表2_367162629303891213141523242526272829[[#This Row],[每日盈亏]])</f>
        <v>1.0567370673195087</v>
      </c>
      <c r="D124" s="108">
        <f t="shared" si="19"/>
        <v>1.4699999999999935E-2</v>
      </c>
      <c r="E124" s="109" t="str">
        <f t="shared" ref="E124:E129" si="21">IF(D124&lt;0,D124,"/")</f>
        <v>/</v>
      </c>
      <c r="F124" s="109">
        <f ca="1">IF(表2_367162629303891213141523242526272829[[#This Row],[累计净值]]/MAX(INDIRECT("B21:B" &amp; ROW()))-1&lt;F123,表2_367162629303891213141523242526272829[[#This Row],[累计净值]]/MAX(INDIRECT("B21:B" &amp; ROW()))-1,F123)</f>
        <v>-6.5813162632526456E-2</v>
      </c>
      <c r="G124" s="110">
        <f>表2_367162629303891213141523242526272829[[#This Row],[累计净值]]</f>
        <v>1.0452999999999999</v>
      </c>
      <c r="H124" s="20">
        <f>表2_367162629303891213141523242526272829[[#This Row],[累计净值]]/$B$21-1</f>
        <v>4.550910182036394E-2</v>
      </c>
    </row>
    <row r="125" spans="1:16">
      <c r="A125" s="15">
        <v>44229</v>
      </c>
      <c r="B125" s="112">
        <v>1.0577000000000001</v>
      </c>
      <c r="C125" s="112">
        <f>C124*(1+表2_367162629303891213141523242526272829[[#This Row],[每日盈亏]])</f>
        <v>1.0698406069542707</v>
      </c>
      <c r="D125" s="108">
        <f t="shared" si="19"/>
        <v>1.2400000000000189E-2</v>
      </c>
      <c r="E125" s="109" t="str">
        <f t="shared" si="21"/>
        <v>/</v>
      </c>
      <c r="F125" s="109">
        <f ca="1">IF(表2_367162629303891213141523242526272829[[#This Row],[累计净值]]/MAX(INDIRECT("B21:B" &amp; ROW()))-1&lt;F124,表2_367162629303891213141523242526272829[[#This Row],[累计净值]]/MAX(INDIRECT("B21:B" &amp; ROW()))-1,F124)</f>
        <v>-6.5813162632526456E-2</v>
      </c>
      <c r="G125" s="110">
        <f>表2_367162629303891213141523242526272829[[#This Row],[累计净值]]</f>
        <v>1.0577000000000001</v>
      </c>
      <c r="H125" s="20">
        <f>表2_367162629303891213141523242526272829[[#This Row],[累计净值]]/$B$21-1</f>
        <v>5.7911582316463317E-2</v>
      </c>
    </row>
    <row r="126" spans="1:16">
      <c r="A126" s="15">
        <v>44230</v>
      </c>
      <c r="B126" s="112">
        <v>1.0490999999999999</v>
      </c>
      <c r="C126" s="112">
        <f>C125*(1+表2_367162629303891213141523242526272829[[#This Row],[每日盈亏]])</f>
        <v>1.0606399777344639</v>
      </c>
      <c r="D126" s="108">
        <f t="shared" si="19"/>
        <v>-8.6000000000001631E-3</v>
      </c>
      <c r="E126" s="109">
        <f t="shared" si="21"/>
        <v>-8.6000000000001631E-3</v>
      </c>
      <c r="F126" s="109">
        <f ca="1">IF(表2_367162629303891213141523242526272829[[#This Row],[累计净值]]/MAX(INDIRECT("B21:B" &amp; ROW()))-1&lt;F125,表2_367162629303891213141523242526272829[[#This Row],[累计净值]]/MAX(INDIRECT("B21:B" &amp; ROW()))-1,F125)</f>
        <v>-6.5813162632526456E-2</v>
      </c>
      <c r="G126" s="110">
        <f>表2_367162629303891213141523242526272829[[#This Row],[累计净值]]</f>
        <v>1.0490999999999999</v>
      </c>
      <c r="H126" s="20">
        <f>表2_367162629303891213141523242526272829[[#This Row],[累计净值]]/$B$21-1</f>
        <v>4.9309861972394398E-2</v>
      </c>
    </row>
    <row r="127" spans="1:16">
      <c r="A127" s="15">
        <v>44231</v>
      </c>
      <c r="B127" s="112">
        <v>1.0399</v>
      </c>
      <c r="C127" s="112">
        <f>C126*(1+表2_367162629303891213141523242526272829[[#This Row],[每日盈亏]])</f>
        <v>1.050882089939307</v>
      </c>
      <c r="D127" s="108">
        <f t="shared" si="19"/>
        <v>-9.1999999999998749E-3</v>
      </c>
      <c r="E127" s="109">
        <f t="shared" si="21"/>
        <v>-9.1999999999998749E-3</v>
      </c>
      <c r="F127" s="109">
        <f ca="1">IF(表2_367162629303891213141523242526272829[[#This Row],[累计净值]]/MAX(INDIRECT("B21:B" &amp; ROW()))-1&lt;F126,表2_367162629303891213141523242526272829[[#This Row],[累计净值]]/MAX(INDIRECT("B21:B" &amp; ROW()))-1,F126)</f>
        <v>-6.5813162632526456E-2</v>
      </c>
      <c r="G127" s="110">
        <f>表2_367162629303891213141523242526272829[[#This Row],[累计净值]]</f>
        <v>1.0399</v>
      </c>
      <c r="H127" s="20">
        <f>表2_367162629303891213141523242526272829[[#This Row],[累计净值]]/$B$21-1</f>
        <v>4.0108021604320809E-2</v>
      </c>
    </row>
    <row r="128" spans="1:16">
      <c r="A128" s="15">
        <v>44232</v>
      </c>
      <c r="B128" s="112">
        <v>1.0265</v>
      </c>
      <c r="C128" s="112">
        <f>C127*(1+表2_367162629303891213141523242526272829[[#This Row],[每日盈亏]])</f>
        <v>1.0368002699341201</v>
      </c>
      <c r="D128" s="108">
        <f t="shared" si="19"/>
        <v>-1.3400000000000079E-2</v>
      </c>
      <c r="E128" s="109">
        <f t="shared" si="21"/>
        <v>-1.3400000000000079E-2</v>
      </c>
      <c r="F128" s="109">
        <f ca="1">IF(表2_367162629303891213141523242526272829[[#This Row],[累计净值]]/MAX(INDIRECT("B21:B" &amp; ROW()))-1&lt;F127,表2_367162629303891213141523242526272829[[#This Row],[累计净值]]/MAX(INDIRECT("B21:B" &amp; ROW()))-1,F127)</f>
        <v>-6.5813162632526456E-2</v>
      </c>
      <c r="G128" s="110">
        <f>表2_367162629303891213141523242526272829[[#This Row],[累计净值]]</f>
        <v>1.0265</v>
      </c>
      <c r="H128" s="20">
        <f>表2_367162629303891213141523242526272829[[#This Row],[累计净值]]/$B$21-1</f>
        <v>2.6705341068213651E-2</v>
      </c>
    </row>
    <row r="129" spans="1:8">
      <c r="A129" s="15">
        <v>44235</v>
      </c>
      <c r="B129" s="112">
        <v>1.0385</v>
      </c>
      <c r="C129" s="112">
        <f>C128*(1+表2_367162629303891213141523242526272829[[#This Row],[每日盈亏]])</f>
        <v>1.0492418731733295</v>
      </c>
      <c r="D129" s="108">
        <f t="shared" si="19"/>
        <v>1.2000000000000011E-2</v>
      </c>
      <c r="E129" s="109" t="str">
        <f t="shared" si="21"/>
        <v>/</v>
      </c>
      <c r="F129" s="109">
        <f ca="1">IF(表2_367162629303891213141523242526272829[[#This Row],[累计净值]]/MAX(INDIRECT("B21:B" &amp; ROW()))-1&lt;F128,表2_367162629303891213141523242526272829[[#This Row],[累计净值]]/MAX(INDIRECT("B21:B" &amp; ROW()))-1,F128)</f>
        <v>-6.5813162632526456E-2</v>
      </c>
      <c r="G129" s="110">
        <f>表2_367162629303891213141523242526272829[[#This Row],[累计净值]]</f>
        <v>1.0385</v>
      </c>
      <c r="H129" s="20">
        <f>表2_367162629303891213141523242526272829[[#This Row],[累计净值]]/$B$21-1</f>
        <v>3.8707741548309693E-2</v>
      </c>
    </row>
    <row r="130" spans="1:8">
      <c r="A130" s="15">
        <v>44236</v>
      </c>
      <c r="B130" s="112">
        <v>1.0587</v>
      </c>
      <c r="C130" s="112">
        <f>C129*(1+表2_367162629303891213141523242526272829[[#This Row],[每日盈亏]])</f>
        <v>1.0704365590114309</v>
      </c>
      <c r="D130" s="108">
        <f t="shared" si="19"/>
        <v>2.0199999999999996E-2</v>
      </c>
      <c r="E130" s="109" t="str">
        <f>IF(D130&lt;0,D130,"/")</f>
        <v>/</v>
      </c>
      <c r="F130" s="109">
        <f ca="1">IF(表2_367162629303891213141523242526272829[[#This Row],[累计净值]]/MAX(INDIRECT("B21:B" &amp; ROW()))-1&lt;F129,表2_367162629303891213141523242526272829[[#This Row],[累计净值]]/MAX(INDIRECT("B21:B" &amp; ROW()))-1,F129)</f>
        <v>-6.5813162632526456E-2</v>
      </c>
      <c r="G130" s="110">
        <f>表2_367162629303891213141523242526272829[[#This Row],[累计净值]]</f>
        <v>1.0587</v>
      </c>
      <c r="H130" s="20">
        <f>表2_367162629303891213141523242526272829[[#This Row],[累计净值]]/$B$21-1</f>
        <v>5.8911782356471321E-2</v>
      </c>
    </row>
    <row r="131" spans="1:8">
      <c r="A131" s="15">
        <v>44237</v>
      </c>
      <c r="B131" s="112">
        <v>1.069</v>
      </c>
      <c r="C131" s="112">
        <f>C130*(1+表2_367162629303891213141523242526272829[[#This Row],[每日盈亏]])</f>
        <v>1.0814620555692487</v>
      </c>
      <c r="D131" s="108">
        <f t="shared" si="19"/>
        <v>1.0299999999999976E-2</v>
      </c>
      <c r="E131" s="109" t="str">
        <f t="shared" ref="E131:E132" si="22">IF(D131&lt;0,D131,"/")</f>
        <v>/</v>
      </c>
      <c r="F131" s="109">
        <f ca="1">IF(表2_367162629303891213141523242526272829[[#This Row],[累计净值]]/MAX(INDIRECT("B21:B" &amp; ROW()))-1&lt;F130,表2_367162629303891213141523242526272829[[#This Row],[累计净值]]/MAX(INDIRECT("B21:B" &amp; ROW()))-1,F130)</f>
        <v>-6.5813162632526456E-2</v>
      </c>
      <c r="G131" s="110">
        <f>表2_367162629303891213141523242526272829[[#This Row],[累计净值]]</f>
        <v>1.069</v>
      </c>
      <c r="H131" s="20">
        <f>表2_367162629303891213141523242526272829[[#This Row],[累计净值]]/$B$21-1</f>
        <v>6.921384276855358E-2</v>
      </c>
    </row>
    <row r="132" spans="1:8">
      <c r="A132" s="15">
        <v>44245</v>
      </c>
      <c r="B132" s="112">
        <v>1.0806</v>
      </c>
      <c r="C132" s="112">
        <f>C131*(1+表2_367162629303891213141523242526272829[[#This Row],[每日盈亏]])</f>
        <v>1.0940070154138519</v>
      </c>
      <c r="D132" s="108">
        <f t="shared" si="19"/>
        <v>1.1600000000000055E-2</v>
      </c>
      <c r="E132" s="109" t="str">
        <f t="shared" si="22"/>
        <v>/</v>
      </c>
      <c r="F132" s="109">
        <f ca="1">IF(表2_367162629303891213141523242526272829[[#This Row],[累计净值]]/MAX(INDIRECT("B21:B" &amp; ROW()))-1&lt;F131,表2_367162629303891213141523242526272829[[#This Row],[累计净值]]/MAX(INDIRECT("B21:B" &amp; ROW()))-1,F131)</f>
        <v>-6.5813162632526456E-2</v>
      </c>
      <c r="G132" s="110">
        <f>表2_367162629303891213141523242526272829[[#This Row],[累计净值]]</f>
        <v>1.0806</v>
      </c>
      <c r="H132" s="20">
        <f>表2_367162629303891213141523242526272829[[#This Row],[累计净值]]/$B$21-1</f>
        <v>8.081616323264651E-2</v>
      </c>
    </row>
    <row r="133" spans="1:8">
      <c r="A133" s="15">
        <v>44246</v>
      </c>
      <c r="B133" s="117">
        <v>1.0955999999999999</v>
      </c>
      <c r="C133" s="112">
        <f>C132*(1+表2_367162629303891213141523242526272829[[#This Row],[每日盈亏]])</f>
        <v>1.1104171206450595</v>
      </c>
      <c r="D133" s="108">
        <f t="shared" si="19"/>
        <v>1.4999999999999902E-2</v>
      </c>
      <c r="E133" s="109" t="str">
        <f>IF(D133&lt;0,D133,"/")</f>
        <v>/</v>
      </c>
      <c r="F133" s="109">
        <f ca="1">IF(表2_367162629303891213141523242526272829[[#This Row],[累计净值]]/MAX(INDIRECT("B21:B" &amp; ROW()))-1&lt;F132,表2_367162629303891213141523242526272829[[#This Row],[累计净值]]/MAX(INDIRECT("B21:B" &amp; ROW()))-1,F132)</f>
        <v>-6.5813162632526456E-2</v>
      </c>
      <c r="G133" s="110">
        <f>表2_367162629303891213141523242526272829[[#This Row],[累计净值]]</f>
        <v>1.0955999999999999</v>
      </c>
      <c r="H133" s="20">
        <f>表2_367162629303891213141523242526272829[[#This Row],[累计净值]]/$B$21-1</f>
        <v>9.5819163832766341E-2</v>
      </c>
    </row>
    <row r="134" spans="1:8">
      <c r="A134" s="15">
        <v>44249</v>
      </c>
      <c r="B134" s="112">
        <v>1.0891</v>
      </c>
      <c r="C134" s="112">
        <f>C133*(1+表2_367162629303891213141523242526272829[[#This Row],[每日盈亏]])</f>
        <v>1.1031994093608666</v>
      </c>
      <c r="D134" s="108">
        <f t="shared" si="19"/>
        <v>-6.4999999999999503E-3</v>
      </c>
      <c r="E134" s="109">
        <f>IF(D134&lt;0,D134,"/")</f>
        <v>-6.4999999999999503E-3</v>
      </c>
      <c r="F134" s="109">
        <f ca="1">IF(表2_367162629303891213141523242526272829[[#This Row],[累计净值]]/MAX(INDIRECT("B21:B" &amp; ROW()))-1&lt;F133,表2_367162629303891213141523242526272829[[#This Row],[累计净值]]/MAX(INDIRECT("B21:B" &amp; ROW()))-1,F133)</f>
        <v>-6.5813162632526456E-2</v>
      </c>
      <c r="G134" s="110">
        <f>表2_367162629303891213141523242526272829[[#This Row],[累计净值]]</f>
        <v>1.0891</v>
      </c>
      <c r="H134" s="20">
        <f>表2_367162629303891213141523242526272829[[#This Row],[累计净值]]/$B$21-1</f>
        <v>8.931786357271454E-2</v>
      </c>
    </row>
    <row r="135" spans="1:8">
      <c r="A135" s="15">
        <v>44250</v>
      </c>
      <c r="B135" s="112">
        <v>1.0866</v>
      </c>
      <c r="C135" s="112">
        <f>C134*(1+表2_367162629303891213141523242526272829[[#This Row],[每日盈亏]])</f>
        <v>1.1004414108374645</v>
      </c>
      <c r="D135" s="108">
        <f t="shared" si="19"/>
        <v>-2.4999999999999467E-3</v>
      </c>
      <c r="E135" s="109">
        <f t="shared" ref="E135:E138" si="23">IF(D135&lt;0,D135,"/")</f>
        <v>-2.4999999999999467E-3</v>
      </c>
      <c r="F135" s="109">
        <f ca="1">IF(表2_367162629303891213141523242526272829[[#This Row],[累计净值]]/MAX(INDIRECT("B21:B" &amp; ROW()))-1&lt;F134,表2_367162629303891213141523242526272829[[#This Row],[累计净值]]/MAX(INDIRECT("B21:B" &amp; ROW()))-1,F134)</f>
        <v>-6.5813162632526456E-2</v>
      </c>
      <c r="G135" s="110">
        <f>表2_367162629303891213141523242526272829[[#This Row],[累计净值]]</f>
        <v>1.0866</v>
      </c>
      <c r="H135" s="20">
        <f>表2_367162629303891213141523242526272829[[#This Row],[累计净值]]/$B$21-1</f>
        <v>8.6817363472694531E-2</v>
      </c>
    </row>
    <row r="136" spans="1:8">
      <c r="A136" s="15">
        <v>44251</v>
      </c>
      <c r="B136" s="112">
        <v>1.0705</v>
      </c>
      <c r="C136" s="112">
        <f>C135*(1+表2_367162629303891213141523242526272829[[#This Row],[每日盈亏]])</f>
        <v>1.0827243041229813</v>
      </c>
      <c r="D136" s="108">
        <f t="shared" si="19"/>
        <v>-1.6100000000000003E-2</v>
      </c>
      <c r="E136" s="109">
        <f t="shared" si="23"/>
        <v>-1.6100000000000003E-2</v>
      </c>
      <c r="F136" s="109">
        <f ca="1">IF(表2_367162629303891213141523242526272829[[#This Row],[累计净值]]/MAX(INDIRECT("B21:B" &amp; ROW()))-1&lt;F135,表2_367162629303891213141523242526272829[[#This Row],[累计净值]]/MAX(INDIRECT("B21:B" &amp; ROW()))-1,F135)</f>
        <v>-6.5813162632526456E-2</v>
      </c>
      <c r="G136" s="110">
        <f>表2_367162629303891213141523242526272829[[#This Row],[累计净值]]</f>
        <v>1.0705</v>
      </c>
      <c r="H136" s="20">
        <f>表2_367162629303891213141523242526272829[[#This Row],[累计净值]]/$B$21-1</f>
        <v>7.0714142828565807E-2</v>
      </c>
    </row>
    <row r="137" spans="1:8">
      <c r="A137" s="15">
        <v>44252</v>
      </c>
      <c r="B137" s="112">
        <v>1.0696000000000001</v>
      </c>
      <c r="C137" s="112">
        <f>C136*(1+表2_367162629303891213141523242526272829[[#This Row],[每日盈亏]])</f>
        <v>1.0817498522492708</v>
      </c>
      <c r="D137" s="108">
        <f t="shared" si="19"/>
        <v>-8.9999999999990088E-4</v>
      </c>
      <c r="E137" s="109">
        <f t="shared" si="23"/>
        <v>-8.9999999999990088E-4</v>
      </c>
      <c r="F137" s="109">
        <f ca="1">IF(表2_367162629303891213141523242526272829[[#This Row],[累计净值]]/MAX(INDIRECT("B21:B" &amp; ROW()))-1&lt;F136,表2_367162629303891213141523242526272829[[#This Row],[累计净值]]/MAX(INDIRECT("B21:B" &amp; ROW()))-1,F136)</f>
        <v>-6.5813162632526456E-2</v>
      </c>
      <c r="G137" s="110">
        <f>表2_367162629303891213141523242526272829[[#This Row],[累计净值]]</f>
        <v>1.0696000000000001</v>
      </c>
      <c r="H137" s="20">
        <f>表2_367162629303891213141523242526272829[[#This Row],[累计净值]]/$B$21-1</f>
        <v>6.9813962792558693E-2</v>
      </c>
    </row>
    <row r="138" spans="1:8">
      <c r="A138" s="15">
        <v>44253</v>
      </c>
      <c r="B138" s="112">
        <v>1.0469999999999999</v>
      </c>
      <c r="C138" s="112">
        <f>C137*(1+表2_367162629303891213141523242526272829[[#This Row],[每日盈亏]])</f>
        <v>1.057302305588437</v>
      </c>
      <c r="D138" s="108">
        <f t="shared" si="19"/>
        <v>-2.2600000000000176E-2</v>
      </c>
      <c r="E138" s="109">
        <f t="shared" si="23"/>
        <v>-2.2600000000000176E-2</v>
      </c>
      <c r="F138" s="109">
        <f ca="1">IF(表2_367162629303891213141523242526272829[[#This Row],[累计净值]]/MAX(INDIRECT("B21:B" &amp; ROW()))-1&lt;F137,表2_367162629303891213141523242526272829[[#This Row],[累计净值]]/MAX(INDIRECT("B21:B" &amp; ROW()))-1,F137)</f>
        <v>-6.5813162632526456E-2</v>
      </c>
      <c r="G138" s="110">
        <f>表2_367162629303891213141523242526272829[[#This Row],[累计净值]]</f>
        <v>1.0469999999999999</v>
      </c>
      <c r="H138" s="20">
        <f>表2_367162629303891213141523242526272829[[#This Row],[累计净值]]/$B$21-1</f>
        <v>4.7209441888377501E-2</v>
      </c>
    </row>
    <row r="139" spans="1:8">
      <c r="A139" s="15">
        <v>44256</v>
      </c>
      <c r="B139" s="112">
        <v>1.0709</v>
      </c>
      <c r="C139" s="112">
        <f>C138*(1+表2_367162629303891213141523242526272829[[#This Row],[每日盈亏]])</f>
        <v>1.0825718306920007</v>
      </c>
      <c r="D139" s="108">
        <f t="shared" si="19"/>
        <v>2.3900000000000032E-2</v>
      </c>
      <c r="E139" s="109" t="str">
        <f t="shared" ref="E139:E140" si="24">IF(D139&lt;0,D139,"/")</f>
        <v>/</v>
      </c>
      <c r="F139" s="109">
        <f ca="1">IF(表2_367162629303891213141523242526272829[[#This Row],[累计净值]]/MAX(INDIRECT("B21:B" &amp; ROW()))-1&lt;F138,表2_367162629303891213141523242526272829[[#This Row],[累计净值]]/MAX(INDIRECT("B21:B" &amp; ROW()))-1,F138)</f>
        <v>-6.5813162632526456E-2</v>
      </c>
      <c r="G139" s="110">
        <f>表2_367162629303891213141523242526272829[[#This Row],[累计净值]]</f>
        <v>1.0709</v>
      </c>
      <c r="H139" s="20">
        <f>表2_367162629303891213141523242526272829[[#This Row],[累计净值]]/$B$21-1</f>
        <v>7.111422284456892E-2</v>
      </c>
    </row>
    <row r="140" spans="1:8">
      <c r="A140" s="15">
        <v>44257</v>
      </c>
      <c r="B140" s="112">
        <v>1.0585</v>
      </c>
      <c r="C140" s="112">
        <f>C139*(1+表2_367162629303891213141523242526272829[[#This Row],[每日盈亏]])</f>
        <v>1.0691479399914199</v>
      </c>
      <c r="D140" s="108">
        <f t="shared" si="19"/>
        <v>-1.2399999999999967E-2</v>
      </c>
      <c r="E140" s="109">
        <f t="shared" si="24"/>
        <v>-1.2399999999999967E-2</v>
      </c>
      <c r="F140" s="109">
        <f ca="1">IF(表2_367162629303891213141523242526272829[[#This Row],[累计净值]]/MAX(INDIRECT("B21:B" &amp; ROW()))-1&lt;F139,表2_367162629303891213141523242526272829[[#This Row],[累计净值]]/MAX(INDIRECT("B21:B" &amp; ROW()))-1,F139)</f>
        <v>-6.5813162632526456E-2</v>
      </c>
      <c r="G140" s="110">
        <f>表2_367162629303891213141523242526272829[[#This Row],[累计净值]]</f>
        <v>1.0585</v>
      </c>
      <c r="H140" s="20">
        <f>表2_367162629303891213141523242526272829[[#This Row],[累计净值]]/$B$21-1</f>
        <v>5.8711742348469764E-2</v>
      </c>
    </row>
    <row r="141" spans="1:8">
      <c r="A141" s="15">
        <v>44258</v>
      </c>
      <c r="B141" s="112">
        <v>1.0759000000000001</v>
      </c>
      <c r="C141" s="112">
        <f>C140*(1+表2_367162629303891213141523242526272829[[#This Row],[每日盈亏]])</f>
        <v>1.0877511141472707</v>
      </c>
      <c r="D141" s="108">
        <f t="shared" si="19"/>
        <v>1.7400000000000082E-2</v>
      </c>
      <c r="E141" s="109" t="str">
        <f t="shared" ref="E141:E142" si="25">IF(D141&lt;0,D141,"/")</f>
        <v>/</v>
      </c>
      <c r="F141" s="109">
        <f ca="1">IF(表2_367162629303891213141523242526272829[[#This Row],[累计净值]]/MAX(INDIRECT("B21:B" &amp; ROW()))-1&lt;F140,表2_367162629303891213141523242526272829[[#This Row],[累计净值]]/MAX(INDIRECT("B21:B" &amp; ROW()))-1,F140)</f>
        <v>-6.5813162632526456E-2</v>
      </c>
      <c r="G141" s="110">
        <f>表2_367162629303891213141523242526272829[[#This Row],[累计净值]]</f>
        <v>1.0759000000000001</v>
      </c>
      <c r="H141" s="20">
        <f>表2_367162629303891213141523242526272829[[#This Row],[累计净值]]/$B$21-1</f>
        <v>7.6115223044608937E-2</v>
      </c>
    </row>
    <row r="142" spans="1:8">
      <c r="A142" s="15">
        <v>44259</v>
      </c>
      <c r="B142" s="112">
        <v>1.0529999999999999</v>
      </c>
      <c r="C142" s="112">
        <f>C141*(1+表2_367162629303891213141523242526272829[[#This Row],[每日盈亏]])</f>
        <v>1.0628416136332981</v>
      </c>
      <c r="D142" s="108">
        <f t="shared" si="19"/>
        <v>-2.2900000000000142E-2</v>
      </c>
      <c r="E142" s="109">
        <f t="shared" si="25"/>
        <v>-2.2900000000000142E-2</v>
      </c>
      <c r="F142" s="109">
        <f ca="1">IF(表2_367162629303891213141523242526272829[[#This Row],[累计净值]]/MAX(INDIRECT("B21:B" &amp; ROW()))-1&lt;F141,表2_367162629303891213141523242526272829[[#This Row],[累计净值]]/MAX(INDIRECT("B21:B" &amp; ROW()))-1,F141)</f>
        <v>-6.5813162632526456E-2</v>
      </c>
      <c r="G142" s="110">
        <f>表2_367162629303891213141523242526272829[[#This Row],[累计净值]]</f>
        <v>1.0529999999999999</v>
      </c>
      <c r="H142" s="20">
        <f>表2_367162629303891213141523242526272829[[#This Row],[累计净值]]/$B$21-1</f>
        <v>5.3210642128425523E-2</v>
      </c>
    </row>
    <row r="143" spans="1:8">
      <c r="A143" s="15">
        <v>44260</v>
      </c>
      <c r="B143" s="112">
        <v>1.0506</v>
      </c>
      <c r="C143" s="112">
        <f>C142*(1+表2_367162629303891213141523242526272829[[#This Row],[每日盈亏]])</f>
        <v>1.0602907937605783</v>
      </c>
      <c r="D143" s="108">
        <f t="shared" si="19"/>
        <v>-2.3999999999999577E-3</v>
      </c>
      <c r="E143" s="109">
        <f t="shared" ref="E143:E148" si="26">IF(D143&lt;0,D143,"/")</f>
        <v>-2.3999999999999577E-3</v>
      </c>
      <c r="F143" s="109">
        <f ca="1">IF(表2_367162629303891213141523242526272829[[#This Row],[累计净值]]/MAX(INDIRECT("B21:B" &amp; ROW()))-1&lt;F142,表2_367162629303891213141523242526272829[[#This Row],[累计净值]]/MAX(INDIRECT("B21:B" &amp; ROW()))-1,F142)</f>
        <v>-6.5813162632526456E-2</v>
      </c>
      <c r="G143" s="110">
        <f>表2_367162629303891213141523242526272829[[#This Row],[累计净值]]</f>
        <v>1.0506</v>
      </c>
      <c r="H143" s="20">
        <f>表2_367162629303891213141523242526272829[[#This Row],[累计净值]]/$B$21-1</f>
        <v>5.0810162032406403E-2</v>
      </c>
    </row>
    <row r="144" spans="1:8">
      <c r="A144" s="15">
        <v>44263</v>
      </c>
      <c r="B144" s="112">
        <v>1.0278</v>
      </c>
      <c r="C144" s="112">
        <f>C143*(1+表2_367162629303891213141523242526272829[[#This Row],[每日盈亏]])</f>
        <v>1.0361161636628373</v>
      </c>
      <c r="D144" s="108">
        <f t="shared" si="19"/>
        <v>-2.2799999999999931E-2</v>
      </c>
      <c r="E144" s="109">
        <f t="shared" si="26"/>
        <v>-2.2799999999999931E-2</v>
      </c>
      <c r="F144" s="109">
        <f ca="1">IF(表2_367162629303891213141523242526272829[[#This Row],[累计净值]]/MAX(INDIRECT("B21:B" &amp; ROW()))-1&lt;F143,表2_367162629303891213141523242526272829[[#This Row],[累计净值]]/MAX(INDIRECT("B21:B" &amp; ROW()))-1,F143)</f>
        <v>-6.5813162632526456E-2</v>
      </c>
      <c r="G144" s="110">
        <f>表2_367162629303891213141523242526272829[[#This Row],[累计净值]]</f>
        <v>1.0278</v>
      </c>
      <c r="H144" s="20">
        <f>表2_367162629303891213141523242526272829[[#This Row],[累计净值]]/$B$21-1</f>
        <v>2.80056011202241E-2</v>
      </c>
    </row>
    <row r="145" spans="1:8">
      <c r="A145" s="15">
        <v>44264</v>
      </c>
      <c r="B145" s="112">
        <v>1.0038</v>
      </c>
      <c r="C145" s="112">
        <f>C144*(1+表2_367162629303891213141523242526272829[[#This Row],[每日盈亏]])</f>
        <v>1.0112493757349292</v>
      </c>
      <c r="D145" s="108">
        <f t="shared" si="19"/>
        <v>-2.4000000000000021E-2</v>
      </c>
      <c r="E145" s="109">
        <f t="shared" si="26"/>
        <v>-2.4000000000000021E-2</v>
      </c>
      <c r="F145" s="109">
        <f ca="1">IF(表2_367162629303891213141523242526272829[[#This Row],[累计净值]]/MAX(INDIRECT("B21:B" &amp; ROW()))-1&lt;F144,表2_367162629303891213141523242526272829[[#This Row],[累计净值]]/MAX(INDIRECT("B21:B" &amp; ROW()))-1,F144)</f>
        <v>-8.3789704271631904E-2</v>
      </c>
      <c r="G145" s="110">
        <f>表2_367162629303891213141523242526272829[[#This Row],[累计净值]]</f>
        <v>1.0038</v>
      </c>
      <c r="H145" s="20">
        <f>表2_367162629303891213141523242526272829[[#This Row],[累计净值]]/$B$21-1</f>
        <v>4.0008001600320142E-3</v>
      </c>
    </row>
    <row r="146" spans="1:8">
      <c r="A146" s="15">
        <v>44265</v>
      </c>
      <c r="B146" s="112">
        <v>1.0024999999999999</v>
      </c>
      <c r="C146" s="112">
        <f>C145*(1+表2_367162629303891213141523242526272829[[#This Row],[每日盈亏]])</f>
        <v>1.0099347515464738</v>
      </c>
      <c r="D146" s="108">
        <f t="shared" si="19"/>
        <v>-1.3000000000000789E-3</v>
      </c>
      <c r="E146" s="109">
        <f t="shared" si="26"/>
        <v>-1.3000000000000789E-3</v>
      </c>
      <c r="F146" s="109">
        <f ca="1">IF(表2_367162629303891213141523242526272829[[#This Row],[累计净值]]/MAX(INDIRECT("B21:B" &amp; ROW()))-1&lt;F145,表2_367162629303891213141523242526272829[[#This Row],[累计净值]]/MAX(INDIRECT("B21:B" &amp; ROW()))-1,F145)</f>
        <v>-8.4976268711208447E-2</v>
      </c>
      <c r="G146" s="110">
        <f>表2_367162629303891213141523242526272829[[#This Row],[累计净值]]</f>
        <v>1.0024999999999999</v>
      </c>
      <c r="H146" s="20">
        <f>表2_367162629303891213141523242526272829[[#This Row],[累计净值]]/$B$21-1</f>
        <v>2.7005401080215652E-3</v>
      </c>
    </row>
    <row r="147" spans="1:8">
      <c r="A147" s="15">
        <v>44266</v>
      </c>
      <c r="B147" s="112">
        <v>1.0314000000000001</v>
      </c>
      <c r="C147" s="112">
        <f>C146*(1+表2_367162629303891213141523242526272829[[#This Row],[每日盈亏]])</f>
        <v>1.0391218658661672</v>
      </c>
      <c r="D147" s="108">
        <f t="shared" si="19"/>
        <v>2.8900000000000148E-2</v>
      </c>
      <c r="E147" s="109" t="str">
        <f t="shared" si="26"/>
        <v>/</v>
      </c>
      <c r="F147" s="109">
        <f ca="1">IF(表2_367162629303891213141523242526272829[[#This Row],[累计净值]]/MAX(INDIRECT("B21:B" &amp; ROW()))-1&lt;F146,表2_367162629303891213141523242526272829[[#This Row],[累计净值]]/MAX(INDIRECT("B21:B" &amp; ROW()))-1,F146)</f>
        <v>-8.4976268711208447E-2</v>
      </c>
      <c r="G147" s="110">
        <f>表2_367162629303891213141523242526272829[[#This Row],[累计净值]]</f>
        <v>1.0314000000000001</v>
      </c>
      <c r="H147" s="20">
        <f>表2_367162629303891213141523242526272829[[#This Row],[累计净值]]/$B$21-1</f>
        <v>3.1606321264253001E-2</v>
      </c>
    </row>
    <row r="148" spans="1:8">
      <c r="A148" s="15">
        <v>44267</v>
      </c>
      <c r="B148" s="112">
        <v>1.0359</v>
      </c>
      <c r="C148" s="112">
        <f>C147*(1+表2_367162629303891213141523242526272829[[#This Row],[每日盈亏]])</f>
        <v>1.0437979142625649</v>
      </c>
      <c r="D148" s="108">
        <f t="shared" si="19"/>
        <v>4.4999999999999485E-3</v>
      </c>
      <c r="E148" s="109" t="str">
        <f t="shared" si="26"/>
        <v>/</v>
      </c>
      <c r="F148" s="109">
        <f ca="1">IF(表2_367162629303891213141523242526272829[[#This Row],[累计净值]]/MAX(INDIRECT("B21:B" &amp; ROW()))-1&lt;F147,表2_367162629303891213141523242526272829[[#This Row],[累计净值]]/MAX(INDIRECT("B21:B" &amp; ROW()))-1,F147)</f>
        <v>-8.4976268711208447E-2</v>
      </c>
      <c r="G148" s="110">
        <f>表2_367162629303891213141523242526272829[[#This Row],[累计净值]]</f>
        <v>1.0359</v>
      </c>
      <c r="H148" s="20">
        <f>表2_367162629303891213141523242526272829[[#This Row],[累计净值]]/$B$21-1</f>
        <v>3.6107221444288795E-2</v>
      </c>
    </row>
    <row r="149" spans="1:8">
      <c r="A149" s="15">
        <v>44270</v>
      </c>
      <c r="B149" s="112">
        <v>1.0257000000000001</v>
      </c>
      <c r="C149" s="112">
        <f>C148*(1+表2_367162629303891213141523242526272829[[#This Row],[每日盈亏]])</f>
        <v>1.0331511755370868</v>
      </c>
      <c r="D149" s="108">
        <f t="shared" ref="D149:D180" si="27">IFERROR(B149-B148,0)</f>
        <v>-1.0199999999999987E-2</v>
      </c>
      <c r="E149" s="109">
        <f t="shared" ref="E149:E154" si="28">IF(D149&lt;0,D149,"/")</f>
        <v>-1.0199999999999987E-2</v>
      </c>
      <c r="F149" s="109">
        <f ca="1">IF(表2_367162629303891213141523242526272829[[#This Row],[累计净值]]/MAX(INDIRECT("B21:B" &amp; ROW()))-1&lt;F148,表2_367162629303891213141523242526272829[[#This Row],[累计净值]]/MAX(INDIRECT("B21:B" &amp; ROW()))-1,F148)</f>
        <v>-8.4976268711208447E-2</v>
      </c>
      <c r="G149" s="110">
        <f>表2_367162629303891213141523242526272829[[#This Row],[累计净值]]</f>
        <v>1.0257000000000001</v>
      </c>
      <c r="H149" s="20">
        <f>表2_367162629303891213141523242526272829[[#This Row],[累计净值]]/$B$21-1</f>
        <v>2.5905181036207203E-2</v>
      </c>
    </row>
    <row r="150" spans="1:8">
      <c r="A150" s="15">
        <v>44271</v>
      </c>
      <c r="B150" s="112">
        <v>1.0333000000000001</v>
      </c>
      <c r="C150" s="112">
        <f>C149*(1+表2_367162629303891213141523242526272829[[#This Row],[每日盈亏]])</f>
        <v>1.0410031244711686</v>
      </c>
      <c r="D150" s="108">
        <f t="shared" si="27"/>
        <v>7.6000000000000512E-3</v>
      </c>
      <c r="E150" s="109" t="str">
        <f t="shared" si="28"/>
        <v>/</v>
      </c>
      <c r="F150" s="109">
        <f ca="1">IF(表2_367162629303891213141523242526272829[[#This Row],[累计净值]]/MAX(INDIRECT("B21:B" &amp; ROW()))-1&lt;F149,表2_367162629303891213141523242526272829[[#This Row],[累计净值]]/MAX(INDIRECT("B21:B" &amp; ROW()))-1,F149)</f>
        <v>-8.4976268711208447E-2</v>
      </c>
      <c r="G150" s="110">
        <f>表2_367162629303891213141523242526272829[[#This Row],[累计净值]]</f>
        <v>1.0333000000000001</v>
      </c>
      <c r="H150" s="20">
        <f>表2_367162629303891213141523242526272829[[#This Row],[累计净值]]/$B$21-1</f>
        <v>3.3506701340268119E-2</v>
      </c>
    </row>
    <row r="151" spans="1:8">
      <c r="A151" s="15">
        <v>44272</v>
      </c>
      <c r="B151" s="112">
        <v>1.0389999999999999</v>
      </c>
      <c r="C151" s="112">
        <f>C150*(1+表2_367162629303891213141523242526272829[[#This Row],[每日盈亏]])</f>
        <v>1.046936842280654</v>
      </c>
      <c r="D151" s="108">
        <f t="shared" si="27"/>
        <v>5.6999999999998163E-3</v>
      </c>
      <c r="E151" s="109" t="str">
        <f t="shared" si="28"/>
        <v>/</v>
      </c>
      <c r="F151" s="109">
        <f ca="1">IF(表2_367162629303891213141523242526272829[[#This Row],[累计净值]]/MAX(INDIRECT("B21:B" &amp; ROW()))-1&lt;F150,表2_367162629303891213141523242526272829[[#This Row],[累计净值]]/MAX(INDIRECT("B21:B" &amp; ROW()))-1,F150)</f>
        <v>-8.4976268711208447E-2</v>
      </c>
      <c r="G151" s="110">
        <f>表2_367162629303891213141523242526272829[[#This Row],[累计净值]]</f>
        <v>1.0389999999999999</v>
      </c>
      <c r="H151" s="20">
        <f>表2_367162629303891213141523242526272829[[#This Row],[累计净值]]/$B$21-1</f>
        <v>3.9207841568313473E-2</v>
      </c>
    </row>
    <row r="152" spans="1:8">
      <c r="A152" s="15">
        <v>44273</v>
      </c>
      <c r="B152" s="112">
        <v>1.0468</v>
      </c>
      <c r="C152" s="112">
        <f>C151*(1+表2_367162629303891213141523242526272829[[#This Row],[每日盈亏]])</f>
        <v>1.0551029496504432</v>
      </c>
      <c r="D152" s="108">
        <f t="shared" si="27"/>
        <v>7.8000000000000291E-3</v>
      </c>
      <c r="E152" s="109" t="str">
        <f t="shared" si="28"/>
        <v>/</v>
      </c>
      <c r="F152" s="109">
        <f ca="1">IF(表2_367162629303891213141523242526272829[[#This Row],[累计净值]]/MAX(INDIRECT("B21:B" &amp; ROW()))-1&lt;F151,表2_367162629303891213141523242526272829[[#This Row],[累计净值]]/MAX(INDIRECT("B21:B" &amp; ROW()))-1,F151)</f>
        <v>-8.4976268711208447E-2</v>
      </c>
      <c r="G152" s="110">
        <f>表2_367162629303891213141523242526272829[[#This Row],[累计净值]]</f>
        <v>1.0468</v>
      </c>
      <c r="H152" s="20">
        <f>表2_367162629303891213141523242526272829[[#This Row],[累计净值]]/$B$21-1</f>
        <v>4.7009401880375945E-2</v>
      </c>
    </row>
    <row r="153" spans="1:8">
      <c r="A153" s="15">
        <v>44274</v>
      </c>
      <c r="B153" s="112">
        <v>1.0294000000000001</v>
      </c>
      <c r="C153" s="112">
        <f>C152*(1+表2_367162629303891213141523242526272829[[#This Row],[每日盈亏]])</f>
        <v>1.0367441583265256</v>
      </c>
      <c r="D153" s="108">
        <f t="shared" si="27"/>
        <v>-1.739999999999986E-2</v>
      </c>
      <c r="E153" s="109">
        <f t="shared" si="28"/>
        <v>-1.739999999999986E-2</v>
      </c>
      <c r="F153" s="109">
        <f ca="1">IF(表2_367162629303891213141523242526272829[[#This Row],[累计净值]]/MAX(INDIRECT("B21:B" &amp; ROW()))-1&lt;F152,表2_367162629303891213141523242526272829[[#This Row],[累计净值]]/MAX(INDIRECT("B21:B" &amp; ROW()))-1,F152)</f>
        <v>-8.4976268711208447E-2</v>
      </c>
      <c r="G153" s="110">
        <f>表2_367162629303891213141523242526272829[[#This Row],[累计净值]]</f>
        <v>1.0294000000000001</v>
      </c>
      <c r="H153" s="20">
        <f>表2_367162629303891213141523242526272829[[#This Row],[累计净值]]/$B$21-1</f>
        <v>2.9605921184236994E-2</v>
      </c>
    </row>
    <row r="154" spans="1:8">
      <c r="A154" s="15">
        <v>44277</v>
      </c>
      <c r="B154" s="112">
        <v>1.0406</v>
      </c>
      <c r="C154" s="112">
        <f>C153*(1+表2_367162629303891213141523242526272829[[#This Row],[每日盈亏]])</f>
        <v>1.0483556928997826</v>
      </c>
      <c r="D154" s="108">
        <f t="shared" si="27"/>
        <v>1.1199999999999877E-2</v>
      </c>
      <c r="E154" s="109" t="str">
        <f t="shared" si="28"/>
        <v>/</v>
      </c>
      <c r="F154" s="109">
        <f ca="1">IF(表2_367162629303891213141523242526272829[[#This Row],[累计净值]]/MAX(INDIRECT("B21:B" &amp; ROW()))-1&lt;F153,表2_367162629303891213141523242526272829[[#This Row],[累计净值]]/MAX(INDIRECT("B21:B" &amp; ROW()))-1,F153)</f>
        <v>-8.4976268711208447E-2</v>
      </c>
      <c r="G154" s="110">
        <f>表2_367162629303891213141523242526272829[[#This Row],[累计净值]]</f>
        <v>1.0406</v>
      </c>
      <c r="H154" s="20">
        <f>表2_367162629303891213141523242526272829[[#This Row],[累计净值]]/$B$21-1</f>
        <v>4.0808161632326367E-2</v>
      </c>
    </row>
    <row r="155" spans="1:8">
      <c r="A155" s="15">
        <v>44278</v>
      </c>
      <c r="B155" s="112">
        <v>1.0246</v>
      </c>
      <c r="C155" s="112">
        <f>C154*(1+表2_367162629303891213141523242526272829[[#This Row],[每日盈亏]])</f>
        <v>1.0315820018133861</v>
      </c>
      <c r="D155" s="108">
        <f t="shared" si="27"/>
        <v>-1.6000000000000014E-2</v>
      </c>
      <c r="E155" s="109">
        <f t="shared" ref="E155:E158" si="29">IF(D155&lt;0,D155,"/")</f>
        <v>-1.6000000000000014E-2</v>
      </c>
      <c r="F155" s="109">
        <f ca="1">IF(表2_367162629303891213141523242526272829[[#This Row],[累计净值]]/MAX(INDIRECT("B21:B" &amp; ROW()))-1&lt;F154,表2_367162629303891213141523242526272829[[#This Row],[累计净值]]/MAX(INDIRECT("B21:B" &amp; ROW()))-1,F154)</f>
        <v>-8.4976268711208447E-2</v>
      </c>
      <c r="G155" s="110">
        <f>表2_367162629303891213141523242526272829[[#This Row],[累计净值]]</f>
        <v>1.0246</v>
      </c>
      <c r="H155" s="20">
        <f>表2_367162629303891213141523242526272829[[#This Row],[累计净值]]/$B$21-1</f>
        <v>2.4804960992198311E-2</v>
      </c>
    </row>
    <row r="156" spans="1:8">
      <c r="A156" s="15">
        <v>44279</v>
      </c>
      <c r="B156" s="112">
        <v>1.0078</v>
      </c>
      <c r="C156" s="112">
        <f>C155*(1+表2_367162629303891213141523242526272829[[#This Row],[每日盈亏]])</f>
        <v>1.0142514241829212</v>
      </c>
      <c r="D156" s="108">
        <f t="shared" si="27"/>
        <v>-1.6799999999999926E-2</v>
      </c>
      <c r="E156" s="109">
        <f t="shared" si="29"/>
        <v>-1.6799999999999926E-2</v>
      </c>
      <c r="F156" s="109">
        <f ca="1">IF(表2_367162629303891213141523242526272829[[#This Row],[累计净值]]/MAX(INDIRECT("B21:B" &amp; ROW()))-1&lt;F155,表2_367162629303891213141523242526272829[[#This Row],[累计净值]]/MAX(INDIRECT("B21:B" &amp; ROW()))-1,F155)</f>
        <v>-8.4976268711208447E-2</v>
      </c>
      <c r="G156" s="110">
        <f>表2_367162629303891213141523242526272829[[#This Row],[累计净值]]</f>
        <v>1.0078</v>
      </c>
      <c r="H156" s="20">
        <f>表2_367162629303891213141523242526272829[[#This Row],[累计净值]]/$B$21-1</f>
        <v>8.0016003200640284E-3</v>
      </c>
    </row>
    <row r="157" spans="1:8">
      <c r="A157" s="15">
        <v>44280</v>
      </c>
      <c r="B157" s="112">
        <v>1.0109999999999999</v>
      </c>
      <c r="C157" s="112">
        <f>C156*(1+表2_367162629303891213141523242526272829[[#This Row],[每日盈亏]])</f>
        <v>1.0174970287403065</v>
      </c>
      <c r="D157" s="108">
        <f t="shared" si="27"/>
        <v>3.1999999999998696E-3</v>
      </c>
      <c r="E157" s="109" t="str">
        <f t="shared" si="29"/>
        <v>/</v>
      </c>
      <c r="F157" s="109">
        <f ca="1">IF(表2_367162629303891213141523242526272829[[#This Row],[累计净值]]/MAX(INDIRECT("B21:B" &amp; ROW()))-1&lt;F156,表2_367162629303891213141523242526272829[[#This Row],[累计净值]]/MAX(INDIRECT("B21:B" &amp; ROW()))-1,F156)</f>
        <v>-8.4976268711208447E-2</v>
      </c>
      <c r="G157" s="110">
        <f>表2_367162629303891213141523242526272829[[#This Row],[累计净值]]</f>
        <v>1.0109999999999999</v>
      </c>
      <c r="H157" s="20">
        <f>表2_367162629303891213141523242526272829[[#This Row],[累计净值]]/$B$21-1</f>
        <v>1.1202240448089595E-2</v>
      </c>
    </row>
    <row r="158" spans="1:8">
      <c r="A158" s="15">
        <v>44281</v>
      </c>
      <c r="B158" s="112">
        <v>1.0329999999999999</v>
      </c>
      <c r="C158" s="112">
        <f>C157*(1+表2_367162629303891213141523242526272829[[#This Row],[每日盈亏]])</f>
        <v>1.0398819633725933</v>
      </c>
      <c r="D158" s="108">
        <f t="shared" si="27"/>
        <v>2.200000000000002E-2</v>
      </c>
      <c r="E158" s="109" t="str">
        <f t="shared" si="29"/>
        <v>/</v>
      </c>
      <c r="F158" s="109">
        <f ca="1">IF(表2_367162629303891213141523242526272829[[#This Row],[累计净值]]/MAX(INDIRECT("B21:B" &amp; ROW()))-1&lt;F157,表2_367162629303891213141523242526272829[[#This Row],[累计净值]]/MAX(INDIRECT("B21:B" &amp; ROW()))-1,F157)</f>
        <v>-8.4976268711208447E-2</v>
      </c>
      <c r="G158" s="110">
        <f>表2_367162629303891213141523242526272829[[#This Row],[累计净值]]</f>
        <v>1.0329999999999999</v>
      </c>
      <c r="H158" s="20">
        <f>表2_367162629303891213141523242526272829[[#This Row],[累计净值]]/$B$21-1</f>
        <v>3.3206641328265452E-2</v>
      </c>
    </row>
    <row r="159" spans="1:8">
      <c r="A159" s="15">
        <v>44284</v>
      </c>
      <c r="B159" s="112">
        <v>1.0361</v>
      </c>
      <c r="C159" s="112">
        <f>C158*(1+表2_367162629303891213141523242526272829[[#This Row],[每日盈亏]])</f>
        <v>1.0431055974590484</v>
      </c>
      <c r="D159" s="108">
        <f t="shared" si="27"/>
        <v>3.1000000000001027E-3</v>
      </c>
      <c r="E159" s="109" t="str">
        <f t="shared" ref="E159:E165" si="30">IF(D159&lt;0,D159,"/")</f>
        <v>/</v>
      </c>
      <c r="F159" s="109">
        <f ca="1">IF(表2_367162629303891213141523242526272829[[#This Row],[累计净值]]/MAX(INDIRECT("B21:B" &amp; ROW()))-1&lt;F158,表2_367162629303891213141523242526272829[[#This Row],[累计净值]]/MAX(INDIRECT("B21:B" &amp; ROW()))-1,F158)</f>
        <v>-8.4976268711208447E-2</v>
      </c>
      <c r="G159" s="110">
        <f>表2_367162629303891213141523242526272829[[#This Row],[累计净值]]</f>
        <v>1.0361</v>
      </c>
      <c r="H159" s="20">
        <f>表2_367162629303891213141523242526272829[[#This Row],[累计净值]]/$B$21-1</f>
        <v>3.6307261452290351E-2</v>
      </c>
    </row>
    <row r="160" spans="1:8">
      <c r="A160" s="15">
        <v>44285</v>
      </c>
      <c r="B160" s="112">
        <v>1.0404</v>
      </c>
      <c r="C160" s="112">
        <f>C159*(1+表2_367162629303891213141523242526272829[[#This Row],[每日盈亏]])</f>
        <v>1.0475909515281223</v>
      </c>
      <c r="D160" s="108">
        <f t="shared" si="27"/>
        <v>4.2999999999999705E-3</v>
      </c>
      <c r="E160" s="109" t="str">
        <f t="shared" si="30"/>
        <v>/</v>
      </c>
      <c r="F160" s="109">
        <f ca="1">IF(表2_367162629303891213141523242526272829[[#This Row],[累计净值]]/MAX(INDIRECT("B21:B" &amp; ROW()))-1&lt;F159,表2_367162629303891213141523242526272829[[#This Row],[累计净值]]/MAX(INDIRECT("B21:B" &amp; ROW()))-1,F159)</f>
        <v>-8.4976268711208447E-2</v>
      </c>
      <c r="G160" s="110">
        <f>表2_367162629303891213141523242526272829[[#This Row],[累计净值]]</f>
        <v>1.0404</v>
      </c>
      <c r="H160" s="20">
        <f>表2_367162629303891213141523242526272829[[#This Row],[累计净值]]/$B$21-1</f>
        <v>4.0608121624324811E-2</v>
      </c>
    </row>
    <row r="161" spans="1:8">
      <c r="A161" s="15">
        <v>44286</v>
      </c>
      <c r="B161" s="112">
        <v>1.0347999999999999</v>
      </c>
      <c r="C161" s="112">
        <f>C160*(1+表2_367162629303891213141523242526272829[[#This Row],[每日盈亏]])</f>
        <v>1.0417244421995648</v>
      </c>
      <c r="D161" s="108">
        <f t="shared" si="27"/>
        <v>-5.6000000000000494E-3</v>
      </c>
      <c r="E161" s="109">
        <f t="shared" si="30"/>
        <v>-5.6000000000000494E-3</v>
      </c>
      <c r="F161" s="109">
        <f ca="1">IF(表2_367162629303891213141523242526272829[[#This Row],[累计净值]]/MAX(INDIRECT("B21:B" &amp; ROW()))-1&lt;F160,表2_367162629303891213141523242526272829[[#This Row],[累计净值]]/MAX(INDIRECT("B21:B" &amp; ROW()))-1,F160)</f>
        <v>-8.4976268711208447E-2</v>
      </c>
      <c r="G161" s="110">
        <f>表2_367162629303891213141523242526272829[[#This Row],[累计净值]]</f>
        <v>1.0347999999999999</v>
      </c>
      <c r="H161" s="20">
        <f>表2_367162629303891213141523242526272829[[#This Row],[累计净值]]/$B$21-1</f>
        <v>3.5007001400279902E-2</v>
      </c>
    </row>
    <row r="162" spans="1:8">
      <c r="A162" s="15">
        <v>44287</v>
      </c>
      <c r="B162" s="112">
        <v>1.0442</v>
      </c>
      <c r="C162" s="112">
        <f>C161*(1+表2_367162629303891213141523242526272829[[#This Row],[每日盈亏]])</f>
        <v>1.0515166519562409</v>
      </c>
      <c r="D162" s="108">
        <f t="shared" si="27"/>
        <v>9.400000000000075E-3</v>
      </c>
      <c r="E162" s="109" t="str">
        <f t="shared" si="30"/>
        <v>/</v>
      </c>
      <c r="F162" s="109">
        <f ca="1">IF(表2_367162629303891213141523242526272829[[#This Row],[累计净值]]/MAX(INDIRECT("B21:B" &amp; ROW()))-1&lt;F161,表2_367162629303891213141523242526272829[[#This Row],[累计净值]]/MAX(INDIRECT("B21:B" &amp; ROW()))-1,F161)</f>
        <v>-8.4976268711208447E-2</v>
      </c>
      <c r="G162" s="110">
        <f>表2_367162629303891213141523242526272829[[#This Row],[累计净值]]</f>
        <v>1.0442</v>
      </c>
      <c r="H162" s="20">
        <f>表2_367162629303891213141523242526272829[[#This Row],[累计净值]]/$B$21-1</f>
        <v>4.4408881776355269E-2</v>
      </c>
    </row>
    <row r="163" spans="1:8">
      <c r="A163" s="15">
        <v>44288</v>
      </c>
      <c r="B163" s="112">
        <v>1.0519000000000001</v>
      </c>
      <c r="C163" s="112">
        <f>C162*(1+表2_367162629303891213141523242526272829[[#This Row],[每日盈亏]])</f>
        <v>1.059613330176304</v>
      </c>
      <c r="D163" s="108">
        <f t="shared" si="27"/>
        <v>7.7000000000000401E-3</v>
      </c>
      <c r="E163" s="109" t="str">
        <f t="shared" si="30"/>
        <v>/</v>
      </c>
      <c r="F163" s="109">
        <f ca="1">IF(表2_367162629303891213141523242526272829[[#This Row],[累计净值]]/MAX(INDIRECT("B21:B" &amp; ROW()))-1&lt;F162,表2_367162629303891213141523242526272829[[#This Row],[累计净值]]/MAX(INDIRECT("B21:B" &amp; ROW()))-1,F162)</f>
        <v>-8.4976268711208447E-2</v>
      </c>
      <c r="G163" s="110">
        <f>表2_367162629303891213141523242526272829[[#This Row],[累计净值]]</f>
        <v>1.0519000000000001</v>
      </c>
      <c r="H163" s="20">
        <f>表2_367162629303891213141523242526272829[[#This Row],[累计净值]]/$B$21-1</f>
        <v>5.2110422084416852E-2</v>
      </c>
    </row>
    <row r="164" spans="1:8">
      <c r="A164" s="15">
        <v>44292</v>
      </c>
      <c r="B164" s="112">
        <v>1.0564</v>
      </c>
      <c r="C164" s="112">
        <f>C163*(1+表2_367162629303891213141523242526272829[[#This Row],[每日盈亏]])</f>
        <v>1.0643815901620972</v>
      </c>
      <c r="D164" s="108">
        <f t="shared" si="27"/>
        <v>4.4999999999999485E-3</v>
      </c>
      <c r="E164" s="109" t="str">
        <f t="shared" si="30"/>
        <v>/</v>
      </c>
      <c r="F164" s="109">
        <f ca="1">IF(表2_367162629303891213141523242526272829[[#This Row],[累计净值]]/MAX(INDIRECT("B21:B" &amp; ROW()))-1&lt;F163,表2_367162629303891213141523242526272829[[#This Row],[累计净值]]/MAX(INDIRECT("B21:B" &amp; ROW()))-1,F163)</f>
        <v>-8.4976268711208447E-2</v>
      </c>
      <c r="G164" s="110">
        <f>表2_367162629303891213141523242526272829[[#This Row],[累计净值]]</f>
        <v>1.0564</v>
      </c>
      <c r="H164" s="20">
        <f>表2_367162629303891213141523242526272829[[#This Row],[累计净值]]/$B$21-1</f>
        <v>5.6611322264452868E-2</v>
      </c>
    </row>
    <row r="165" spans="1:8">
      <c r="A165" s="15">
        <v>44293</v>
      </c>
      <c r="B165" s="112">
        <v>1.0576000000000001</v>
      </c>
      <c r="C165" s="112">
        <f>C164*(1+表2_367162629303891213141523242526272829[[#This Row],[每日盈亏]])</f>
        <v>1.0656588480702918</v>
      </c>
      <c r="D165" s="108">
        <f t="shared" si="27"/>
        <v>1.2000000000000899E-3</v>
      </c>
      <c r="E165" s="109" t="str">
        <f t="shared" si="30"/>
        <v>/</v>
      </c>
      <c r="F165" s="109">
        <f ca="1">IF(表2_367162629303891213141523242526272829[[#This Row],[累计净值]]/MAX(INDIRECT("B21:B" &amp; ROW()))-1&lt;F164,表2_367162629303891213141523242526272829[[#This Row],[累计净值]]/MAX(INDIRECT("B21:B" &amp; ROW()))-1,F164)</f>
        <v>-8.4976268711208447E-2</v>
      </c>
      <c r="G165" s="110">
        <f>表2_367162629303891213141523242526272829[[#This Row],[累计净值]]</f>
        <v>1.0576000000000001</v>
      </c>
      <c r="H165" s="20">
        <f>表2_367162629303891213141523242526272829[[#This Row],[累计净值]]/$B$21-1</f>
        <v>5.781156231246265E-2</v>
      </c>
    </row>
    <row r="166" spans="1:8">
      <c r="A166" s="15">
        <v>44294</v>
      </c>
      <c r="B166" s="112">
        <v>1.0596000000000001</v>
      </c>
      <c r="C166" s="112">
        <f>C165*(1+表2_367162629303891213141523242526272829[[#This Row],[每日盈亏]])</f>
        <v>1.0677901657664324</v>
      </c>
      <c r="D166" s="108">
        <f t="shared" si="27"/>
        <v>2.0000000000000018E-3</v>
      </c>
      <c r="E166" s="109" t="str">
        <f t="shared" ref="E166:E171" si="31">IF(D166&lt;0,D166,"/")</f>
        <v>/</v>
      </c>
      <c r="F166" s="109">
        <f ca="1">IF(表2_367162629303891213141523242526272829[[#This Row],[累计净值]]/MAX(INDIRECT("B21:B" &amp; ROW()))-1&lt;F165,表2_367162629303891213141523242526272829[[#This Row],[累计净值]]/MAX(INDIRECT("B21:B" &amp; ROW()))-1,F165)</f>
        <v>-8.4976268711208447E-2</v>
      </c>
      <c r="G166" s="110">
        <f>表2_367162629303891213141523242526272829[[#This Row],[累计净值]]</f>
        <v>1.0596000000000001</v>
      </c>
      <c r="H166" s="20">
        <f>表2_367162629303891213141523242526272829[[#This Row],[累计净值]]/$B$21-1</f>
        <v>5.9811962392478657E-2</v>
      </c>
    </row>
    <row r="167" spans="1:8">
      <c r="A167" s="15">
        <v>44295</v>
      </c>
      <c r="B167" s="112">
        <v>1.0565</v>
      </c>
      <c r="C167" s="112">
        <f>C166*(1+表2_367162629303891213141523242526272829[[#This Row],[每日盈亏]])</f>
        <v>1.0644800162525563</v>
      </c>
      <c r="D167" s="108">
        <f t="shared" si="27"/>
        <v>-3.1000000000001027E-3</v>
      </c>
      <c r="E167" s="109">
        <f t="shared" si="31"/>
        <v>-3.1000000000001027E-3</v>
      </c>
      <c r="F167" s="109">
        <f ca="1">IF(表2_367162629303891213141523242526272829[[#This Row],[累计净值]]/MAX(INDIRECT("B21:B" &amp; ROW()))-1&lt;F166,表2_367162629303891213141523242526272829[[#This Row],[累计净值]]/MAX(INDIRECT("B21:B" &amp; ROW()))-1,F166)</f>
        <v>-8.4976268711208447E-2</v>
      </c>
      <c r="G167" s="110">
        <f>表2_367162629303891213141523242526272829[[#This Row],[累计净值]]</f>
        <v>1.0565</v>
      </c>
      <c r="H167" s="20">
        <f>表2_367162629303891213141523242526272829[[#This Row],[累计净值]]/$B$21-1</f>
        <v>5.6711342268453757E-2</v>
      </c>
    </row>
    <row r="168" spans="1:8">
      <c r="A168" s="15">
        <v>44298</v>
      </c>
      <c r="B168" s="112">
        <v>1.0373000000000001</v>
      </c>
      <c r="C168" s="112">
        <f>C167*(1+表2_367162629303891213141523242526272829[[#This Row],[每日盈亏]])</f>
        <v>1.0440419999405073</v>
      </c>
      <c r="D168" s="108">
        <f t="shared" si="27"/>
        <v>-1.9199999999999884E-2</v>
      </c>
      <c r="E168" s="109">
        <f t="shared" si="31"/>
        <v>-1.9199999999999884E-2</v>
      </c>
      <c r="F168" s="109">
        <f ca="1">IF(表2_367162629303891213141523242526272829[[#This Row],[累计净值]]/MAX(INDIRECT("B21:B" &amp; ROW()))-1&lt;F167,表2_367162629303891213141523242526272829[[#This Row],[累计净值]]/MAX(INDIRECT("B21:B" &amp; ROW()))-1,F167)</f>
        <v>-8.4976268711208447E-2</v>
      </c>
      <c r="G168" s="110">
        <f>表2_367162629303891213141523242526272829[[#This Row],[累计净值]]</f>
        <v>1.0373000000000001</v>
      </c>
      <c r="H168" s="20">
        <f>表2_367162629303891213141523242526272829[[#This Row],[累计净值]]/$B$21-1</f>
        <v>3.7507501500300133E-2</v>
      </c>
    </row>
    <row r="169" spans="1:8">
      <c r="A169" s="15">
        <v>44299</v>
      </c>
      <c r="B169" s="112">
        <v>1.0346</v>
      </c>
      <c r="C169" s="112">
        <f>C168*(1+表2_367162629303891213141523242526272829[[#This Row],[每日盈亏]])</f>
        <v>1.0412230865406678</v>
      </c>
      <c r="D169" s="108">
        <f t="shared" si="27"/>
        <v>-2.7000000000001467E-3</v>
      </c>
      <c r="E169" s="109">
        <f t="shared" si="31"/>
        <v>-2.7000000000001467E-3</v>
      </c>
      <c r="F169" s="109">
        <f ca="1">IF(表2_367162629303891213141523242526272829[[#This Row],[累计净值]]/MAX(INDIRECT("B21:B" &amp; ROW()))-1&lt;F168,表2_367162629303891213141523242526272829[[#This Row],[累计净值]]/MAX(INDIRECT("B21:B" &amp; ROW()))-1,F168)</f>
        <v>-8.4976268711208447E-2</v>
      </c>
      <c r="G169" s="110">
        <f>表2_367162629303891213141523242526272829[[#This Row],[累计净值]]</f>
        <v>1.0346</v>
      </c>
      <c r="H169" s="20">
        <f>表2_367162629303891213141523242526272829[[#This Row],[累计净值]]/$B$21-1</f>
        <v>3.4806961392278346E-2</v>
      </c>
    </row>
    <row r="170" spans="1:8">
      <c r="A170" s="15">
        <v>44300</v>
      </c>
      <c r="B170" s="112">
        <v>1.0502</v>
      </c>
      <c r="C170" s="112">
        <f>C169*(1+表2_367162629303891213141523242526272829[[#This Row],[每日盈亏]])</f>
        <v>1.0574661666907021</v>
      </c>
      <c r="D170" s="108">
        <f t="shared" si="27"/>
        <v>1.5600000000000058E-2</v>
      </c>
      <c r="E170" s="109" t="str">
        <f t="shared" si="31"/>
        <v>/</v>
      </c>
      <c r="F170" s="109">
        <f ca="1">IF(表2_367162629303891213141523242526272829[[#This Row],[累计净值]]/MAX(INDIRECT("B21:B" &amp; ROW()))-1&lt;F169,表2_367162629303891213141523242526272829[[#This Row],[累计净值]]/MAX(INDIRECT("B21:B" &amp; ROW()))-1,F169)</f>
        <v>-8.4976268711208447E-2</v>
      </c>
      <c r="G170" s="110">
        <f>表2_367162629303891213141523242526272829[[#This Row],[累计净值]]</f>
        <v>1.0502</v>
      </c>
      <c r="H170" s="20">
        <f>表2_367162629303891213141523242526272829[[#This Row],[累计净值]]/$B$21-1</f>
        <v>5.041008201640329E-2</v>
      </c>
    </row>
    <row r="171" spans="1:8">
      <c r="A171" s="15">
        <v>44301</v>
      </c>
      <c r="B171" s="112">
        <v>1.0494000000000001</v>
      </c>
      <c r="C171" s="112">
        <f>C170*(1+表2_367162629303891213141523242526272829[[#This Row],[每日盈亏]])</f>
        <v>1.0566201937573496</v>
      </c>
      <c r="D171" s="108">
        <f t="shared" si="27"/>
        <v>-7.9999999999991189E-4</v>
      </c>
      <c r="E171" s="109">
        <f t="shared" si="31"/>
        <v>-7.9999999999991189E-4</v>
      </c>
      <c r="F171" s="109">
        <f ca="1">IF(表2_367162629303891213141523242526272829[[#This Row],[累计净值]]/MAX(INDIRECT("B21:B" &amp; ROW()))-1&lt;F170,表2_367162629303891213141523242526272829[[#This Row],[累计净值]]/MAX(INDIRECT("B21:B" &amp; ROW()))-1,F170)</f>
        <v>-8.4976268711208447E-2</v>
      </c>
      <c r="G171" s="110">
        <f>表2_367162629303891213141523242526272829[[#This Row],[累计净值]]</f>
        <v>1.0494000000000001</v>
      </c>
      <c r="H171" s="20">
        <f>表2_367162629303891213141523242526272829[[#This Row],[累计净值]]/$B$21-1</f>
        <v>4.9609921984397065E-2</v>
      </c>
    </row>
    <row r="172" spans="1:8">
      <c r="A172" s="15">
        <v>44302</v>
      </c>
      <c r="B172" s="112">
        <v>1.0570999999999999</v>
      </c>
      <c r="C172" s="112">
        <f>C171*(1+表2_367162629303891213141523242526272829[[#This Row],[每日盈亏]])</f>
        <v>1.0647561692492811</v>
      </c>
      <c r="D172" s="108">
        <f t="shared" si="27"/>
        <v>7.6999999999998181E-3</v>
      </c>
      <c r="E172" s="109" t="str">
        <f t="shared" ref="E172:E177" si="32">IF(D172&lt;0,D172,"/")</f>
        <v>/</v>
      </c>
      <c r="F172" s="109">
        <f ca="1">IF(表2_367162629303891213141523242526272829[[#This Row],[累计净值]]/MAX(INDIRECT("B21:B" &amp; ROW()))-1&lt;F171,表2_367162629303891213141523242526272829[[#This Row],[累计净值]]/MAX(INDIRECT("B21:B" &amp; ROW()))-1,F171)</f>
        <v>-8.4976268711208447E-2</v>
      </c>
      <c r="G172" s="110">
        <f>表2_367162629303891213141523242526272829[[#This Row],[累计净值]]</f>
        <v>1.0570999999999999</v>
      </c>
      <c r="H172" s="20">
        <f>表2_367162629303891213141523242526272829[[#This Row],[累计净值]]/$B$21-1</f>
        <v>5.7311462292458426E-2</v>
      </c>
    </row>
    <row r="173" spans="1:8">
      <c r="A173" s="15">
        <v>44305</v>
      </c>
      <c r="B173" s="112">
        <v>1.0783</v>
      </c>
      <c r="C173" s="112">
        <f>C172*(1+表2_367162629303891213141523242526272829[[#This Row],[每日盈亏]])</f>
        <v>1.0873290000373659</v>
      </c>
      <c r="D173" s="108">
        <f t="shared" si="27"/>
        <v>2.1200000000000108E-2</v>
      </c>
      <c r="E173" s="109" t="str">
        <f t="shared" si="32"/>
        <v>/</v>
      </c>
      <c r="F173" s="109">
        <f ca="1">IF(表2_367162629303891213141523242526272829[[#This Row],[累计净值]]/MAX(INDIRECT("B21:B" &amp; ROW()))-1&lt;F172,表2_367162629303891213141523242526272829[[#This Row],[累计净值]]/MAX(INDIRECT("B21:B" &amp; ROW()))-1,F172)</f>
        <v>-8.4976268711208447E-2</v>
      </c>
      <c r="G173" s="110">
        <f>表2_367162629303891213141523242526272829[[#This Row],[累计净值]]</f>
        <v>1.0783</v>
      </c>
      <c r="H173" s="20">
        <f>表2_367162629303891213141523242526272829[[#This Row],[累计净值]]/$B$21-1</f>
        <v>7.8515703140628057E-2</v>
      </c>
    </row>
    <row r="174" spans="1:8">
      <c r="A174" s="15">
        <v>44306</v>
      </c>
      <c r="B174" s="112">
        <v>1.0778000000000001</v>
      </c>
      <c r="C174" s="112">
        <f>C173*(1+表2_367162629303891213141523242526272829[[#This Row],[每日盈亏]])</f>
        <v>1.0867853355373474</v>
      </c>
      <c r="D174" s="108">
        <f t="shared" si="27"/>
        <v>-4.9999999999994493E-4</v>
      </c>
      <c r="E174" s="109">
        <f t="shared" si="32"/>
        <v>-4.9999999999994493E-4</v>
      </c>
      <c r="F174" s="109">
        <f ca="1">IF(表2_367162629303891213141523242526272829[[#This Row],[累计净值]]/MAX(INDIRECT("B21:B" &amp; ROW()))-1&lt;F173,表2_367162629303891213141523242526272829[[#This Row],[累计净值]]/MAX(INDIRECT("B21:B" &amp; ROW()))-1,F173)</f>
        <v>-8.4976268711208447E-2</v>
      </c>
      <c r="G174" s="110">
        <f>表2_367162629303891213141523242526272829[[#This Row],[累计净值]]</f>
        <v>1.0778000000000001</v>
      </c>
      <c r="H174" s="20">
        <f>表2_367162629303891213141523242526272829[[#This Row],[累计净值]]/$B$21-1</f>
        <v>7.8015603120624277E-2</v>
      </c>
    </row>
    <row r="175" spans="1:8">
      <c r="A175" s="15">
        <v>44307</v>
      </c>
      <c r="B175" s="112">
        <v>1.0767</v>
      </c>
      <c r="C175" s="112">
        <f>C174*(1+表2_367162629303891213141523242526272829[[#This Row],[每日盈亏]])</f>
        <v>1.0855898716682562</v>
      </c>
      <c r="D175" s="108">
        <f t="shared" si="27"/>
        <v>-1.1000000000001009E-3</v>
      </c>
      <c r="E175" s="109">
        <f t="shared" si="32"/>
        <v>-1.1000000000001009E-3</v>
      </c>
      <c r="F175" s="109">
        <f ca="1">IF(表2_367162629303891213141523242526272829[[#This Row],[累计净值]]/MAX(INDIRECT("B21:B" &amp; ROW()))-1&lt;F174,表2_367162629303891213141523242526272829[[#This Row],[累计净值]]/MAX(INDIRECT("B21:B" &amp; ROW()))-1,F174)</f>
        <v>-8.4976268711208447E-2</v>
      </c>
      <c r="G175" s="110">
        <f>表2_367162629303891213141523242526272829[[#This Row],[累计净值]]</f>
        <v>1.0767</v>
      </c>
      <c r="H175" s="20">
        <f>表2_367162629303891213141523242526272829[[#This Row],[累计净值]]/$B$21-1</f>
        <v>7.6915383076615385E-2</v>
      </c>
    </row>
    <row r="176" spans="1:8">
      <c r="A176" s="15">
        <v>44308</v>
      </c>
      <c r="B176" s="112">
        <v>1.0808</v>
      </c>
      <c r="C176" s="112">
        <f>C175*(1+表2_367162629303891213141523242526272829[[#This Row],[每日盈亏]])</f>
        <v>1.0900407901420961</v>
      </c>
      <c r="D176" s="108">
        <f t="shared" si="27"/>
        <v>4.0999999999999925E-3</v>
      </c>
      <c r="E176" s="109" t="str">
        <f t="shared" si="32"/>
        <v>/</v>
      </c>
      <c r="F176" s="109">
        <f ca="1">IF(表2_367162629303891213141523242526272829[[#This Row],[累计净值]]/MAX(INDIRECT("B21:B" &amp; ROW()))-1&lt;F175,表2_367162629303891213141523242526272829[[#This Row],[累计净值]]/MAX(INDIRECT("B21:B" &amp; ROW()))-1,F175)</f>
        <v>-8.4976268711208447E-2</v>
      </c>
      <c r="G176" s="110">
        <f>表2_367162629303891213141523242526272829[[#This Row],[累计净值]]</f>
        <v>1.0808</v>
      </c>
      <c r="H176" s="20">
        <f>表2_367162629303891213141523242526272829[[#This Row],[累计净值]]/$B$21-1</f>
        <v>8.1016203240648066E-2</v>
      </c>
    </row>
    <row r="177" spans="1:8">
      <c r="A177" s="15">
        <v>44309</v>
      </c>
      <c r="B177" s="112">
        <v>1.0814999999999999</v>
      </c>
      <c r="C177" s="112">
        <f>C176*(1+表2_367162629303891213141523242526272829[[#This Row],[每日盈亏]])</f>
        <v>1.0908038186951954</v>
      </c>
      <c r="D177" s="108">
        <f t="shared" si="27"/>
        <v>6.9999999999992291E-4</v>
      </c>
      <c r="E177" s="109" t="str">
        <f t="shared" si="32"/>
        <v>/</v>
      </c>
      <c r="F177" s="109">
        <f ca="1">IF(表2_367162629303891213141523242526272829[[#This Row],[累计净值]]/MAX(INDIRECT("B21:B" &amp; ROW()))-1&lt;F176,表2_367162629303891213141523242526272829[[#This Row],[累计净值]]/MAX(INDIRECT("B21:B" &amp; ROW()))-1,F176)</f>
        <v>-8.4976268711208447E-2</v>
      </c>
      <c r="G177" s="110">
        <f>表2_367162629303891213141523242526272829[[#This Row],[累计净值]]</f>
        <v>1.0814999999999999</v>
      </c>
      <c r="H177" s="20">
        <f>表2_367162629303891213141523242526272829[[#This Row],[累计净值]]/$B$21-1</f>
        <v>8.1716343268653624E-2</v>
      </c>
    </row>
    <row r="178" spans="1:8">
      <c r="A178" s="15">
        <v>44312</v>
      </c>
      <c r="B178" s="112">
        <v>1.0774999999999999</v>
      </c>
      <c r="C178" s="112">
        <f>C177*(1+表2_367162629303891213141523242526272829[[#This Row],[每日盈亏]])</f>
        <v>1.0864406034204146</v>
      </c>
      <c r="D178" s="108">
        <f t="shared" si="27"/>
        <v>-4.0000000000000036E-3</v>
      </c>
      <c r="E178" s="109">
        <f>IF(D178&lt;0,D178,"/")</f>
        <v>-4.0000000000000036E-3</v>
      </c>
      <c r="F178" s="109">
        <f ca="1">IF(表2_367162629303891213141523242526272829[[#This Row],[累计净值]]/MAX(INDIRECT("B21:B" &amp; ROW()))-1&lt;F177,表2_367162629303891213141523242526272829[[#This Row],[累计净值]]/MAX(INDIRECT("B21:B" &amp; ROW()))-1,F177)</f>
        <v>-8.4976268711208447E-2</v>
      </c>
      <c r="G178" s="110">
        <f>表2_367162629303891213141523242526272829[[#This Row],[累计净值]]</f>
        <v>1.0774999999999999</v>
      </c>
      <c r="H178" s="20">
        <f>表2_367162629303891213141523242526272829[[#This Row],[累计净值]]/$B$21-1</f>
        <v>7.771554310862161E-2</v>
      </c>
    </row>
    <row r="179" spans="1:8">
      <c r="A179" s="15">
        <v>44313</v>
      </c>
      <c r="B179" s="112">
        <v>1.0761000000000001</v>
      </c>
      <c r="C179" s="112">
        <f>C178*(1+表2_367162629303891213141523242526272829[[#This Row],[每日盈亏]])</f>
        <v>1.0849195865756263</v>
      </c>
      <c r="D179" s="108">
        <f t="shared" si="27"/>
        <v>-1.3999999999998458E-3</v>
      </c>
      <c r="E179" s="109">
        <f>IF(D179&lt;0,D179,"/")</f>
        <v>-1.3999999999998458E-3</v>
      </c>
      <c r="F179" s="109">
        <f ca="1">IF(表2_367162629303891213141523242526272829[[#This Row],[累计净值]]/MAX(INDIRECT("B21:B" &amp; ROW()))-1&lt;F178,表2_367162629303891213141523242526272829[[#This Row],[累计净值]]/MAX(INDIRECT("B21:B" &amp; ROW()))-1,F178)</f>
        <v>-8.4976268711208447E-2</v>
      </c>
      <c r="G179" s="110">
        <f>表2_367162629303891213141523242526272829[[#This Row],[累计净值]]</f>
        <v>1.0761000000000001</v>
      </c>
      <c r="H179" s="20">
        <f>表2_367162629303891213141523242526272829[[#This Row],[累计净值]]/$B$21-1</f>
        <v>7.6315263052610494E-2</v>
      </c>
    </row>
    <row r="180" spans="1:8">
      <c r="A180" s="15">
        <v>44314</v>
      </c>
      <c r="B180" s="112">
        <v>1.0815999999999999</v>
      </c>
      <c r="C180" s="112">
        <f>C179*(1+表2_367162629303891213141523242526272829[[#This Row],[每日盈亏]])</f>
        <v>1.0908866443017919</v>
      </c>
      <c r="D180" s="108">
        <f t="shared" si="27"/>
        <v>5.4999999999998384E-3</v>
      </c>
      <c r="E180" s="109" t="str">
        <f>IF(D180&lt;0,D180,"/")</f>
        <v>/</v>
      </c>
      <c r="F180" s="109">
        <f ca="1">IF(表2_367162629303891213141523242526272829[[#This Row],[累计净值]]/MAX(INDIRECT("B21:B" &amp; ROW()))-1&lt;F179,表2_367162629303891213141523242526272829[[#This Row],[累计净值]]/MAX(INDIRECT("B21:B" &amp; ROW()))-1,F179)</f>
        <v>-8.4976268711208447E-2</v>
      </c>
      <c r="G180" s="110">
        <f>表2_367162629303891213141523242526272829[[#This Row],[累计净值]]</f>
        <v>1.0815999999999999</v>
      </c>
      <c r="H180" s="20">
        <f>表2_367162629303891213141523242526272829[[#This Row],[累计净值]]/$B$21-1</f>
        <v>8.1816363272654291E-2</v>
      </c>
    </row>
    <row r="181" spans="1:8">
      <c r="A181" s="15">
        <v>44315</v>
      </c>
      <c r="B181" s="112">
        <v>1.0820000000000001</v>
      </c>
      <c r="C181" s="112">
        <f>C180*(1+表2_367162629303891213141523242526272829[[#This Row],[每日盈亏]])</f>
        <v>1.0913229989595128</v>
      </c>
      <c r="D181" s="108">
        <f t="shared" ref="D181:D190" si="33">IFERROR(B181-B180,0)</f>
        <v>4.0000000000017799E-4</v>
      </c>
      <c r="E181" s="109" t="str">
        <f>IF(D181&lt;0,D181,"/")</f>
        <v>/</v>
      </c>
      <c r="F181" s="109">
        <f ca="1">IF(表2_367162629303891213141523242526272829[[#This Row],[累计净值]]/MAX(INDIRECT("B21:B" &amp; ROW()))-1&lt;F180,表2_367162629303891213141523242526272829[[#This Row],[累计净值]]/MAX(INDIRECT("B21:B" &amp; ROW()))-1,F180)</f>
        <v>-8.4976268711208447E-2</v>
      </c>
      <c r="G181" s="110">
        <f>表2_367162629303891213141523242526272829[[#This Row],[累计净值]]</f>
        <v>1.0820000000000001</v>
      </c>
      <c r="H181" s="20">
        <f>表2_367162629303891213141523242526272829[[#This Row],[累计净值]]/$B$21-1</f>
        <v>8.2216443288657848E-2</v>
      </c>
    </row>
    <row r="182" spans="1:8">
      <c r="A182" s="15">
        <v>44316</v>
      </c>
      <c r="B182" s="112">
        <v>1.0786</v>
      </c>
      <c r="C182" s="112">
        <f>C181*(1+表2_367162629303891213141523242526272829[[#This Row],[每日盈亏]])</f>
        <v>1.0876125007630504</v>
      </c>
      <c r="D182" s="108">
        <f t="shared" si="33"/>
        <v>-3.4000000000000696E-3</v>
      </c>
      <c r="E182" s="109">
        <f t="shared" ref="E182:E183" si="34">IF(D182&lt;0,D182,"/")</f>
        <v>-3.4000000000000696E-3</v>
      </c>
      <c r="F182" s="109">
        <f ca="1">IF(表2_367162629303891213141523242526272829[[#This Row],[累计净值]]/MAX(INDIRECT("B21:B" &amp; ROW()))-1&lt;F181,表2_367162629303891213141523242526272829[[#This Row],[累计净值]]/MAX(INDIRECT("B21:B" &amp; ROW()))-1,F181)</f>
        <v>-8.4976268711208447E-2</v>
      </c>
      <c r="G182" s="110">
        <f>表2_367162629303891213141523242526272829[[#This Row],[累计净值]]</f>
        <v>1.0786</v>
      </c>
      <c r="H182" s="20">
        <f>表2_367162629303891213141523242526272829[[#This Row],[累计净值]]/$B$21-1</f>
        <v>7.8815763152630502E-2</v>
      </c>
    </row>
    <row r="183" spans="1:8">
      <c r="A183" s="15">
        <v>44322</v>
      </c>
      <c r="B183" s="112">
        <v>1.0763</v>
      </c>
      <c r="C183" s="112">
        <f>C182*(1+表2_367162629303891213141523242526272829[[#This Row],[每日盈亏]])</f>
        <v>1.0851109920112953</v>
      </c>
      <c r="D183" s="108">
        <f t="shared" si="33"/>
        <v>-2.2999999999999687E-3</v>
      </c>
      <c r="E183" s="109">
        <f t="shared" si="34"/>
        <v>-2.2999999999999687E-3</v>
      </c>
      <c r="F183" s="109">
        <f ca="1">IF(表2_367162629303891213141523242526272829[[#This Row],[累计净值]]/MAX(INDIRECT("B21:B" &amp; ROW()))-1&lt;F182,表2_367162629303891213141523242526272829[[#This Row],[累计净值]]/MAX(INDIRECT("B21:B" &amp; ROW()))-1,F182)</f>
        <v>-8.4976268711208447E-2</v>
      </c>
      <c r="G183" s="110">
        <f>表2_367162629303891213141523242526272829[[#This Row],[累计净值]]</f>
        <v>1.0763</v>
      </c>
      <c r="H183" s="20">
        <f>表2_367162629303891213141523242526272829[[#This Row],[累计净值]]/$B$21-1</f>
        <v>7.651530306061205E-2</v>
      </c>
    </row>
    <row r="184" spans="1:8">
      <c r="A184" s="15">
        <v>44323</v>
      </c>
      <c r="B184" s="112">
        <v>1.0654999999999999</v>
      </c>
      <c r="C184" s="112">
        <f>C183*(1+表2_367162629303891213141523242526272829[[#This Row],[每日盈亏]])</f>
        <v>1.0733917932975732</v>
      </c>
      <c r="D184" s="108">
        <f t="shared" si="33"/>
        <v>-1.0800000000000143E-2</v>
      </c>
      <c r="E184" s="109">
        <f t="shared" ref="E184:E190" si="35">IF(D184&lt;0,D184,"/")</f>
        <v>-1.0800000000000143E-2</v>
      </c>
      <c r="F184" s="109">
        <f ca="1">IF(表2_367162629303891213141523242526272829[[#This Row],[累计净值]]/MAX(INDIRECT("B21:B" &amp; ROW()))-1&lt;F183,表2_367162629303891213141523242526272829[[#This Row],[累计净值]]/MAX(INDIRECT("B21:B" &amp; ROW()))-1,F183)</f>
        <v>-8.4976268711208447E-2</v>
      </c>
      <c r="G184" s="110">
        <f>表2_367162629303891213141523242526272829[[#This Row],[累计净值]]</f>
        <v>1.0654999999999999</v>
      </c>
      <c r="H184" s="20">
        <f>表2_367162629303891213141523242526272829[[#This Row],[累计净值]]/$B$21-1</f>
        <v>6.5713142628525567E-2</v>
      </c>
    </row>
    <row r="185" spans="1:8">
      <c r="A185" s="15">
        <v>44326</v>
      </c>
      <c r="B185" s="112">
        <v>1.0713999999999999</v>
      </c>
      <c r="C185" s="112">
        <f>C184*(1+表2_367162629303891213141523242526272829[[#This Row],[每日盈亏]])</f>
        <v>1.0797248048780288</v>
      </c>
      <c r="D185" s="108">
        <f t="shared" si="33"/>
        <v>5.9000000000000163E-3</v>
      </c>
      <c r="E185" s="109" t="str">
        <f t="shared" si="35"/>
        <v>/</v>
      </c>
      <c r="F185" s="109">
        <f ca="1">IF(表2_367162629303891213141523242526272829[[#This Row],[累计净值]]/MAX(INDIRECT("B21:B" &amp; ROW()))-1&lt;F184,表2_367162629303891213141523242526272829[[#This Row],[累计净值]]/MAX(INDIRECT("B21:B" &amp; ROW()))-1,F184)</f>
        <v>-8.4976268711208447E-2</v>
      </c>
      <c r="G185" s="110">
        <f>表2_367162629303891213141523242526272829[[#This Row],[累计净值]]</f>
        <v>1.0713999999999999</v>
      </c>
      <c r="H185" s="20">
        <f>表2_367162629303891213141523242526272829[[#This Row],[累计净值]]/$B$21-1</f>
        <v>7.1614322864572699E-2</v>
      </c>
    </row>
    <row r="186" spans="1:8">
      <c r="A186" s="15">
        <v>44327</v>
      </c>
      <c r="B186" s="112">
        <v>1.0689</v>
      </c>
      <c r="C186" s="112">
        <f>C185*(1+表2_367162629303891213141523242526272829[[#This Row],[每日盈亏]])</f>
        <v>1.0770254928658338</v>
      </c>
      <c r="D186" s="108">
        <f t="shared" si="33"/>
        <v>-2.4999999999999467E-3</v>
      </c>
      <c r="E186" s="109">
        <f t="shared" si="35"/>
        <v>-2.4999999999999467E-3</v>
      </c>
      <c r="F186" s="109">
        <f ca="1">IF(表2_367162629303891213141523242526272829[[#This Row],[累计净值]]/MAX(INDIRECT("B21:B" &amp; ROW()))-1&lt;F185,表2_367162629303891213141523242526272829[[#This Row],[累计净值]]/MAX(INDIRECT("B21:B" &amp; ROW()))-1,F185)</f>
        <v>-8.4976268711208447E-2</v>
      </c>
      <c r="G186" s="110">
        <f>表2_367162629303891213141523242526272829[[#This Row],[累计净值]]</f>
        <v>1.0689</v>
      </c>
      <c r="H186" s="20">
        <f>表2_367162629303891213141523242526272829[[#This Row],[累计净值]]/$B$21-1</f>
        <v>6.9113822764552912E-2</v>
      </c>
    </row>
    <row r="187" spans="1:8">
      <c r="A187" s="15">
        <v>44328</v>
      </c>
      <c r="B187" s="112">
        <v>1.0808</v>
      </c>
      <c r="C187" s="112">
        <f>C186*(1+表2_367162629303891213141523242526272829[[#This Row],[每日盈亏]])</f>
        <v>1.0898420962309372</v>
      </c>
      <c r="D187" s="108">
        <f t="shared" si="33"/>
        <v>1.1900000000000022E-2</v>
      </c>
      <c r="E187" s="109" t="str">
        <f t="shared" si="35"/>
        <v>/</v>
      </c>
      <c r="F187" s="109">
        <f ca="1">IF(表2_367162629303891213141523242526272829[[#This Row],[累计净值]]/MAX(INDIRECT("B21:B" &amp; ROW()))-1&lt;F186,表2_367162629303891213141523242526272829[[#This Row],[累计净值]]/MAX(INDIRECT("B21:B" &amp; ROW()))-1,F186)</f>
        <v>-8.4976268711208447E-2</v>
      </c>
      <c r="G187" s="110">
        <f>表2_367162629303891213141523242526272829[[#This Row],[累计净值]]</f>
        <v>1.0808</v>
      </c>
      <c r="H187" s="20">
        <f>表2_367162629303891213141523242526272829[[#This Row],[累计净值]]/$B$21-1</f>
        <v>8.1016203240648066E-2</v>
      </c>
    </row>
    <row r="188" spans="1:8">
      <c r="A188" s="15">
        <v>44329</v>
      </c>
      <c r="B188" s="112">
        <v>1.0720000000000001</v>
      </c>
      <c r="C188" s="112">
        <f>C187*(1+表2_367162629303891213141523242526272829[[#This Row],[每日盈亏]])</f>
        <v>1.080251485784105</v>
      </c>
      <c r="D188" s="108">
        <f t="shared" si="33"/>
        <v>-8.799999999999919E-3</v>
      </c>
      <c r="E188" s="109">
        <f t="shared" si="35"/>
        <v>-8.799999999999919E-3</v>
      </c>
      <c r="F188" s="109">
        <f ca="1">IF(表2_367162629303891213141523242526272829[[#This Row],[累计净值]]/MAX(INDIRECT("B21:B" &amp; ROW()))-1&lt;F187,表2_367162629303891213141523242526272829[[#This Row],[累计净值]]/MAX(INDIRECT("B21:B" &amp; ROW()))-1,F187)</f>
        <v>-8.4976268711208447E-2</v>
      </c>
      <c r="G188" s="110">
        <f>表2_367162629303891213141523242526272829[[#This Row],[累计净值]]</f>
        <v>1.0720000000000001</v>
      </c>
      <c r="H188" s="20">
        <f>表2_367162629303891213141523242526272829[[#This Row],[累计净值]]/$B$21-1</f>
        <v>7.2214442888577812E-2</v>
      </c>
    </row>
    <row r="189" spans="1:8">
      <c r="A189" s="15">
        <v>44333</v>
      </c>
      <c r="B189" s="112">
        <v>1.0871999999999999</v>
      </c>
      <c r="C189" s="112">
        <f>C188*(1+表2_367162629303891213141523242526272829[[#This Row],[每日盈亏]])</f>
        <v>1.0966713083680233</v>
      </c>
      <c r="D189" s="108">
        <f t="shared" si="33"/>
        <v>1.519999999999988E-2</v>
      </c>
      <c r="E189" s="109" t="str">
        <f t="shared" si="35"/>
        <v>/</v>
      </c>
      <c r="F189" s="109">
        <f ca="1">IF(表2_367162629303891213141523242526272829[[#This Row],[累计净值]]/MAX(INDIRECT("B21:B" &amp; ROW()))-1&lt;F188,表2_367162629303891213141523242526272829[[#This Row],[累计净值]]/MAX(INDIRECT("B21:B" &amp; ROW()))-1,F188)</f>
        <v>-8.4976268711208447E-2</v>
      </c>
      <c r="G189" s="110">
        <f>表2_367162629303891213141523242526272829[[#This Row],[累计净值]]</f>
        <v>1.0871999999999999</v>
      </c>
      <c r="H189" s="20">
        <f>表2_367162629303891213141523242526272829[[#This Row],[累计净值]]/$B$21-1</f>
        <v>8.74174834966992E-2</v>
      </c>
    </row>
    <row r="190" spans="1:8">
      <c r="A190" s="15">
        <v>44331</v>
      </c>
      <c r="B190" s="112">
        <v>1.091</v>
      </c>
      <c r="C190" s="112">
        <f>C189*(1+表2_367162629303891213141523242526272829[[#This Row],[每日盈亏]])</f>
        <v>1.1008386593398218</v>
      </c>
      <c r="D190" s="108">
        <f t="shared" si="33"/>
        <v>3.8000000000000256E-3</v>
      </c>
      <c r="E190" s="109" t="str">
        <f t="shared" si="35"/>
        <v>/</v>
      </c>
      <c r="F190" s="109">
        <f ca="1">IF(表2_367162629303891213141523242526272829[[#This Row],[累计净值]]/MAX(INDIRECT("B21:B" &amp; ROW()))-1&lt;F189,表2_367162629303891213141523242526272829[[#This Row],[累计净值]]/MAX(INDIRECT("B21:B" &amp; ROW()))-1,F189)</f>
        <v>-8.4976268711208447E-2</v>
      </c>
      <c r="G190" s="110">
        <f>表2_367162629303891213141523242526272829[[#This Row],[累计净值]]</f>
        <v>1.091</v>
      </c>
      <c r="H190" s="20">
        <f>表2_367162629303891213141523242526272829[[#This Row],[累计净值]]/$B$21-1</f>
        <v>9.1218243648729658E-2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J125"/>
  <sheetViews>
    <sheetView topLeftCell="A97" workbookViewId="0">
      <selection activeCell="C123" activeCellId="21" sqref="C23 C28 C33 C37 C42 C47 C52 C57 C62 C67 C72 C77 C82 C87 C92 C97 C101 C106 C111 C116 C118 C123"/>
    </sheetView>
  </sheetViews>
  <sheetFormatPr baseColWidth="10" defaultColWidth="9" defaultRowHeight="15"/>
  <cols>
    <col min="1" max="1" width="11.6640625" style="1" bestFit="1" customWidth="1"/>
    <col min="2" max="3" width="16.6640625" style="1" customWidth="1"/>
    <col min="4" max="5" width="13.5" style="1" bestFit="1" customWidth="1"/>
    <col min="6" max="6" width="10.6640625" style="1" customWidth="1"/>
    <col min="7" max="7" width="29.1640625" style="1" customWidth="1"/>
    <col min="8" max="8" width="18.83203125" style="2" customWidth="1"/>
    <col min="9" max="9" width="14.1640625" style="1" customWidth="1"/>
    <col min="10" max="10" width="12" style="1" bestFit="1" customWidth="1"/>
    <col min="11" max="16384" width="9" style="1"/>
  </cols>
  <sheetData>
    <row r="1" spans="1:8" ht="16" thickBot="1"/>
    <row r="2" spans="1:8" ht="16" thickBot="1">
      <c r="A2" s="23" t="s">
        <v>0</v>
      </c>
      <c r="B2" s="24">
        <f>COUNT(表2_3671626293038912131415232425262728313236[每日盈亏])</f>
        <v>105</v>
      </c>
      <c r="C2" s="27"/>
      <c r="D2" s="27"/>
      <c r="E2" s="3" t="s">
        <v>1</v>
      </c>
      <c r="F2" s="28"/>
      <c r="G2" s="1" t="s">
        <v>2</v>
      </c>
      <c r="H2" s="400" t="s">
        <v>3</v>
      </c>
    </row>
    <row r="3" spans="1:8">
      <c r="A3" s="25" t="s">
        <v>4</v>
      </c>
      <c r="B3" s="26">
        <f>COUNTIF(表2_3671626293038912131415232425262728313236[每日盈亏],"&gt;0")</f>
        <v>57</v>
      </c>
      <c r="C3" s="394"/>
      <c r="D3" s="29"/>
      <c r="E3" s="30" t="s">
        <v>5</v>
      </c>
      <c r="F3" s="31">
        <f>245^0.5*(B10-0.025/365)/F10</f>
        <v>1.1756165429144765</v>
      </c>
      <c r="H3" s="400"/>
    </row>
    <row r="4" spans="1:8">
      <c r="A4" s="25" t="s">
        <v>6</v>
      </c>
      <c r="B4" s="26">
        <f>COUNTIF(表2_3671626293038912131415232425262728313236[每日盈亏],"&lt;0")</f>
        <v>45</v>
      </c>
      <c r="C4" s="394"/>
      <c r="D4" s="29"/>
      <c r="E4" s="32" t="s">
        <v>7</v>
      </c>
      <c r="F4" s="31">
        <f ca="1">-B9/F8</f>
        <v>3.0885177989705368</v>
      </c>
      <c r="H4" s="2">
        <f>LOOKUP(999^10,表2_3671626293038912131415232425262728313236[累计净值])</f>
        <v>1.107</v>
      </c>
    </row>
    <row r="5" spans="1:8">
      <c r="A5" s="25" t="s">
        <v>8</v>
      </c>
      <c r="B5" s="26">
        <f>B2-B3-B4</f>
        <v>3</v>
      </c>
      <c r="C5" s="394"/>
      <c r="D5" s="29"/>
      <c r="E5" s="33" t="s">
        <v>9</v>
      </c>
      <c r="F5" s="4">
        <f>245^0.5*(B10-0.025/365)/F9</f>
        <v>1.8349735019989404</v>
      </c>
    </row>
    <row r="6" spans="1:8" ht="16" thickBot="1">
      <c r="A6" s="34"/>
      <c r="B6" s="35"/>
      <c r="C6" s="35"/>
      <c r="D6" s="35"/>
      <c r="E6" s="35"/>
      <c r="F6" s="36"/>
    </row>
    <row r="7" spans="1:8" ht="16" thickBot="1">
      <c r="A7" s="5" t="s">
        <v>10</v>
      </c>
      <c r="B7" s="35"/>
      <c r="C7" s="35"/>
      <c r="D7" s="35"/>
      <c r="E7" s="3" t="s">
        <v>11</v>
      </c>
      <c r="F7" s="37"/>
    </row>
    <row r="8" spans="1:8">
      <c r="A8" s="38" t="s">
        <v>12</v>
      </c>
      <c r="B8" s="39">
        <f>LOOKUP(999^10,表2_3671626293038912131415232425262728313236[累计净值])/B21-1</f>
        <v>0.10379898294944678</v>
      </c>
      <c r="C8" s="395"/>
      <c r="D8" s="40"/>
      <c r="E8" s="30" t="s">
        <v>13</v>
      </c>
      <c r="F8" s="41">
        <f ca="1">MIN(表2_3671626293038912131415232425262728313236[最大回撤])</f>
        <v>-7.8418724659048977E-2</v>
      </c>
    </row>
    <row r="9" spans="1:8">
      <c r="A9" s="25" t="s">
        <v>14</v>
      </c>
      <c r="B9" s="32">
        <f>B8*245/B2</f>
        <v>0.24219762688204252</v>
      </c>
      <c r="C9" s="396"/>
      <c r="D9" s="40"/>
      <c r="E9" s="33" t="s">
        <v>15</v>
      </c>
      <c r="F9" s="6">
        <f>STDEV(表2_3671626293038912131415232425262728313236[下跌幅度])</f>
        <v>6.8816011467851242E-3</v>
      </c>
    </row>
    <row r="10" spans="1:8">
      <c r="A10" s="42" t="s">
        <v>16</v>
      </c>
      <c r="B10" s="43">
        <f>AVERAGE(表2_3671626293038912131415232425262728313236[每日盈亏])</f>
        <v>8.7523809523809613E-4</v>
      </c>
      <c r="C10" s="397"/>
      <c r="D10" s="44"/>
      <c r="E10" s="33" t="s">
        <v>17</v>
      </c>
      <c r="F10" s="6">
        <f>STDEV(表2_3671626293038912131415232425262728313236[每日盈亏])</f>
        <v>1.0741219857600157E-2</v>
      </c>
    </row>
    <row r="11" spans="1:8">
      <c r="A11" s="7" t="s">
        <v>18</v>
      </c>
      <c r="B11" s="32">
        <f>B3/B2</f>
        <v>0.54285714285714282</v>
      </c>
      <c r="C11" s="396"/>
      <c r="D11" s="40"/>
      <c r="E11" s="32" t="s">
        <v>19</v>
      </c>
      <c r="F11" s="41">
        <f>245^0.5*F10</f>
        <v>0.16812668434005196</v>
      </c>
    </row>
    <row r="12" spans="1:8" ht="16" thickBot="1">
      <c r="A12" s="45" t="s">
        <v>20</v>
      </c>
      <c r="B12" s="46">
        <f>-(SUMIF(表2_3671626293038912131415232425262728313236[每日盈亏],"&gt;=0")/B3)/(SUMIF(表2_3671626293038912131415232425262728313236[每日盈亏],"&lt;0")/B4)</f>
        <v>0.96990798308878434</v>
      </c>
      <c r="C12" s="47"/>
      <c r="D12" s="47"/>
      <c r="E12" s="48"/>
      <c r="F12" s="49"/>
    </row>
    <row r="14" spans="1:8" ht="32">
      <c r="A14" s="50" t="s">
        <v>21</v>
      </c>
      <c r="B14" s="50" t="s">
        <v>14</v>
      </c>
      <c r="C14" s="398"/>
      <c r="D14" s="51" t="s">
        <v>19</v>
      </c>
      <c r="E14" s="51" t="s">
        <v>13</v>
      </c>
      <c r="F14" s="51" t="s">
        <v>5</v>
      </c>
      <c r="G14" s="51" t="s">
        <v>7</v>
      </c>
    </row>
    <row r="15" spans="1:8">
      <c r="A15" s="78">
        <f>B2</f>
        <v>105</v>
      </c>
      <c r="B15" s="53">
        <f>B9</f>
        <v>0.24219762688204252</v>
      </c>
      <c r="C15" s="399"/>
      <c r="D15" s="53">
        <f>F11</f>
        <v>0.16812668434005196</v>
      </c>
      <c r="E15" s="53">
        <f ca="1">F8</f>
        <v>-7.8418724659048977E-2</v>
      </c>
      <c r="F15" s="54">
        <f>F3</f>
        <v>1.1756165429144765</v>
      </c>
      <c r="G15" s="54">
        <f ca="1">F4</f>
        <v>3.0885177989705368</v>
      </c>
    </row>
    <row r="19" spans="1:10">
      <c r="A19" s="8"/>
      <c r="B19" s="1" t="s">
        <v>22</v>
      </c>
    </row>
    <row r="20" spans="1:10" ht="16">
      <c r="A20" s="22" t="s">
        <v>23</v>
      </c>
      <c r="B20" s="22" t="s">
        <v>24</v>
      </c>
      <c r="C20" s="22" t="s">
        <v>113</v>
      </c>
      <c r="D20" s="22" t="s">
        <v>25</v>
      </c>
      <c r="E20" s="22" t="s">
        <v>26</v>
      </c>
      <c r="F20" s="22" t="s">
        <v>27</v>
      </c>
      <c r="G20" s="22" t="s">
        <v>28</v>
      </c>
      <c r="H20" s="22" t="s">
        <v>29</v>
      </c>
    </row>
    <row r="21" spans="1:10">
      <c r="A21" s="15">
        <v>44174</v>
      </c>
      <c r="B21" s="112">
        <v>1.0028999999999999</v>
      </c>
      <c r="C21" s="112"/>
      <c r="D21" s="57">
        <f>IFERROR(#REF!-B20,0)</f>
        <v>0</v>
      </c>
      <c r="E21" s="58" t="str">
        <f t="shared" ref="E21:E43" si="0">IF(D21&lt;0,D21,"/")</f>
        <v>/</v>
      </c>
      <c r="F21" s="58">
        <f ca="1">IF(表2_3671626293038912131415232425262728313236[[#This Row],[累计净值]]/MAX(INDIRECT("B21:B" &amp; ROW()))-1&lt;F20,表2_3671626293038912131415232425262728313236[[#This Row],[累计净值]]/MAX(INDIRECT("B21:B" &amp; ROW()))-1,F20)</f>
        <v>0</v>
      </c>
      <c r="G21" s="21">
        <f>表2_3671626293038912131415232425262728313236[[#This Row],[累计净值]]</f>
        <v>1.0028999999999999</v>
      </c>
      <c r="H21" s="205"/>
    </row>
    <row r="22" spans="1:10">
      <c r="A22" s="280">
        <v>44175</v>
      </c>
      <c r="B22" s="112">
        <v>1.0016</v>
      </c>
      <c r="C22" s="112"/>
      <c r="D22" s="17">
        <f>IFERROR(B22-B21,0)</f>
        <v>-1.2999999999998568E-3</v>
      </c>
      <c r="E22" s="18">
        <f t="shared" si="0"/>
        <v>-1.2999999999998568E-3</v>
      </c>
      <c r="F22" s="58">
        <f ca="1">IF(表2_3671626293038912131415232425262728313236[[#This Row],[累计净值]]/MAX(INDIRECT("B21:B" &amp; ROW()))-1&lt;F21,表2_3671626293038912131415232425262728313236[[#This Row],[累计净值]]/MAX(INDIRECT("B21:B" &amp; ROW()))-1,F21)</f>
        <v>-1.2962409013858034E-3</v>
      </c>
      <c r="G22" s="19">
        <f>表2_3671626293038912131415232425262728313236[[#This Row],[累计净值]]</f>
        <v>1.0016</v>
      </c>
      <c r="H22" s="194"/>
    </row>
    <row r="23" spans="1:10">
      <c r="A23" s="280">
        <v>44176</v>
      </c>
      <c r="B23" s="112">
        <v>0.98070000000000002</v>
      </c>
      <c r="C23" s="112">
        <v>1</v>
      </c>
      <c r="D23" s="17">
        <f t="shared" ref="D23:D86" si="1">IFERROR(B23-B22,0)</f>
        <v>-2.090000000000003E-2</v>
      </c>
      <c r="E23" s="109">
        <f t="shared" si="0"/>
        <v>-2.090000000000003E-2</v>
      </c>
      <c r="F23" s="58">
        <f ca="1">IF(表2_3671626293038912131415232425262728313236[[#This Row],[累计净值]]/MAX(INDIRECT("B21:B" &amp; ROW()))-1&lt;F22,表2_3671626293038912131415232425262728313236[[#This Row],[累计净值]]/MAX(INDIRECT("B21:B" &amp; ROW()))-1,F22)</f>
        <v>-2.2135806162129734E-2</v>
      </c>
      <c r="G23" s="110">
        <f>表2_3671626293038912131415232425262728313236[[#This Row],[累计净值]]</f>
        <v>0.98070000000000002</v>
      </c>
      <c r="H23" s="20"/>
    </row>
    <row r="24" spans="1:10">
      <c r="A24" s="280">
        <v>44179</v>
      </c>
      <c r="B24" s="112">
        <v>0.9899</v>
      </c>
      <c r="C24" s="112">
        <f>C23*(1+表2_3671626293038912131415232425262728313236[[#This Row],[每日盈亏]])</f>
        <v>1.0091999999999999</v>
      </c>
      <c r="D24" s="17">
        <f t="shared" si="1"/>
        <v>9.199999999999986E-3</v>
      </c>
      <c r="E24" s="109" t="str">
        <f t="shared" si="0"/>
        <v>/</v>
      </c>
      <c r="F24" s="58">
        <f ca="1">IF(表2_3671626293038912131415232425262728313236[[#This Row],[累计净值]]/MAX(INDIRECT("B21:B" &amp; ROW()))-1&lt;F23,表2_3671626293038912131415232425262728313236[[#This Row],[累计净值]]/MAX(INDIRECT("B21:B" &amp; ROW()))-1,F23)</f>
        <v>-2.2135806162129734E-2</v>
      </c>
      <c r="G24" s="110">
        <f>表2_3671626293038912131415232425262728313236[[#This Row],[累计净值]]</f>
        <v>0.9899</v>
      </c>
      <c r="H24" s="20"/>
    </row>
    <row r="25" spans="1:10">
      <c r="A25" s="280">
        <v>44180</v>
      </c>
      <c r="B25" s="112">
        <v>0.99199999999999999</v>
      </c>
      <c r="C25" s="112">
        <f>C24*(1+表2_3671626293038912131415232425262728313236[[#This Row],[每日盈亏]])</f>
        <v>1.0113193199999999</v>
      </c>
      <c r="D25" s="17">
        <f t="shared" si="1"/>
        <v>2.0999999999999908E-3</v>
      </c>
      <c r="E25" s="109" t="str">
        <f t="shared" si="0"/>
        <v>/</v>
      </c>
      <c r="F25" s="58">
        <f ca="1">IF(表2_3671626293038912131415232425262728313236[[#This Row],[累计净值]]/MAX(INDIRECT("B21:B" &amp; ROW()))-1&lt;F24,表2_3671626293038912131415232425262728313236[[#This Row],[累计净值]]/MAX(INDIRECT("B21:B" &amp; ROW()))-1,F24)</f>
        <v>-2.2135806162129734E-2</v>
      </c>
      <c r="G25" s="110">
        <f>表2_3671626293038912131415232425262728313236[[#This Row],[累计净值]]</f>
        <v>0.99199999999999999</v>
      </c>
      <c r="H25" s="20"/>
    </row>
    <row r="26" spans="1:10">
      <c r="A26" s="280">
        <v>44181</v>
      </c>
      <c r="B26" s="112">
        <v>0.98850000000000005</v>
      </c>
      <c r="C26" s="112">
        <f>C25*(1+表2_3671626293038912131415232425262728313236[[#This Row],[每日盈亏]])</f>
        <v>1.0077797023799999</v>
      </c>
      <c r="D26" s="17">
        <f t="shared" si="1"/>
        <v>-3.4999999999999476E-3</v>
      </c>
      <c r="E26" s="109">
        <f t="shared" si="0"/>
        <v>-3.4999999999999476E-3</v>
      </c>
      <c r="F26" s="58">
        <f ca="1">IF(表2_3671626293038912131415232425262728313236[[#This Row],[累计净值]]/MAX(INDIRECT("B21:B" &amp; ROW()))-1&lt;F25,表2_3671626293038912131415232425262728313236[[#This Row],[累计净值]]/MAX(INDIRECT("B21:B" &amp; ROW()))-1,F25)</f>
        <v>-2.2135806162129734E-2</v>
      </c>
      <c r="G26" s="110">
        <f>表2_3671626293038912131415232425262728313236[[#This Row],[累计净值]]</f>
        <v>0.98850000000000005</v>
      </c>
      <c r="H26" s="20"/>
    </row>
    <row r="27" spans="1:10">
      <c r="A27" s="280">
        <v>44182</v>
      </c>
      <c r="B27" s="112">
        <v>1.0009999999999999</v>
      </c>
      <c r="C27" s="112">
        <f>C26*(1+表2_3671626293038912131415232425262728313236[[#This Row],[每日盈亏]])</f>
        <v>1.0203769486597496</v>
      </c>
      <c r="D27" s="17">
        <f t="shared" si="1"/>
        <v>1.2499999999999845E-2</v>
      </c>
      <c r="E27" s="109" t="str">
        <f t="shared" si="0"/>
        <v>/</v>
      </c>
      <c r="F27" s="58">
        <f ca="1">IF(表2_3671626293038912131415232425262728313236[[#This Row],[累计净值]]/MAX(INDIRECT("B21:B" &amp; ROW()))-1&lt;F26,表2_3671626293038912131415232425262728313236[[#This Row],[累计净值]]/MAX(INDIRECT("B21:B" &amp; ROW()))-1,F26)</f>
        <v>-2.2135806162129734E-2</v>
      </c>
      <c r="G27" s="110">
        <f>表2_3671626293038912131415232425262728313236[[#This Row],[累计净值]]</f>
        <v>1.0009999999999999</v>
      </c>
      <c r="H27" s="20"/>
    </row>
    <row r="28" spans="1:10">
      <c r="A28" s="280">
        <v>44183</v>
      </c>
      <c r="B28" s="112">
        <v>0.99750000000000005</v>
      </c>
      <c r="C28" s="112">
        <f>C27*(1+表2_3671626293038912131415232425262728313236[[#This Row],[每日盈亏]])</f>
        <v>1.0168056293394407</v>
      </c>
      <c r="D28" s="17">
        <f t="shared" si="1"/>
        <v>-3.4999999999998366E-3</v>
      </c>
      <c r="E28" s="109">
        <f t="shared" si="0"/>
        <v>-3.4999999999998366E-3</v>
      </c>
      <c r="F28" s="58">
        <f ca="1">IF(表2_3671626293038912131415232425262728313236[[#This Row],[累计净值]]/MAX(INDIRECT("B21:B" &amp; ROW()))-1&lt;F27,表2_3671626293038912131415232425262728313236[[#This Row],[累计净值]]/MAX(INDIRECT("B21:B" &amp; ROW()))-1,F27)</f>
        <v>-2.2135806162129734E-2</v>
      </c>
      <c r="G28" s="110">
        <f>表2_3671626293038912131415232425262728313236[[#This Row],[累计净值]]</f>
        <v>0.99750000000000005</v>
      </c>
      <c r="H28" s="20"/>
    </row>
    <row r="29" spans="1:10">
      <c r="A29" s="280">
        <v>44186</v>
      </c>
      <c r="B29" s="112">
        <v>1.0141</v>
      </c>
      <c r="C29" s="112">
        <f>C28*(1+表2_3671626293038912131415232425262728313236[[#This Row],[每日盈亏]])</f>
        <v>1.0336846027864754</v>
      </c>
      <c r="D29" s="17">
        <f t="shared" si="1"/>
        <v>1.6599999999999948E-2</v>
      </c>
      <c r="E29" s="109" t="str">
        <f t="shared" si="0"/>
        <v>/</v>
      </c>
      <c r="F29" s="58">
        <f ca="1">IF(表2_3671626293038912131415232425262728313236[[#This Row],[累计净值]]/MAX(INDIRECT("B21:B" &amp; ROW()))-1&lt;F28,表2_3671626293038912131415232425262728313236[[#This Row],[累计净值]]/MAX(INDIRECT("B21:B" &amp; ROW()))-1,F28)</f>
        <v>-2.2135806162129734E-2</v>
      </c>
      <c r="G29" s="110">
        <f>表2_3671626293038912131415232425262728313236[[#This Row],[累计净值]]</f>
        <v>1.0141</v>
      </c>
      <c r="H29" s="20"/>
      <c r="J29" s="196" t="s">
        <v>44</v>
      </c>
    </row>
    <row r="30" spans="1:10">
      <c r="A30" s="280">
        <v>44187</v>
      </c>
      <c r="B30" s="112">
        <v>0.9909</v>
      </c>
      <c r="C30" s="112">
        <f>C29*(1+表2_3671626293038912131415232425262728313236[[#This Row],[每日盈亏]])</f>
        <v>1.0097031200018292</v>
      </c>
      <c r="D30" s="17">
        <f t="shared" si="1"/>
        <v>-2.3199999999999998E-2</v>
      </c>
      <c r="E30" s="109">
        <f t="shared" si="0"/>
        <v>-2.3199999999999998E-2</v>
      </c>
      <c r="F30" s="58">
        <f ca="1">IF(表2_3671626293038912131415232425262728313236[[#This Row],[累计净值]]/MAX(INDIRECT("B21:B" &amp; ROW()))-1&lt;F29,表2_3671626293038912131415232425262728313236[[#This Row],[累计净值]]/MAX(INDIRECT("B21:B" &amp; ROW()))-1,F29)</f>
        <v>-2.2877428261512622E-2</v>
      </c>
      <c r="G30" s="110">
        <f>表2_3671626293038912131415232425262728313236[[#This Row],[累计净值]]</f>
        <v>0.9909</v>
      </c>
      <c r="H30" s="20"/>
    </row>
    <row r="31" spans="1:10">
      <c r="A31" s="280">
        <v>44188</v>
      </c>
      <c r="B31" s="112">
        <v>0.99960000000000004</v>
      </c>
      <c r="C31" s="112">
        <f>C30*(1+表2_3671626293038912131415232425262728313236[[#This Row],[每日盈亏]])</f>
        <v>1.0184875371458453</v>
      </c>
      <c r="D31" s="17">
        <f t="shared" si="1"/>
        <v>8.700000000000041E-3</v>
      </c>
      <c r="E31" s="109" t="str">
        <f t="shared" si="0"/>
        <v>/</v>
      </c>
      <c r="F31" s="58">
        <f ca="1">IF(表2_3671626293038912131415232425262728313236[[#This Row],[累计净值]]/MAX(INDIRECT("B21:B" &amp; ROW()))-1&lt;F30,表2_3671626293038912131415232425262728313236[[#This Row],[累计净值]]/MAX(INDIRECT("B21:B" &amp; ROW()))-1,F30)</f>
        <v>-2.2877428261512622E-2</v>
      </c>
      <c r="G31" s="110">
        <f>表2_3671626293038912131415232425262728313236[[#This Row],[累计净值]]</f>
        <v>0.99960000000000004</v>
      </c>
      <c r="H31" s="20"/>
    </row>
    <row r="32" spans="1:10">
      <c r="A32" s="280">
        <v>44189</v>
      </c>
      <c r="B32" s="112">
        <v>0.98460000000000003</v>
      </c>
      <c r="C32" s="112">
        <f>C31*(1+表2_3671626293038912131415232425262728313236[[#This Row],[每日盈亏]])</f>
        <v>1.0032102240886576</v>
      </c>
      <c r="D32" s="17">
        <f t="shared" si="1"/>
        <v>-1.5000000000000013E-2</v>
      </c>
      <c r="E32" s="109">
        <f t="shared" si="0"/>
        <v>-1.5000000000000013E-2</v>
      </c>
      <c r="F32" s="58">
        <f ca="1">IF(表2_3671626293038912131415232425262728313236[[#This Row],[累计净值]]/MAX(INDIRECT("B21:B" &amp; ROW()))-1&lt;F31,表2_3671626293038912131415232425262728313236[[#This Row],[累计净值]]/MAX(INDIRECT("B21:B" &amp; ROW()))-1,F31)</f>
        <v>-2.9089833349768224E-2</v>
      </c>
      <c r="G32" s="110">
        <f>表2_3671626293038912131415232425262728313236[[#This Row],[累计净值]]</f>
        <v>0.98460000000000003</v>
      </c>
      <c r="H32" s="20"/>
    </row>
    <row r="33" spans="1:8">
      <c r="A33" s="280">
        <v>44190</v>
      </c>
      <c r="B33" s="112">
        <v>0.99670000000000003</v>
      </c>
      <c r="C33" s="112">
        <f>C32*(1+表2_3671626293038912131415232425262728313236[[#This Row],[每日盈亏]])</f>
        <v>1.0153490678001302</v>
      </c>
      <c r="D33" s="17">
        <f t="shared" si="1"/>
        <v>1.21E-2</v>
      </c>
      <c r="E33" s="109" t="str">
        <f t="shared" si="0"/>
        <v>/</v>
      </c>
      <c r="F33" s="58">
        <f ca="1">IF(表2_3671626293038912131415232425262728313236[[#This Row],[累计净值]]/MAX(INDIRECT("B21:B" &amp; ROW()))-1&lt;F32,表2_3671626293038912131415232425262728313236[[#This Row],[累计净值]]/MAX(INDIRECT("B21:B" &amp; ROW()))-1,F32)</f>
        <v>-2.9089833349768224E-2</v>
      </c>
      <c r="G33" s="110">
        <f>表2_3671626293038912131415232425262728313236[[#This Row],[累计净值]]</f>
        <v>0.99670000000000003</v>
      </c>
      <c r="H33" s="20"/>
    </row>
    <row r="34" spans="1:8">
      <c r="A34" s="280">
        <v>44193</v>
      </c>
      <c r="B34" s="112">
        <v>0.99060000000000004</v>
      </c>
      <c r="C34" s="112">
        <f>C33*(1+表2_3671626293038912131415232425262728313236[[#This Row],[每日盈亏]])</f>
        <v>1.0091554384865495</v>
      </c>
      <c r="D34" s="17">
        <f t="shared" si="1"/>
        <v>-6.0999999999999943E-3</v>
      </c>
      <c r="E34" s="109">
        <f t="shared" si="0"/>
        <v>-6.0999999999999943E-3</v>
      </c>
      <c r="F34" s="58">
        <f ca="1">IF(表2_3671626293038912131415232425262728313236[[#This Row],[累计净值]]/MAX(INDIRECT("B21:B" &amp; ROW()))-1&lt;F33,表2_3671626293038912131415232425262728313236[[#This Row],[累计净值]]/MAX(INDIRECT("B21:B" &amp; ROW()))-1,F33)</f>
        <v>-2.9089833349768224E-2</v>
      </c>
      <c r="G34" s="110">
        <f>表2_3671626293038912131415232425262728313236[[#This Row],[累计净值]]</f>
        <v>0.99060000000000004</v>
      </c>
      <c r="H34" s="20"/>
    </row>
    <row r="35" spans="1:8">
      <c r="A35" s="280">
        <v>44194</v>
      </c>
      <c r="B35" s="112">
        <v>0.98770000000000002</v>
      </c>
      <c r="C35" s="112">
        <f>C34*(1+表2_3671626293038912131415232425262728313236[[#This Row],[每日盈亏]])</f>
        <v>1.0062288877149386</v>
      </c>
      <c r="D35" s="17">
        <f t="shared" si="1"/>
        <v>-2.9000000000000137E-3</v>
      </c>
      <c r="E35" s="109">
        <f t="shared" si="0"/>
        <v>-2.9000000000000137E-3</v>
      </c>
      <c r="F35" s="58">
        <f ca="1">IF(表2_3671626293038912131415232425262728313236[[#This Row],[累计净值]]/MAX(INDIRECT("B21:B" &amp; ROW()))-1&lt;F34,表2_3671626293038912131415232425262728313236[[#This Row],[累计净值]]/MAX(INDIRECT("B21:B" &amp; ROW()))-1,F34)</f>
        <v>-2.9089833349768224E-2</v>
      </c>
      <c r="G35" s="110">
        <f>表2_3671626293038912131415232425262728313236[[#This Row],[累计净值]]</f>
        <v>0.98770000000000002</v>
      </c>
      <c r="H35" s="20"/>
    </row>
    <row r="36" spans="1:8">
      <c r="A36" s="280">
        <v>44195</v>
      </c>
      <c r="B36" s="112">
        <v>0.99770000000000003</v>
      </c>
      <c r="C36" s="112">
        <f>C35*(1+表2_3671626293038912131415232425262728313236[[#This Row],[每日盈亏]])</f>
        <v>1.0162911765920879</v>
      </c>
      <c r="D36" s="17">
        <f t="shared" si="1"/>
        <v>1.0000000000000009E-2</v>
      </c>
      <c r="E36" s="109" t="str">
        <f t="shared" si="0"/>
        <v>/</v>
      </c>
      <c r="F36" s="58">
        <f ca="1">IF(表2_3671626293038912131415232425262728313236[[#This Row],[累计净值]]/MAX(INDIRECT("B21:B" &amp; ROW()))-1&lt;F35,表2_3671626293038912131415232425262728313236[[#This Row],[累计净值]]/MAX(INDIRECT("B21:B" &amp; ROW()))-1,F35)</f>
        <v>-2.9089833349768224E-2</v>
      </c>
      <c r="G36" s="110">
        <f>表2_3671626293038912131415232425262728313236[[#This Row],[累计净值]]</f>
        <v>0.99770000000000003</v>
      </c>
      <c r="H36" s="20"/>
    </row>
    <row r="37" spans="1:8">
      <c r="A37" s="280">
        <v>44196</v>
      </c>
      <c r="B37" s="112">
        <v>1.0125999999999999</v>
      </c>
      <c r="C37" s="112">
        <f>C36*(1+表2_3671626293038912131415232425262728313236[[#This Row],[每日盈亏]])</f>
        <v>1.0314339151233098</v>
      </c>
      <c r="D37" s="17">
        <f t="shared" si="1"/>
        <v>1.4899999999999913E-2</v>
      </c>
      <c r="E37" s="109" t="str">
        <f t="shared" si="0"/>
        <v>/</v>
      </c>
      <c r="F37" s="58">
        <f ca="1">IF(表2_3671626293038912131415232425262728313236[[#This Row],[累计净值]]/MAX(INDIRECT("B21:B" &amp; ROW()))-1&lt;F36,表2_3671626293038912131415232425262728313236[[#This Row],[累计净值]]/MAX(INDIRECT("B21:B" &amp; ROW()))-1,F36)</f>
        <v>-2.9089833349768224E-2</v>
      </c>
      <c r="G37" s="110">
        <f>表2_3671626293038912131415232425262728313236[[#This Row],[累计净值]]</f>
        <v>1.0125999999999999</v>
      </c>
      <c r="H37" s="20"/>
    </row>
    <row r="38" spans="1:8">
      <c r="A38" s="280">
        <v>44200</v>
      </c>
      <c r="B38" s="112">
        <v>1.0279</v>
      </c>
      <c r="C38" s="112">
        <f>C37*(1+表2_3671626293038912131415232425262728313236[[#This Row],[每日盈亏]])</f>
        <v>1.0472148540246966</v>
      </c>
      <c r="D38" s="17">
        <f t="shared" si="1"/>
        <v>1.5300000000000091E-2</v>
      </c>
      <c r="E38" s="109" t="str">
        <f t="shared" si="0"/>
        <v>/</v>
      </c>
      <c r="F38" s="58">
        <f ca="1">IF(表2_3671626293038912131415232425262728313236[[#This Row],[累计净值]]/MAX(INDIRECT("B21:B" &amp; ROW()))-1&lt;F37,表2_3671626293038912131415232425262728313236[[#This Row],[累计净值]]/MAX(INDIRECT("B21:B" &amp; ROW()))-1,F37)</f>
        <v>-2.9089833349768224E-2</v>
      </c>
      <c r="G38" s="110">
        <f>表2_3671626293038912131415232425262728313236[[#This Row],[累计净值]]</f>
        <v>1.0279</v>
      </c>
      <c r="H38" s="20"/>
    </row>
    <row r="39" spans="1:8">
      <c r="A39" s="280">
        <v>44201</v>
      </c>
      <c r="B39" s="112">
        <v>1.0365</v>
      </c>
      <c r="C39" s="112">
        <f>C38*(1+表2_3671626293038912131415232425262728313236[[#This Row],[每日盈亏]])</f>
        <v>1.0562209017693089</v>
      </c>
      <c r="D39" s="17">
        <f t="shared" si="1"/>
        <v>8.599999999999941E-3</v>
      </c>
      <c r="E39" s="109" t="str">
        <f t="shared" si="0"/>
        <v>/</v>
      </c>
      <c r="F39" s="58">
        <f ca="1">IF(表2_3671626293038912131415232425262728313236[[#This Row],[累计净值]]/MAX(INDIRECT("B21:B" &amp; ROW()))-1&lt;F38,表2_3671626293038912131415232425262728313236[[#This Row],[累计净值]]/MAX(INDIRECT("B21:B" &amp; ROW()))-1,F38)</f>
        <v>-2.9089833349768224E-2</v>
      </c>
      <c r="G39" s="110">
        <f>表2_3671626293038912131415232425262728313236[[#This Row],[累计净值]]</f>
        <v>1.0365</v>
      </c>
      <c r="H39" s="20"/>
    </row>
    <row r="40" spans="1:8">
      <c r="A40" s="280">
        <v>44202</v>
      </c>
      <c r="B40" s="190">
        <v>1.0347999999999999</v>
      </c>
      <c r="C40" s="112">
        <f>C39*(1+表2_3671626293038912131415232425262728313236[[#This Row],[每日盈亏]])</f>
        <v>1.054425326236301</v>
      </c>
      <c r="D40" s="11">
        <f t="shared" si="1"/>
        <v>-1.7000000000000348E-3</v>
      </c>
      <c r="E40" s="192">
        <f t="shared" si="0"/>
        <v>-1.7000000000000348E-3</v>
      </c>
      <c r="F40" s="12">
        <f ca="1">IF(表2_3671626293038912131415232425262728313236[[#This Row],[累计净值]]/MAX(INDIRECT("B21:B" &amp; ROW()))-1&lt;F39,表2_3671626293038912131415232425262728313236[[#This Row],[累计净值]]/MAX(INDIRECT("B21:B" &amp; ROW()))-1,F39)</f>
        <v>-2.9089833349768224E-2</v>
      </c>
      <c r="G40" s="193">
        <f>表2_3671626293038912131415232425262728313236[[#This Row],[累计净值]]</f>
        <v>1.0347999999999999</v>
      </c>
      <c r="H40" s="217" t="s">
        <v>49</v>
      </c>
    </row>
    <row r="41" spans="1:8">
      <c r="A41" s="280">
        <v>44203</v>
      </c>
      <c r="B41" s="112">
        <v>1.0369999999999999</v>
      </c>
      <c r="C41" s="112">
        <f>C40*(1+表2_3671626293038912131415232425262728313236[[#This Row],[每日盈亏]])</f>
        <v>1.0567450619540208</v>
      </c>
      <c r="D41" s="17">
        <f t="shared" si="1"/>
        <v>2.1999999999999797E-3</v>
      </c>
      <c r="E41" s="281" t="str">
        <f t="shared" si="0"/>
        <v>/</v>
      </c>
      <c r="F41" s="58">
        <f ca="1">IF(表2_3671626293038912131415232425262728313236[[#This Row],[累计净值]]/MAX(INDIRECT("B21:B" &amp; ROW()))-1&lt;F40,表2_3671626293038912131415232425262728313236[[#This Row],[累计净值]]/MAX(INDIRECT("B21:B" &amp; ROW()))-1,F40)</f>
        <v>-2.9089833349768224E-2</v>
      </c>
      <c r="G41" s="282">
        <f>表2_3671626293038912131415232425262728313236[[#This Row],[累计净值]]</f>
        <v>1.0369999999999999</v>
      </c>
      <c r="H41" s="20">
        <f>表2_3671626293038912131415232425262728313236[[#This Row],[累计净值]]/$B$40-1</f>
        <v>2.1260146888286702E-3</v>
      </c>
    </row>
    <row r="42" spans="1:8">
      <c r="A42" s="280">
        <v>44204</v>
      </c>
      <c r="B42" s="112">
        <v>1.0390999999999999</v>
      </c>
      <c r="C42" s="112">
        <f>C41*(1+表2_3671626293038912131415232425262728313236[[#This Row],[每日盈亏]])</f>
        <v>1.0589642265841244</v>
      </c>
      <c r="D42" s="17">
        <f t="shared" si="1"/>
        <v>2.0999999999999908E-3</v>
      </c>
      <c r="E42" s="281" t="str">
        <f t="shared" si="0"/>
        <v>/</v>
      </c>
      <c r="F42" s="58">
        <f ca="1">IF(表2_3671626293038912131415232425262728313236[[#This Row],[累计净值]]/MAX(INDIRECT("B21:B" &amp; ROW()))-1&lt;F41,表2_3671626293038912131415232425262728313236[[#This Row],[累计净值]]/MAX(INDIRECT("B21:B" &amp; ROW()))-1,F41)</f>
        <v>-2.9089833349768224E-2</v>
      </c>
      <c r="G42" s="282">
        <f>表2_3671626293038912131415232425262728313236[[#This Row],[累计净值]]</f>
        <v>1.0390999999999999</v>
      </c>
      <c r="H42" s="20">
        <f>表2_3671626293038912131415232425262728313236[[#This Row],[累计净值]]/$B$40-1</f>
        <v>4.1553923463470976E-3</v>
      </c>
    </row>
    <row r="43" spans="1:8">
      <c r="A43" s="280">
        <v>44207</v>
      </c>
      <c r="B43" s="112">
        <v>1.0270999999999999</v>
      </c>
      <c r="C43" s="112">
        <f>C42*(1+表2_3671626293038912131415232425262728313236[[#This Row],[每日盈亏]])</f>
        <v>1.046256655865115</v>
      </c>
      <c r="D43" s="17">
        <f t="shared" si="1"/>
        <v>-1.2000000000000011E-2</v>
      </c>
      <c r="E43" s="281">
        <f t="shared" si="0"/>
        <v>-1.2000000000000011E-2</v>
      </c>
      <c r="F43" s="58">
        <f ca="1">IF(表2_3671626293038912131415232425262728313236[[#This Row],[累计净值]]/MAX(INDIRECT("B21:B" &amp; ROW()))-1&lt;F42,表2_3671626293038912131415232425262728313236[[#This Row],[累计净值]]/MAX(INDIRECT("B21:B" &amp; ROW()))-1,F42)</f>
        <v>-2.9089833349768224E-2</v>
      </c>
      <c r="G43" s="282">
        <f>表2_3671626293038912131415232425262728313236[[#This Row],[累计净值]]</f>
        <v>1.0270999999999999</v>
      </c>
      <c r="H43" s="20">
        <f>表2_3671626293038912131415232425262728313236[[#This Row],[累计净值]]/$B$40-1</f>
        <v>-7.4410514109006787E-3</v>
      </c>
    </row>
    <row r="44" spans="1:8">
      <c r="A44" s="280">
        <v>44208</v>
      </c>
      <c r="B44" s="112">
        <v>1.0395000000000001</v>
      </c>
      <c r="C44" s="112">
        <f>C43*(1+表2_3671626293038912131415232425262728313236[[#This Row],[每日盈亏]])</f>
        <v>1.0592302383978425</v>
      </c>
      <c r="D44" s="17">
        <f t="shared" si="1"/>
        <v>1.2400000000000189E-2</v>
      </c>
      <c r="E44" s="281" t="str">
        <f t="shared" ref="E44:E49" si="2">IF(D44&lt;0,D44,"/")</f>
        <v>/</v>
      </c>
      <c r="F44" s="58">
        <f ca="1">IF(表2_3671626293038912131415232425262728313236[[#This Row],[累计净值]]/MAX(INDIRECT("B21:B" &amp; ROW()))-1&lt;F43,表2_3671626293038912131415232425262728313236[[#This Row],[累计净值]]/MAX(INDIRECT("B21:B" &amp; ROW()))-1,F43)</f>
        <v>-2.9089833349768224E-2</v>
      </c>
      <c r="G44" s="282">
        <f>表2_3671626293038912131415232425262728313236[[#This Row],[累计净值]]</f>
        <v>1.0395000000000001</v>
      </c>
      <c r="H44" s="20">
        <f>表2_3671626293038912131415232425262728313236[[#This Row],[累计净值]]/$B$40-1</f>
        <v>4.5419404715889566E-3</v>
      </c>
    </row>
    <row r="45" spans="1:8">
      <c r="A45" s="280">
        <v>44209</v>
      </c>
      <c r="B45" s="112">
        <v>1.0343</v>
      </c>
      <c r="C45" s="112">
        <f>C44*(1+表2_3671626293038912131415232425262728313236[[#This Row],[每日盈亏]])</f>
        <v>1.0537222411581737</v>
      </c>
      <c r="D45" s="17">
        <f t="shared" si="1"/>
        <v>-5.2000000000000934E-3</v>
      </c>
      <c r="E45" s="281">
        <f t="shared" si="2"/>
        <v>-5.2000000000000934E-3</v>
      </c>
      <c r="F45" s="58">
        <f ca="1">IF(表2_3671626293038912131415232425262728313236[[#This Row],[累计净值]]/MAX(INDIRECT("B21:B" &amp; ROW()))-1&lt;F44,表2_3671626293038912131415232425262728313236[[#This Row],[累计净值]]/MAX(INDIRECT("B21:B" &amp; ROW()))-1,F44)</f>
        <v>-2.9089833349768224E-2</v>
      </c>
      <c r="G45" s="282">
        <f>表2_3671626293038912131415232425262728313236[[#This Row],[累计净值]]</f>
        <v>1.0343</v>
      </c>
      <c r="H45" s="20">
        <f>表2_3671626293038912131415232425262728313236[[#This Row],[累计净值]]/$B$40-1</f>
        <v>-4.8318515655199068E-4</v>
      </c>
    </row>
    <row r="46" spans="1:8">
      <c r="A46" s="280">
        <v>44210</v>
      </c>
      <c r="B46" s="112">
        <v>1.0297000000000001</v>
      </c>
      <c r="C46" s="112">
        <f>C45*(1+表2_3671626293038912131415232425262728313236[[#This Row],[每日盈亏]])</f>
        <v>1.0488751188488461</v>
      </c>
      <c r="D46" s="17">
        <f t="shared" si="1"/>
        <v>-4.5999999999999375E-3</v>
      </c>
      <c r="E46" s="281">
        <f t="shared" si="2"/>
        <v>-4.5999999999999375E-3</v>
      </c>
      <c r="F46" s="58">
        <f ca="1">IF(表2_3671626293038912131415232425262728313236[[#This Row],[累计净值]]/MAX(INDIRECT("B21:B" &amp; ROW()))-1&lt;F45,表2_3671626293038912131415232425262728313236[[#This Row],[累计净值]]/MAX(INDIRECT("B21:B" &amp; ROW()))-1,F45)</f>
        <v>-2.9089833349768224E-2</v>
      </c>
      <c r="G46" s="282">
        <f>表2_3671626293038912131415232425262728313236[[#This Row],[累计净值]]</f>
        <v>1.0297000000000001</v>
      </c>
      <c r="H46" s="20">
        <f>表2_3671626293038912131415232425262728313236[[#This Row],[累计净值]]/$B$40-1</f>
        <v>-4.9284885968301495E-3</v>
      </c>
    </row>
    <row r="47" spans="1:8">
      <c r="A47" s="280">
        <v>44211</v>
      </c>
      <c r="B47" s="112">
        <v>1.026</v>
      </c>
      <c r="C47" s="112">
        <f>C46*(1+表2_3671626293038912131415232425262728313236[[#This Row],[每日盈亏]])</f>
        <v>1.0449942809091053</v>
      </c>
      <c r="D47" s="17">
        <f t="shared" si="1"/>
        <v>-3.7000000000000366E-3</v>
      </c>
      <c r="E47" s="281">
        <f t="shared" si="2"/>
        <v>-3.7000000000000366E-3</v>
      </c>
      <c r="F47" s="58">
        <f ca="1">IF(表2_3671626293038912131415232425262728313236[[#This Row],[累计净值]]/MAX(INDIRECT("B21:B" &amp; ROW()))-1&lt;F46,表2_3671626293038912131415232425262728313236[[#This Row],[累计净值]]/MAX(INDIRECT("B21:B" &amp; ROW()))-1,F46)</f>
        <v>-2.9089833349768224E-2</v>
      </c>
      <c r="G47" s="282">
        <f>表2_3671626293038912131415232425262728313236[[#This Row],[累计净值]]</f>
        <v>1.026</v>
      </c>
      <c r="H47" s="20">
        <f>表2_3671626293038912131415232425262728313236[[#This Row],[累计净值]]/$B$40-1</f>
        <v>-8.5040587553150138E-3</v>
      </c>
    </row>
    <row r="48" spans="1:8">
      <c r="A48" s="280">
        <v>44214</v>
      </c>
      <c r="B48" s="190">
        <v>1.0404</v>
      </c>
      <c r="C48" s="112">
        <f>C47*(1+表2_3671626293038912131415232425262728313236[[#This Row],[每日盈亏]])</f>
        <v>1.0600421985541963</v>
      </c>
      <c r="D48" s="11">
        <f t="shared" si="1"/>
        <v>1.4399999999999968E-2</v>
      </c>
      <c r="E48" s="192" t="str">
        <f t="shared" si="2"/>
        <v>/</v>
      </c>
      <c r="F48" s="12">
        <f ca="1">IF(表2_3671626293038912131415232425262728313236[[#This Row],[累计净值]]/MAX(INDIRECT("B21:B" &amp; ROW()))-1&lt;F47,表2_3671626293038912131415232425262728313236[[#This Row],[累计净值]]/MAX(INDIRECT("B21:B" &amp; ROW()))-1,F47)</f>
        <v>-2.9089833349768224E-2</v>
      </c>
      <c r="G48" s="193">
        <f>表2_3671626293038912131415232425262728313236[[#This Row],[累计净值]]</f>
        <v>1.0404</v>
      </c>
      <c r="H48" s="82">
        <f>表2_3671626293038912131415232425262728313236[[#This Row],[累计净值]]/$B$40-1</f>
        <v>5.4116737533822512E-3</v>
      </c>
    </row>
    <row r="49" spans="1:8">
      <c r="A49" s="280">
        <v>44215</v>
      </c>
      <c r="B49" s="112">
        <v>1.0367</v>
      </c>
      <c r="C49" s="112">
        <f>C48*(1+表2_3671626293038912131415232425262728313236[[#This Row],[每日盈亏]])</f>
        <v>1.0561200424195458</v>
      </c>
      <c r="D49" s="17">
        <f t="shared" si="1"/>
        <v>-3.7000000000000366E-3</v>
      </c>
      <c r="E49" s="281">
        <f t="shared" si="2"/>
        <v>-3.7000000000000366E-3</v>
      </c>
      <c r="F49" s="58">
        <f ca="1">IF(表2_3671626293038912131415232425262728313236[[#This Row],[累计净值]]/MAX(INDIRECT("B21:B" &amp; ROW()))-1&lt;F48,表2_3671626293038912131415232425262728313236[[#This Row],[累计净值]]/MAX(INDIRECT("B21:B" &amp; ROW()))-1,F48)</f>
        <v>-2.9089833349768224E-2</v>
      </c>
      <c r="G49" s="282">
        <f>表2_3671626293038912131415232425262728313236[[#This Row],[累计净值]]</f>
        <v>1.0367</v>
      </c>
      <c r="H49" s="20">
        <f>表2_3671626293038912131415232425262728313236[[#This Row],[累计净值]]/$B$40-1</f>
        <v>1.836103594897498E-3</v>
      </c>
    </row>
    <row r="50" spans="1:8">
      <c r="A50" s="280">
        <v>44216</v>
      </c>
      <c r="B50" s="112">
        <v>1.0457000000000001</v>
      </c>
      <c r="C50" s="112">
        <f>C49*(1+表2_3671626293038912131415232425262728313236[[#This Row],[每日盈亏]])</f>
        <v>1.0656251228013218</v>
      </c>
      <c r="D50" s="17">
        <f t="shared" si="1"/>
        <v>9.000000000000119E-3</v>
      </c>
      <c r="E50" s="109" t="str">
        <f t="shared" ref="E50:E56" si="3">IF(D50&lt;0,D50,"/")</f>
        <v>/</v>
      </c>
      <c r="F50" s="58">
        <f ca="1">IF(表2_3671626293038912131415232425262728313236[[#This Row],[累计净值]]/MAX(INDIRECT("B21:B" &amp; ROW()))-1&lt;F49,表2_3671626293038912131415232425262728313236[[#This Row],[累计净值]]/MAX(INDIRECT("B21:B" &amp; ROW()))-1,F49)</f>
        <v>-2.9089833349768224E-2</v>
      </c>
      <c r="G50" s="110">
        <f>表2_3671626293038912131415232425262728313236[[#This Row],[累计净值]]</f>
        <v>1.0457000000000001</v>
      </c>
      <c r="H50" s="20">
        <f>表2_3671626293038912131415232425262728313236[[#This Row],[累计净值]]/$B$40-1</f>
        <v>1.0533436412833552E-2</v>
      </c>
    </row>
    <row r="51" spans="1:8">
      <c r="A51" s="280">
        <v>44217</v>
      </c>
      <c r="B51" s="112">
        <v>1.0586</v>
      </c>
      <c r="C51" s="112">
        <f>C50*(1+表2_3671626293038912131415232425262728313236[[#This Row],[每日盈亏]])</f>
        <v>1.0793716868854588</v>
      </c>
      <c r="D51" s="17">
        <f t="shared" si="1"/>
        <v>1.2899999999999912E-2</v>
      </c>
      <c r="E51" s="109" t="str">
        <f t="shared" si="3"/>
        <v>/</v>
      </c>
      <c r="F51" s="58">
        <f ca="1">IF(表2_3671626293038912131415232425262728313236[[#This Row],[累计净值]]/MAX(INDIRECT("B21:B" &amp; ROW()))-1&lt;F50,表2_3671626293038912131415232425262728313236[[#This Row],[累计净值]]/MAX(INDIRECT("B21:B" &amp; ROW()))-1,F50)</f>
        <v>-2.9089833349768224E-2</v>
      </c>
      <c r="G51" s="110">
        <f>表2_3671626293038912131415232425262728313236[[#This Row],[累计净值]]</f>
        <v>1.0586</v>
      </c>
      <c r="H51" s="20">
        <f>表2_3671626293038912131415232425262728313236[[#This Row],[累计净值]]/$B$40-1</f>
        <v>2.2999613451874845E-2</v>
      </c>
    </row>
    <row r="52" spans="1:8">
      <c r="A52" s="280">
        <v>44218</v>
      </c>
      <c r="B52" s="112">
        <v>1.0599000000000001</v>
      </c>
      <c r="C52" s="112">
        <f>C51*(1+表2_3671626293038912131415232425262728313236[[#This Row],[每日盈亏]])</f>
        <v>1.0807748700784099</v>
      </c>
      <c r="D52" s="17">
        <f t="shared" si="1"/>
        <v>1.3000000000000789E-3</v>
      </c>
      <c r="E52" s="109" t="str">
        <f t="shared" si="3"/>
        <v>/</v>
      </c>
      <c r="F52" s="58">
        <f ca="1">IF(表2_3671626293038912131415232425262728313236[[#This Row],[累计净值]]/MAX(INDIRECT("B21:B" &amp; ROW()))-1&lt;F51,表2_3671626293038912131415232425262728313236[[#This Row],[累计净值]]/MAX(INDIRECT("B21:B" &amp; ROW()))-1,F51)</f>
        <v>-2.9089833349768224E-2</v>
      </c>
      <c r="G52" s="110">
        <f>表2_3671626293038912131415232425262728313236[[#This Row],[累计净值]]</f>
        <v>1.0599000000000001</v>
      </c>
      <c r="H52" s="20">
        <f>表2_3671626293038912131415232425262728313236[[#This Row],[累计净值]]/$B$40-1</f>
        <v>2.4255894858909999E-2</v>
      </c>
    </row>
    <row r="53" spans="1:8">
      <c r="A53" s="280">
        <v>44221</v>
      </c>
      <c r="B53" s="112">
        <v>1.0613999999999999</v>
      </c>
      <c r="C53" s="112">
        <f>C52*(1+表2_3671626293038912131415232425262728313236[[#This Row],[每日盈亏]])</f>
        <v>1.0823960323835273</v>
      </c>
      <c r="D53" s="17">
        <f t="shared" si="1"/>
        <v>1.4999999999998348E-3</v>
      </c>
      <c r="E53" s="109" t="str">
        <f t="shared" si="3"/>
        <v>/</v>
      </c>
      <c r="F53" s="58">
        <f ca="1">IF(表2_3671626293038912131415232425262728313236[[#This Row],[累计净值]]/MAX(INDIRECT("B21:B" &amp; ROW()))-1&lt;F52,表2_3671626293038912131415232425262728313236[[#This Row],[累计净值]]/MAX(INDIRECT("B21:B" &amp; ROW()))-1,F52)</f>
        <v>-2.9089833349768224E-2</v>
      </c>
      <c r="G53" s="110">
        <f>表2_3671626293038912131415232425262728313236[[#This Row],[累计净值]]</f>
        <v>1.0613999999999999</v>
      </c>
      <c r="H53" s="20">
        <f>表2_3671626293038912131415232425262728313236[[#This Row],[累计净值]]/$B$40-1</f>
        <v>2.570545032856586E-2</v>
      </c>
    </row>
    <row r="54" spans="1:8">
      <c r="A54" s="280">
        <v>44222</v>
      </c>
      <c r="B54" s="112">
        <v>1.0445</v>
      </c>
      <c r="C54" s="112">
        <f>C53*(1+表2_3671626293038912131415232425262728313236[[#This Row],[每日盈亏]])</f>
        <v>1.0641035394362459</v>
      </c>
      <c r="D54" s="17">
        <f t="shared" si="1"/>
        <v>-1.6899999999999915E-2</v>
      </c>
      <c r="E54" s="109">
        <f t="shared" si="3"/>
        <v>-1.6899999999999915E-2</v>
      </c>
      <c r="F54" s="58">
        <f ca="1">IF(表2_3671626293038912131415232425262728313236[[#This Row],[累计净值]]/MAX(INDIRECT("B21:B" &amp; ROW()))-1&lt;F53,表2_3671626293038912131415232425262728313236[[#This Row],[累计净值]]/MAX(INDIRECT("B21:B" &amp; ROW()))-1,F53)</f>
        <v>-2.9089833349768224E-2</v>
      </c>
      <c r="G54" s="110">
        <f>表2_3671626293038912131415232425262728313236[[#This Row],[累计净值]]</f>
        <v>1.0445</v>
      </c>
      <c r="H54" s="20">
        <f>表2_3671626293038912131415232425262728313236[[#This Row],[累计净值]]/$B$40-1</f>
        <v>9.3737920371086414E-3</v>
      </c>
    </row>
    <row r="55" spans="1:8">
      <c r="A55" s="280">
        <v>44223</v>
      </c>
      <c r="B55" s="112">
        <v>1.0489999999999999</v>
      </c>
      <c r="C55" s="112">
        <f>C54*(1+表2_3671626293038912131415232425262728313236[[#This Row],[每日盈亏]])</f>
        <v>1.068892005363709</v>
      </c>
      <c r="D55" s="17">
        <f t="shared" si="1"/>
        <v>4.4999999999999485E-3</v>
      </c>
      <c r="E55" s="109" t="str">
        <f t="shared" si="3"/>
        <v>/</v>
      </c>
      <c r="F55" s="58">
        <f ca="1">IF(表2_3671626293038912131415232425262728313236[[#This Row],[累计净值]]/MAX(INDIRECT("B21:B" &amp; ROW()))-1&lt;F54,表2_3671626293038912131415232425262728313236[[#This Row],[累计净值]]/MAX(INDIRECT("B21:B" &amp; ROW()))-1,F54)</f>
        <v>-2.9089833349768224E-2</v>
      </c>
      <c r="G55" s="110">
        <f>表2_3671626293038912131415232425262728313236[[#This Row],[累计净值]]</f>
        <v>1.0489999999999999</v>
      </c>
      <c r="H55" s="20">
        <f>表2_3671626293038912131415232425262728313236[[#This Row],[累计净值]]/$B$40-1</f>
        <v>1.3722458446076446E-2</v>
      </c>
    </row>
    <row r="56" spans="1:8">
      <c r="A56" s="280">
        <v>44224</v>
      </c>
      <c r="B56" s="112">
        <v>1.0281</v>
      </c>
      <c r="C56" s="112">
        <f>C55*(1+表2_3671626293038912131415232425262728313236[[#This Row],[每日盈亏]])</f>
        <v>1.0465521624516076</v>
      </c>
      <c r="D56" s="17">
        <f t="shared" si="1"/>
        <v>-2.0899999999999919E-2</v>
      </c>
      <c r="E56" s="109">
        <f t="shared" si="3"/>
        <v>-2.0899999999999919E-2</v>
      </c>
      <c r="F56" s="58">
        <f ca="1">IF(表2_3671626293038912131415232425262728313236[[#This Row],[累计净值]]/MAX(INDIRECT("B21:B" &amp; ROW()))-1&lt;F55,表2_3671626293038912131415232425262728313236[[#This Row],[累计净值]]/MAX(INDIRECT("B21:B" &amp; ROW()))-1,F55)</f>
        <v>-3.1373657433578228E-2</v>
      </c>
      <c r="G56" s="110">
        <f>表2_3671626293038912131415232425262728313236[[#This Row],[累计净值]]</f>
        <v>1.0281</v>
      </c>
      <c r="H56" s="20">
        <f>表2_3671626293038912131415232425262728313236[[#This Row],[累计净值]]/$B$40-1</f>
        <v>-6.4746810977965863E-3</v>
      </c>
    </row>
    <row r="57" spans="1:8">
      <c r="A57" s="280">
        <v>44225</v>
      </c>
      <c r="B57" s="112">
        <v>1.0158</v>
      </c>
      <c r="C57" s="112">
        <f>C56*(1+表2_3671626293038912131415232425262728313236[[#This Row],[每日盈亏]])</f>
        <v>1.033679570853453</v>
      </c>
      <c r="D57" s="17">
        <f t="shared" si="1"/>
        <v>-1.2299999999999978E-2</v>
      </c>
      <c r="E57" s="109">
        <f t="shared" ref="E57:E62" si="4">IF(D57&lt;0,D57,"/")</f>
        <v>-1.2299999999999978E-2</v>
      </c>
      <c r="F57" s="58">
        <f ca="1">IF(表2_3671626293038912131415232425262728313236[[#This Row],[累计净值]]/MAX(INDIRECT("B21:B" &amp; ROW()))-1&lt;F56,表2_3671626293038912131415232425262728313236[[#This Row],[累计净值]]/MAX(INDIRECT("B21:B" &amp; ROW()))-1,F56)</f>
        <v>-4.2962125494629633E-2</v>
      </c>
      <c r="G57" s="110">
        <f>表2_3671626293038912131415232425262728313236[[#This Row],[累计净值]]</f>
        <v>1.0158</v>
      </c>
      <c r="H57" s="20">
        <f>表2_3671626293038912131415232425262728313236[[#This Row],[累计净值]]/$B$40-1</f>
        <v>-1.8361035948975535E-2</v>
      </c>
    </row>
    <row r="58" spans="1:8">
      <c r="A58" s="280">
        <v>44228</v>
      </c>
      <c r="B58" s="112">
        <v>1.0245</v>
      </c>
      <c r="C58" s="112">
        <f>C57*(1+表2_3671626293038912131415232425262728313236[[#This Row],[每日盈亏]])</f>
        <v>1.042672583119878</v>
      </c>
      <c r="D58" s="17">
        <f t="shared" si="1"/>
        <v>8.69999999999993E-3</v>
      </c>
      <c r="E58" s="109" t="str">
        <f t="shared" si="4"/>
        <v>/</v>
      </c>
      <c r="F58" s="58">
        <f ca="1">IF(表2_3671626293038912131415232425262728313236[[#This Row],[累计净值]]/MAX(INDIRECT("B21:B" &amp; ROW()))-1&lt;F57,表2_3671626293038912131415232425262728313236[[#This Row],[累计净值]]/MAX(INDIRECT("B21:B" &amp; ROW()))-1,F57)</f>
        <v>-4.2962125494629633E-2</v>
      </c>
      <c r="G58" s="110">
        <f>表2_3671626293038912131415232425262728313236[[#This Row],[累计净值]]</f>
        <v>1.0245</v>
      </c>
      <c r="H58" s="20">
        <f>表2_3671626293038912131415232425262728313236[[#This Row],[累计净值]]/$B$40-1</f>
        <v>-9.9536142249709858E-3</v>
      </c>
    </row>
    <row r="59" spans="1:8">
      <c r="A59" s="280">
        <v>44229</v>
      </c>
      <c r="B59" s="112">
        <v>1.0347</v>
      </c>
      <c r="C59" s="112">
        <f>C58*(1+表2_3671626293038912131415232425262728313236[[#This Row],[每日盈亏]])</f>
        <v>1.0533078434677008</v>
      </c>
      <c r="D59" s="17">
        <f t="shared" si="1"/>
        <v>1.0199999999999987E-2</v>
      </c>
      <c r="E59" s="109" t="str">
        <f t="shared" si="4"/>
        <v>/</v>
      </c>
      <c r="F59" s="58">
        <f ca="1">IF(表2_3671626293038912131415232425262728313236[[#This Row],[累计净值]]/MAX(INDIRECT("B21:B" &amp; ROW()))-1&lt;F58,表2_3671626293038912131415232425262728313236[[#This Row],[累计净值]]/MAX(INDIRECT("B21:B" &amp; ROW()))-1,F58)</f>
        <v>-4.2962125494629633E-2</v>
      </c>
      <c r="G59" s="110">
        <f>表2_3671626293038912131415232425262728313236[[#This Row],[累计净值]]</f>
        <v>1.0347</v>
      </c>
      <c r="H59" s="20">
        <f>表2_3671626293038912131415232425262728313236[[#This Row],[累计净值]]/$B$40-1</f>
        <v>-9.6637031310353727E-5</v>
      </c>
    </row>
    <row r="60" spans="1:8">
      <c r="A60" s="280">
        <v>44230</v>
      </c>
      <c r="B60" s="112">
        <v>1.0273000000000001</v>
      </c>
      <c r="C60" s="112">
        <f>C59*(1+表2_3671626293038912131415232425262728313236[[#This Row],[每日盈亏]])</f>
        <v>1.04551336542604</v>
      </c>
      <c r="D60" s="17">
        <f t="shared" si="1"/>
        <v>-7.3999999999998511E-3</v>
      </c>
      <c r="E60" s="109">
        <f t="shared" si="4"/>
        <v>-7.3999999999998511E-3</v>
      </c>
      <c r="F60" s="58">
        <f ca="1">IF(表2_3671626293038912131415232425262728313236[[#This Row],[累计净值]]/MAX(INDIRECT("B21:B" &amp; ROW()))-1&lt;F59,表2_3671626293038912131415232425262728313236[[#This Row],[累计净值]]/MAX(INDIRECT("B21:B" &amp; ROW()))-1,F59)</f>
        <v>-4.2962125494629633E-2</v>
      </c>
      <c r="G60" s="110">
        <f>表2_3671626293038912131415232425262728313236[[#This Row],[累计净值]]</f>
        <v>1.0273000000000001</v>
      </c>
      <c r="H60" s="20">
        <f>表2_3671626293038912131415232425262728313236[[#This Row],[累计净值]]/$B$40-1</f>
        <v>-7.2477773482797492E-3</v>
      </c>
    </row>
    <row r="61" spans="1:8">
      <c r="A61" s="280">
        <v>44231</v>
      </c>
      <c r="B61" s="112">
        <v>1.0165999999999999</v>
      </c>
      <c r="C61" s="112">
        <f>C60*(1+表2_3671626293038912131415232425262728313236[[#This Row],[每日盈亏]])</f>
        <v>1.0343263724159812</v>
      </c>
      <c r="D61" s="17">
        <f t="shared" si="1"/>
        <v>-1.0700000000000154E-2</v>
      </c>
      <c r="E61" s="109">
        <f t="shared" si="4"/>
        <v>-1.0700000000000154E-2</v>
      </c>
      <c r="F61" s="58">
        <f ca="1">IF(表2_3671626293038912131415232425262728313236[[#This Row],[累计净值]]/MAX(INDIRECT("B21:B" &amp; ROW()))-1&lt;F60,表2_3671626293038912131415232425262728313236[[#This Row],[累计净值]]/MAX(INDIRECT("B21:B" &amp; ROW()))-1,F60)</f>
        <v>-4.2962125494629633E-2</v>
      </c>
      <c r="G61" s="110">
        <f>表2_3671626293038912131415232425262728313236[[#This Row],[累计净值]]</f>
        <v>1.0165999999999999</v>
      </c>
      <c r="H61" s="20">
        <f>表2_3671626293038912131415232425262728313236[[#This Row],[累计净值]]/$B$40-1</f>
        <v>-1.7587939698492483E-2</v>
      </c>
    </row>
    <row r="62" spans="1:8">
      <c r="A62" s="280">
        <v>44232</v>
      </c>
      <c r="B62" s="112">
        <v>1.0037</v>
      </c>
      <c r="C62" s="112">
        <f>C61*(1+表2_3671626293038912131415232425262728313236[[#This Row],[每日盈亏]])</f>
        <v>1.0209835622118151</v>
      </c>
      <c r="D62" s="17">
        <f t="shared" si="1"/>
        <v>-1.2899999999999912E-2</v>
      </c>
      <c r="E62" s="109">
        <f t="shared" si="4"/>
        <v>-1.2899999999999912E-2</v>
      </c>
      <c r="F62" s="58">
        <f ca="1">IF(表2_3671626293038912131415232425262728313236[[#This Row],[累计净值]]/MAX(INDIRECT("B21:B" &amp; ROW()))-1&lt;F61,表2_3671626293038912131415232425262728313236[[#This Row],[累计净值]]/MAX(INDIRECT("B21:B" &amp; ROW()))-1,F61)</f>
        <v>-5.4362163180704637E-2</v>
      </c>
      <c r="G62" s="110">
        <f>表2_3671626293038912131415232425262728313236[[#This Row],[累计净值]]</f>
        <v>1.0037</v>
      </c>
      <c r="H62" s="20">
        <f>表2_3671626293038912131415232425262728313236[[#This Row],[累计净值]]/$B$40-1</f>
        <v>-3.0054116737533776E-2</v>
      </c>
    </row>
    <row r="63" spans="1:8">
      <c r="A63" s="280">
        <v>44235</v>
      </c>
      <c r="B63" s="112">
        <v>1.0178</v>
      </c>
      <c r="C63" s="112">
        <f>C62*(1+表2_3671626293038912131415232425262728313236[[#This Row],[每日盈亏]])</f>
        <v>1.0353794304390016</v>
      </c>
      <c r="D63" s="17">
        <f t="shared" si="1"/>
        <v>1.4100000000000001E-2</v>
      </c>
      <c r="E63" s="109" t="str">
        <f>IF(D63&lt;0,D63,"/")</f>
        <v>/</v>
      </c>
      <c r="F63" s="58">
        <f ca="1">IF(表2_3671626293038912131415232425262728313236[[#This Row],[累计净值]]/MAX(INDIRECT("B21:B" &amp; ROW()))-1&lt;F62,表2_3671626293038912131415232425262728313236[[#This Row],[累计净值]]/MAX(INDIRECT("B21:B" &amp; ROW()))-1,F62)</f>
        <v>-5.4362163180704637E-2</v>
      </c>
      <c r="G63" s="110">
        <f>表2_3671626293038912131415232425262728313236[[#This Row],[累计净值]]</f>
        <v>1.0178</v>
      </c>
      <c r="H63" s="20">
        <f>表2_3671626293038912131415232425262728313236[[#This Row],[累计净值]]/$B$40-1</f>
        <v>-1.6428295322767572E-2</v>
      </c>
    </row>
    <row r="64" spans="1:8">
      <c r="A64" s="280">
        <v>44236</v>
      </c>
      <c r="B64" s="112">
        <v>1.0415000000000001</v>
      </c>
      <c r="C64" s="112">
        <f>C63*(1+表2_3671626293038912131415232425262728313236[[#This Row],[每日盈亏]])</f>
        <v>1.0599179229404061</v>
      </c>
      <c r="D64" s="17">
        <f t="shared" si="1"/>
        <v>2.3700000000000054E-2</v>
      </c>
      <c r="E64" s="109" t="str">
        <f>IF(D64&lt;0,D64,"/")</f>
        <v>/</v>
      </c>
      <c r="F64" s="58">
        <f ca="1">IF(表2_3671626293038912131415232425262728313236[[#This Row],[累计净值]]/MAX(INDIRECT("B21:B" &amp; ROW()))-1&lt;F63,表2_3671626293038912131415232425262728313236[[#This Row],[累计净值]]/MAX(INDIRECT("B21:B" &amp; ROW()))-1,F63)</f>
        <v>-5.4362163180704637E-2</v>
      </c>
      <c r="G64" s="110">
        <f>表2_3671626293038912131415232425262728313236[[#This Row],[累计净值]]</f>
        <v>1.0415000000000001</v>
      </c>
      <c r="H64" s="20">
        <f>表2_3671626293038912131415232425262728313236[[#This Row],[累计净值]]/$B$40-1</f>
        <v>6.4746810977969194E-3</v>
      </c>
    </row>
    <row r="65" spans="1:8">
      <c r="A65" s="280">
        <v>44237</v>
      </c>
      <c r="B65" s="112">
        <v>1.0513999999999999</v>
      </c>
      <c r="C65" s="112">
        <f>C64*(1+表2_3671626293038912131415232425262728313236[[#This Row],[每日盈亏]])</f>
        <v>1.0704111103775158</v>
      </c>
      <c r="D65" s="17">
        <f t="shared" si="1"/>
        <v>9.8999999999997979E-3</v>
      </c>
      <c r="E65" s="109" t="str">
        <f t="shared" ref="E65:E67" si="5">IF(D65&lt;0,D65,"/")</f>
        <v>/</v>
      </c>
      <c r="F65" s="58">
        <f ca="1">IF(表2_3671626293038912131415232425262728313236[[#This Row],[累计净值]]/MAX(INDIRECT("B21:B" &amp; ROW()))-1&lt;F64,表2_3671626293038912131415232425262728313236[[#This Row],[累计净值]]/MAX(INDIRECT("B21:B" &amp; ROW()))-1,F64)</f>
        <v>-5.4362163180704637E-2</v>
      </c>
      <c r="G65" s="110">
        <f>表2_3671626293038912131415232425262728313236[[#This Row],[累计净值]]</f>
        <v>1.0513999999999999</v>
      </c>
      <c r="H65" s="20">
        <f>表2_3671626293038912131415232425262728313236[[#This Row],[累计净值]]/$B$40-1</f>
        <v>1.6041747197526046E-2</v>
      </c>
    </row>
    <row r="66" spans="1:8">
      <c r="A66" s="280">
        <v>44245</v>
      </c>
      <c r="B66" s="112">
        <v>1.0687</v>
      </c>
      <c r="C66" s="112">
        <f>C65*(1+表2_3671626293038912131415232425262728313236[[#This Row],[每日盈亏]])</f>
        <v>1.0889292225870468</v>
      </c>
      <c r="D66" s="17">
        <f t="shared" si="1"/>
        <v>1.7300000000000093E-2</v>
      </c>
      <c r="E66" s="109" t="str">
        <f t="shared" si="5"/>
        <v>/</v>
      </c>
      <c r="F66" s="58">
        <f ca="1">IF(表2_3671626293038912131415232425262728313236[[#This Row],[累计净值]]/MAX(INDIRECT("B21:B" &amp; ROW()))-1&lt;F65,表2_3671626293038912131415232425262728313236[[#This Row],[累计净值]]/MAX(INDIRECT("B21:B" &amp; ROW()))-1,F65)</f>
        <v>-5.4362163180704637E-2</v>
      </c>
      <c r="G66" s="110">
        <f>表2_3671626293038912131415232425262728313236[[#This Row],[累计净值]]</f>
        <v>1.0687</v>
      </c>
      <c r="H66" s="20">
        <f>表2_3671626293038912131415232425262728313236[[#This Row],[累计净值]]/$B$40-1</f>
        <v>3.2759953614225124E-2</v>
      </c>
    </row>
    <row r="67" spans="1:8">
      <c r="A67" s="280">
        <v>44246</v>
      </c>
      <c r="B67" s="117">
        <v>1.0851999999999999</v>
      </c>
      <c r="C67" s="112">
        <f>C66*(1+表2_3671626293038912131415232425262728313236[[#This Row],[每日盈亏]])</f>
        <v>1.1068965547597331</v>
      </c>
      <c r="D67" s="17">
        <f t="shared" si="1"/>
        <v>1.6499999999999959E-2</v>
      </c>
      <c r="E67" s="109" t="str">
        <f t="shared" si="5"/>
        <v>/</v>
      </c>
      <c r="F67" s="58">
        <f ca="1">IF(表2_3671626293038912131415232425262728313236[[#This Row],[累计净值]]/MAX(INDIRECT("B21:B" &amp; ROW()))-1&lt;F66,表2_3671626293038912131415232425262728313236[[#This Row],[累计净值]]/MAX(INDIRECT("B21:B" &amp; ROW()))-1,F66)</f>
        <v>-5.4362163180704637E-2</v>
      </c>
      <c r="G67" s="110">
        <f>表2_3671626293038912131415232425262728313236[[#This Row],[累计净值]]</f>
        <v>1.0851999999999999</v>
      </c>
      <c r="H67" s="20">
        <f>表2_3671626293038912131415232425262728313236[[#This Row],[累计净值]]/$B$40-1</f>
        <v>4.8705063780440705E-2</v>
      </c>
    </row>
    <row r="68" spans="1:8">
      <c r="A68" s="280">
        <v>44249</v>
      </c>
      <c r="B68" s="112">
        <v>1.0844</v>
      </c>
      <c r="C68" s="112">
        <f>C67*(1+表2_3671626293038912131415232425262728313236[[#This Row],[每日盈亏]])</f>
        <v>1.1060110375159256</v>
      </c>
      <c r="D68" s="17">
        <f t="shared" si="1"/>
        <v>-7.9999999999991189E-4</v>
      </c>
      <c r="E68" s="109">
        <f>IF(D68&lt;0,D68,"/")</f>
        <v>-7.9999999999991189E-4</v>
      </c>
      <c r="F68" s="58">
        <f ca="1">IF(表2_3671626293038912131415232425262728313236[[#This Row],[累计净值]]/MAX(INDIRECT("B21:B" &amp; ROW()))-1&lt;F67,表2_3671626293038912131415232425262728313236[[#This Row],[累计净值]]/MAX(INDIRECT("B21:B" &amp; ROW()))-1,F67)</f>
        <v>-5.4362163180704637E-2</v>
      </c>
      <c r="G68" s="110">
        <f>表2_3671626293038912131415232425262728313236[[#This Row],[累计净值]]</f>
        <v>1.0844</v>
      </c>
      <c r="H68" s="20">
        <f>表2_3671626293038912131415232425262728313236[[#This Row],[累计净值]]/$B$40-1</f>
        <v>4.7931967529957653E-2</v>
      </c>
    </row>
    <row r="69" spans="1:8">
      <c r="A69" s="280">
        <v>44250</v>
      </c>
      <c r="B69" s="112">
        <v>1.0793999999999999</v>
      </c>
      <c r="C69" s="112">
        <f>C68*(1+表2_3671626293038912131415232425262728313236[[#This Row],[每日盈亏]])</f>
        <v>1.1004809823283459</v>
      </c>
      <c r="D69" s="17">
        <f t="shared" si="1"/>
        <v>-5.0000000000001155E-3</v>
      </c>
      <c r="E69" s="109">
        <f>IF(D69&lt;0,D69,"/")</f>
        <v>-5.0000000000001155E-3</v>
      </c>
      <c r="F69" s="58">
        <f ca="1">IF(表2_3671626293038912131415232425262728313236[[#This Row],[累计净值]]/MAX(INDIRECT("B21:B" &amp; ROW()))-1&lt;F68,表2_3671626293038912131415232425262728313236[[#This Row],[累计净值]]/MAX(INDIRECT("B21:B" &amp; ROW()))-1,F68)</f>
        <v>-5.4362163180704637E-2</v>
      </c>
      <c r="G69" s="110">
        <f>表2_3671626293038912131415232425262728313236[[#This Row],[累计净值]]</f>
        <v>1.0793999999999999</v>
      </c>
      <c r="H69" s="20">
        <f>表2_3671626293038912131415232425262728313236[[#This Row],[累计净值]]/$B$40-1</f>
        <v>4.3100115964437524E-2</v>
      </c>
    </row>
    <row r="70" spans="1:8">
      <c r="A70" s="280">
        <v>44251</v>
      </c>
      <c r="B70" s="112">
        <v>1.0649999999999999</v>
      </c>
      <c r="C70" s="112">
        <f>C69*(1+表2_3671626293038912131415232425262728313236[[#This Row],[每日盈亏]])</f>
        <v>1.0846340561828178</v>
      </c>
      <c r="D70" s="17">
        <f t="shared" si="1"/>
        <v>-1.4399999999999968E-2</v>
      </c>
      <c r="E70" s="109">
        <f>IF(D70&lt;0,D70,"/")</f>
        <v>-1.4399999999999968E-2</v>
      </c>
      <c r="F70" s="58">
        <f ca="1">IF(表2_3671626293038912131415232425262728313236[[#This Row],[累计净值]]/MAX(INDIRECT("B21:B" &amp; ROW()))-1&lt;F69,表2_3671626293038912131415232425262728313236[[#This Row],[累计净值]]/MAX(INDIRECT("B21:B" &amp; ROW()))-1,F69)</f>
        <v>-5.4362163180704637E-2</v>
      </c>
      <c r="G70" s="110">
        <f>表2_3671626293038912131415232425262728313236[[#This Row],[累计净值]]</f>
        <v>1.0649999999999999</v>
      </c>
      <c r="H70" s="20">
        <f>表2_3671626293038912131415232425262728313236[[#This Row],[累计净值]]/$B$40-1</f>
        <v>2.9184383455740148E-2</v>
      </c>
    </row>
    <row r="71" spans="1:8">
      <c r="A71" s="280">
        <v>44252</v>
      </c>
      <c r="B71" s="112">
        <v>1.0613999999999999</v>
      </c>
      <c r="C71" s="112">
        <f>C70*(1+表2_3671626293038912131415232425262728313236[[#This Row],[每日盈亏]])</f>
        <v>1.0807293735805596</v>
      </c>
      <c r="D71" s="17">
        <f t="shared" si="1"/>
        <v>-3.6000000000000476E-3</v>
      </c>
      <c r="E71" s="109">
        <f>IF(D71&lt;0,D71,"/")</f>
        <v>-3.6000000000000476E-3</v>
      </c>
      <c r="F71" s="58">
        <f ca="1">IF(表2_3671626293038912131415232425262728313236[[#This Row],[累计净值]]/MAX(INDIRECT("B21:B" &amp; ROW()))-1&lt;F70,表2_3671626293038912131415232425262728313236[[#This Row],[累计净值]]/MAX(INDIRECT("B21:B" &amp; ROW()))-1,F70)</f>
        <v>-5.4362163180704637E-2</v>
      </c>
      <c r="G71" s="110">
        <f>表2_3671626293038912131415232425262728313236[[#This Row],[累计净值]]</f>
        <v>1.0613999999999999</v>
      </c>
      <c r="H71" s="20">
        <f>表2_3671626293038912131415232425262728313236[[#This Row],[累计净值]]/$B$40-1</f>
        <v>2.570545032856586E-2</v>
      </c>
    </row>
    <row r="72" spans="1:8">
      <c r="A72" s="280">
        <v>44253</v>
      </c>
      <c r="B72" s="112">
        <v>1.0415000000000001</v>
      </c>
      <c r="C72" s="112">
        <f>C71*(1+表2_3671626293038912131415232425262728313236[[#This Row],[每日盈亏]])</f>
        <v>1.0592228590463066</v>
      </c>
      <c r="D72" s="17">
        <f t="shared" si="1"/>
        <v>-1.9899999999999807E-2</v>
      </c>
      <c r="E72" s="109">
        <f t="shared" ref="E72:E75" si="6">IF(D72&lt;0,D72,"/")</f>
        <v>-1.9899999999999807E-2</v>
      </c>
      <c r="F72" s="58">
        <f ca="1">IF(表2_3671626293038912131415232425262728313236[[#This Row],[累计净值]]/MAX(INDIRECT("B21:B" &amp; ROW()))-1&lt;F71,表2_3671626293038912131415232425262728313236[[#This Row],[累计净值]]/MAX(INDIRECT("B21:B" &amp; ROW()))-1,F71)</f>
        <v>-5.4362163180704637E-2</v>
      </c>
      <c r="G72" s="110">
        <f>表2_3671626293038912131415232425262728313236[[#This Row],[累计净值]]</f>
        <v>1.0415000000000001</v>
      </c>
      <c r="H72" s="20">
        <f>表2_3671626293038912131415232425262728313236[[#This Row],[累计净值]]/$B$40-1</f>
        <v>6.4746810977969194E-3</v>
      </c>
    </row>
    <row r="73" spans="1:8">
      <c r="A73" s="280">
        <v>44256</v>
      </c>
      <c r="B73" s="112">
        <v>1.0603</v>
      </c>
      <c r="C73" s="112">
        <f>C72*(1+表2_3671626293038912131415232425262728313236[[#This Row],[每日盈亏]])</f>
        <v>1.0791362487963772</v>
      </c>
      <c r="D73" s="17">
        <f t="shared" si="1"/>
        <v>1.8799999999999928E-2</v>
      </c>
      <c r="E73" s="109" t="str">
        <f t="shared" si="6"/>
        <v>/</v>
      </c>
      <c r="F73" s="58">
        <f ca="1">IF(表2_3671626293038912131415232425262728313236[[#This Row],[累计净值]]/MAX(INDIRECT("B21:B" &amp; ROW()))-1&lt;F72,表2_3671626293038912131415232425262728313236[[#This Row],[累计净值]]/MAX(INDIRECT("B21:B" &amp; ROW()))-1,F72)</f>
        <v>-5.4362163180704637E-2</v>
      </c>
      <c r="G73" s="110">
        <f>表2_3671626293038912131415232425262728313236[[#This Row],[累计净值]]</f>
        <v>1.0603</v>
      </c>
      <c r="H73" s="20">
        <f>表2_3671626293038912131415232425262728313236[[#This Row],[累计净值]]/$B$40-1</f>
        <v>2.4642442984151636E-2</v>
      </c>
    </row>
    <row r="74" spans="1:8">
      <c r="A74" s="280">
        <v>44257</v>
      </c>
      <c r="B74" s="112">
        <v>1.0508999999999999</v>
      </c>
      <c r="C74" s="112">
        <f>C73*(1+表2_3671626293038912131415232425262728313236[[#This Row],[每日盈亏]])</f>
        <v>1.0689923680576912</v>
      </c>
      <c r="D74" s="17">
        <f t="shared" si="1"/>
        <v>-9.400000000000075E-3</v>
      </c>
      <c r="E74" s="109">
        <f t="shared" si="6"/>
        <v>-9.400000000000075E-3</v>
      </c>
      <c r="F74" s="58">
        <f ca="1">IF(表2_3671626293038912131415232425262728313236[[#This Row],[累计净值]]/MAX(INDIRECT("B21:B" &amp; ROW()))-1&lt;F73,表2_3671626293038912131415232425262728313236[[#This Row],[累计净值]]/MAX(INDIRECT("B21:B" &amp; ROW()))-1,F73)</f>
        <v>-5.4362163180704637E-2</v>
      </c>
      <c r="G74" s="110">
        <f>表2_3671626293038912131415232425262728313236[[#This Row],[累计净值]]</f>
        <v>1.0508999999999999</v>
      </c>
      <c r="H74" s="20">
        <f>表2_3671626293038912131415232425262728313236[[#This Row],[累计净值]]/$B$40-1</f>
        <v>1.5558562040974167E-2</v>
      </c>
    </row>
    <row r="75" spans="1:8">
      <c r="A75" s="280">
        <v>44258</v>
      </c>
      <c r="B75" s="112">
        <v>1.0658000000000001</v>
      </c>
      <c r="C75" s="112">
        <f>C74*(1+表2_3671626293038912131415232425262728313236[[#This Row],[每日盈亏]])</f>
        <v>1.0849203543417509</v>
      </c>
      <c r="D75" s="17">
        <f t="shared" si="1"/>
        <v>1.4900000000000135E-2</v>
      </c>
      <c r="E75" s="109" t="str">
        <f t="shared" si="6"/>
        <v>/</v>
      </c>
      <c r="F75" s="58">
        <f ca="1">IF(表2_3671626293038912131415232425262728313236[[#This Row],[累计净值]]/MAX(INDIRECT("B21:B" &amp; ROW()))-1&lt;F74,表2_3671626293038912131415232425262728313236[[#This Row],[累计净值]]/MAX(INDIRECT("B21:B" &amp; ROW()))-1,F74)</f>
        <v>-5.4362163180704637E-2</v>
      </c>
      <c r="G75" s="110">
        <f>表2_3671626293038912131415232425262728313236[[#This Row],[累计净值]]</f>
        <v>1.0658000000000001</v>
      </c>
      <c r="H75" s="20">
        <f>表2_3671626293038912131415232425262728313236[[#This Row],[累计净值]]/$B$40-1</f>
        <v>2.9957479706223644E-2</v>
      </c>
    </row>
    <row r="76" spans="1:8">
      <c r="A76" s="280">
        <v>44259</v>
      </c>
      <c r="B76" s="112">
        <v>1.0504</v>
      </c>
      <c r="C76" s="112">
        <f>C75*(1+表2_3671626293038912131415232425262728313236[[#This Row],[每日盈亏]])</f>
        <v>1.0682125808848879</v>
      </c>
      <c r="D76" s="17">
        <f t="shared" si="1"/>
        <v>-1.540000000000008E-2</v>
      </c>
      <c r="E76" s="109">
        <f t="shared" ref="E76" si="7">IF(D76&lt;0,D76,"/")</f>
        <v>-1.540000000000008E-2</v>
      </c>
      <c r="F76" s="58">
        <f ca="1">IF(表2_3671626293038912131415232425262728313236[[#This Row],[累计净值]]/MAX(INDIRECT("B21:B" &amp; ROW()))-1&lt;F75,表2_3671626293038912131415232425262728313236[[#This Row],[累计净值]]/MAX(INDIRECT("B21:B" &amp; ROW()))-1,F75)</f>
        <v>-5.4362163180704637E-2</v>
      </c>
      <c r="G76" s="110">
        <f>表2_3671626293038912131415232425262728313236[[#This Row],[累计净值]]</f>
        <v>1.0504</v>
      </c>
      <c r="H76" s="20">
        <f>表2_3671626293038912131415232425262728313236[[#This Row],[累计净值]]/$B$40-1</f>
        <v>1.5075376884422065E-2</v>
      </c>
    </row>
    <row r="77" spans="1:8">
      <c r="A77" s="280">
        <v>44260</v>
      </c>
      <c r="B77" s="112">
        <v>1.0527</v>
      </c>
      <c r="C77" s="112">
        <f>C76*(1+表2_3671626293038912131415232425262728313236[[#This Row],[每日盈亏]])</f>
        <v>1.0706694698209231</v>
      </c>
      <c r="D77" s="17">
        <f t="shared" si="1"/>
        <v>2.2999999999999687E-3</v>
      </c>
      <c r="E77" s="109" t="str">
        <f t="shared" ref="E77:E80" si="8">IF(D77&lt;0,D77,"/")</f>
        <v>/</v>
      </c>
      <c r="F77" s="58">
        <f ca="1">IF(表2_3671626293038912131415232425262728313236[[#This Row],[累计净值]]/MAX(INDIRECT("B21:B" &amp; ROW()))-1&lt;F76,表2_3671626293038912131415232425262728313236[[#This Row],[累计净值]]/MAX(INDIRECT("B21:B" &amp; ROW()))-1,F76)</f>
        <v>-5.4362163180704637E-2</v>
      </c>
      <c r="G77" s="110">
        <f>表2_3671626293038912131415232425262728313236[[#This Row],[累计净值]]</f>
        <v>1.0527</v>
      </c>
      <c r="H77" s="20">
        <f>表2_3671626293038912131415232425262728313236[[#This Row],[累计净值]]/$B$40-1</f>
        <v>1.72980286045612E-2</v>
      </c>
    </row>
    <row r="78" spans="1:8">
      <c r="A78" s="280">
        <v>44263</v>
      </c>
      <c r="B78" s="112">
        <v>1.0299</v>
      </c>
      <c r="C78" s="112">
        <f>C77*(1+表2_3671626293038912131415232425262728313236[[#This Row],[每日盈亏]])</f>
        <v>1.0462582059090062</v>
      </c>
      <c r="D78" s="17">
        <f t="shared" si="1"/>
        <v>-2.2799999999999931E-2</v>
      </c>
      <c r="E78" s="109">
        <f t="shared" si="8"/>
        <v>-2.2799999999999931E-2</v>
      </c>
      <c r="F78" s="58">
        <f ca="1">IF(表2_3671626293038912131415232425262728313236[[#This Row],[累计净值]]/MAX(INDIRECT("B21:B" &amp; ROW()))-1&lt;F77,表2_3671626293038912131415232425262728313236[[#This Row],[累计净值]]/MAX(INDIRECT("B21:B" &amp; ROW()))-1,F77)</f>
        <v>-5.4362163180704637E-2</v>
      </c>
      <c r="G78" s="110">
        <f>表2_3671626293038912131415232425262728313236[[#This Row],[累计净值]]</f>
        <v>1.0299</v>
      </c>
      <c r="H78" s="20">
        <f>表2_3671626293038912131415232425262728313236[[#This Row],[累计净值]]/$B$40-1</f>
        <v>-4.735214534209442E-3</v>
      </c>
    </row>
    <row r="79" spans="1:8">
      <c r="A79" s="280">
        <v>44264</v>
      </c>
      <c r="B79" s="112">
        <v>1.0078</v>
      </c>
      <c r="C79" s="112">
        <f>C78*(1+表2_3671626293038912131415232425262728313236[[#This Row],[每日盈亏]])</f>
        <v>1.0231358995584172</v>
      </c>
      <c r="D79" s="17">
        <f t="shared" si="1"/>
        <v>-2.2100000000000009E-2</v>
      </c>
      <c r="E79" s="109">
        <f t="shared" si="8"/>
        <v>-2.2100000000000009E-2</v>
      </c>
      <c r="F79" s="58">
        <f ca="1">IF(表2_3671626293038912131415232425262728313236[[#This Row],[累计净值]]/MAX(INDIRECT("B21:B" &amp; ROW()))-1&lt;F78,表2_3671626293038912131415232425262728313236[[#This Row],[累计净值]]/MAX(INDIRECT("B21:B" &amp; ROW()))-1,F78)</f>
        <v>-7.1323258385550981E-2</v>
      </c>
      <c r="G79" s="110">
        <f>表2_3671626293038912131415232425262728313236[[#This Row],[累计净值]]</f>
        <v>1.0078</v>
      </c>
      <c r="H79" s="20">
        <f>表2_3671626293038912131415232425262728313236[[#This Row],[累计净值]]/$B$40-1</f>
        <v>-2.6091998453807386E-2</v>
      </c>
    </row>
    <row r="80" spans="1:8">
      <c r="A80" s="280">
        <v>44265</v>
      </c>
      <c r="B80" s="112">
        <v>1.0001</v>
      </c>
      <c r="C80" s="112">
        <f>C79*(1+表2_3671626293038912131415232425262728313236[[#This Row],[每日盈亏]])</f>
        <v>1.0152577531318174</v>
      </c>
      <c r="D80" s="17">
        <f t="shared" si="1"/>
        <v>-7.7000000000000401E-3</v>
      </c>
      <c r="E80" s="109">
        <f t="shared" si="8"/>
        <v>-7.7000000000000401E-3</v>
      </c>
      <c r="F80" s="58">
        <f ca="1">IF(表2_3671626293038912131415232425262728313236[[#This Row],[累计净值]]/MAX(INDIRECT("B21:B" &amp; ROW()))-1&lt;F79,表2_3671626293038912131415232425262728313236[[#This Row],[累计净值]]/MAX(INDIRECT("B21:B" &amp; ROW()))-1,F79)</f>
        <v>-7.8418724659048977E-2</v>
      </c>
      <c r="G80" s="110">
        <f>表2_3671626293038912131415232425262728313236[[#This Row],[累计净值]]</f>
        <v>1.0001</v>
      </c>
      <c r="H80" s="20">
        <f>表2_3671626293038912131415232425262728313236[[#This Row],[累计净值]]/$B$40-1</f>
        <v>-3.3533049864708064E-2</v>
      </c>
    </row>
    <row r="81" spans="1:8">
      <c r="A81" s="280">
        <v>44266</v>
      </c>
      <c r="B81" s="112">
        <v>1.0239</v>
      </c>
      <c r="C81" s="112">
        <f>C80*(1+表2_3671626293038912131415232425262728313236[[#This Row],[每日盈亏]])</f>
        <v>1.0394208876563547</v>
      </c>
      <c r="D81" s="17">
        <f t="shared" si="1"/>
        <v>2.3800000000000043E-2</v>
      </c>
      <c r="E81" s="109" t="str">
        <f t="shared" ref="E81:E86" si="9">IF(D81&lt;0,D81,"/")</f>
        <v>/</v>
      </c>
      <c r="F81" s="58">
        <f ca="1">IF(表2_3671626293038912131415232425262728313236[[#This Row],[累计净值]]/MAX(INDIRECT("B21:B" &amp; ROW()))-1&lt;F80,表2_3671626293038912131415232425262728313236[[#This Row],[累计净值]]/MAX(INDIRECT("B21:B" &amp; ROW()))-1,F80)</f>
        <v>-7.8418724659048977E-2</v>
      </c>
      <c r="G81" s="110">
        <f>表2_3671626293038912131415232425262728313236[[#This Row],[累计净值]]</f>
        <v>1.0239</v>
      </c>
      <c r="H81" s="20">
        <f>表2_3671626293038912131415232425262728313236[[#This Row],[累计净值]]/$B$40-1</f>
        <v>-1.053343641283333E-2</v>
      </c>
    </row>
    <row r="82" spans="1:8">
      <c r="A82" s="280">
        <v>44267</v>
      </c>
      <c r="B82" s="112">
        <v>1.0266999999999999</v>
      </c>
      <c r="C82" s="112">
        <f>C81*(1+表2_3671626293038912131415232425262728313236[[#This Row],[每日盈亏]])</f>
        <v>1.0423312661417923</v>
      </c>
      <c r="D82" s="17">
        <f t="shared" si="1"/>
        <v>2.7999999999999137E-3</v>
      </c>
      <c r="E82" s="109" t="str">
        <f t="shared" si="9"/>
        <v>/</v>
      </c>
      <c r="F82" s="58">
        <f ca="1">IF(表2_3671626293038912131415232425262728313236[[#This Row],[累计净值]]/MAX(INDIRECT("B21:B" &amp; ROW()))-1&lt;F81,表2_3671626293038912131415232425262728313236[[#This Row],[累计净值]]/MAX(INDIRECT("B21:B" &amp; ROW()))-1,F81)</f>
        <v>-7.8418724659048977E-2</v>
      </c>
      <c r="G82" s="110">
        <f>表2_3671626293038912131415232425262728313236[[#This Row],[累计净值]]</f>
        <v>1.0266999999999999</v>
      </c>
      <c r="H82" s="20">
        <f>表2_3671626293038912131415232425262728313236[[#This Row],[累计净值]]/$B$40-1</f>
        <v>-7.8275995361422046E-3</v>
      </c>
    </row>
    <row r="83" spans="1:8">
      <c r="A83" s="280">
        <v>44270</v>
      </c>
      <c r="B83" s="112">
        <v>1.0197000000000001</v>
      </c>
      <c r="C83" s="112">
        <f>C82*(1+表2_3671626293038912131415232425262728313236[[#This Row],[每日盈亏]])</f>
        <v>1.0350349472787999</v>
      </c>
      <c r="D83" s="17">
        <f t="shared" si="1"/>
        <v>-6.9999999999998952E-3</v>
      </c>
      <c r="E83" s="109">
        <f t="shared" si="9"/>
        <v>-6.9999999999998952E-3</v>
      </c>
      <c r="F83" s="58">
        <f ca="1">IF(表2_3671626293038912131415232425262728313236[[#This Row],[累计净值]]/MAX(INDIRECT("B21:B" &amp; ROW()))-1&lt;F82,表2_3671626293038912131415232425262728313236[[#This Row],[累计净值]]/MAX(INDIRECT("B21:B" &amp; ROW()))-1,F82)</f>
        <v>-7.8418724659048977E-2</v>
      </c>
      <c r="G83" s="110">
        <f>表2_3671626293038912131415232425262728313236[[#This Row],[累计净值]]</f>
        <v>1.0197000000000001</v>
      </c>
      <c r="H83" s="20">
        <f>表2_3671626293038912131415232425262728313236[[#This Row],[累计净值]]/$B$40-1</f>
        <v>-1.4592191727869963E-2</v>
      </c>
    </row>
    <row r="84" spans="1:8">
      <c r="A84" s="280">
        <v>44271</v>
      </c>
      <c r="B84" s="112">
        <v>1.0226</v>
      </c>
      <c r="C84" s="112">
        <f>C83*(1+表2_3671626293038912131415232425262728313236[[#This Row],[每日盈亏]])</f>
        <v>1.0380365486259082</v>
      </c>
      <c r="D84" s="17">
        <f t="shared" si="1"/>
        <v>2.8999999999999027E-3</v>
      </c>
      <c r="E84" s="109" t="str">
        <f t="shared" si="9"/>
        <v>/</v>
      </c>
      <c r="F84" s="58">
        <f ca="1">IF(表2_3671626293038912131415232425262728313236[[#This Row],[累计净值]]/MAX(INDIRECT("B21:B" &amp; ROW()))-1&lt;F83,表2_3671626293038912131415232425262728313236[[#This Row],[累计净值]]/MAX(INDIRECT("B21:B" &amp; ROW()))-1,F83)</f>
        <v>-7.8418724659048977E-2</v>
      </c>
      <c r="G84" s="110">
        <f>表2_3671626293038912131415232425262728313236[[#This Row],[累计净值]]</f>
        <v>1.0226</v>
      </c>
      <c r="H84" s="20">
        <f>表2_3671626293038912131415232425262728313236[[#This Row],[累计净值]]/$B$40-1</f>
        <v>-1.1789717819868595E-2</v>
      </c>
    </row>
    <row r="85" spans="1:8">
      <c r="A85" s="280">
        <v>44272</v>
      </c>
      <c r="B85" s="112">
        <v>1.0284</v>
      </c>
      <c r="C85" s="112">
        <f>C84*(1+表2_3671626293038912131415232425262728313236[[#This Row],[每日盈亏]])</f>
        <v>1.0440571606079385</v>
      </c>
      <c r="D85" s="17">
        <f t="shared" si="1"/>
        <v>5.8000000000000274E-3</v>
      </c>
      <c r="E85" s="109" t="str">
        <f t="shared" si="9"/>
        <v>/</v>
      </c>
      <c r="F85" s="58">
        <f ca="1">IF(表2_3671626293038912131415232425262728313236[[#This Row],[累计净值]]/MAX(INDIRECT("B21:B" &amp; ROW()))-1&lt;F84,表2_3671626293038912131415232425262728313236[[#This Row],[累计净值]]/MAX(INDIRECT("B21:B" &amp; ROW()))-1,F84)</f>
        <v>-7.8418724659048977E-2</v>
      </c>
      <c r="G85" s="110">
        <f>表2_3671626293038912131415232425262728313236[[#This Row],[累计净值]]</f>
        <v>1.0284</v>
      </c>
      <c r="H85" s="20">
        <f>表2_3671626293038912131415232425262728313236[[#This Row],[累计净值]]/$B$40-1</f>
        <v>-6.1847700038654141E-3</v>
      </c>
    </row>
    <row r="86" spans="1:8">
      <c r="A86" s="280">
        <v>44273</v>
      </c>
      <c r="B86" s="112">
        <v>1.0356000000000001</v>
      </c>
      <c r="C86" s="112">
        <f>C85*(1+表2_3671626293038912131415232425262728313236[[#This Row],[每日盈亏]])</f>
        <v>1.0515743721643158</v>
      </c>
      <c r="D86" s="17">
        <f t="shared" si="1"/>
        <v>7.2000000000000952E-3</v>
      </c>
      <c r="E86" s="109" t="str">
        <f t="shared" si="9"/>
        <v>/</v>
      </c>
      <c r="F86" s="58">
        <f ca="1">IF(表2_3671626293038912131415232425262728313236[[#This Row],[累计净值]]/MAX(INDIRECT("B21:B" &amp; ROW()))-1&lt;F85,表2_3671626293038912131415232425262728313236[[#This Row],[累计净值]]/MAX(INDIRECT("B21:B" &amp; ROW()))-1,F85)</f>
        <v>-7.8418724659048977E-2</v>
      </c>
      <c r="G86" s="110">
        <f>表2_3671626293038912131415232425262728313236[[#This Row],[累计净值]]</f>
        <v>1.0356000000000001</v>
      </c>
      <c r="H86" s="20">
        <f>表2_3671626293038912131415232425262728313236[[#This Row],[累计净值]]/$B$40-1</f>
        <v>7.7309625048327391E-4</v>
      </c>
    </row>
    <row r="87" spans="1:8">
      <c r="A87" s="280">
        <v>44274</v>
      </c>
      <c r="B87" s="112">
        <v>1.0251999999999999</v>
      </c>
      <c r="C87" s="112">
        <f>C86*(1+表2_3671626293038912131415232425262728313236[[#This Row],[每日盈亏]])</f>
        <v>1.0406379986938068</v>
      </c>
      <c r="D87" s="17">
        <f t="shared" ref="D87:D123" si="10">IFERROR(B87-B86,0)</f>
        <v>-1.0400000000000187E-2</v>
      </c>
      <c r="E87" s="109">
        <f>IF(D87&lt;0,D87,"/")</f>
        <v>-1.0400000000000187E-2</v>
      </c>
      <c r="F87" s="58">
        <f ca="1">IF(表2_3671626293038912131415232425262728313236[[#This Row],[累计净值]]/MAX(INDIRECT("B21:B" &amp; ROW()))-1&lt;F86,表2_3671626293038912131415232425262728313236[[#This Row],[累计净值]]/MAX(INDIRECT("B21:B" &amp; ROW()))-1,F86)</f>
        <v>-7.8418724659048977E-2</v>
      </c>
      <c r="G87" s="110">
        <f>表2_3671626293038912131415232425262728313236[[#This Row],[累计净值]]</f>
        <v>1.0251999999999999</v>
      </c>
      <c r="H87" s="20">
        <f>表2_3671626293038912131415232425262728313236[[#This Row],[累计净值]]/$B$40-1</f>
        <v>-9.2771550057982877E-3</v>
      </c>
    </row>
    <row r="88" spans="1:8">
      <c r="A88" s="280">
        <v>44277</v>
      </c>
      <c r="B88" s="112">
        <v>1.042</v>
      </c>
      <c r="C88" s="112">
        <f>C87*(1+表2_3671626293038912131415232425262728313236[[#This Row],[每日盈亏]])</f>
        <v>1.0581207170718629</v>
      </c>
      <c r="D88" s="17">
        <f t="shared" si="10"/>
        <v>1.6800000000000148E-2</v>
      </c>
      <c r="E88" s="109" t="str">
        <f>IF(D88&lt;0,D88,"/")</f>
        <v>/</v>
      </c>
      <c r="F88" s="58">
        <f ca="1">IF(表2_3671626293038912131415232425262728313236[[#This Row],[累计净值]]/MAX(INDIRECT("B21:B" &amp; ROW()))-1&lt;F87,表2_3671626293038912131415232425262728313236[[#This Row],[累计净值]]/MAX(INDIRECT("B21:B" &amp; ROW()))-1,F87)</f>
        <v>-7.8418724659048977E-2</v>
      </c>
      <c r="G88" s="110">
        <f>表2_3671626293038912131415232425262728313236[[#This Row],[累计净值]]</f>
        <v>1.042</v>
      </c>
      <c r="H88" s="20">
        <f>表2_3671626293038912131415232425262728313236[[#This Row],[累计净值]]/$B$40-1</f>
        <v>6.957866254348799E-3</v>
      </c>
    </row>
    <row r="89" spans="1:8">
      <c r="A89" s="280">
        <v>44278</v>
      </c>
      <c r="B89" s="112">
        <v>1.0277000000000001</v>
      </c>
      <c r="C89" s="112">
        <f>C88*(1+表2_3671626293038912131415232425262728313236[[#This Row],[每日盈亏]])</f>
        <v>1.0429895908177353</v>
      </c>
      <c r="D89" s="17">
        <f t="shared" si="10"/>
        <v>-1.4299999999999979E-2</v>
      </c>
      <c r="E89" s="109">
        <f>IF(D89&lt;0,D89,"/")</f>
        <v>-1.4299999999999979E-2</v>
      </c>
      <c r="F89" s="58">
        <f ca="1">IF(表2_3671626293038912131415232425262728313236[[#This Row],[累计净值]]/MAX(INDIRECT("B21:B" &amp; ROW()))-1&lt;F88,表2_3671626293038912131415232425262728313236[[#This Row],[累计净值]]/MAX(INDIRECT("B21:B" &amp; ROW()))-1,F88)</f>
        <v>-7.8418724659048977E-2</v>
      </c>
      <c r="G89" s="110">
        <f>表2_3671626293038912131415232425262728313236[[#This Row],[累计净值]]</f>
        <v>1.0277000000000001</v>
      </c>
      <c r="H89" s="20">
        <f>表2_3671626293038912131415232425262728313236[[#This Row],[累计净值]]/$B$40-1</f>
        <v>-6.8612292230381122E-3</v>
      </c>
    </row>
    <row r="90" spans="1:8">
      <c r="A90" s="280">
        <v>44279</v>
      </c>
      <c r="B90" s="112">
        <v>1.0167999999999999</v>
      </c>
      <c r="C90" s="112">
        <f>C89*(1+表2_3671626293038912131415232425262728313236[[#This Row],[每日盈亏]])</f>
        <v>1.031621004277822</v>
      </c>
      <c r="D90" s="17">
        <f t="shared" si="10"/>
        <v>-1.0900000000000132E-2</v>
      </c>
      <c r="E90" s="109">
        <f t="shared" ref="E90:E93" si="11">IF(D90&lt;0,D90,"/")</f>
        <v>-1.0900000000000132E-2</v>
      </c>
      <c r="F90" s="58">
        <f ca="1">IF(表2_3671626293038912131415232425262728313236[[#This Row],[累计净值]]/MAX(INDIRECT("B21:B" &amp; ROW()))-1&lt;F89,表2_3671626293038912131415232425262728313236[[#This Row],[累计净值]]/MAX(INDIRECT("B21:B" &amp; ROW()))-1,F89)</f>
        <v>-7.8418724659048977E-2</v>
      </c>
      <c r="G90" s="110">
        <f>表2_3671626293038912131415232425262728313236[[#This Row],[累计净值]]</f>
        <v>1.0167999999999999</v>
      </c>
      <c r="H90" s="20">
        <f>表2_3671626293038912131415232425262728313236[[#This Row],[累计净值]]/$B$40-1</f>
        <v>-1.7394665635871664E-2</v>
      </c>
    </row>
    <row r="91" spans="1:8">
      <c r="A91" s="280">
        <v>44280</v>
      </c>
      <c r="B91" s="112">
        <v>1.0193000000000001</v>
      </c>
      <c r="C91" s="112">
        <f>C90*(1+表2_3671626293038912131415232425262728313236[[#This Row],[每日盈亏]])</f>
        <v>1.0342000567885168</v>
      </c>
      <c r="D91" s="17">
        <f t="shared" si="10"/>
        <v>2.5000000000001688E-3</v>
      </c>
      <c r="E91" s="109" t="str">
        <f t="shared" si="11"/>
        <v>/</v>
      </c>
      <c r="F91" s="58">
        <f ca="1">IF(表2_3671626293038912131415232425262728313236[[#This Row],[累计净值]]/MAX(INDIRECT("B21:B" &amp; ROW()))-1&lt;F90,表2_3671626293038912131415232425262728313236[[#This Row],[累计净值]]/MAX(INDIRECT("B21:B" &amp; ROW()))-1,F90)</f>
        <v>-7.8418724659048977E-2</v>
      </c>
      <c r="G91" s="110">
        <f>表2_3671626293038912131415232425262728313236[[#This Row],[累计净值]]</f>
        <v>1.0193000000000001</v>
      </c>
      <c r="H91" s="20">
        <f>表2_3671626293038912131415232425262728313236[[#This Row],[累计净值]]/$B$40-1</f>
        <v>-1.49787398531116E-2</v>
      </c>
    </row>
    <row r="92" spans="1:8">
      <c r="A92" s="280">
        <v>44281</v>
      </c>
      <c r="B92" s="112">
        <v>1.0350999999999999</v>
      </c>
      <c r="C92" s="112">
        <f>C91*(1+表2_3671626293038912131415232425262728313236[[#This Row],[每日盈亏]])</f>
        <v>1.0505404176857751</v>
      </c>
      <c r="D92" s="17">
        <f t="shared" si="10"/>
        <v>1.5799999999999814E-2</v>
      </c>
      <c r="E92" s="109" t="str">
        <f t="shared" si="11"/>
        <v>/</v>
      </c>
      <c r="F92" s="58">
        <f ca="1">IF(表2_3671626293038912131415232425262728313236[[#This Row],[累计净值]]/MAX(INDIRECT("B21:B" &amp; ROW()))-1&lt;F91,表2_3671626293038912131415232425262728313236[[#This Row],[累计净值]]/MAX(INDIRECT("B21:B" &amp; ROW()))-1,F91)</f>
        <v>-7.8418724659048977E-2</v>
      </c>
      <c r="G92" s="110">
        <f>表2_3671626293038912131415232425262728313236[[#This Row],[累计净值]]</f>
        <v>1.0350999999999999</v>
      </c>
      <c r="H92" s="20">
        <f>表2_3671626293038912131415232425262728313236[[#This Row],[累计净值]]/$B$40-1</f>
        <v>2.899110939311722E-4</v>
      </c>
    </row>
    <row r="93" spans="1:8">
      <c r="A93" s="280">
        <v>44284</v>
      </c>
      <c r="B93" s="112">
        <v>1.0358000000000001</v>
      </c>
      <c r="C93" s="112">
        <f>C92*(1+表2_3671626293038912131415232425262728313236[[#This Row],[每日盈亏]])</f>
        <v>1.0512757959781553</v>
      </c>
      <c r="D93" s="17">
        <f t="shared" si="10"/>
        <v>7.0000000000014495E-4</v>
      </c>
      <c r="E93" s="109" t="str">
        <f t="shared" si="11"/>
        <v>/</v>
      </c>
      <c r="F93" s="58">
        <f ca="1">IF(表2_3671626293038912131415232425262728313236[[#This Row],[累计净值]]/MAX(INDIRECT("B21:B" &amp; ROW()))-1&lt;F92,表2_3671626293038912131415232425262728313236[[#This Row],[累计净值]]/MAX(INDIRECT("B21:B" &amp; ROW()))-1,F92)</f>
        <v>-7.8418724659048977E-2</v>
      </c>
      <c r="G93" s="110">
        <f>表2_3671626293038912131415232425262728313236[[#This Row],[累计净值]]</f>
        <v>1.0358000000000001</v>
      </c>
      <c r="H93" s="20">
        <f>表2_3671626293038912131415232425262728313236[[#This Row],[累计净值]]/$B$40-1</f>
        <v>9.6637031310398136E-4</v>
      </c>
    </row>
    <row r="94" spans="1:8">
      <c r="A94" s="280">
        <v>44285</v>
      </c>
      <c r="B94" s="63">
        <v>1.0411999999999999</v>
      </c>
      <c r="C94" s="112">
        <f>C93*(1+表2_3671626293038912131415232425262728313236[[#This Row],[每日盈亏]])</f>
        <v>1.0569526852764373</v>
      </c>
      <c r="D94" s="17">
        <f t="shared" si="10"/>
        <v>5.3999999999998494E-3</v>
      </c>
      <c r="E94" s="109" t="str">
        <f t="shared" ref="E94:E99" si="12">IF(D94&lt;0,D94,"/")</f>
        <v>/</v>
      </c>
      <c r="F94" s="58">
        <f ca="1">IF(表2_3671626293038912131415232425262728313236[[#This Row],[累计净值]]/MAX(INDIRECT("B21:B" &amp; ROW()))-1&lt;F93,表2_3671626293038912131415232425262728313236[[#This Row],[累计净值]]/MAX(INDIRECT("B21:B" &amp; ROW()))-1,F93)</f>
        <v>-7.8418724659048977E-2</v>
      </c>
      <c r="G94" s="110">
        <f>表2_3671626293038912131415232425262728313236[[#This Row],[累计净值]]</f>
        <v>1.0411999999999999</v>
      </c>
      <c r="H94" s="20">
        <f>表2_3671626293038912131415232425262728313236[[#This Row],[累计净值]]/$B$40-1</f>
        <v>6.1847700038655251E-3</v>
      </c>
    </row>
    <row r="95" spans="1:8">
      <c r="A95" s="280">
        <v>44286</v>
      </c>
      <c r="B95" s="112">
        <v>1.0374000000000001</v>
      </c>
      <c r="C95" s="112">
        <f>C94*(1+表2_3671626293038912131415232425262728313236[[#This Row],[每日盈亏]])</f>
        <v>1.052936265072387</v>
      </c>
      <c r="D95" s="17">
        <f t="shared" si="10"/>
        <v>-3.7999999999998035E-3</v>
      </c>
      <c r="E95" s="109">
        <f t="shared" si="12"/>
        <v>-3.7999999999998035E-3</v>
      </c>
      <c r="F95" s="109">
        <f ca="1">IF(表2_3671626293038912131415232425262728313236[[#This Row],[累计净值]]/MAX(INDIRECT("B21:B" &amp; ROW()))-1&lt;F94,表2_3671626293038912131415232425262728313236[[#This Row],[累计净值]]/MAX(INDIRECT("B21:B" &amp; ROW()))-1,F94)</f>
        <v>-7.8418724659048977E-2</v>
      </c>
      <c r="G95" s="110">
        <f>表2_3671626293038912131415232425262728313236[[#This Row],[累计净值]]</f>
        <v>1.0374000000000001</v>
      </c>
      <c r="H95" s="20">
        <f>表2_3671626293038912131415232425262728313236[[#This Row],[累计净值]]/$B$40-1</f>
        <v>2.5125628140705292E-3</v>
      </c>
    </row>
    <row r="96" spans="1:8">
      <c r="A96" s="280">
        <v>44287</v>
      </c>
      <c r="B96" s="112">
        <v>1.0482</v>
      </c>
      <c r="C96" s="112">
        <f>C95*(1+表2_3671626293038912131415232425262728313236[[#This Row],[每日盈亏]])</f>
        <v>1.0643079767351686</v>
      </c>
      <c r="D96" s="17">
        <f t="shared" si="10"/>
        <v>1.0799999999999921E-2</v>
      </c>
      <c r="E96" s="109" t="str">
        <f t="shared" si="12"/>
        <v>/</v>
      </c>
      <c r="F96" s="109">
        <f ca="1">IF(表2_3671626293038912131415232425262728313236[[#This Row],[累计净值]]/MAX(INDIRECT("B21:B" &amp; ROW()))-1&lt;F95,表2_3671626293038912131415232425262728313236[[#This Row],[累计净值]]/MAX(INDIRECT("B21:B" &amp; ROW()))-1,F95)</f>
        <v>-7.8418724659048977E-2</v>
      </c>
      <c r="G96" s="110">
        <f>表2_3671626293038912131415232425262728313236[[#This Row],[累计净值]]</f>
        <v>1.0482</v>
      </c>
      <c r="H96" s="20">
        <f>表2_3671626293038912131415232425262728313236[[#This Row],[累计净值]]/$B$40-1</f>
        <v>1.2949362195593395E-2</v>
      </c>
    </row>
    <row r="97" spans="1:8">
      <c r="A97" s="280">
        <v>44288</v>
      </c>
      <c r="B97" s="112">
        <v>1.0508999999999999</v>
      </c>
      <c r="C97" s="112">
        <f>C96*(1+表2_3671626293038912131415232425262728313236[[#This Row],[每日盈亏]])</f>
        <v>1.0671816082723535</v>
      </c>
      <c r="D97" s="17">
        <f t="shared" si="10"/>
        <v>2.6999999999999247E-3</v>
      </c>
      <c r="E97" s="109" t="str">
        <f t="shared" si="12"/>
        <v>/</v>
      </c>
      <c r="F97" s="109">
        <f ca="1">IF(表2_3671626293038912131415232425262728313236[[#This Row],[累计净值]]/MAX(INDIRECT("B21:B" &amp; ROW()))-1&lt;F96,表2_3671626293038912131415232425262728313236[[#This Row],[累计净值]]/MAX(INDIRECT("B21:B" &amp; ROW()))-1,F96)</f>
        <v>-7.8418724659048977E-2</v>
      </c>
      <c r="G97" s="110">
        <f>表2_3671626293038912131415232425262728313236[[#This Row],[累计净值]]</f>
        <v>1.0508999999999999</v>
      </c>
      <c r="H97" s="20">
        <f>表2_3671626293038912131415232425262728313236[[#This Row],[累计净值]]/$B$40-1</f>
        <v>1.5558562040974167E-2</v>
      </c>
    </row>
    <row r="98" spans="1:8">
      <c r="A98" s="280">
        <v>44292</v>
      </c>
      <c r="B98" s="112">
        <v>1.0544</v>
      </c>
      <c r="C98" s="112">
        <f>C97*(1+表2_3671626293038912131415232425262728313236[[#This Row],[每日盈亏]])</f>
        <v>1.0709167439013068</v>
      </c>
      <c r="D98" s="17">
        <f t="shared" si="10"/>
        <v>3.5000000000000586E-3</v>
      </c>
      <c r="E98" s="109" t="str">
        <f t="shared" si="12"/>
        <v>/</v>
      </c>
      <c r="F98" s="109">
        <f ca="1">IF(表2_3671626293038912131415232425262728313236[[#This Row],[累计净值]]/MAX(INDIRECT("B21:B" &amp; ROW()))-1&lt;F97,表2_3671626293038912131415232425262728313236[[#This Row],[累计净值]]/MAX(INDIRECT("B21:B" &amp; ROW()))-1,F97)</f>
        <v>-7.8418724659048977E-2</v>
      </c>
      <c r="G98" s="110">
        <f>表2_3671626293038912131415232425262728313236[[#This Row],[累计净值]]</f>
        <v>1.0544</v>
      </c>
      <c r="H98" s="20">
        <f>表2_3671626293038912131415232425262728313236[[#This Row],[累计净值]]/$B$40-1</f>
        <v>1.894085813683799E-2</v>
      </c>
    </row>
    <row r="99" spans="1:8">
      <c r="A99" s="280">
        <v>44293</v>
      </c>
      <c r="B99" s="112">
        <v>1.0555000000000001</v>
      </c>
      <c r="C99" s="112">
        <f>C98*(1+表2_3671626293038912131415232425262728313236[[#This Row],[每日盈亏]])</f>
        <v>1.0720947523195983</v>
      </c>
      <c r="D99" s="17">
        <f t="shared" si="10"/>
        <v>1.1000000000001009E-3</v>
      </c>
      <c r="E99" s="109" t="str">
        <f t="shared" si="12"/>
        <v>/</v>
      </c>
      <c r="F99" s="109">
        <f ca="1">IF(表2_3671626293038912131415232425262728313236[[#This Row],[累计净值]]/MAX(INDIRECT("B21:B" &amp; ROW()))-1&lt;F98,表2_3671626293038912131415232425262728313236[[#This Row],[累计净值]]/MAX(INDIRECT("B21:B" &amp; ROW()))-1,F98)</f>
        <v>-7.8418724659048977E-2</v>
      </c>
      <c r="G99" s="110">
        <f>表2_3671626293038912131415232425262728313236[[#This Row],[累计净值]]</f>
        <v>1.0555000000000001</v>
      </c>
      <c r="H99" s="20">
        <f>表2_3671626293038912131415232425262728313236[[#This Row],[累计净值]]/$B$40-1</f>
        <v>2.0003865481252658E-2</v>
      </c>
    </row>
    <row r="100" spans="1:8">
      <c r="A100" s="280">
        <v>44294</v>
      </c>
      <c r="B100" s="112">
        <v>1.0589999999999999</v>
      </c>
      <c r="C100" s="112">
        <f>C99*(1+表2_3671626293038912131415232425262728313236[[#This Row],[每日盈亏]])</f>
        <v>1.0758470839527168</v>
      </c>
      <c r="D100" s="17">
        <f t="shared" si="10"/>
        <v>3.4999999999998366E-3</v>
      </c>
      <c r="E100" s="109" t="str">
        <f t="shared" ref="E100:E105" si="13">IF(D100&lt;0,D100,"/")</f>
        <v>/</v>
      </c>
      <c r="F100" s="109">
        <f ca="1">IF(表2_3671626293038912131415232425262728313236[[#This Row],[累计净值]]/MAX(INDIRECT("B21:B" &amp; ROW()))-1&lt;F99,表2_3671626293038912131415232425262728313236[[#This Row],[累计净值]]/MAX(INDIRECT("B21:B" &amp; ROW()))-1,F99)</f>
        <v>-7.8418724659048977E-2</v>
      </c>
      <c r="G100" s="110">
        <f>表2_3671626293038912131415232425262728313236[[#This Row],[累计净值]]</f>
        <v>1.0589999999999999</v>
      </c>
      <c r="H100" s="20">
        <f>表2_3671626293038912131415232425262728313236[[#This Row],[累计净值]]/$B$40-1</f>
        <v>2.338616157711626E-2</v>
      </c>
    </row>
    <row r="101" spans="1:8">
      <c r="A101" s="280">
        <v>44295</v>
      </c>
      <c r="B101" s="112">
        <v>1.0555000000000001</v>
      </c>
      <c r="C101" s="112">
        <f>C100*(1+表2_3671626293038912131415232425262728313236[[#This Row],[每日盈亏]])</f>
        <v>1.0720816191588824</v>
      </c>
      <c r="D101" s="17">
        <f t="shared" si="10"/>
        <v>-3.4999999999998366E-3</v>
      </c>
      <c r="E101" s="109">
        <f t="shared" si="13"/>
        <v>-3.4999999999998366E-3</v>
      </c>
      <c r="F101" s="109">
        <f ca="1">IF(表2_3671626293038912131415232425262728313236[[#This Row],[累计净值]]/MAX(INDIRECT("B21:B" &amp; ROW()))-1&lt;F100,表2_3671626293038912131415232425262728313236[[#This Row],[累计净值]]/MAX(INDIRECT("B21:B" &amp; ROW()))-1,F100)</f>
        <v>-7.8418724659048977E-2</v>
      </c>
      <c r="G101" s="110">
        <f>表2_3671626293038912131415232425262728313236[[#This Row],[累计净值]]</f>
        <v>1.0555000000000001</v>
      </c>
      <c r="H101" s="20">
        <f>表2_3671626293038912131415232425262728313236[[#This Row],[累计净值]]/$B$40-1</f>
        <v>2.0003865481252658E-2</v>
      </c>
    </row>
    <row r="102" spans="1:8">
      <c r="A102" s="280">
        <v>44298</v>
      </c>
      <c r="B102" s="112">
        <v>1.0403</v>
      </c>
      <c r="C102" s="112">
        <f>C101*(1+表2_3671626293038912131415232425262728313236[[#This Row],[每日盈亏]])</f>
        <v>1.0557859785476673</v>
      </c>
      <c r="D102" s="17">
        <f t="shared" si="10"/>
        <v>-1.5200000000000102E-2</v>
      </c>
      <c r="E102" s="109">
        <f t="shared" si="13"/>
        <v>-1.5200000000000102E-2</v>
      </c>
      <c r="F102" s="109">
        <f ca="1">IF(表2_3671626293038912131415232425262728313236[[#This Row],[累计净值]]/MAX(INDIRECT("B21:B" &amp; ROW()))-1&lt;F101,表2_3671626293038912131415232425262728313236[[#This Row],[累计净值]]/MAX(INDIRECT("B21:B" &amp; ROW()))-1,F101)</f>
        <v>-7.8418724659048977E-2</v>
      </c>
      <c r="G102" s="110">
        <f>表2_3671626293038912131415232425262728313236[[#This Row],[累计净值]]</f>
        <v>1.0403</v>
      </c>
      <c r="H102" s="20">
        <f>表2_3671626293038912131415232425262728313236[[#This Row],[累计净值]]/$B$40-1</f>
        <v>5.3150367220720085E-3</v>
      </c>
    </row>
    <row r="103" spans="1:8">
      <c r="A103" s="280">
        <v>44299</v>
      </c>
      <c r="B103" s="112">
        <v>1.0386</v>
      </c>
      <c r="C103" s="112">
        <f>C102*(1+表2_3671626293038912131415232425262728313236[[#This Row],[每日盈亏]])</f>
        <v>1.0539911423841362</v>
      </c>
      <c r="D103" s="17">
        <f t="shared" si="10"/>
        <v>-1.7000000000000348E-3</v>
      </c>
      <c r="E103" s="109">
        <f t="shared" si="13"/>
        <v>-1.7000000000000348E-3</v>
      </c>
      <c r="F103" s="109">
        <f ca="1">IF(表2_3671626293038912131415232425262728313236[[#This Row],[累计净值]]/MAX(INDIRECT("B21:B" &amp; ROW()))-1&lt;F102,表2_3671626293038912131415232425262728313236[[#This Row],[累计净值]]/MAX(INDIRECT("B21:B" &amp; ROW()))-1,F102)</f>
        <v>-7.8418724659048977E-2</v>
      </c>
      <c r="G103" s="110">
        <f>表2_3671626293038912131415232425262728313236[[#This Row],[累计净值]]</f>
        <v>1.0386</v>
      </c>
      <c r="H103" s="20">
        <f>表2_3671626293038912131415232425262728313236[[#This Row],[累计净值]]/$B$40-1</f>
        <v>3.672207189795218E-3</v>
      </c>
    </row>
    <row r="104" spans="1:8">
      <c r="A104" s="280">
        <v>44300</v>
      </c>
      <c r="B104" s="112">
        <v>1.0495000000000001</v>
      </c>
      <c r="C104" s="112">
        <f>C103*(1+表2_3671626293038912131415232425262728313236[[#This Row],[每日盈亏]])</f>
        <v>1.0654796458361233</v>
      </c>
      <c r="D104" s="17">
        <f t="shared" si="10"/>
        <v>1.0900000000000132E-2</v>
      </c>
      <c r="E104" s="109" t="str">
        <f t="shared" si="13"/>
        <v>/</v>
      </c>
      <c r="F104" s="109">
        <f ca="1">IF(表2_3671626293038912131415232425262728313236[[#This Row],[累计净值]]/MAX(INDIRECT("B21:B" &amp; ROW()))-1&lt;F103,表2_3671626293038912131415232425262728313236[[#This Row],[累计净值]]/MAX(INDIRECT("B21:B" &amp; ROW()))-1,F103)</f>
        <v>-7.8418724659048977E-2</v>
      </c>
      <c r="G104" s="110">
        <f>表2_3671626293038912131415232425262728313236[[#This Row],[累计净值]]</f>
        <v>1.0495000000000001</v>
      </c>
      <c r="H104" s="20">
        <f>表2_3671626293038912131415232425262728313236[[#This Row],[累计净值]]/$B$40-1</f>
        <v>1.420564360262877E-2</v>
      </c>
    </row>
    <row r="105" spans="1:8">
      <c r="A105" s="280">
        <v>44301</v>
      </c>
      <c r="B105" s="112">
        <v>1.0492999999999999</v>
      </c>
      <c r="C105" s="112">
        <f>C104*(1+表2_3671626293038912131415232425262728313236[[#This Row],[每日盈亏]])</f>
        <v>1.0652665499069558</v>
      </c>
      <c r="D105" s="17">
        <f t="shared" si="10"/>
        <v>-2.0000000000020002E-4</v>
      </c>
      <c r="E105" s="109">
        <f t="shared" si="13"/>
        <v>-2.0000000000020002E-4</v>
      </c>
      <c r="F105" s="109">
        <f ca="1">IF(表2_3671626293038912131415232425262728313236[[#This Row],[累计净值]]/MAX(INDIRECT("B21:B" &amp; ROW()))-1&lt;F104,表2_3671626293038912131415232425262728313236[[#This Row],[累计净值]]/MAX(INDIRECT("B21:B" &amp; ROW()))-1,F104)</f>
        <v>-7.8418724659048977E-2</v>
      </c>
      <c r="G105" s="110">
        <f>表2_3671626293038912131415232425262728313236[[#This Row],[累计净值]]</f>
        <v>1.0492999999999999</v>
      </c>
      <c r="H105" s="20">
        <f>表2_3671626293038912131415232425262728313236[[#This Row],[累计净值]]/$B$40-1</f>
        <v>1.4012369540007619E-2</v>
      </c>
    </row>
    <row r="106" spans="1:8">
      <c r="A106" s="280">
        <v>44302</v>
      </c>
      <c r="B106" s="112">
        <v>1.0588</v>
      </c>
      <c r="C106" s="112">
        <f>C105*(1+表2_3671626293038912131415232425262728313236[[#This Row],[每日盈亏]])</f>
        <v>1.075386582131072</v>
      </c>
      <c r="D106" s="17">
        <f t="shared" si="10"/>
        <v>9.5000000000000639E-3</v>
      </c>
      <c r="E106" s="109" t="str">
        <f t="shared" ref="E106:E111" si="14">IF(D106&lt;0,D106,"/")</f>
        <v>/</v>
      </c>
      <c r="F106" s="109">
        <f ca="1">IF(表2_3671626293038912131415232425262728313236[[#This Row],[累计净值]]/MAX(INDIRECT("B21:B" &amp; ROW()))-1&lt;F105,表2_3671626293038912131415232425262728313236[[#This Row],[累计净值]]/MAX(INDIRECT("B21:B" &amp; ROW()))-1,F105)</f>
        <v>-7.8418724659048977E-2</v>
      </c>
      <c r="G106" s="110">
        <f>表2_3671626293038912131415232425262728313236[[#This Row],[累计净值]]</f>
        <v>1.0588</v>
      </c>
      <c r="H106" s="20">
        <f>表2_3671626293038912131415232425262728313236[[#This Row],[累计净值]]/$B$40-1</f>
        <v>2.3192887514495553E-2</v>
      </c>
    </row>
    <row r="107" spans="1:8">
      <c r="A107" s="280">
        <v>44305</v>
      </c>
      <c r="B107" s="112">
        <v>1.0726</v>
      </c>
      <c r="C107" s="112">
        <f>C106*(1+表2_3671626293038912131415232425262728313236[[#This Row],[每日盈亏]])</f>
        <v>1.0902269169644807</v>
      </c>
      <c r="D107" s="17">
        <f t="shared" si="10"/>
        <v>1.3800000000000034E-2</v>
      </c>
      <c r="E107" s="109" t="str">
        <f t="shared" si="14"/>
        <v>/</v>
      </c>
      <c r="F107" s="109">
        <f ca="1">IF(表2_3671626293038912131415232425262728313236[[#This Row],[累计净值]]/MAX(INDIRECT("B21:B" &amp; ROW()))-1&lt;F106,表2_3671626293038912131415232425262728313236[[#This Row],[累计净值]]/MAX(INDIRECT("B21:B" &amp; ROW()))-1,F106)</f>
        <v>-7.8418724659048977E-2</v>
      </c>
      <c r="G107" s="110">
        <f>表2_3671626293038912131415232425262728313236[[#This Row],[累计净值]]</f>
        <v>1.0726</v>
      </c>
      <c r="H107" s="20">
        <f>表2_3671626293038912131415232425262728313236[[#This Row],[累计净值]]/$B$40-1</f>
        <v>3.6528797835330584E-2</v>
      </c>
    </row>
    <row r="108" spans="1:8">
      <c r="A108" s="280">
        <v>44306</v>
      </c>
      <c r="B108" s="112">
        <v>1.0731999999999999</v>
      </c>
      <c r="C108" s="112">
        <f>C107*(1+表2_3671626293038912131415232425262728313236[[#This Row],[每日盈亏]])</f>
        <v>1.0908810531146593</v>
      </c>
      <c r="D108" s="17">
        <f t="shared" si="10"/>
        <v>5.9999999999993392E-4</v>
      </c>
      <c r="E108" s="109" t="str">
        <f t="shared" si="14"/>
        <v>/</v>
      </c>
      <c r="F108" s="109">
        <f ca="1">IF(表2_3671626293038912131415232425262728313236[[#This Row],[累计净值]]/MAX(INDIRECT("B21:B" &amp; ROW()))-1&lt;F107,表2_3671626293038912131415232425262728313236[[#This Row],[累计净值]]/MAX(INDIRECT("B21:B" &amp; ROW()))-1,F107)</f>
        <v>-7.8418724659048977E-2</v>
      </c>
      <c r="G108" s="110">
        <f>表2_3671626293038912131415232425262728313236[[#This Row],[累计净值]]</f>
        <v>1.0731999999999999</v>
      </c>
      <c r="H108" s="20">
        <f>表2_3671626293038912131415232425262728313236[[#This Row],[累计净值]]/$B$40-1</f>
        <v>3.7108620023192929E-2</v>
      </c>
    </row>
    <row r="109" spans="1:8">
      <c r="A109" s="280">
        <v>44307</v>
      </c>
      <c r="B109" s="112">
        <v>1.0711999999999999</v>
      </c>
      <c r="C109" s="112">
        <f>C108*(1+表2_3671626293038912131415232425262728313236[[#This Row],[每日盈亏]])</f>
        <v>1.0886992910084301</v>
      </c>
      <c r="D109" s="17">
        <f t="shared" si="10"/>
        <v>-2.0000000000000018E-3</v>
      </c>
      <c r="E109" s="109">
        <f t="shared" si="14"/>
        <v>-2.0000000000000018E-3</v>
      </c>
      <c r="F109" s="109">
        <f ca="1">IF(表2_3671626293038912131415232425262728313236[[#This Row],[累计净值]]/MAX(INDIRECT("B21:B" &amp; ROW()))-1&lt;F108,表2_3671626293038912131415232425262728313236[[#This Row],[累计净值]]/MAX(INDIRECT("B21:B" &amp; ROW()))-1,F108)</f>
        <v>-7.8418724659048977E-2</v>
      </c>
      <c r="G109" s="110">
        <f>表2_3671626293038912131415232425262728313236[[#This Row],[累计净值]]</f>
        <v>1.0711999999999999</v>
      </c>
      <c r="H109" s="20">
        <f>表2_3671626293038912131415232425262728313236[[#This Row],[累计净值]]/$B$40-1</f>
        <v>3.5175879396984966E-2</v>
      </c>
    </row>
    <row r="110" spans="1:8">
      <c r="A110" s="280">
        <v>44308</v>
      </c>
      <c r="B110" s="112">
        <v>1.075</v>
      </c>
      <c r="C110" s="112">
        <f>C109*(1+表2_3671626293038912131415232425262728313236[[#This Row],[每日盈亏]])</f>
        <v>1.0928363483142622</v>
      </c>
      <c r="D110" s="17">
        <f t="shared" si="10"/>
        <v>3.8000000000000256E-3</v>
      </c>
      <c r="E110" s="109" t="str">
        <f t="shared" si="14"/>
        <v>/</v>
      </c>
      <c r="F110" s="109">
        <f ca="1">IF(表2_3671626293038912131415232425262728313236[[#This Row],[累计净值]]/MAX(INDIRECT("B21:B" &amp; ROW()))-1&lt;F109,表2_3671626293038912131415232425262728313236[[#This Row],[累计净值]]/MAX(INDIRECT("B21:B" &amp; ROW()))-1,F109)</f>
        <v>-7.8418724659048977E-2</v>
      </c>
      <c r="G110" s="110">
        <f>表2_3671626293038912131415232425262728313236[[#This Row],[累计净值]]</f>
        <v>1.075</v>
      </c>
      <c r="H110" s="20">
        <f>表2_3671626293038912131415232425262728313236[[#This Row],[累计净值]]/$B$40-1</f>
        <v>3.8848086586779962E-2</v>
      </c>
    </row>
    <row r="111" spans="1:8">
      <c r="A111" s="280">
        <v>44309</v>
      </c>
      <c r="B111" s="112">
        <v>1.079</v>
      </c>
      <c r="C111" s="112">
        <f>C110*(1+表2_3671626293038912131415232425262728313236[[#This Row],[每日盈亏]])</f>
        <v>1.0972076937075192</v>
      </c>
      <c r="D111" s="17">
        <f t="shared" si="10"/>
        <v>4.0000000000000036E-3</v>
      </c>
      <c r="E111" s="109" t="str">
        <f t="shared" si="14"/>
        <v>/</v>
      </c>
      <c r="F111" s="109">
        <f ca="1">IF(表2_3671626293038912131415232425262728313236[[#This Row],[累计净值]]/MAX(INDIRECT("B21:B" &amp; ROW()))-1&lt;F110,表2_3671626293038912131415232425262728313236[[#This Row],[累计净值]]/MAX(INDIRECT("B21:B" &amp; ROW()))-1,F110)</f>
        <v>-7.8418724659048977E-2</v>
      </c>
      <c r="G111" s="110">
        <f>表2_3671626293038912131415232425262728313236[[#This Row],[累计净值]]</f>
        <v>1.079</v>
      </c>
      <c r="H111" s="20">
        <f>表2_3671626293038912131415232425262728313236[[#This Row],[累计净值]]/$B$40-1</f>
        <v>4.2713567839196109E-2</v>
      </c>
    </row>
    <row r="112" spans="1:8">
      <c r="A112" s="280">
        <v>44312</v>
      </c>
      <c r="B112" s="112">
        <v>1.0761000000000001</v>
      </c>
      <c r="C112" s="112">
        <f>C111*(1+表2_3671626293038912131415232425262728313236[[#This Row],[每日盈亏]])</f>
        <v>1.0940257913957676</v>
      </c>
      <c r="D112" s="17">
        <f t="shared" si="10"/>
        <v>-2.8999999999999027E-3</v>
      </c>
      <c r="E112" s="109">
        <f>IF(D112&lt;0,D112,"/")</f>
        <v>-2.8999999999999027E-3</v>
      </c>
      <c r="F112" s="109">
        <f ca="1">IF(表2_3671626293038912131415232425262728313236[[#This Row],[累计净值]]/MAX(INDIRECT("B21:B" &amp; ROW()))-1&lt;F111,表2_3671626293038912131415232425262728313236[[#This Row],[累计净值]]/MAX(INDIRECT("B21:B" &amp; ROW()))-1,F111)</f>
        <v>-7.8418724659048977E-2</v>
      </c>
      <c r="G112" s="110">
        <f>表2_3671626293038912131415232425262728313236[[#This Row],[累计净值]]</f>
        <v>1.0761000000000001</v>
      </c>
      <c r="H112" s="20">
        <f>表2_3671626293038912131415232425262728313236[[#This Row],[累计净值]]/$B$40-1</f>
        <v>3.991109393119463E-2</v>
      </c>
    </row>
    <row r="113" spans="1:8">
      <c r="A113" s="280">
        <v>44313</v>
      </c>
      <c r="B113" s="112">
        <v>1.0763</v>
      </c>
      <c r="C113" s="112">
        <f>C112*(1+表2_3671626293038912131415232425262728313236[[#This Row],[每日盈亏]])</f>
        <v>1.0942445965540468</v>
      </c>
      <c r="D113" s="17">
        <f t="shared" si="10"/>
        <v>1.9999999999997797E-4</v>
      </c>
      <c r="E113" s="109" t="str">
        <f>IF(D113&lt;0,D113,"/")</f>
        <v>/</v>
      </c>
      <c r="F113" s="109">
        <f ca="1">IF(表2_3671626293038912131415232425262728313236[[#This Row],[累计净值]]/MAX(INDIRECT("B21:B" &amp; ROW()))-1&lt;F112,表2_3671626293038912131415232425262728313236[[#This Row],[累计净值]]/MAX(INDIRECT("B21:B" &amp; ROW()))-1,F112)</f>
        <v>-7.8418724659048977E-2</v>
      </c>
      <c r="G113" s="110">
        <f>表2_3671626293038912131415232425262728313236[[#This Row],[累计净值]]</f>
        <v>1.0763</v>
      </c>
      <c r="H113" s="20">
        <f>表2_3671626293038912131415232425262728313236[[#This Row],[累计净值]]/$B$40-1</f>
        <v>4.0104367993815337E-2</v>
      </c>
    </row>
    <row r="114" spans="1:8">
      <c r="A114" s="280">
        <v>44314</v>
      </c>
      <c r="B114" s="112">
        <v>1.0828</v>
      </c>
      <c r="C114" s="112">
        <f>C113*(1+表2_3671626293038912131415232425262728313236[[#This Row],[每日盈亏]])</f>
        <v>1.101357186431648</v>
      </c>
      <c r="D114" s="17">
        <f t="shared" si="10"/>
        <v>6.4999999999999503E-3</v>
      </c>
      <c r="E114" s="109" t="str">
        <f>IF(D114&lt;0,D114,"/")</f>
        <v>/</v>
      </c>
      <c r="F114" s="109">
        <f ca="1">IF(表2_3671626293038912131415232425262728313236[[#This Row],[累计净值]]/MAX(INDIRECT("B21:B" &amp; ROW()))-1&lt;F113,表2_3671626293038912131415232425262728313236[[#This Row],[累计净值]]/MAX(INDIRECT("B21:B" &amp; ROW()))-1,F113)</f>
        <v>-7.8418724659048977E-2</v>
      </c>
      <c r="G114" s="110">
        <f>表2_3671626293038912131415232425262728313236[[#This Row],[累计净值]]</f>
        <v>1.0828</v>
      </c>
      <c r="H114" s="20">
        <f>表2_3671626293038912131415232425262728313236[[#This Row],[累计净值]]/$B$40-1</f>
        <v>4.6385775028991105E-2</v>
      </c>
    </row>
    <row r="115" spans="1:8">
      <c r="A115" s="280">
        <v>44315</v>
      </c>
      <c r="B115" s="112">
        <v>1.0822000000000001</v>
      </c>
      <c r="C115" s="112">
        <f>C114*(1+表2_3671626293038912131415232425262728313236[[#This Row],[每日盈亏]])</f>
        <v>1.1006963721197891</v>
      </c>
      <c r="D115" s="17">
        <f t="shared" si="10"/>
        <v>-5.9999999999993392E-4</v>
      </c>
      <c r="E115" s="109">
        <f t="shared" ref="E115:E116" si="15">IF(D115&lt;0,D115,"/")</f>
        <v>-5.9999999999993392E-4</v>
      </c>
      <c r="F115" s="109">
        <f ca="1">IF(表2_3671626293038912131415232425262728313236[[#This Row],[累计净值]]/MAX(INDIRECT("B21:B" &amp; ROW()))-1&lt;F114,表2_3671626293038912131415232425262728313236[[#This Row],[累计净值]]/MAX(INDIRECT("B21:B" &amp; ROW()))-1,F114)</f>
        <v>-7.8418724659048977E-2</v>
      </c>
      <c r="G115" s="110">
        <f>表2_3671626293038912131415232425262728313236[[#This Row],[累计净值]]</f>
        <v>1.0822000000000001</v>
      </c>
      <c r="H115" s="20">
        <f>表2_3671626293038912131415232425262728313236[[#This Row],[累计净值]]/$B$40-1</f>
        <v>4.5805952841128761E-2</v>
      </c>
    </row>
    <row r="116" spans="1:8">
      <c r="A116" s="280">
        <v>44316</v>
      </c>
      <c r="B116" s="112">
        <v>1.0823</v>
      </c>
      <c r="C116" s="112">
        <f>C115*(1+表2_3671626293038912131415232425262728313236[[#This Row],[每日盈亏]])</f>
        <v>1.1008064417570012</v>
      </c>
      <c r="D116" s="17">
        <f t="shared" si="10"/>
        <v>9.9999999999988987E-5</v>
      </c>
      <c r="E116" s="109" t="str">
        <f t="shared" si="15"/>
        <v>/</v>
      </c>
      <c r="F116" s="109">
        <f ca="1">IF(表2_3671626293038912131415232425262728313236[[#This Row],[累计净值]]/MAX(INDIRECT("B21:B" &amp; ROW()))-1&lt;F115,表2_3671626293038912131415232425262728313236[[#This Row],[累计净值]]/MAX(INDIRECT("B21:B" &amp; ROW()))-1,F115)</f>
        <v>-7.8418724659048977E-2</v>
      </c>
      <c r="G116" s="110">
        <f>表2_3671626293038912131415232425262728313236[[#This Row],[累计净值]]</f>
        <v>1.0823</v>
      </c>
      <c r="H116" s="20">
        <f>表2_3671626293038912131415232425262728313236[[#This Row],[累计净值]]/$B$40-1</f>
        <v>4.5902589872439226E-2</v>
      </c>
    </row>
    <row r="117" spans="1:8">
      <c r="A117" s="280">
        <v>44322</v>
      </c>
      <c r="B117" s="112">
        <v>1.0846</v>
      </c>
      <c r="C117" s="112">
        <f>C116*(1+表2_3671626293038912131415232425262728313236[[#This Row],[每日盈亏]])</f>
        <v>1.1033382965730423</v>
      </c>
      <c r="D117" s="17">
        <f t="shared" si="10"/>
        <v>2.2999999999999687E-3</v>
      </c>
      <c r="E117" s="109" t="str">
        <f t="shared" ref="E117:E122" si="16">IF(D117&lt;0,D117,"/")</f>
        <v>/</v>
      </c>
      <c r="F117" s="109">
        <f ca="1">IF(表2_3671626293038912131415232425262728313236[[#This Row],[累计净值]]/MAX(INDIRECT("B21:B" &amp; ROW()))-1&lt;F116,表2_3671626293038912131415232425262728313236[[#This Row],[累计净值]]/MAX(INDIRECT("B21:B" &amp; ROW()))-1,F116)</f>
        <v>-7.8418724659048977E-2</v>
      </c>
      <c r="G117" s="110">
        <f>表2_3671626293038912131415232425262728313236[[#This Row],[累计净值]]</f>
        <v>1.0846</v>
      </c>
      <c r="H117" s="20">
        <f>表2_3671626293038912131415232425262728313236[[#This Row],[累计净值]]/$B$40-1</f>
        <v>4.8125241592578361E-2</v>
      </c>
    </row>
    <row r="118" spans="1:8">
      <c r="A118" s="280">
        <v>44323</v>
      </c>
      <c r="B118" s="112">
        <v>1.0784</v>
      </c>
      <c r="C118" s="112">
        <f>C117*(1+表2_3671626293038912131415232425262728313236[[#This Row],[每日盈亏]])</f>
        <v>1.0964975991342893</v>
      </c>
      <c r="D118" s="17">
        <f t="shared" si="10"/>
        <v>-6.1999999999999833E-3</v>
      </c>
      <c r="E118" s="109">
        <f t="shared" si="16"/>
        <v>-6.1999999999999833E-3</v>
      </c>
      <c r="F118" s="109">
        <f ca="1">IF(表2_3671626293038912131415232425262728313236[[#This Row],[累计净值]]/MAX(INDIRECT("B21:B" &amp; ROW()))-1&lt;F117,表2_3671626293038912131415232425262728313236[[#This Row],[累计净值]]/MAX(INDIRECT("B21:B" &amp; ROW()))-1,F117)</f>
        <v>-7.8418724659048977E-2</v>
      </c>
      <c r="G118" s="110">
        <f>表2_3671626293038912131415232425262728313236[[#This Row],[累计净值]]</f>
        <v>1.0784</v>
      </c>
      <c r="H118" s="20">
        <f>表2_3671626293038912131415232425262728313236[[#This Row],[累计净值]]/$B$40-1</f>
        <v>4.2133745651333765E-2</v>
      </c>
    </row>
    <row r="119" spans="1:8">
      <c r="A119" s="280">
        <v>44326</v>
      </c>
      <c r="B119" s="112">
        <v>1.085</v>
      </c>
      <c r="C119" s="112">
        <f>C118*(1+表2_3671626293038912131415232425262728313236[[#This Row],[每日盈亏]])</f>
        <v>1.1037344832885756</v>
      </c>
      <c r="D119" s="17">
        <f t="shared" si="10"/>
        <v>6.5999999999999392E-3</v>
      </c>
      <c r="E119" s="109" t="str">
        <f t="shared" si="16"/>
        <v>/</v>
      </c>
      <c r="F119" s="109">
        <f ca="1">IF(表2_3671626293038912131415232425262728313236[[#This Row],[累计净值]]/MAX(INDIRECT("B21:B" &amp; ROW()))-1&lt;F118,表2_3671626293038912131415232425262728313236[[#This Row],[累计净值]]/MAX(INDIRECT("B21:B" &amp; ROW()))-1,F118)</f>
        <v>-7.8418724659048977E-2</v>
      </c>
      <c r="G119" s="110">
        <f>表2_3671626293038912131415232425262728313236[[#This Row],[累计净值]]</f>
        <v>1.085</v>
      </c>
      <c r="H119" s="20">
        <f>表2_3671626293038912131415232425262728313236[[#This Row],[累计净值]]/$B$40-1</f>
        <v>4.8511789717819997E-2</v>
      </c>
    </row>
    <row r="120" spans="1:8">
      <c r="A120" s="280">
        <v>44327</v>
      </c>
      <c r="B120" s="112">
        <v>1.083</v>
      </c>
      <c r="C120" s="112">
        <f>C119*(1+表2_3671626293038912131415232425262728313236[[#This Row],[每日盈亏]])</f>
        <v>1.1015270143219984</v>
      </c>
      <c r="D120" s="17">
        <f t="shared" si="10"/>
        <v>-2.0000000000000018E-3</v>
      </c>
      <c r="E120" s="109">
        <f t="shared" si="16"/>
        <v>-2.0000000000000018E-3</v>
      </c>
      <c r="F120" s="109">
        <f ca="1">IF(表2_3671626293038912131415232425262728313236[[#This Row],[累计净值]]/MAX(INDIRECT("B21:B" &amp; ROW()))-1&lt;F119,表2_3671626293038912131415232425262728313236[[#This Row],[累计净值]]/MAX(INDIRECT("B21:B" &amp; ROW()))-1,F119)</f>
        <v>-7.8418724659048977E-2</v>
      </c>
      <c r="G120" s="110">
        <f>表2_3671626293038912131415232425262728313236[[#This Row],[累计净值]]</f>
        <v>1.083</v>
      </c>
      <c r="H120" s="20">
        <f>表2_3671626293038912131415232425262728313236[[#This Row],[累计净值]]/$B$40-1</f>
        <v>4.6579049091612035E-2</v>
      </c>
    </row>
    <row r="121" spans="1:8">
      <c r="A121" s="280">
        <v>44328</v>
      </c>
      <c r="B121" s="112">
        <v>1.0927</v>
      </c>
      <c r="C121" s="112">
        <f>C120*(1+表2_3671626293038912131415232425262728313236[[#This Row],[每日盈亏]])</f>
        <v>1.1122118263609218</v>
      </c>
      <c r="D121" s="17">
        <f t="shared" si="10"/>
        <v>9.7000000000000419E-3</v>
      </c>
      <c r="E121" s="109" t="str">
        <f t="shared" si="16"/>
        <v>/</v>
      </c>
      <c r="F121" s="109">
        <f ca="1">IF(表2_3671626293038912131415232425262728313236[[#This Row],[累计净值]]/MAX(INDIRECT("B21:B" &amp; ROW()))-1&lt;F120,表2_3671626293038912131415232425262728313236[[#This Row],[累计净值]]/MAX(INDIRECT("B21:B" &amp; ROW()))-1,F120)</f>
        <v>-7.8418724659048977E-2</v>
      </c>
      <c r="G121" s="110">
        <f>表2_3671626293038912131415232425262728313236[[#This Row],[累计净值]]</f>
        <v>1.0927</v>
      </c>
      <c r="H121" s="20">
        <f>表2_3671626293038912131415232425262728313236[[#This Row],[累计净值]]/$B$40-1</f>
        <v>5.5952841128720676E-2</v>
      </c>
    </row>
    <row r="122" spans="1:8">
      <c r="A122" s="280">
        <v>44329</v>
      </c>
      <c r="B122" s="112">
        <v>1.0808</v>
      </c>
      <c r="C122" s="112">
        <f>C121*(1+表2_3671626293038912131415232425262728313236[[#This Row],[每日盈亏]])</f>
        <v>1.0989765056272267</v>
      </c>
      <c r="D122" s="17">
        <f t="shared" si="10"/>
        <v>-1.1900000000000022E-2</v>
      </c>
      <c r="E122" s="109">
        <f t="shared" si="16"/>
        <v>-1.1900000000000022E-2</v>
      </c>
      <c r="F122" s="109">
        <f ca="1">IF(表2_3671626293038912131415232425262728313236[[#This Row],[累计净值]]/MAX(INDIRECT("B21:B" &amp; ROW()))-1&lt;F121,表2_3671626293038912131415232425262728313236[[#This Row],[累计净值]]/MAX(INDIRECT("B21:B" &amp; ROW()))-1,F121)</f>
        <v>-7.8418724659048977E-2</v>
      </c>
      <c r="G122" s="110">
        <f>表2_3671626293038912131415232425262728313236[[#This Row],[累计净值]]</f>
        <v>1.0808</v>
      </c>
      <c r="H122" s="20">
        <f>表2_3671626293038912131415232425262728313236[[#This Row],[累计净值]]/$B$40-1</f>
        <v>4.4453034402783143E-2</v>
      </c>
    </row>
    <row r="123" spans="1:8">
      <c r="A123" s="280">
        <v>44330</v>
      </c>
      <c r="B123" s="112">
        <v>1.0948</v>
      </c>
      <c r="C123" s="112">
        <f>C122*(1+表2_3671626293038912131415232425262728313236[[#This Row],[每日盈亏]])</f>
        <v>1.1143621767060079</v>
      </c>
      <c r="D123" s="17">
        <f t="shared" si="10"/>
        <v>1.4000000000000012E-2</v>
      </c>
      <c r="E123" s="109" t="str">
        <f>IF(D123&lt;0,D123,"/")</f>
        <v>/</v>
      </c>
      <c r="F123" s="109">
        <f ca="1">IF(表2_3671626293038912131415232425262728313236[[#This Row],[累计净值]]/MAX(INDIRECT("B21:B" &amp; ROW()))-1&lt;F122,表2_3671626293038912131415232425262728313236[[#This Row],[累计净值]]/MAX(INDIRECT("B21:B" &amp; ROW()))-1,F122)</f>
        <v>-7.8418724659048977E-2</v>
      </c>
      <c r="G123" s="110">
        <f>表2_3671626293038912131415232425262728313236[[#This Row],[累计净值]]</f>
        <v>1.0948</v>
      </c>
      <c r="H123" s="20">
        <f>表2_3671626293038912131415232425262728313236[[#This Row],[累计净值]]/$B$40-1</f>
        <v>5.7982218786238882E-2</v>
      </c>
    </row>
    <row r="124" spans="1:8">
      <c r="A124" s="280">
        <v>44333</v>
      </c>
      <c r="B124" s="112">
        <v>1.1034999999999999</v>
      </c>
      <c r="C124" s="112">
        <f>C123*(1+表2_3671626293038912131415232425262728313236[[#This Row],[每日盈亏]])</f>
        <v>1.1143621767060079</v>
      </c>
      <c r="D124" s="108">
        <f>IFERROR(#REF!-B123,0)</f>
        <v>0</v>
      </c>
      <c r="E124" s="109" t="str">
        <f>IF(D124&lt;0,D124,"/")</f>
        <v>/</v>
      </c>
      <c r="F124" s="109">
        <f ca="1">IF(表2_3671626293038912131415232425262728313236[[#This Row],[累计净值]]/MAX(INDIRECT("B21:B" &amp; ROW()))-1&lt;F123,表2_3671626293038912131415232425262728313236[[#This Row],[累计净值]]/MAX(INDIRECT("B21:B" &amp; ROW()))-1,F123)</f>
        <v>-7.8418724659048977E-2</v>
      </c>
      <c r="G124" s="110">
        <f>表2_3671626293038912131415232425262728313236[[#This Row],[累计净值]]</f>
        <v>1.1034999999999999</v>
      </c>
      <c r="H124" s="20">
        <f>表2_3671626293038912131415232425262728313236[[#This Row],[累计净值]]/$B$40-1</f>
        <v>6.6389640510243542E-2</v>
      </c>
    </row>
    <row r="125" spans="1:8">
      <c r="A125" s="280">
        <v>44334</v>
      </c>
      <c r="B125" s="112">
        <v>1.107</v>
      </c>
      <c r="C125" s="112"/>
      <c r="D125" s="108">
        <f>IFERROR(#REF!-B124,0)</f>
        <v>0</v>
      </c>
      <c r="E125" s="109" t="str">
        <f>IF(D125&lt;0,D125,"/")</f>
        <v>/</v>
      </c>
      <c r="F125" s="109">
        <f ca="1">IF(表2_3671626293038912131415232425262728313236[[#This Row],[累计净值]]/MAX(INDIRECT("B21:B" &amp; ROW()))-1&lt;F124,表2_3671626293038912131415232425262728313236[[#This Row],[累计净值]]/MAX(INDIRECT("B21:B" &amp; ROW()))-1,F124)</f>
        <v>-7.8418724659048977E-2</v>
      </c>
      <c r="G125" s="110">
        <f>表2_3671626293038912131415232425262728313236[[#This Row],[累计净值]]</f>
        <v>1.107</v>
      </c>
      <c r="H125" s="20">
        <f>表2_3671626293038912131415232425262728313236[[#This Row],[累计净值]]/$B$40-1</f>
        <v>6.9771936606107587E-2</v>
      </c>
    </row>
  </sheetData>
  <mergeCells count="1">
    <mergeCell ref="H2:H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J126"/>
  <sheetViews>
    <sheetView workbookViewId="0">
      <selection activeCell="E3" sqref="E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COUNT(表2_367162629303891213141523242526272831323637[每日盈亏])</f>
        <v>106</v>
      </c>
      <c r="C2" s="27"/>
      <c r="D2" s="3" t="s">
        <v>1</v>
      </c>
      <c r="E2" s="28"/>
      <c r="F2" s="1" t="s">
        <v>2</v>
      </c>
      <c r="G2" s="400" t="s">
        <v>3</v>
      </c>
    </row>
    <row r="3" spans="1:7">
      <c r="A3" s="25" t="s">
        <v>4</v>
      </c>
      <c r="B3" s="26">
        <f>COUNTIF(表2_367162629303891213141523242526272831323637[每日盈亏],"&gt;0")</f>
        <v>56</v>
      </c>
      <c r="C3" s="29"/>
      <c r="D3" s="30" t="s">
        <v>5</v>
      </c>
      <c r="E3" s="31">
        <f>245^0.5*(B10-0.025/365)/E10</f>
        <v>0.44718859259630878</v>
      </c>
      <c r="G3" s="400"/>
    </row>
    <row r="4" spans="1:7">
      <c r="A4" s="25" t="s">
        <v>6</v>
      </c>
      <c r="B4" s="26">
        <f>COUNTIF(表2_367162629303891213141523242526272831323637[每日盈亏],"&lt;0")</f>
        <v>48</v>
      </c>
      <c r="C4" s="29"/>
      <c r="D4" s="32" t="s">
        <v>7</v>
      </c>
      <c r="E4" s="31">
        <f ca="1">-B9/E8</f>
        <v>0.96571654051574085</v>
      </c>
      <c r="G4" s="2">
        <f>LOOKUP(999^10,表2_367162629303891213141523242526272831323637[累计净值])</f>
        <v>1.0435000000000001</v>
      </c>
    </row>
    <row r="5" spans="1:7">
      <c r="A5" s="25" t="s">
        <v>8</v>
      </c>
      <c r="B5" s="26">
        <f>B2-B3-B4</f>
        <v>2</v>
      </c>
      <c r="C5" s="29"/>
      <c r="D5" s="33" t="s">
        <v>9</v>
      </c>
      <c r="E5" s="4">
        <f>245^0.5*(B10-0.025/365)/E9</f>
        <v>0.70011796096416357</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LOOKUP(999^10,表2_367162629303891213141523242526272831323637[累计净值])/$B$21-1</f>
        <v>4.4022011005502737E-2</v>
      </c>
      <c r="C8" s="40"/>
      <c r="D8" s="30" t="s">
        <v>13</v>
      </c>
      <c r="E8" s="41">
        <f ca="1">MIN(表2_367162629303891213141523242526272831323637[最大回撤])</f>
        <v>-0.10536113179448992</v>
      </c>
    </row>
    <row r="9" spans="1:7">
      <c r="A9" s="25" t="s">
        <v>14</v>
      </c>
      <c r="B9" s="32">
        <f>B8*245/B2</f>
        <v>0.10174898770139783</v>
      </c>
      <c r="C9" s="40"/>
      <c r="D9" s="33" t="s">
        <v>15</v>
      </c>
      <c r="E9" s="6">
        <f>STDEV(表2_367162629303891213141523242526272831323637[下跌幅度])</f>
        <v>7.7489323789915934E-3</v>
      </c>
    </row>
    <row r="10" spans="1:7">
      <c r="A10" s="42" t="s">
        <v>16</v>
      </c>
      <c r="B10" s="43">
        <f>AVERAGE(表2_367162629303891213141523242526272831323637[每日盈亏])</f>
        <v>4.1509433962264188E-4</v>
      </c>
      <c r="C10" s="44"/>
      <c r="D10" s="33" t="s">
        <v>17</v>
      </c>
      <c r="E10" s="6">
        <f>STDEV(表2_367162629303891213141523242526272831323637[每日盈亏])</f>
        <v>1.2131719875346303E-2</v>
      </c>
    </row>
    <row r="11" spans="1:7">
      <c r="A11" s="7" t="s">
        <v>18</v>
      </c>
      <c r="B11" s="32">
        <f>B3/B2</f>
        <v>0.52830188679245282</v>
      </c>
      <c r="C11" s="40"/>
      <c r="D11" s="32" t="s">
        <v>19</v>
      </c>
      <c r="E11" s="41">
        <f>245^0.5*E10</f>
        <v>0.18989145227681728</v>
      </c>
    </row>
    <row r="12" spans="1:7" ht="16" thickBot="1">
      <c r="A12" s="45" t="s">
        <v>20</v>
      </c>
      <c r="B12" s="46">
        <f>-(SUMIF(表2_367162629303891213141523242526272831323637[每日盈亏],"&gt;=0")/B3)/(SUMIF(表2_367162629303891213141523242526272831323637[每日盈亏],"&lt;0")/B4)</f>
        <v>0.93428396107880674</v>
      </c>
      <c r="C12" s="47"/>
      <c r="D12" s="48"/>
      <c r="E12" s="49"/>
    </row>
    <row r="14" spans="1:7" ht="32">
      <c r="A14" s="50" t="s">
        <v>21</v>
      </c>
      <c r="B14" s="50" t="s">
        <v>14</v>
      </c>
      <c r="C14" s="51" t="s">
        <v>19</v>
      </c>
      <c r="D14" s="51" t="s">
        <v>13</v>
      </c>
      <c r="E14" s="51" t="s">
        <v>5</v>
      </c>
      <c r="F14" s="51" t="s">
        <v>7</v>
      </c>
    </row>
    <row r="15" spans="1:7">
      <c r="A15" s="78">
        <f>B2</f>
        <v>106</v>
      </c>
      <c r="B15" s="53">
        <f>B9</f>
        <v>0.10174898770139783</v>
      </c>
      <c r="C15" s="53">
        <f>E11</f>
        <v>0.18989145227681728</v>
      </c>
      <c r="D15" s="53">
        <f ca="1">E8</f>
        <v>-0.10536113179448992</v>
      </c>
      <c r="E15" s="54">
        <f>E3</f>
        <v>0.44718859259630878</v>
      </c>
      <c r="F15" s="54">
        <f ca="1">E4</f>
        <v>0.96571654051574085</v>
      </c>
    </row>
    <row r="19" spans="1:10">
      <c r="A19" s="8"/>
      <c r="B19" s="1" t="s">
        <v>22</v>
      </c>
    </row>
    <row r="20" spans="1:10" ht="16">
      <c r="A20" s="22" t="s">
        <v>23</v>
      </c>
      <c r="B20" s="22" t="s">
        <v>24</v>
      </c>
      <c r="C20" s="22" t="s">
        <v>113</v>
      </c>
      <c r="D20" s="22" t="s">
        <v>25</v>
      </c>
      <c r="E20" s="22" t="s">
        <v>26</v>
      </c>
      <c r="F20" s="22" t="s">
        <v>27</v>
      </c>
      <c r="G20" s="22" t="s">
        <v>28</v>
      </c>
      <c r="H20" s="22" t="s">
        <v>29</v>
      </c>
    </row>
    <row r="21" spans="1:10">
      <c r="A21" s="15">
        <v>44172</v>
      </c>
      <c r="B21" s="204">
        <v>0.99950000000000006</v>
      </c>
      <c r="C21" s="204"/>
      <c r="D21" s="57">
        <f t="shared" ref="D21:D52" si="0">IFERROR(B21-B20,0)</f>
        <v>0</v>
      </c>
      <c r="E21" s="58" t="str">
        <f t="shared" ref="E21:E43" si="1">IF(D21&lt;0,D21,"/")</f>
        <v>/</v>
      </c>
      <c r="F21" s="58">
        <f ca="1">IF(表2_367162629303891213141523242526272831323637[[#This Row],[累计净值]]/MAX(INDIRECT("B21:B" &amp; ROW()))-1&lt;F20,表2_367162629303891213141523242526272831323637[[#This Row],[累计净值]]/MAX(INDIRECT("B21:B" &amp; ROW()))-1,F20)</f>
        <v>0</v>
      </c>
      <c r="G21" s="21">
        <f>表2_367162629303891213141523242526272831323637[[#This Row],[累计净值]]</f>
        <v>0.99950000000000006</v>
      </c>
      <c r="H21" s="205"/>
    </row>
    <row r="22" spans="1:10">
      <c r="A22" s="15">
        <v>44173</v>
      </c>
      <c r="B22" s="112">
        <v>0.99939999999999996</v>
      </c>
      <c r="C22" s="112"/>
      <c r="D22" s="17">
        <f t="shared" si="0"/>
        <v>-1.0000000000010001E-4</v>
      </c>
      <c r="E22" s="18">
        <f t="shared" si="1"/>
        <v>-1.0000000000010001E-4</v>
      </c>
      <c r="F22" s="18">
        <f ca="1">IF(表2_367162629303891213141523242526272831323637[[#This Row],[累计净值]]/MAX(INDIRECT("B21:B" &amp; ROW()))-1&lt;F21,表2_367162629303891213141523242526272831323637[[#This Row],[累计净值]]/MAX(INDIRECT("B21:B" &amp; ROW()))-1,F21)</f>
        <v>-1.0005002501256577E-4</v>
      </c>
      <c r="G22" s="19">
        <f>表2_367162629303891213141523242526272831323637[[#This Row],[累计净值]]</f>
        <v>0.99939999999999996</v>
      </c>
      <c r="H22" s="118"/>
    </row>
    <row r="23" spans="1:10">
      <c r="A23" s="15">
        <v>44174</v>
      </c>
      <c r="B23" s="112">
        <v>0.99539999999999995</v>
      </c>
      <c r="C23" s="112"/>
      <c r="D23" s="108">
        <f t="shared" si="0"/>
        <v>-4.0000000000000036E-3</v>
      </c>
      <c r="E23" s="109">
        <f t="shared" si="1"/>
        <v>-4.0000000000000036E-3</v>
      </c>
      <c r="F23" s="109">
        <f ca="1">IF(表2_367162629303891213141523242526272831323637[[#This Row],[累计净值]]/MAX(INDIRECT("B21:B" &amp; ROW()))-1&lt;F22,表2_367162629303891213141523242526272831323637[[#This Row],[累计净值]]/MAX(INDIRECT("B21:B" &amp; ROW()))-1,F22)</f>
        <v>-4.102051025512865E-3</v>
      </c>
      <c r="G23" s="110">
        <f>表2_367162629303891213141523242526272831323637[[#This Row],[累计净值]]</f>
        <v>0.99539999999999995</v>
      </c>
      <c r="H23" s="20"/>
    </row>
    <row r="24" spans="1:10">
      <c r="A24" s="15">
        <v>44175</v>
      </c>
      <c r="B24" s="112">
        <v>0.998</v>
      </c>
      <c r="C24" s="112"/>
      <c r="D24" s="108">
        <f t="shared" si="0"/>
        <v>2.6000000000000467E-3</v>
      </c>
      <c r="E24" s="109" t="str">
        <f t="shared" si="1"/>
        <v>/</v>
      </c>
      <c r="F24" s="109">
        <f ca="1">IF(表2_367162629303891213141523242526272831323637[[#This Row],[累计净值]]/MAX(INDIRECT("B21:B" &amp; ROW()))-1&lt;F23,表2_367162629303891213141523242526272831323637[[#This Row],[累计净值]]/MAX(INDIRECT("B21:B" &amp; ROW()))-1,F23)</f>
        <v>-4.102051025512865E-3</v>
      </c>
      <c r="G24" s="110">
        <f>表2_367162629303891213141523242526272831323637[[#This Row],[累计净值]]</f>
        <v>0.998</v>
      </c>
      <c r="H24" s="20"/>
    </row>
    <row r="25" spans="1:10">
      <c r="A25" s="15">
        <v>44176</v>
      </c>
      <c r="B25" s="112">
        <v>0.98119999999999996</v>
      </c>
      <c r="C25" s="112">
        <v>1</v>
      </c>
      <c r="D25" s="108">
        <f t="shared" si="0"/>
        <v>-1.6800000000000037E-2</v>
      </c>
      <c r="E25" s="109">
        <f t="shared" si="1"/>
        <v>-1.6800000000000037E-2</v>
      </c>
      <c r="F25" s="109">
        <f ca="1">IF(表2_367162629303891213141523242526272831323637[[#This Row],[累计净值]]/MAX(INDIRECT("B21:B" &amp; ROW()))-1&lt;F24,表2_367162629303891213141523242526272831323637[[#This Row],[累计净值]]/MAX(INDIRECT("B21:B" &amp; ROW()))-1,F24)</f>
        <v>-1.8309154577288766E-2</v>
      </c>
      <c r="G25" s="110">
        <f>表2_367162629303891213141523242526272831323637[[#This Row],[累计净值]]</f>
        <v>0.98119999999999996</v>
      </c>
      <c r="H25" s="20"/>
    </row>
    <row r="26" spans="1:10">
      <c r="A26" s="15">
        <v>44179</v>
      </c>
      <c r="B26" s="112">
        <v>0.98499999999999999</v>
      </c>
      <c r="C26" s="112">
        <f>C25*(1+表2_367162629303891213141523242526272831323637[[#This Row],[每日盈亏]])</f>
        <v>1.0038</v>
      </c>
      <c r="D26" s="108">
        <f t="shared" si="0"/>
        <v>3.8000000000000256E-3</v>
      </c>
      <c r="E26" s="109" t="str">
        <f t="shared" si="1"/>
        <v>/</v>
      </c>
      <c r="F26" s="109">
        <f ca="1">IF(表2_367162629303891213141523242526272831323637[[#This Row],[累计净值]]/MAX(INDIRECT("B21:B" &amp; ROW()))-1&lt;F25,表2_367162629303891213141523242526272831323637[[#This Row],[累计净值]]/MAX(INDIRECT("B21:B" &amp; ROW()))-1,F25)</f>
        <v>-1.8309154577288766E-2</v>
      </c>
      <c r="G26" s="110">
        <f>表2_367162629303891213141523242526272831323637[[#This Row],[累计净值]]</f>
        <v>0.98499999999999999</v>
      </c>
      <c r="H26" s="20"/>
    </row>
    <row r="27" spans="1:10">
      <c r="A27" s="15">
        <v>44180</v>
      </c>
      <c r="B27" s="112">
        <v>0.98980000000000001</v>
      </c>
      <c r="C27" s="112">
        <f>C26*(1+表2_367162629303891213141523242526272831323637[[#This Row],[每日盈亏]])</f>
        <v>1.0086182399999999</v>
      </c>
      <c r="D27" s="108">
        <f t="shared" si="0"/>
        <v>4.8000000000000265E-3</v>
      </c>
      <c r="E27" s="109" t="str">
        <f t="shared" si="1"/>
        <v>/</v>
      </c>
      <c r="F27" s="109">
        <f ca="1">IF(表2_367162629303891213141523242526272831323637[[#This Row],[累计净值]]/MAX(INDIRECT("B21:B" &amp; ROW()))-1&lt;F26,表2_367162629303891213141523242526272831323637[[#This Row],[累计净值]]/MAX(INDIRECT("B21:B" &amp; ROW()))-1,F26)</f>
        <v>-1.8309154577288766E-2</v>
      </c>
      <c r="G27" s="110">
        <f>表2_367162629303891213141523242526272831323637[[#This Row],[累计净值]]</f>
        <v>0.98980000000000001</v>
      </c>
      <c r="H27" s="20"/>
    </row>
    <row r="28" spans="1:10">
      <c r="A28" s="15">
        <v>44181</v>
      </c>
      <c r="B28" s="112">
        <v>0.98319999999999996</v>
      </c>
      <c r="C28" s="112">
        <f>C27*(1+表2_367162629303891213141523242526272831323637[[#This Row],[每日盈亏]])</f>
        <v>1.0019613596159997</v>
      </c>
      <c r="D28" s="108">
        <f t="shared" si="0"/>
        <v>-6.6000000000000503E-3</v>
      </c>
      <c r="E28" s="109">
        <f t="shared" si="1"/>
        <v>-6.6000000000000503E-3</v>
      </c>
      <c r="F28" s="109">
        <f ca="1">IF(表2_367162629303891213141523242526272831323637[[#This Row],[累计净值]]/MAX(INDIRECT("B21:B" &amp; ROW()))-1&lt;F27,表2_367162629303891213141523242526272831323637[[#This Row],[累计净值]]/MAX(INDIRECT("B21:B" &amp; ROW()))-1,F27)</f>
        <v>-1.8309154577288766E-2</v>
      </c>
      <c r="G28" s="110">
        <f>表2_367162629303891213141523242526272831323637[[#This Row],[累计净值]]</f>
        <v>0.98319999999999996</v>
      </c>
      <c r="H28" s="20"/>
    </row>
    <row r="29" spans="1:10">
      <c r="A29" s="15">
        <v>44182</v>
      </c>
      <c r="B29" s="112">
        <v>0.99380000000000002</v>
      </c>
      <c r="C29" s="112">
        <f>C28*(1+表2_367162629303891213141523242526272831323637[[#This Row],[每日盈亏]])</f>
        <v>1.0125821500279295</v>
      </c>
      <c r="D29" s="108">
        <f t="shared" si="0"/>
        <v>1.0600000000000054E-2</v>
      </c>
      <c r="E29" s="109" t="str">
        <f t="shared" si="1"/>
        <v>/</v>
      </c>
      <c r="F29" s="109">
        <f ca="1">IF(表2_367162629303891213141523242526272831323637[[#This Row],[累计净值]]/MAX(INDIRECT("B21:B" &amp; ROW()))-1&lt;F28,表2_367162629303891213141523242526272831323637[[#This Row],[累计净值]]/MAX(INDIRECT("B21:B" &amp; ROW()))-1,F28)</f>
        <v>-1.8309154577288766E-2</v>
      </c>
      <c r="G29" s="110">
        <f>表2_367162629303891213141523242526272831323637[[#This Row],[累计净值]]</f>
        <v>0.99380000000000002</v>
      </c>
      <c r="H29" s="20"/>
      <c r="J29" s="196" t="s">
        <v>44</v>
      </c>
    </row>
    <row r="30" spans="1:10">
      <c r="A30" s="15">
        <v>44183</v>
      </c>
      <c r="B30" s="112">
        <v>0.98939999999999995</v>
      </c>
      <c r="C30" s="112">
        <f>C29*(1+表2_367162629303891213141523242526272831323637[[#This Row],[每日盈亏]])</f>
        <v>1.0081267885678065</v>
      </c>
      <c r="D30" s="108">
        <f t="shared" si="0"/>
        <v>-4.4000000000000705E-3</v>
      </c>
      <c r="E30" s="109">
        <f t="shared" si="1"/>
        <v>-4.4000000000000705E-3</v>
      </c>
      <c r="F30" s="109">
        <f ca="1">IF(表2_367162629303891213141523242526272831323637[[#This Row],[累计净值]]/MAX(INDIRECT("B21:B" &amp; ROW()))-1&lt;F29,表2_367162629303891213141523242526272831323637[[#This Row],[累计净值]]/MAX(INDIRECT("B21:B" &amp; ROW()))-1,F29)</f>
        <v>-1.8309154577288766E-2</v>
      </c>
      <c r="G30" s="110">
        <f>表2_367162629303891213141523242526272831323637[[#This Row],[累计净值]]</f>
        <v>0.98939999999999995</v>
      </c>
      <c r="H30" s="20"/>
    </row>
    <row r="31" spans="1:10">
      <c r="A31" s="15">
        <v>44186</v>
      </c>
      <c r="B31" s="112">
        <v>1.0077</v>
      </c>
      <c r="C31" s="112">
        <f>C30*(1+表2_367162629303891213141523242526272831323637[[#This Row],[每日盈亏]])</f>
        <v>1.0265755087985973</v>
      </c>
      <c r="D31" s="108">
        <f t="shared" si="0"/>
        <v>1.8300000000000094E-2</v>
      </c>
      <c r="E31" s="109" t="str">
        <f t="shared" si="1"/>
        <v>/</v>
      </c>
      <c r="F31" s="109">
        <f ca="1">IF(表2_367162629303891213141523242526272831323637[[#This Row],[累计净值]]/MAX(INDIRECT("B21:B" &amp; ROW()))-1&lt;F30,表2_367162629303891213141523242526272831323637[[#This Row],[累计净值]]/MAX(INDIRECT("B21:B" &amp; ROW()))-1,F30)</f>
        <v>-1.8309154577288766E-2</v>
      </c>
      <c r="G31" s="110">
        <f>表2_367162629303891213141523242526272831323637[[#This Row],[累计净值]]</f>
        <v>1.0077</v>
      </c>
      <c r="H31" s="20"/>
    </row>
    <row r="32" spans="1:10">
      <c r="A32" s="15">
        <v>44187</v>
      </c>
      <c r="B32" s="112">
        <v>0.98950000000000005</v>
      </c>
      <c r="C32" s="112">
        <f>C31*(1+表2_367162629303891213141523242526272831323637[[#This Row],[每日盈亏]])</f>
        <v>1.0078918345384629</v>
      </c>
      <c r="D32" s="108">
        <f t="shared" si="0"/>
        <v>-1.8199999999999994E-2</v>
      </c>
      <c r="E32" s="109">
        <f t="shared" si="1"/>
        <v>-1.8199999999999994E-2</v>
      </c>
      <c r="F32" s="109">
        <f ca="1">IF(表2_367162629303891213141523242526272831323637[[#This Row],[累计净值]]/MAX(INDIRECT("B21:B" &amp; ROW()))-1&lt;F31,表2_367162629303891213141523242526272831323637[[#This Row],[累计净值]]/MAX(INDIRECT("B21:B" &amp; ROW()))-1,F31)</f>
        <v>-1.8309154577288766E-2</v>
      </c>
      <c r="G32" s="110">
        <f>表2_367162629303891213141523242526272831323637[[#This Row],[累计净值]]</f>
        <v>0.98950000000000005</v>
      </c>
      <c r="H32" s="20"/>
    </row>
    <row r="33" spans="1:8">
      <c r="A33" s="15">
        <v>44188</v>
      </c>
      <c r="B33" s="112">
        <v>0.99390000000000001</v>
      </c>
      <c r="C33" s="112">
        <f>C32*(1+表2_367162629303891213141523242526272831323637[[#This Row],[每日盈亏]])</f>
        <v>1.012326558610432</v>
      </c>
      <c r="D33" s="108">
        <f t="shared" si="0"/>
        <v>4.3999999999999595E-3</v>
      </c>
      <c r="E33" s="109" t="str">
        <f t="shared" si="1"/>
        <v>/</v>
      </c>
      <c r="F33" s="109">
        <f ca="1">IF(表2_367162629303891213141523242526272831323637[[#This Row],[累计净值]]/MAX(INDIRECT("B21:B" &amp; ROW()))-1&lt;F32,表2_367162629303891213141523242526272831323637[[#This Row],[累计净值]]/MAX(INDIRECT("B21:B" &amp; ROW()))-1,F32)</f>
        <v>-1.8309154577288766E-2</v>
      </c>
      <c r="G33" s="110">
        <f>表2_367162629303891213141523242526272831323637[[#This Row],[累计净值]]</f>
        <v>0.99390000000000001</v>
      </c>
      <c r="H33" s="20"/>
    </row>
    <row r="34" spans="1:8">
      <c r="A34" s="15">
        <v>44189</v>
      </c>
      <c r="B34" s="112">
        <v>0.98080000000000001</v>
      </c>
      <c r="C34" s="112">
        <f>C33*(1+表2_367162629303891213141523242526272831323637[[#This Row],[每日盈亏]])</f>
        <v>0.99906508069263533</v>
      </c>
      <c r="D34" s="108">
        <f t="shared" si="0"/>
        <v>-1.3100000000000001E-2</v>
      </c>
      <c r="E34" s="109">
        <f t="shared" si="1"/>
        <v>-1.3100000000000001E-2</v>
      </c>
      <c r="F34" s="109">
        <f ca="1">IF(表2_367162629303891213141523242526272831323637[[#This Row],[累计净值]]/MAX(INDIRECT("B21:B" &amp; ROW()))-1&lt;F33,表2_367162629303891213141523242526272831323637[[#This Row],[累计净值]]/MAX(INDIRECT("B21:B" &amp; ROW()))-1,F33)</f>
        <v>-2.6694452714101424E-2</v>
      </c>
      <c r="G34" s="110">
        <f>表2_367162629303891213141523242526272831323637[[#This Row],[累计净值]]</f>
        <v>0.98080000000000001</v>
      </c>
      <c r="H34" s="20"/>
    </row>
    <row r="35" spans="1:8">
      <c r="A35" s="15">
        <v>44190</v>
      </c>
      <c r="B35" s="112">
        <v>0.99180000000000001</v>
      </c>
      <c r="C35" s="112">
        <f>C34*(1+表2_367162629303891213141523242526272831323637[[#This Row],[每日盈亏]])</f>
        <v>1.0100547965802544</v>
      </c>
      <c r="D35" s="108">
        <f t="shared" si="0"/>
        <v>1.100000000000001E-2</v>
      </c>
      <c r="E35" s="109" t="str">
        <f t="shared" si="1"/>
        <v>/</v>
      </c>
      <c r="F35" s="109">
        <f ca="1">IF(表2_367162629303891213141523242526272831323637[[#This Row],[累计净值]]/MAX(INDIRECT("B21:B" &amp; ROW()))-1&lt;F34,表2_367162629303891213141523242526272831323637[[#This Row],[累计净值]]/MAX(INDIRECT("B21:B" &amp; ROW()))-1,F34)</f>
        <v>-2.6694452714101424E-2</v>
      </c>
      <c r="G35" s="110">
        <f>表2_367162629303891213141523242526272831323637[[#This Row],[累计净值]]</f>
        <v>0.99180000000000001</v>
      </c>
      <c r="H35" s="20"/>
    </row>
    <row r="36" spans="1:8">
      <c r="A36" s="15">
        <v>44193</v>
      </c>
      <c r="B36" s="112">
        <v>0.9849</v>
      </c>
      <c r="C36" s="112">
        <f>C35*(1+表2_367162629303891213141523242526272831323637[[#This Row],[每日盈亏]])</f>
        <v>1.0030854184838507</v>
      </c>
      <c r="D36" s="108">
        <f t="shared" si="0"/>
        <v>-6.9000000000000172E-3</v>
      </c>
      <c r="E36" s="109">
        <f t="shared" si="1"/>
        <v>-6.9000000000000172E-3</v>
      </c>
      <c r="F36" s="109">
        <f ca="1">IF(表2_367162629303891213141523242526272831323637[[#This Row],[累计净值]]/MAX(INDIRECT("B21:B" &amp; ROW()))-1&lt;F35,表2_367162629303891213141523242526272831323637[[#This Row],[累计净值]]/MAX(INDIRECT("B21:B" &amp; ROW()))-1,F35)</f>
        <v>-2.6694452714101424E-2</v>
      </c>
      <c r="G36" s="110">
        <f>表2_367162629303891213141523242526272831323637[[#This Row],[累计净值]]</f>
        <v>0.9849</v>
      </c>
      <c r="H36" s="20"/>
    </row>
    <row r="37" spans="1:8">
      <c r="A37" s="15">
        <v>44194</v>
      </c>
      <c r="B37" s="112">
        <v>0.98419999999999996</v>
      </c>
      <c r="C37" s="112">
        <f>C36*(1+表2_367162629303891213141523242526272831323637[[#This Row],[每日盈亏]])</f>
        <v>1.002383258690912</v>
      </c>
      <c r="D37" s="108">
        <f t="shared" si="0"/>
        <v>-7.0000000000003393E-4</v>
      </c>
      <c r="E37" s="109">
        <f t="shared" si="1"/>
        <v>-7.0000000000003393E-4</v>
      </c>
      <c r="F37" s="109">
        <f ca="1">IF(表2_367162629303891213141523242526272831323637[[#This Row],[累计净值]]/MAX(INDIRECT("B21:B" &amp; ROW()))-1&lt;F36,表2_367162629303891213141523242526272831323637[[#This Row],[累计净值]]/MAX(INDIRECT("B21:B" &amp; ROW()))-1,F36)</f>
        <v>-2.6694452714101424E-2</v>
      </c>
      <c r="G37" s="110">
        <f>表2_367162629303891213141523242526272831323637[[#This Row],[累计净值]]</f>
        <v>0.98419999999999996</v>
      </c>
      <c r="H37" s="20"/>
    </row>
    <row r="38" spans="1:8">
      <c r="A38" s="15">
        <v>44195</v>
      </c>
      <c r="B38" s="112">
        <v>0.99260000000000004</v>
      </c>
      <c r="C38" s="112">
        <f>C37*(1+表2_367162629303891213141523242526272831323637[[#This Row],[每日盈亏]])</f>
        <v>1.0108032780639156</v>
      </c>
      <c r="D38" s="108">
        <f t="shared" si="0"/>
        <v>8.4000000000000741E-3</v>
      </c>
      <c r="E38" s="109" t="str">
        <f t="shared" si="1"/>
        <v>/</v>
      </c>
      <c r="F38" s="109">
        <f ca="1">IF(表2_367162629303891213141523242526272831323637[[#This Row],[累计净值]]/MAX(INDIRECT("B21:B" &amp; ROW()))-1&lt;F37,表2_367162629303891213141523242526272831323637[[#This Row],[累计净值]]/MAX(INDIRECT("B21:B" &amp; ROW()))-1,F37)</f>
        <v>-2.6694452714101424E-2</v>
      </c>
      <c r="G38" s="110">
        <f>表2_367162629303891213141523242526272831323637[[#This Row],[累计净值]]</f>
        <v>0.99260000000000004</v>
      </c>
      <c r="H38" s="20"/>
    </row>
    <row r="39" spans="1:8">
      <c r="A39" s="15">
        <v>44196</v>
      </c>
      <c r="B39" s="112">
        <v>1.0095000000000001</v>
      </c>
      <c r="C39" s="112">
        <f>C38*(1+表2_367162629303891213141523242526272831323637[[#This Row],[每日盈亏]])</f>
        <v>1.0278858534631958</v>
      </c>
      <c r="D39" s="108">
        <f t="shared" si="0"/>
        <v>1.6900000000000026E-2</v>
      </c>
      <c r="E39" s="109" t="str">
        <f t="shared" si="1"/>
        <v>/</v>
      </c>
      <c r="F39" s="109">
        <f ca="1">IF(表2_367162629303891213141523242526272831323637[[#This Row],[累计净值]]/MAX(INDIRECT("B21:B" &amp; ROW()))-1&lt;F38,表2_367162629303891213141523242526272831323637[[#This Row],[累计净值]]/MAX(INDIRECT("B21:B" &amp; ROW()))-1,F38)</f>
        <v>-2.6694452714101424E-2</v>
      </c>
      <c r="G39" s="110">
        <f>表2_367162629303891213141523242526272831323637[[#This Row],[累计净值]]</f>
        <v>1.0095000000000001</v>
      </c>
      <c r="H39" s="20"/>
    </row>
    <row r="40" spans="1:8">
      <c r="A40" s="15">
        <v>44200</v>
      </c>
      <c r="B40" s="112">
        <v>1.0290999999999999</v>
      </c>
      <c r="C40" s="112">
        <f>C39*(1+表2_367162629303891213141523242526272831323637[[#This Row],[每日盈亏]])</f>
        <v>1.0480324161910743</v>
      </c>
      <c r="D40" s="108">
        <f t="shared" si="0"/>
        <v>1.959999999999984E-2</v>
      </c>
      <c r="E40" s="109" t="str">
        <f t="shared" si="1"/>
        <v>/</v>
      </c>
      <c r="F40" s="109">
        <f ca="1">IF(表2_367162629303891213141523242526272831323637[[#This Row],[累计净值]]/MAX(INDIRECT("B21:B" &amp; ROW()))-1&lt;F39,表2_367162629303891213141523242526272831323637[[#This Row],[累计净值]]/MAX(INDIRECT("B21:B" &amp; ROW()))-1,F39)</f>
        <v>-2.6694452714101424E-2</v>
      </c>
      <c r="G40" s="110">
        <f>表2_367162629303891213141523242526272831323637[[#This Row],[累计净值]]</f>
        <v>1.0290999999999999</v>
      </c>
      <c r="H40" s="20"/>
    </row>
    <row r="41" spans="1:8">
      <c r="A41" s="15">
        <v>44201</v>
      </c>
      <c r="B41" s="112">
        <v>1.0341</v>
      </c>
      <c r="C41" s="112">
        <f>C40*(1+表2_367162629303891213141523242526272831323637[[#This Row],[每日盈亏]])</f>
        <v>1.0532725782720298</v>
      </c>
      <c r="D41" s="108">
        <f t="shared" si="0"/>
        <v>5.0000000000001155E-3</v>
      </c>
      <c r="E41" s="109" t="str">
        <f t="shared" si="1"/>
        <v>/</v>
      </c>
      <c r="F41" s="109">
        <f ca="1">IF(表2_367162629303891213141523242526272831323637[[#This Row],[累计净值]]/MAX(INDIRECT("B21:B" &amp; ROW()))-1&lt;F40,表2_367162629303891213141523242526272831323637[[#This Row],[累计净值]]/MAX(INDIRECT("B21:B" &amp; ROW()))-1,F40)</f>
        <v>-2.6694452714101424E-2</v>
      </c>
      <c r="G41" s="110">
        <f>表2_367162629303891213141523242526272831323637[[#This Row],[累计净值]]</f>
        <v>1.0341</v>
      </c>
      <c r="H41" s="20"/>
    </row>
    <row r="42" spans="1:8">
      <c r="A42" s="15">
        <v>44202</v>
      </c>
      <c r="B42" s="112">
        <v>1.0289999999999999</v>
      </c>
      <c r="C42" s="112">
        <f>C41*(1+表2_367162629303891213141523242526272831323637[[#This Row],[每日盈亏]])</f>
        <v>1.0479008881228424</v>
      </c>
      <c r="D42" s="108">
        <f t="shared" si="0"/>
        <v>-5.1000000000001044E-3</v>
      </c>
      <c r="E42" s="109">
        <f t="shared" si="1"/>
        <v>-5.1000000000001044E-3</v>
      </c>
      <c r="F42" s="109">
        <f ca="1">IF(表2_367162629303891213141523242526272831323637[[#This Row],[累计净值]]/MAX(INDIRECT("B21:B" &amp; ROW()))-1&lt;F41,表2_367162629303891213141523242526272831323637[[#This Row],[累计净值]]/MAX(INDIRECT("B21:B" &amp; ROW()))-1,F41)</f>
        <v>-2.6694452714101424E-2</v>
      </c>
      <c r="G42" s="110">
        <f>表2_367162629303891213141523242526272831323637[[#This Row],[累计净值]]</f>
        <v>1.0289999999999999</v>
      </c>
      <c r="H42" s="20"/>
    </row>
    <row r="43" spans="1:8">
      <c r="A43" s="15">
        <v>44203</v>
      </c>
      <c r="B43" s="112">
        <v>1.0273000000000001</v>
      </c>
      <c r="C43" s="112">
        <f>C42*(1+表2_367162629303891213141523242526272831323637[[#This Row],[每日盈亏]])</f>
        <v>1.0461194566130338</v>
      </c>
      <c r="D43" s="108">
        <f t="shared" si="0"/>
        <v>-1.6999999999998128E-3</v>
      </c>
      <c r="E43" s="109">
        <f t="shared" si="1"/>
        <v>-1.6999999999998128E-3</v>
      </c>
      <c r="F43" s="109">
        <f ca="1">IF(表2_367162629303891213141523242526272831323637[[#This Row],[累计净值]]/MAX(INDIRECT("B21:B" &amp; ROW()))-1&lt;F42,表2_367162629303891213141523242526272831323637[[#This Row],[累计净值]]/MAX(INDIRECT("B21:B" &amp; ROW()))-1,F42)</f>
        <v>-2.6694452714101424E-2</v>
      </c>
      <c r="G43" s="110">
        <f>表2_367162629303891213141523242526272831323637[[#This Row],[累计净值]]</f>
        <v>1.0273000000000001</v>
      </c>
      <c r="H43" s="20"/>
    </row>
    <row r="44" spans="1:8">
      <c r="A44" s="15">
        <v>44204</v>
      </c>
      <c r="B44" s="112">
        <v>1.0314000000000001</v>
      </c>
      <c r="C44" s="112">
        <f>C43*(1+表2_367162629303891213141523242526272831323637[[#This Row],[每日盈亏]])</f>
        <v>1.0504085463851474</v>
      </c>
      <c r="D44" s="108">
        <f t="shared" si="0"/>
        <v>4.0999999999999925E-3</v>
      </c>
      <c r="E44" s="109" t="str">
        <f>IF(D44&lt;0,D44,"/")</f>
        <v>/</v>
      </c>
      <c r="F44" s="109">
        <f ca="1">IF(表2_367162629303891213141523242526272831323637[[#This Row],[累计净值]]/MAX(INDIRECT("B21:B" &amp; ROW()))-1&lt;F43,表2_367162629303891213141523242526272831323637[[#This Row],[累计净值]]/MAX(INDIRECT("B21:B" &amp; ROW()))-1,F43)</f>
        <v>-2.6694452714101424E-2</v>
      </c>
      <c r="G44" s="110">
        <f>表2_367162629303891213141523242526272831323637[[#This Row],[累计净值]]</f>
        <v>1.0314000000000001</v>
      </c>
      <c r="H44" s="20"/>
    </row>
    <row r="45" spans="1:8">
      <c r="A45" s="15">
        <v>44207</v>
      </c>
      <c r="B45" s="112">
        <v>1.0193000000000001</v>
      </c>
      <c r="C45" s="112">
        <f>C44*(1+表2_367162629303891213141523242526272831323637[[#This Row],[每日盈亏]])</f>
        <v>1.0376986029738871</v>
      </c>
      <c r="D45" s="108">
        <f t="shared" si="0"/>
        <v>-1.21E-2</v>
      </c>
      <c r="E45" s="109">
        <f>IF(D45&lt;0,D45,"/")</f>
        <v>-1.21E-2</v>
      </c>
      <c r="F45" s="109">
        <f ca="1">IF(表2_367162629303891213141523242526272831323637[[#This Row],[累计净值]]/MAX(INDIRECT("B21:B" &amp; ROW()))-1&lt;F44,表2_367162629303891213141523242526272831323637[[#This Row],[累计净值]]/MAX(INDIRECT("B21:B" &amp; ROW()))-1,F44)</f>
        <v>-2.6694452714101424E-2</v>
      </c>
      <c r="G45" s="110">
        <f>表2_367162629303891213141523242526272831323637[[#This Row],[累计净值]]</f>
        <v>1.0193000000000001</v>
      </c>
      <c r="H45" s="20"/>
    </row>
    <row r="46" spans="1:8">
      <c r="A46" s="15">
        <v>44208</v>
      </c>
      <c r="B46" s="112">
        <v>1.0361</v>
      </c>
      <c r="C46" s="112">
        <f>C45*(1+表2_367162629303891213141523242526272831323637[[#This Row],[每日盈亏]])</f>
        <v>1.0551319395038483</v>
      </c>
      <c r="D46" s="108">
        <f t="shared" si="0"/>
        <v>1.6799999999999926E-2</v>
      </c>
      <c r="E46" s="109" t="str">
        <f>IF(D46&lt;0,D46,"/")</f>
        <v>/</v>
      </c>
      <c r="F46" s="109">
        <f ca="1">IF(表2_367162629303891213141523242526272831323637[[#This Row],[累计净值]]/MAX(INDIRECT("B21:B" &amp; ROW()))-1&lt;F45,表2_367162629303891213141523242526272831323637[[#This Row],[累计净值]]/MAX(INDIRECT("B21:B" &amp; ROW()))-1,F45)</f>
        <v>-2.6694452714101424E-2</v>
      </c>
      <c r="G46" s="110">
        <f>表2_367162629303891213141523242526272831323637[[#This Row],[累计净值]]</f>
        <v>1.0361</v>
      </c>
      <c r="H46" s="20"/>
    </row>
    <row r="47" spans="1:8">
      <c r="A47" s="15">
        <v>44209</v>
      </c>
      <c r="B47" s="112">
        <v>1.0269999999999999</v>
      </c>
      <c r="C47" s="112">
        <f>C46*(1+表2_367162629303891213141523242526272831323637[[#This Row],[每日盈亏]])</f>
        <v>1.0455302388543632</v>
      </c>
      <c r="D47" s="108">
        <f t="shared" si="0"/>
        <v>-9.100000000000108E-3</v>
      </c>
      <c r="E47" s="109">
        <f>IF(D47&lt;0,D47,"/")</f>
        <v>-9.100000000000108E-3</v>
      </c>
      <c r="F47" s="109">
        <f ca="1">IF(表2_367162629303891213141523242526272831323637[[#This Row],[累计净值]]/MAX(INDIRECT("B21:B" &amp; ROW()))-1&lt;F46,表2_367162629303891213141523242526272831323637[[#This Row],[累计净值]]/MAX(INDIRECT("B21:B" &amp; ROW()))-1,F46)</f>
        <v>-2.6694452714101424E-2</v>
      </c>
      <c r="G47" s="110">
        <f>表2_367162629303891213141523242526272831323637[[#This Row],[累计净值]]</f>
        <v>1.0269999999999999</v>
      </c>
      <c r="H47" s="20"/>
    </row>
    <row r="48" spans="1:8">
      <c r="A48" s="9">
        <v>44210</v>
      </c>
      <c r="B48" s="190">
        <v>1.0269999999999999</v>
      </c>
      <c r="C48" s="112">
        <f>C47*(1+表2_367162629303891213141523242526272831323637[[#This Row],[每日盈亏]])</f>
        <v>1.0455302388543632</v>
      </c>
      <c r="D48" s="191">
        <f t="shared" si="0"/>
        <v>0</v>
      </c>
      <c r="E48" s="192" t="str">
        <f t="shared" ref="E48:E49" si="2">IF(D48&lt;0,D48,"/")</f>
        <v>/</v>
      </c>
      <c r="F48" s="192">
        <f ca="1">IF(表2_367162629303891213141523242526272831323637[[#This Row],[累计净值]]/MAX(INDIRECT("B21:B" &amp; ROW()))-1&lt;F47,表2_367162629303891213141523242526272831323637[[#This Row],[累计净值]]/MAX(INDIRECT("B21:B" &amp; ROW()))-1,F47)</f>
        <v>-2.6694452714101424E-2</v>
      </c>
      <c r="G48" s="193">
        <f>表2_367162629303891213141523242526272831323637[[#This Row],[累计净值]]</f>
        <v>1.0269999999999999</v>
      </c>
      <c r="H48" s="194" t="s">
        <v>30</v>
      </c>
    </row>
    <row r="49" spans="1:8">
      <c r="A49" s="15">
        <v>44211</v>
      </c>
      <c r="B49" s="112">
        <v>1.0259</v>
      </c>
      <c r="C49" s="112">
        <f>C48*(1+表2_367162629303891213141523242526272831323637[[#This Row],[每日盈亏]])</f>
        <v>1.0443801555916237</v>
      </c>
      <c r="D49" s="108">
        <f t="shared" si="0"/>
        <v>-1.0999999999998789E-3</v>
      </c>
      <c r="E49" s="109">
        <f t="shared" si="2"/>
        <v>-1.0999999999998789E-3</v>
      </c>
      <c r="F49" s="109">
        <f ca="1">IF(表2_367162629303891213141523242526272831323637[[#This Row],[累计净值]]/MAX(INDIRECT("B21:B" &amp; ROW()))-1&lt;F48,表2_367162629303891213141523242526272831323637[[#This Row],[累计净值]]/MAX(INDIRECT("B21:B" &amp; ROW()))-1,F48)</f>
        <v>-2.6694452714101424E-2</v>
      </c>
      <c r="G49" s="110">
        <f>表2_367162629303891213141523242526272831323637[[#This Row],[累计净值]]</f>
        <v>1.0259</v>
      </c>
      <c r="H49" s="20">
        <f>IF(表2_367162629303891213141523242526272831323637[[#This Row],[累计净值]]&gt;1.027,0.8*(表2_367162629303891213141523242526272831323637[[#This Row],[累计净值]]/$B$48-1),表2_367162629303891213141523242526272831323637[[#This Row],[累计净值]]/$B$48-1)</f>
        <v>-1.0710808179161813E-3</v>
      </c>
    </row>
    <row r="50" spans="1:8">
      <c r="A50" s="15">
        <v>44214</v>
      </c>
      <c r="B50" s="112">
        <v>1.0434000000000001</v>
      </c>
      <c r="C50" s="112">
        <f>C49*(1+表2_367162629303891213141523242526272831323637[[#This Row],[每日盈亏]])</f>
        <v>1.0626568083144772</v>
      </c>
      <c r="D50" s="108">
        <f t="shared" si="0"/>
        <v>1.7500000000000071E-2</v>
      </c>
      <c r="E50" s="109" t="str">
        <f t="shared" ref="E50:E55" si="3">IF(D50&lt;0,D50,"/")</f>
        <v>/</v>
      </c>
      <c r="F50" s="109">
        <f ca="1">IF(表2_367162629303891213141523242526272831323637[[#This Row],[累计净值]]/MAX(INDIRECT("B21:B" &amp; ROW()))-1&lt;F49,表2_367162629303891213141523242526272831323637[[#This Row],[累计净值]]/MAX(INDIRECT("B21:B" &amp; ROW()))-1,F49)</f>
        <v>-2.6694452714101424E-2</v>
      </c>
      <c r="G50" s="110">
        <f>表2_367162629303891213141523242526272831323637[[#This Row],[累计净值]]</f>
        <v>1.0434000000000001</v>
      </c>
      <c r="H50" s="20">
        <f>IF(表2_367162629303891213141523242526272831323637[[#This Row],[累计净值]]&gt;1.027,0.8*(表2_367162629303891213141523242526272831323637[[#This Row],[累计净值]]/$B$48-1),表2_367162629303891213141523242526272831323637[[#This Row],[累计净值]]/$B$48-1)</f>
        <v>1.277507302823775E-2</v>
      </c>
    </row>
    <row r="51" spans="1:8">
      <c r="A51" s="15">
        <v>44215</v>
      </c>
      <c r="B51" s="112">
        <v>1.0318000000000001</v>
      </c>
      <c r="C51" s="112">
        <f>C50*(1+表2_367162629303891213141523242526272831323637[[#This Row],[每日盈亏]])</f>
        <v>1.0503299893380291</v>
      </c>
      <c r="D51" s="108">
        <f t="shared" si="0"/>
        <v>-1.1600000000000055E-2</v>
      </c>
      <c r="E51" s="109">
        <f t="shared" si="3"/>
        <v>-1.1600000000000055E-2</v>
      </c>
      <c r="F51" s="109">
        <f ca="1">IF(表2_367162629303891213141523242526272831323637[[#This Row],[累计净值]]/MAX(INDIRECT("B21:B" &amp; ROW()))-1&lt;F50,表2_367162629303891213141523242526272831323637[[#This Row],[累计净值]]/MAX(INDIRECT("B21:B" &amp; ROW()))-1,F50)</f>
        <v>-2.6694452714101424E-2</v>
      </c>
      <c r="G51" s="110">
        <f>表2_367162629303891213141523242526272831323637[[#This Row],[累计净值]]</f>
        <v>1.0318000000000001</v>
      </c>
      <c r="H51" s="20">
        <f>IF(表2_367162629303891213141523242526272831323637[[#This Row],[累计净值]]&gt;1.027,0.8*(表2_367162629303891213141523242526272831323637[[#This Row],[累计净值]]/$B$48-1),表2_367162629303891213141523242526272831323637[[#This Row],[累计净值]]/$B$48-1)</f>
        <v>3.7390457643622812E-3</v>
      </c>
    </row>
    <row r="52" spans="1:8">
      <c r="A52" s="15">
        <v>44216</v>
      </c>
      <c r="B52" s="112">
        <v>1.0469999999999999</v>
      </c>
      <c r="C52" s="112">
        <f>C51*(1+表2_367162629303891213141523242526272831323637[[#This Row],[每日盈亏]])</f>
        <v>1.066295005175967</v>
      </c>
      <c r="D52" s="108">
        <f t="shared" si="0"/>
        <v>1.519999999999988E-2</v>
      </c>
      <c r="E52" s="109" t="str">
        <f t="shared" si="3"/>
        <v>/</v>
      </c>
      <c r="F52" s="109">
        <f ca="1">IF(表2_367162629303891213141523242526272831323637[[#This Row],[累计净值]]/MAX(INDIRECT("B21:B" &amp; ROW()))-1&lt;F51,表2_367162629303891213141523242526272831323637[[#This Row],[累计净值]]/MAX(INDIRECT("B21:B" &amp; ROW()))-1,F51)</f>
        <v>-2.6694452714101424E-2</v>
      </c>
      <c r="G52" s="110">
        <f>表2_367162629303891213141523242526272831323637[[#This Row],[累计净值]]</f>
        <v>1.0469999999999999</v>
      </c>
      <c r="H52" s="20">
        <f>IF(表2_367162629303891213141523242526272831323637[[#This Row],[累计净值]]&gt;1.027,0.8*(表2_367162629303891213141523242526272831323637[[#This Row],[累计净值]]/$B$48-1),表2_367162629303891213141523242526272831323637[[#This Row],[累计净值]]/$B$48-1)</f>
        <v>1.5579357351509239E-2</v>
      </c>
    </row>
    <row r="53" spans="1:8">
      <c r="A53" s="15">
        <v>44217</v>
      </c>
      <c r="B53" s="112">
        <v>1.0660000000000001</v>
      </c>
      <c r="C53" s="112">
        <f>C52*(1+表2_367162629303891213141523242526272831323637[[#This Row],[每日盈亏]])</f>
        <v>1.0865546102743104</v>
      </c>
      <c r="D53" s="108">
        <f t="shared" ref="D53:D84" si="4">IFERROR(B53-B52,0)</f>
        <v>1.9000000000000128E-2</v>
      </c>
      <c r="E53" s="109" t="str">
        <f t="shared" si="3"/>
        <v>/</v>
      </c>
      <c r="F53" s="109">
        <f ca="1">IF(表2_367162629303891213141523242526272831323637[[#This Row],[累计净值]]/MAX(INDIRECT("B21:B" &amp; ROW()))-1&lt;F52,表2_367162629303891213141523242526272831323637[[#This Row],[累计净值]]/MAX(INDIRECT("B21:B" &amp; ROW()))-1,F52)</f>
        <v>-2.6694452714101424E-2</v>
      </c>
      <c r="G53" s="110">
        <f>表2_367162629303891213141523242526272831323637[[#This Row],[累计净值]]</f>
        <v>1.0660000000000001</v>
      </c>
      <c r="H53" s="20">
        <f>IF(表2_367162629303891213141523242526272831323637[[#This Row],[累计净值]]&gt;1.027,0.8*(表2_367162629303891213141523242526272831323637[[#This Row],[累计净值]]/$B$48-1),表2_367162629303891213141523242526272831323637[[#This Row],[累计净值]]/$B$48-1)</f>
        <v>3.03797468354432E-2</v>
      </c>
    </row>
    <row r="54" spans="1:8">
      <c r="A54" s="15">
        <v>44218</v>
      </c>
      <c r="B54" s="112">
        <v>1.073</v>
      </c>
      <c r="C54" s="112">
        <f>C53*(1+表2_367162629303891213141523242526272831323637[[#This Row],[每日盈亏]])</f>
        <v>1.0941604925462305</v>
      </c>
      <c r="D54" s="108">
        <f t="shared" si="4"/>
        <v>6.9999999999998952E-3</v>
      </c>
      <c r="E54" s="109" t="str">
        <f t="shared" si="3"/>
        <v>/</v>
      </c>
      <c r="F54" s="109">
        <f ca="1">IF(表2_367162629303891213141523242526272831323637[[#This Row],[累计净值]]/MAX(INDIRECT("B21:B" &amp; ROW()))-1&lt;F53,表2_367162629303891213141523242526272831323637[[#This Row],[累计净值]]/MAX(INDIRECT("B21:B" &amp; ROW()))-1,F53)</f>
        <v>-2.6694452714101424E-2</v>
      </c>
      <c r="G54" s="110">
        <f>表2_367162629303891213141523242526272831323637[[#This Row],[累计净值]]</f>
        <v>1.073</v>
      </c>
      <c r="H54" s="20">
        <f>IF(表2_367162629303891213141523242526272831323637[[#This Row],[累计净值]]&gt;1.027,0.8*(表2_367162629303891213141523242526272831323637[[#This Row],[累计净值]]/$B$48-1),表2_367162629303891213141523242526272831323637[[#This Row],[累计净值]]/$B$48-1)</f>
        <v>3.5832521908471374E-2</v>
      </c>
    </row>
    <row r="55" spans="1:8">
      <c r="A55" s="15">
        <v>44221</v>
      </c>
      <c r="B55" s="112">
        <v>1.0744</v>
      </c>
      <c r="C55" s="112">
        <f>C54*(1+表2_367162629303891213141523242526272831323637[[#This Row],[每日盈亏]])</f>
        <v>1.0956923172357953</v>
      </c>
      <c r="D55" s="108">
        <f t="shared" si="4"/>
        <v>1.4000000000000679E-3</v>
      </c>
      <c r="E55" s="109" t="str">
        <f t="shared" si="3"/>
        <v>/</v>
      </c>
      <c r="F55" s="109">
        <f ca="1">IF(表2_367162629303891213141523242526272831323637[[#This Row],[累计净值]]/MAX(INDIRECT("B21:B" &amp; ROW()))-1&lt;F54,表2_367162629303891213141523242526272831323637[[#This Row],[累计净值]]/MAX(INDIRECT("B21:B" &amp; ROW()))-1,F54)</f>
        <v>-2.6694452714101424E-2</v>
      </c>
      <c r="G55" s="110">
        <f>表2_367162629303891213141523242526272831323637[[#This Row],[累计净值]]</f>
        <v>1.0744</v>
      </c>
      <c r="H55" s="20">
        <f>IF(表2_367162629303891213141523242526272831323637[[#This Row],[累计净值]]&gt;1.027,0.8*(表2_367162629303891213141523242526272831323637[[#This Row],[累计净值]]/$B$48-1),表2_367162629303891213141523242526272831323637[[#This Row],[累计净值]]/$B$48-1)</f>
        <v>3.6923076923076968E-2</v>
      </c>
    </row>
    <row r="56" spans="1:8">
      <c r="A56" s="15">
        <v>44222</v>
      </c>
      <c r="B56" s="112">
        <v>1.0545</v>
      </c>
      <c r="C56" s="112">
        <f>C55*(1+表2_367162629303891213141523242526272831323637[[#This Row],[每日盈亏]])</f>
        <v>1.073888040122803</v>
      </c>
      <c r="D56" s="108">
        <f t="shared" si="4"/>
        <v>-1.9900000000000029E-2</v>
      </c>
      <c r="E56" s="109">
        <f t="shared" ref="E56:E61" si="5">IF(D56&lt;0,D56,"/")</f>
        <v>-1.9900000000000029E-2</v>
      </c>
      <c r="F56" s="109">
        <f ca="1">IF(表2_367162629303891213141523242526272831323637[[#This Row],[累计净值]]/MAX(INDIRECT("B21:B" &amp; ROW()))-1&lt;F55,表2_367162629303891213141523242526272831323637[[#This Row],[累计净值]]/MAX(INDIRECT("B21:B" &amp; ROW()))-1,F55)</f>
        <v>-2.6694452714101424E-2</v>
      </c>
      <c r="G56" s="110">
        <f>表2_367162629303891213141523242526272831323637[[#This Row],[累计净值]]</f>
        <v>1.0545</v>
      </c>
      <c r="H56" s="20">
        <f>IF(表2_367162629303891213141523242526272831323637[[#This Row],[累计净值]]&gt;1.027,0.8*(表2_367162629303891213141523242526272831323637[[#This Row],[累计净值]]/$B$48-1),表2_367162629303891213141523242526272831323637[[#This Row],[累计净值]]/$B$48-1)</f>
        <v>2.1421616358325225E-2</v>
      </c>
    </row>
    <row r="57" spans="1:8">
      <c r="A57" s="15">
        <v>44223</v>
      </c>
      <c r="B57" s="112">
        <v>1.0578000000000001</v>
      </c>
      <c r="C57" s="112">
        <f>C56*(1+表2_367162629303891213141523242526272831323637[[#This Row],[每日盈亏]])</f>
        <v>1.0774318706552084</v>
      </c>
      <c r="D57" s="108">
        <f t="shared" si="4"/>
        <v>3.3000000000000806E-3</v>
      </c>
      <c r="E57" s="109" t="str">
        <f t="shared" si="5"/>
        <v>/</v>
      </c>
      <c r="F57" s="109">
        <f ca="1">IF(表2_367162629303891213141523242526272831323637[[#This Row],[累计净值]]/MAX(INDIRECT("B21:B" &amp; ROW()))-1&lt;F56,表2_367162629303891213141523242526272831323637[[#This Row],[累计净值]]/MAX(INDIRECT("B21:B" &amp; ROW()))-1,F56)</f>
        <v>-2.6694452714101424E-2</v>
      </c>
      <c r="G57" s="110">
        <f>表2_367162629303891213141523242526272831323637[[#This Row],[累计净值]]</f>
        <v>1.0578000000000001</v>
      </c>
      <c r="H57" s="20">
        <f>IF(表2_367162629303891213141523242526272831323637[[#This Row],[累计净值]]&gt;1.027,0.8*(表2_367162629303891213141523242526272831323637[[#This Row],[累计净值]]/$B$48-1),表2_367162629303891213141523242526272831323637[[#This Row],[累计净值]]/$B$48-1)</f>
        <v>2.3992210321324415E-2</v>
      </c>
    </row>
    <row r="58" spans="1:8">
      <c r="A58" s="15">
        <v>44224</v>
      </c>
      <c r="B58" s="112">
        <v>1.0305</v>
      </c>
      <c r="C58" s="112">
        <f>C57*(1+表2_367162629303891213141523242526272831323637[[#This Row],[每日盈亏]])</f>
        <v>1.048017980586321</v>
      </c>
      <c r="D58" s="108">
        <f t="shared" si="4"/>
        <v>-2.7300000000000102E-2</v>
      </c>
      <c r="E58" s="109">
        <f t="shared" si="5"/>
        <v>-2.7300000000000102E-2</v>
      </c>
      <c r="F58" s="109">
        <f ca="1">IF(表2_367162629303891213141523242526272831323637[[#This Row],[累计净值]]/MAX(INDIRECT("B21:B" &amp; ROW()))-1&lt;F57,表2_367162629303891213141523242526272831323637[[#This Row],[累计净值]]/MAX(INDIRECT("B21:B" &amp; ROW()))-1,F57)</f>
        <v>-4.0860014892032837E-2</v>
      </c>
      <c r="G58" s="110">
        <f>表2_367162629303891213141523242526272831323637[[#This Row],[累计净值]]</f>
        <v>1.0305</v>
      </c>
      <c r="H58" s="20">
        <f>IF(表2_367162629303891213141523242526272831323637[[#This Row],[累计净值]]&gt;1.027,0.8*(表2_367162629303891213141523242526272831323637[[#This Row],[累计净值]]/$B$48-1),表2_367162629303891213141523242526272831323637[[#This Row],[累计净值]]/$B$48-1)</f>
        <v>2.7263875365141745E-3</v>
      </c>
    </row>
    <row r="59" spans="1:8">
      <c r="A59" s="15">
        <v>44225</v>
      </c>
      <c r="B59" s="112">
        <v>1.0206999999999999</v>
      </c>
      <c r="C59" s="112">
        <f>C58*(1+表2_367162629303891213141523242526272831323637[[#This Row],[每日盈亏]])</f>
        <v>1.0377474043765751</v>
      </c>
      <c r="D59" s="108">
        <f t="shared" si="4"/>
        <v>-9.8000000000000309E-3</v>
      </c>
      <c r="E59" s="109">
        <f t="shared" si="5"/>
        <v>-9.8000000000000309E-3</v>
      </c>
      <c r="F59" s="109">
        <f ca="1">IF(表2_367162629303891213141523242526272831323637[[#This Row],[累计净值]]/MAX(INDIRECT("B21:B" &amp; ROW()))-1&lt;F58,表2_367162629303891213141523242526272831323637[[#This Row],[累计净值]]/MAX(INDIRECT("B21:B" &amp; ROW()))-1,F58)</f>
        <v>-4.9981384959047026E-2</v>
      </c>
      <c r="G59" s="110">
        <f>表2_367162629303891213141523242526272831323637[[#This Row],[累计净值]]</f>
        <v>1.0206999999999999</v>
      </c>
      <c r="H59" s="20">
        <f>IF(表2_367162629303891213141523242526272831323637[[#This Row],[累计净值]]&gt;1.027,0.8*(表2_367162629303891213141523242526272831323637[[#This Row],[累计净值]]/$B$48-1),表2_367162629303891213141523242526272831323637[[#This Row],[累计净值]]/$B$48-1)</f>
        <v>-6.1343719571567146E-3</v>
      </c>
    </row>
    <row r="60" spans="1:8">
      <c r="A60" s="15">
        <v>44228</v>
      </c>
      <c r="B60" s="112">
        <v>1.0333000000000001</v>
      </c>
      <c r="C60" s="112">
        <f>C59*(1+表2_367162629303891213141523242526272831323637[[#This Row],[每日盈亏]])</f>
        <v>1.05082302167172</v>
      </c>
      <c r="D60" s="108">
        <f t="shared" si="4"/>
        <v>1.2600000000000167E-2</v>
      </c>
      <c r="E60" s="109" t="str">
        <f t="shared" si="5"/>
        <v>/</v>
      </c>
      <c r="F60" s="109">
        <f ca="1">IF(表2_367162629303891213141523242526272831323637[[#This Row],[累计净值]]/MAX(INDIRECT("B21:B" &amp; ROW()))-1&lt;F59,表2_367162629303891213141523242526272831323637[[#This Row],[累计净值]]/MAX(INDIRECT("B21:B" &amp; ROW()))-1,F59)</f>
        <v>-4.9981384959047026E-2</v>
      </c>
      <c r="G60" s="110">
        <f>表2_367162629303891213141523242526272831323637[[#This Row],[累计净值]]</f>
        <v>1.0333000000000001</v>
      </c>
      <c r="H60" s="20">
        <f>IF(表2_367162629303891213141523242526272831323637[[#This Row],[累计净值]]&gt;1.027,0.8*(表2_367162629303891213141523242526272831323637[[#This Row],[累计净值]]/$B$48-1),表2_367162629303891213141523242526272831323637[[#This Row],[累计净值]]/$B$48-1)</f>
        <v>4.90749756572555E-3</v>
      </c>
    </row>
    <row r="61" spans="1:8">
      <c r="A61" s="15">
        <v>44229</v>
      </c>
      <c r="B61" s="112">
        <v>1.0505</v>
      </c>
      <c r="C61" s="112">
        <f>C60*(1+表2_367162629303891213141523242526272831323637[[#This Row],[每日盈亏]])</f>
        <v>1.0688971776444736</v>
      </c>
      <c r="D61" s="108">
        <f t="shared" si="4"/>
        <v>1.7199999999999882E-2</v>
      </c>
      <c r="E61" s="109" t="str">
        <f t="shared" si="5"/>
        <v>/</v>
      </c>
      <c r="F61" s="109">
        <f ca="1">IF(表2_367162629303891213141523242526272831323637[[#This Row],[累计净值]]/MAX(INDIRECT("B21:B" &amp; ROW()))-1&lt;F60,表2_367162629303891213141523242526272831323637[[#This Row],[累计净值]]/MAX(INDIRECT("B21:B" &amp; ROW()))-1,F60)</f>
        <v>-4.9981384959047026E-2</v>
      </c>
      <c r="G61" s="110">
        <f>表2_367162629303891213141523242526272831323637[[#This Row],[累计净值]]</f>
        <v>1.0505</v>
      </c>
      <c r="H61" s="20">
        <f>IF(表2_367162629303891213141523242526272831323637[[#This Row],[累计净值]]&gt;1.027,0.8*(表2_367162629303891213141523242526272831323637[[#This Row],[累计净值]]/$B$48-1),表2_367162629303891213141523242526272831323637[[#This Row],[累计净值]]/$B$48-1)</f>
        <v>1.8305744888023414E-2</v>
      </c>
    </row>
    <row r="62" spans="1:8">
      <c r="A62" s="15">
        <v>44230</v>
      </c>
      <c r="B62" s="112">
        <v>1.0406</v>
      </c>
      <c r="C62" s="112">
        <f>C61*(1+表2_367162629303891213141523242526272831323637[[#This Row],[每日盈亏]])</f>
        <v>1.0583150955857932</v>
      </c>
      <c r="D62" s="108">
        <f t="shared" si="4"/>
        <v>-9.9000000000000199E-3</v>
      </c>
      <c r="E62" s="109">
        <f>IF(D62&lt;0,D62,"/")</f>
        <v>-9.9000000000000199E-3</v>
      </c>
      <c r="F62" s="109">
        <f ca="1">IF(表2_367162629303891213141523242526272831323637[[#This Row],[累计净值]]/MAX(INDIRECT("B21:B" &amp; ROW()))-1&lt;F61,表2_367162629303891213141523242526272831323637[[#This Row],[累计净值]]/MAX(INDIRECT("B21:B" &amp; ROW()))-1,F61)</f>
        <v>-4.9981384959047026E-2</v>
      </c>
      <c r="G62" s="110">
        <f>表2_367162629303891213141523242526272831323637[[#This Row],[累计净值]]</f>
        <v>1.0406</v>
      </c>
      <c r="H62" s="20">
        <f>IF(表2_367162629303891213141523242526272831323637[[#This Row],[累计净值]]&gt;1.027,0.8*(表2_367162629303891213141523242526272831323637[[#This Row],[累计净值]]/$B$48-1),表2_367162629303891213141523242526272831323637[[#This Row],[累计净值]]/$B$48-1)</f>
        <v>1.0593962999026374E-2</v>
      </c>
    </row>
    <row r="63" spans="1:8">
      <c r="A63" s="15">
        <v>44231</v>
      </c>
      <c r="B63" s="112">
        <v>1.0266999999999999</v>
      </c>
      <c r="C63" s="112">
        <f>C62*(1+表2_367162629303891213141523242526272831323637[[#This Row],[每日盈亏]])</f>
        <v>1.0436045157571505</v>
      </c>
      <c r="D63" s="108">
        <f t="shared" si="4"/>
        <v>-1.3900000000000023E-2</v>
      </c>
      <c r="E63" s="109">
        <f>IF(D63&lt;0,D63,"/")</f>
        <v>-1.3900000000000023E-2</v>
      </c>
      <c r="F63" s="109">
        <f ca="1">IF(表2_367162629303891213141523242526272831323637[[#This Row],[累计净值]]/MAX(INDIRECT("B21:B" &amp; ROW()))-1&lt;F62,表2_367162629303891213141523242526272831323637[[#This Row],[累计净值]]/MAX(INDIRECT("B21:B" &amp; ROW()))-1,F62)</f>
        <v>-4.9981384959047026E-2</v>
      </c>
      <c r="G63" s="110">
        <f>表2_367162629303891213141523242526272831323637[[#This Row],[累计净值]]</f>
        <v>1.0266999999999999</v>
      </c>
      <c r="H63" s="20">
        <f>IF(表2_367162629303891213141523242526272831323637[[#This Row],[累计净值]]&gt;1.027,0.8*(表2_367162629303891213141523242526272831323637[[#This Row],[累计净值]]/$B$48-1),表2_367162629303891213141523242526272831323637[[#This Row],[累计净值]]/$B$48-1)</f>
        <v>-2.9211295034081708E-4</v>
      </c>
    </row>
    <row r="64" spans="1:8">
      <c r="A64" s="15">
        <v>44232</v>
      </c>
      <c r="B64" s="112">
        <v>1.008</v>
      </c>
      <c r="C64" s="112">
        <f>C63*(1+表2_367162629303891213141523242526272831323637[[#This Row],[每日盈亏]])</f>
        <v>1.0240891113124919</v>
      </c>
      <c r="D64" s="108">
        <f t="shared" si="4"/>
        <v>-1.8699999999999939E-2</v>
      </c>
      <c r="E64" s="109">
        <f>IF(D64&lt;0,D64,"/")</f>
        <v>-1.8699999999999939E-2</v>
      </c>
      <c r="F64" s="109">
        <f ca="1">IF(表2_367162629303891213141523242526272831323637[[#This Row],[累计净值]]/MAX(INDIRECT("B21:B" &amp; ROW()))-1&lt;F63,表2_367162629303891213141523242526272831323637[[#This Row],[累计净值]]/MAX(INDIRECT("B21:B" &amp; ROW()))-1,F63)</f>
        <v>-6.1801935964259092E-2</v>
      </c>
      <c r="G64" s="110">
        <f>表2_367162629303891213141523242526272831323637[[#This Row],[累计净值]]</f>
        <v>1.008</v>
      </c>
      <c r="H64" s="20">
        <f>IF(表2_367162629303891213141523242526272831323637[[#This Row],[累计净值]]&gt;1.027,0.8*(表2_367162629303891213141523242526272831323637[[#This Row],[累计净值]]/$B$48-1),表2_367162629303891213141523242526272831323637[[#This Row],[累计净值]]/$B$48-1)</f>
        <v>-1.850048685491712E-2</v>
      </c>
    </row>
    <row r="65" spans="1:8">
      <c r="A65" s="15">
        <v>44235</v>
      </c>
      <c r="B65" s="112">
        <v>1.0238</v>
      </c>
      <c r="C65" s="112">
        <f>C64*(1+表2_367162629303891213141523242526272831323637[[#This Row],[每日盈亏]])</f>
        <v>1.0402697192712294</v>
      </c>
      <c r="D65" s="108">
        <f t="shared" si="4"/>
        <v>1.5800000000000036E-2</v>
      </c>
      <c r="E65" s="109" t="str">
        <f>IF(D65&lt;0,D65,"/")</f>
        <v>/</v>
      </c>
      <c r="F65" s="109">
        <f ca="1">IF(表2_367162629303891213141523242526272831323637[[#This Row],[累计净值]]/MAX(INDIRECT("B21:B" &amp; ROW()))-1&lt;F64,表2_367162629303891213141523242526272831323637[[#This Row],[累计净值]]/MAX(INDIRECT("B21:B" &amp; ROW()))-1,F64)</f>
        <v>-6.1801935964259092E-2</v>
      </c>
      <c r="G65" s="110">
        <f>表2_367162629303891213141523242526272831323637[[#This Row],[累计净值]]</f>
        <v>1.0238</v>
      </c>
      <c r="H65" s="20">
        <f>IF(表2_367162629303891213141523242526272831323637[[#This Row],[累计净值]]&gt;1.027,0.8*(表2_367162629303891213141523242526272831323637[[#This Row],[累计净值]]/$B$48-1),表2_367162629303891213141523242526272831323637[[#This Row],[累计净值]]/$B$48-1)</f>
        <v>-3.1158714703016788E-3</v>
      </c>
    </row>
    <row r="66" spans="1:8">
      <c r="A66" s="15">
        <v>44236</v>
      </c>
      <c r="B66" s="112">
        <v>1.0506</v>
      </c>
      <c r="C66" s="112">
        <f>C65*(1+表2_367162629303891213141523242526272831323637[[#This Row],[每日盈亏]])</f>
        <v>1.0681489477476982</v>
      </c>
      <c r="D66" s="108">
        <f t="shared" si="4"/>
        <v>2.6799999999999935E-2</v>
      </c>
      <c r="E66" s="109" t="str">
        <f>IF(D66&lt;0,D66,"/")</f>
        <v>/</v>
      </c>
      <c r="F66" s="109">
        <f ca="1">IF(表2_367162629303891213141523242526272831323637[[#This Row],[累计净值]]/MAX(INDIRECT("B21:B" &amp; ROW()))-1&lt;F65,表2_367162629303891213141523242526272831323637[[#This Row],[累计净值]]/MAX(INDIRECT("B21:B" &amp; ROW()))-1,F65)</f>
        <v>-6.1801935964259092E-2</v>
      </c>
      <c r="G66" s="110">
        <f>表2_367162629303891213141523242526272831323637[[#This Row],[累计净值]]</f>
        <v>1.0506</v>
      </c>
      <c r="H66" s="20">
        <f>IF(表2_367162629303891213141523242526272831323637[[#This Row],[累计净值]]&gt;1.027,0.8*(表2_367162629303891213141523242526272831323637[[#This Row],[累计净值]]/$B$48-1),表2_367162629303891213141523242526272831323637[[#This Row],[累计净值]]/$B$48-1)</f>
        <v>1.8383641674780904E-2</v>
      </c>
    </row>
    <row r="67" spans="1:8">
      <c r="A67" s="15">
        <v>44237</v>
      </c>
      <c r="B67" s="112">
        <v>1.0589</v>
      </c>
      <c r="C67" s="112">
        <f>C66*(1+表2_367162629303891213141523242526272831323637[[#This Row],[每日盈亏]])</f>
        <v>1.077014584014004</v>
      </c>
      <c r="D67" s="108">
        <f t="shared" si="4"/>
        <v>8.2999999999999741E-3</v>
      </c>
      <c r="E67" s="109" t="str">
        <f t="shared" ref="E67:E68" si="6">IF(D67&lt;0,D67,"/")</f>
        <v>/</v>
      </c>
      <c r="F67" s="109">
        <f ca="1">IF(表2_367162629303891213141523242526272831323637[[#This Row],[累计净值]]/MAX(INDIRECT("B21:B" &amp; ROW()))-1&lt;F66,表2_367162629303891213141523242526272831323637[[#This Row],[累计净值]]/MAX(INDIRECT("B21:B" &amp; ROW()))-1,F66)</f>
        <v>-6.1801935964259092E-2</v>
      </c>
      <c r="G67" s="110">
        <f>表2_367162629303891213141523242526272831323637[[#This Row],[累计净值]]</f>
        <v>1.0589</v>
      </c>
      <c r="H67" s="20">
        <f>IF(表2_367162629303891213141523242526272831323637[[#This Row],[累计净值]]&gt;1.027,0.8*(表2_367162629303891213141523242526272831323637[[#This Row],[累计净值]]/$B$48-1),表2_367162629303891213141523242526272831323637[[#This Row],[累计净值]]/$B$48-1)</f>
        <v>2.4849074975657359E-2</v>
      </c>
    </row>
    <row r="68" spans="1:8">
      <c r="A68" s="15">
        <v>44245</v>
      </c>
      <c r="B68" s="112">
        <v>1.0662</v>
      </c>
      <c r="C68" s="112">
        <f>C67*(1+表2_367162629303891213141523242526272831323637[[#This Row],[每日盈亏]])</f>
        <v>1.0848767904773062</v>
      </c>
      <c r="D68" s="108">
        <f t="shared" si="4"/>
        <v>7.3000000000000842E-3</v>
      </c>
      <c r="E68" s="109" t="str">
        <f t="shared" si="6"/>
        <v>/</v>
      </c>
      <c r="F68" s="109">
        <f ca="1">IF(表2_367162629303891213141523242526272831323637[[#This Row],[累计净值]]/MAX(INDIRECT("B21:B" &amp; ROW()))-1&lt;F67,表2_367162629303891213141523242526272831323637[[#This Row],[累计净值]]/MAX(INDIRECT("B21:B" &amp; ROW()))-1,F67)</f>
        <v>-6.1801935964259092E-2</v>
      </c>
      <c r="G68" s="110">
        <f>表2_367162629303891213141523242526272831323637[[#This Row],[累计净值]]</f>
        <v>1.0662</v>
      </c>
      <c r="H68" s="20">
        <f>IF(表2_367162629303891213141523242526272831323637[[#This Row],[累计净值]]&gt;1.027,0.8*(表2_367162629303891213141523242526272831323637[[#This Row],[累计净值]]/$B$48-1),表2_367162629303891213141523242526272831323637[[#This Row],[累计净值]]/$B$48-1)</f>
        <v>3.0535540408958187E-2</v>
      </c>
    </row>
    <row r="69" spans="1:8">
      <c r="A69" s="15">
        <v>44246</v>
      </c>
      <c r="B69" s="112">
        <v>1.0708</v>
      </c>
      <c r="C69" s="112">
        <f>C68*(1+表2_367162629303891213141523242526272831323637[[#This Row],[每日盈亏]])</f>
        <v>1.0898672237135019</v>
      </c>
      <c r="D69" s="108">
        <f t="shared" si="4"/>
        <v>4.5999999999999375E-3</v>
      </c>
      <c r="E69" s="109" t="str">
        <f>IF(D69&lt;0,D69,"/")</f>
        <v>/</v>
      </c>
      <c r="F69" s="109">
        <f ca="1">IF(表2_367162629303891213141523242526272831323637[[#This Row],[累计净值]]/MAX(INDIRECT("B21:B" &amp; ROW()))-1&lt;F68,表2_367162629303891213141523242526272831323637[[#This Row],[累计净值]]/MAX(INDIRECT("B21:B" &amp; ROW()))-1,F68)</f>
        <v>-6.1801935964259092E-2</v>
      </c>
      <c r="G69" s="110">
        <f>表2_367162629303891213141523242526272831323637[[#This Row],[累计净值]]</f>
        <v>1.0708</v>
      </c>
      <c r="H69" s="20">
        <f>IF(表2_367162629303891213141523242526272831323637[[#This Row],[累计净值]]&gt;1.027,0.8*(表2_367162629303891213141523242526272831323637[[#This Row],[累计净值]]/$B$48-1),表2_367162629303891213141523242526272831323637[[#This Row],[累计净值]]/$B$48-1)</f>
        <v>3.4118792599805305E-2</v>
      </c>
    </row>
    <row r="70" spans="1:8">
      <c r="A70" s="15">
        <v>44249</v>
      </c>
      <c r="B70" s="112">
        <v>1.0576000000000001</v>
      </c>
      <c r="C70" s="112">
        <f>C69*(1+表2_367162629303891213141523242526272831323637[[#This Row],[每日盈亏]])</f>
        <v>1.0754809763604838</v>
      </c>
      <c r="D70" s="108">
        <f t="shared" si="4"/>
        <v>-1.3199999999999878E-2</v>
      </c>
      <c r="E70" s="109">
        <f>IF(D70&lt;0,D70,"/")</f>
        <v>-1.3199999999999878E-2</v>
      </c>
      <c r="F70" s="109">
        <f ca="1">IF(表2_367162629303891213141523242526272831323637[[#This Row],[累计净值]]/MAX(INDIRECT("B21:B" &amp; ROW()))-1&lt;F69,表2_367162629303891213141523242526272831323637[[#This Row],[累计净值]]/MAX(INDIRECT("B21:B" &amp; ROW()))-1,F69)</f>
        <v>-6.1801935964259092E-2</v>
      </c>
      <c r="G70" s="110">
        <f>表2_367162629303891213141523242526272831323637[[#This Row],[累计净值]]</f>
        <v>1.0576000000000001</v>
      </c>
      <c r="H70" s="20">
        <f>IF(表2_367162629303891213141523242526272831323637[[#This Row],[累计净值]]&gt;1.027,0.8*(表2_367162629303891213141523242526272831323637[[#This Row],[累计净值]]/$B$48-1),表2_367162629303891213141523242526272831323637[[#This Row],[累计净值]]/$B$48-1)</f>
        <v>2.3836416747809255E-2</v>
      </c>
    </row>
    <row r="71" spans="1:8">
      <c r="A71" s="15">
        <v>44250</v>
      </c>
      <c r="B71" s="112">
        <v>1.0509999999999999</v>
      </c>
      <c r="C71" s="112">
        <f>C70*(1+表2_367162629303891213141523242526272831323637[[#This Row],[每日盈亏]])</f>
        <v>1.0683828019165045</v>
      </c>
      <c r="D71" s="108">
        <f t="shared" si="4"/>
        <v>-6.6000000000001613E-3</v>
      </c>
      <c r="E71" s="109">
        <f>IF(D71&lt;0,D71,"/")</f>
        <v>-6.6000000000001613E-3</v>
      </c>
      <c r="F71" s="109">
        <f ca="1">IF(表2_367162629303891213141523242526272831323637[[#This Row],[累计净值]]/MAX(INDIRECT("B21:B" &amp; ROW()))-1&lt;F70,表2_367162629303891213141523242526272831323637[[#This Row],[累计净值]]/MAX(INDIRECT("B21:B" &amp; ROW()))-1,F70)</f>
        <v>-6.1801935964259092E-2</v>
      </c>
      <c r="G71" s="110">
        <f>表2_367162629303891213141523242526272831323637[[#This Row],[累计净值]]</f>
        <v>1.0509999999999999</v>
      </c>
      <c r="H71" s="20">
        <f>IF(表2_367162629303891213141523242526272831323637[[#This Row],[累计净值]]&gt;1.027,0.8*(表2_367162629303891213141523242526272831323637[[#This Row],[累计净值]]/$B$48-1),表2_367162629303891213141523242526272831323637[[#This Row],[累计净值]]/$B$48-1)</f>
        <v>1.8695228821811051E-2</v>
      </c>
    </row>
    <row r="72" spans="1:8">
      <c r="A72" s="15">
        <v>44251</v>
      </c>
      <c r="B72" s="112">
        <v>1.03</v>
      </c>
      <c r="C72" s="112">
        <f>C71*(1+表2_367162629303891213141523242526272831323637[[#This Row],[每日盈亏]])</f>
        <v>1.045946763076258</v>
      </c>
      <c r="D72" s="108">
        <f t="shared" si="4"/>
        <v>-2.0999999999999908E-2</v>
      </c>
      <c r="E72" s="109">
        <f>IF(D72&lt;0,D72,"/")</f>
        <v>-2.0999999999999908E-2</v>
      </c>
      <c r="F72" s="109">
        <f ca="1">IF(表2_367162629303891213141523242526272831323637[[#This Row],[累计净值]]/MAX(INDIRECT("B21:B" &amp; ROW()))-1&lt;F71,表2_367162629303891213141523242526272831323637[[#This Row],[累计净值]]/MAX(INDIRECT("B21:B" &amp; ROW()))-1,F71)</f>
        <v>-6.1801935964259092E-2</v>
      </c>
      <c r="G72" s="110">
        <f>表2_367162629303891213141523242526272831323637[[#This Row],[累计净值]]</f>
        <v>1.03</v>
      </c>
      <c r="H72" s="20">
        <f>IF(表2_367162629303891213141523242526272831323637[[#This Row],[累计净值]]&gt;1.027,0.8*(表2_367162629303891213141523242526272831323637[[#This Row],[累计净值]]/$B$48-1),表2_367162629303891213141523242526272831323637[[#This Row],[累计净值]]/$B$48-1)</f>
        <v>2.3369036027265366E-3</v>
      </c>
    </row>
    <row r="73" spans="1:8">
      <c r="A73" s="15">
        <v>44252</v>
      </c>
      <c r="B73" s="112">
        <v>1.0274000000000001</v>
      </c>
      <c r="C73" s="112">
        <f>C72*(1+表2_367162629303891213141523242526272831323637[[#This Row],[每日盈亏]])</f>
        <v>1.0432273014922597</v>
      </c>
      <c r="D73" s="108">
        <f t="shared" si="4"/>
        <v>-2.5999999999999357E-3</v>
      </c>
      <c r="E73" s="109">
        <f t="shared" ref="E73:E76" si="7">IF(D73&lt;0,D73,"/")</f>
        <v>-2.5999999999999357E-3</v>
      </c>
      <c r="F73" s="109">
        <f ca="1">IF(表2_367162629303891213141523242526272831323637[[#This Row],[累计净值]]/MAX(INDIRECT("B21:B" &amp; ROW()))-1&lt;F72,表2_367162629303891213141523242526272831323637[[#This Row],[累计净值]]/MAX(INDIRECT("B21:B" &amp; ROW()))-1,F72)</f>
        <v>-6.1801935964259092E-2</v>
      </c>
      <c r="G73" s="110">
        <f>表2_367162629303891213141523242526272831323637[[#This Row],[累计净值]]</f>
        <v>1.0274000000000001</v>
      </c>
      <c r="H73" s="20">
        <f>IF(表2_367162629303891213141523242526272831323637[[#This Row],[累计净值]]&gt;1.027,0.8*(表2_367162629303891213141523242526272831323637[[#This Row],[累计净值]]/$B$48-1),表2_367162629303891213141523242526272831323637[[#This Row],[累计净值]]/$B$48-1)</f>
        <v>3.1158714703032335E-4</v>
      </c>
    </row>
    <row r="74" spans="1:8">
      <c r="A74" s="15">
        <v>44253</v>
      </c>
      <c r="B74" s="112">
        <v>1.0071000000000001</v>
      </c>
      <c r="C74" s="112">
        <f>C73*(1+表2_367162629303891213141523242526272831323637[[#This Row],[每日盈亏]])</f>
        <v>1.0220497872719669</v>
      </c>
      <c r="D74" s="108">
        <f t="shared" si="4"/>
        <v>-2.0299999999999985E-2</v>
      </c>
      <c r="E74" s="109">
        <f t="shared" si="7"/>
        <v>-2.0299999999999985E-2</v>
      </c>
      <c r="F74" s="109">
        <f ca="1">IF(表2_367162629303891213141523242526272831323637[[#This Row],[累计净值]]/MAX(INDIRECT("B21:B" &amp; ROW()))-1&lt;F73,表2_367162629303891213141523242526272831323637[[#This Row],[累计净值]]/MAX(INDIRECT("B21:B" &amp; ROW()))-1,F73)</f>
        <v>-6.2639612807148137E-2</v>
      </c>
      <c r="G74" s="110">
        <f>表2_367162629303891213141523242526272831323637[[#This Row],[累计净值]]</f>
        <v>1.0071000000000001</v>
      </c>
      <c r="H74" s="20">
        <f>IF(表2_367162629303891213141523242526272831323637[[#This Row],[累计净值]]&gt;1.027,0.8*(表2_367162629303891213141523242526272831323637[[#This Row],[累计净值]]/$B$48-1),表2_367162629303891213141523242526272831323637[[#This Row],[累计净值]]/$B$48-1)</f>
        <v>-1.937682570593946E-2</v>
      </c>
    </row>
    <row r="75" spans="1:8">
      <c r="A75" s="15">
        <v>44256</v>
      </c>
      <c r="B75" s="112">
        <v>1.0316000000000001</v>
      </c>
      <c r="C75" s="112">
        <f>C74*(1+表2_367162629303891213141523242526272831323637[[#This Row],[每日盈亏]])</f>
        <v>1.0470900070601301</v>
      </c>
      <c r="D75" s="108">
        <f t="shared" si="4"/>
        <v>2.4499999999999966E-2</v>
      </c>
      <c r="E75" s="109" t="str">
        <f t="shared" si="7"/>
        <v>/</v>
      </c>
      <c r="F75" s="109">
        <f ca="1">IF(表2_367162629303891213141523242526272831323637[[#This Row],[累计净值]]/MAX(INDIRECT("B21:B" &amp; ROW()))-1&lt;F74,表2_367162629303891213141523242526272831323637[[#This Row],[累计净值]]/MAX(INDIRECT("B21:B" &amp; ROW()))-1,F74)</f>
        <v>-6.2639612807148137E-2</v>
      </c>
      <c r="G75" s="110">
        <f>表2_367162629303891213141523242526272831323637[[#This Row],[累计净值]]</f>
        <v>1.0316000000000001</v>
      </c>
      <c r="H75" s="20">
        <f>IF(表2_367162629303891213141523242526272831323637[[#This Row],[累计净值]]&gt;1.027,0.8*(表2_367162629303891213141523242526272831323637[[#This Row],[累计净值]]/$B$48-1),表2_367162629303891213141523242526272831323637[[#This Row],[累计净值]]/$B$48-1)</f>
        <v>3.583252190847297E-3</v>
      </c>
    </row>
    <row r="76" spans="1:8">
      <c r="A76" s="15">
        <v>44257</v>
      </c>
      <c r="B76" s="112">
        <v>1.0227999999999999</v>
      </c>
      <c r="C76" s="112">
        <f>C75*(1+表2_367162629303891213141523242526272831323637[[#This Row],[每日盈亏]])</f>
        <v>1.0378756149980009</v>
      </c>
      <c r="D76" s="108">
        <f t="shared" si="4"/>
        <v>-8.800000000000141E-3</v>
      </c>
      <c r="E76" s="109">
        <f t="shared" si="7"/>
        <v>-8.800000000000141E-3</v>
      </c>
      <c r="F76" s="109">
        <f ca="1">IF(表2_367162629303891213141523242526272831323637[[#This Row],[累计净值]]/MAX(INDIRECT("B21:B" &amp; ROW()))-1&lt;F75,表2_367162629303891213141523242526272831323637[[#This Row],[累计净值]]/MAX(INDIRECT("B21:B" &amp; ROW()))-1,F75)</f>
        <v>-6.2639612807148137E-2</v>
      </c>
      <c r="G76" s="110">
        <f>表2_367162629303891213141523242526272831323637[[#This Row],[累计净值]]</f>
        <v>1.0227999999999999</v>
      </c>
      <c r="H76" s="20">
        <f>IF(表2_367162629303891213141523242526272831323637[[#This Row],[累计净值]]&gt;1.027,0.8*(表2_367162629303891213141523242526272831323637[[#This Row],[累计净值]]/$B$48-1),表2_367162629303891213141523242526272831323637[[#This Row],[累计净值]]/$B$48-1)</f>
        <v>-4.089581304771106E-3</v>
      </c>
    </row>
    <row r="77" spans="1:8">
      <c r="A77" s="15">
        <v>44258</v>
      </c>
      <c r="B77" s="112">
        <v>1.0386</v>
      </c>
      <c r="C77" s="112">
        <f>C76*(1+表2_367162629303891213141523242526272831323637[[#This Row],[每日盈亏]])</f>
        <v>1.0542740497149694</v>
      </c>
      <c r="D77" s="108">
        <f t="shared" si="4"/>
        <v>1.5800000000000036E-2</v>
      </c>
      <c r="E77" s="109" t="str">
        <f t="shared" ref="E77:E78" si="8">IF(D77&lt;0,D77,"/")</f>
        <v>/</v>
      </c>
      <c r="F77" s="109">
        <f ca="1">IF(表2_367162629303891213141523242526272831323637[[#This Row],[累计净值]]/MAX(INDIRECT("B21:B" &amp; ROW()))-1&lt;F76,表2_367162629303891213141523242526272831323637[[#This Row],[累计净值]]/MAX(INDIRECT("B21:B" &amp; ROW()))-1,F76)</f>
        <v>-6.2639612807148137E-2</v>
      </c>
      <c r="G77" s="110">
        <f>表2_367162629303891213141523242526272831323637[[#This Row],[累计净值]]</f>
        <v>1.0386</v>
      </c>
      <c r="H77" s="20">
        <f>IF(表2_367162629303891213141523242526272831323637[[#This Row],[累计净值]]&gt;1.027,0.8*(表2_367162629303891213141523242526272831323637[[#This Row],[累计净值]]/$B$48-1),表2_367162629303891213141523242526272831323637[[#This Row],[累计净值]]/$B$48-1)</f>
        <v>9.0360272638754686E-3</v>
      </c>
    </row>
    <row r="78" spans="1:8">
      <c r="A78" s="15">
        <v>44259</v>
      </c>
      <c r="B78" s="112">
        <v>1.0135000000000001</v>
      </c>
      <c r="C78" s="112">
        <f>C77*(1+表2_367162629303891213141523242526272831323637[[#This Row],[每日盈亏]])</f>
        <v>1.0278117710671237</v>
      </c>
      <c r="D78" s="108">
        <f t="shared" si="4"/>
        <v>-2.50999999999999E-2</v>
      </c>
      <c r="E78" s="109">
        <f t="shared" si="8"/>
        <v>-2.50999999999999E-2</v>
      </c>
      <c r="F78" s="109">
        <f ca="1">IF(表2_367162629303891213141523242526272831323637[[#This Row],[累计净值]]/MAX(INDIRECT("B21:B" &amp; ROW()))-1&lt;F77,表2_367162629303891213141523242526272831323637[[#This Row],[累计净值]]/MAX(INDIRECT("B21:B" &amp; ROW()))-1,F77)</f>
        <v>-6.2639612807148137E-2</v>
      </c>
      <c r="G78" s="110">
        <f>表2_367162629303891213141523242526272831323637[[#This Row],[累计净值]]</f>
        <v>1.0135000000000001</v>
      </c>
      <c r="H78" s="20">
        <f>IF(表2_367162629303891213141523242526272831323637[[#This Row],[累计净值]]&gt;1.027,0.8*(表2_367162629303891213141523242526272831323637[[#This Row],[累计净值]]/$B$48-1),表2_367162629303891213141523242526272831323637[[#This Row],[累计净值]]/$B$48-1)</f>
        <v>-1.3145082765335769E-2</v>
      </c>
    </row>
    <row r="79" spans="1:8">
      <c r="A79" s="15">
        <v>44260</v>
      </c>
      <c r="B79" s="112">
        <v>1.0146999999999999</v>
      </c>
      <c r="C79" s="112">
        <f>C78*(1+表2_367162629303891213141523242526272831323637[[#This Row],[每日盈亏]])</f>
        <v>1.0290451451924041</v>
      </c>
      <c r="D79" s="108">
        <f t="shared" si="4"/>
        <v>1.1999999999998678E-3</v>
      </c>
      <c r="E79" s="109" t="str">
        <f t="shared" ref="E79:E84" si="9">IF(D79&lt;0,D79,"/")</f>
        <v>/</v>
      </c>
      <c r="F79" s="109">
        <f ca="1">IF(表2_367162629303891213141523242526272831323637[[#This Row],[累计净值]]/MAX(INDIRECT("B21:B" &amp; ROW()))-1&lt;F78,表2_367162629303891213141523242526272831323637[[#This Row],[累计净值]]/MAX(INDIRECT("B21:B" &amp; ROW()))-1,F78)</f>
        <v>-6.2639612807148137E-2</v>
      </c>
      <c r="G79" s="110">
        <f>表2_367162629303891213141523242526272831323637[[#This Row],[累计净值]]</f>
        <v>1.0146999999999999</v>
      </c>
      <c r="H79" s="20">
        <f>IF(表2_367162629303891213141523242526272831323637[[#This Row],[累计净值]]&gt;1.027,0.8*(表2_367162629303891213141523242526272831323637[[#This Row],[累计净值]]/$B$48-1),表2_367162629303891213141523242526272831323637[[#This Row],[累计净值]]/$B$48-1)</f>
        <v>-1.1976630963972723E-2</v>
      </c>
    </row>
    <row r="80" spans="1:8">
      <c r="A80" s="15">
        <v>44263</v>
      </c>
      <c r="B80" s="112">
        <v>0.99109999999999998</v>
      </c>
      <c r="C80" s="112">
        <f>C79*(1+表2_367162629303891213141523242526272831323637[[#This Row],[每日盈亏]])</f>
        <v>1.0047596797658633</v>
      </c>
      <c r="D80" s="108">
        <f t="shared" si="4"/>
        <v>-2.3599999999999954E-2</v>
      </c>
      <c r="E80" s="109">
        <f t="shared" si="9"/>
        <v>-2.3599999999999954E-2</v>
      </c>
      <c r="F80" s="109">
        <f ca="1">IF(表2_367162629303891213141523242526272831323637[[#This Row],[累计净值]]/MAX(INDIRECT("B21:B" &amp; ROW()))-1&lt;F79,表2_367162629303891213141523242526272831323637[[#This Row],[累计净值]]/MAX(INDIRECT("B21:B" &amp; ROW()))-1,F79)</f>
        <v>-7.7531645569620333E-2</v>
      </c>
      <c r="G80" s="110">
        <f>表2_367162629303891213141523242526272831323637[[#This Row],[累计净值]]</f>
        <v>0.99109999999999998</v>
      </c>
      <c r="H80" s="20">
        <f>IF(表2_367162629303891213141523242526272831323637[[#This Row],[累计净值]]&gt;1.027,0.8*(表2_367162629303891213141523242526272831323637[[#This Row],[累计净值]]/$B$48-1),表2_367162629303891213141523242526272831323637[[#This Row],[累计净值]]/$B$48-1)</f>
        <v>-3.4956183057448853E-2</v>
      </c>
    </row>
    <row r="81" spans="1:8">
      <c r="A81" s="15">
        <v>44264</v>
      </c>
      <c r="B81" s="112">
        <v>0.96599999999999997</v>
      </c>
      <c r="C81" s="112">
        <f>C80*(1+表2_367162629303891213141523242526272831323637[[#This Row],[每日盈亏]])</f>
        <v>0.97954021180374018</v>
      </c>
      <c r="D81" s="108">
        <f t="shared" si="4"/>
        <v>-2.5100000000000011E-2</v>
      </c>
      <c r="E81" s="109">
        <f t="shared" si="9"/>
        <v>-2.5100000000000011E-2</v>
      </c>
      <c r="F81" s="109">
        <f ca="1">IF(表2_367162629303891213141523242526272831323637[[#This Row],[累计净值]]/MAX(INDIRECT("B21:B" &amp; ROW()))-1&lt;F80,表2_367162629303891213141523242526272831323637[[#This Row],[累计净值]]/MAX(INDIRECT("B21:B" &amp; ROW()))-1,F80)</f>
        <v>-0.10089352196574841</v>
      </c>
      <c r="G81" s="110">
        <f>表2_367162629303891213141523242526272831323637[[#This Row],[累计净值]]</f>
        <v>0.96599999999999997</v>
      </c>
      <c r="H81" s="20">
        <f>IF(表2_367162629303891213141523242526272831323637[[#This Row],[累计净值]]&gt;1.027,0.8*(表2_367162629303891213141523242526272831323637[[#This Row],[累计净值]]/$B$48-1),表2_367162629303891213141523242526272831323637[[#This Row],[累计净值]]/$B$48-1)</f>
        <v>-5.9396299902628957E-2</v>
      </c>
    </row>
    <row r="82" spans="1:8">
      <c r="A82" s="15">
        <v>44265</v>
      </c>
      <c r="B82" s="112">
        <v>0.96120000000000005</v>
      </c>
      <c r="C82" s="112">
        <f>C81*(1+表2_367162629303891213141523242526272831323637[[#This Row],[每日盈亏]])</f>
        <v>0.97483841878708233</v>
      </c>
      <c r="D82" s="108">
        <f t="shared" si="4"/>
        <v>-4.7999999999999154E-3</v>
      </c>
      <c r="E82" s="109">
        <f t="shared" si="9"/>
        <v>-4.7999999999999154E-3</v>
      </c>
      <c r="F82" s="109">
        <f ca="1">IF(表2_367162629303891213141523242526272831323637[[#This Row],[累计净值]]/MAX(INDIRECT("B21:B" &amp; ROW()))-1&lt;F81,表2_367162629303891213141523242526272831323637[[#This Row],[累计净值]]/MAX(INDIRECT("B21:B" &amp; ROW()))-1,F81)</f>
        <v>-0.10536113179448992</v>
      </c>
      <c r="G82" s="110">
        <f>表2_367162629303891213141523242526272831323637[[#This Row],[累计净值]]</f>
        <v>0.96120000000000005</v>
      </c>
      <c r="H82" s="20">
        <f>IF(表2_367162629303891213141523242526272831323637[[#This Row],[累计净值]]&gt;1.027,0.8*(表2_367162629303891213141523242526272831323637[[#This Row],[累计净值]]/$B$48-1),表2_367162629303891213141523242526272831323637[[#This Row],[累计净值]]/$B$48-1)</f>
        <v>-6.4070107108081698E-2</v>
      </c>
    </row>
    <row r="83" spans="1:8">
      <c r="A83" s="15">
        <v>44266</v>
      </c>
      <c r="B83" s="112">
        <v>0.98380000000000001</v>
      </c>
      <c r="C83" s="112">
        <f>C82*(1+表2_367162629303891213141523242526272831323637[[#This Row],[每日盈亏]])</f>
        <v>0.9968697670516703</v>
      </c>
      <c r="D83" s="108">
        <f t="shared" si="4"/>
        <v>2.2599999999999953E-2</v>
      </c>
      <c r="E83" s="109" t="str">
        <f t="shared" si="9"/>
        <v>/</v>
      </c>
      <c r="F83" s="109">
        <f ca="1">IF(表2_367162629303891213141523242526272831323637[[#This Row],[累计净值]]/MAX(INDIRECT("B21:B" &amp; ROW()))-1&lt;F82,表2_367162629303891213141523242526272831323637[[#This Row],[累计净值]]/MAX(INDIRECT("B21:B" &amp; ROW()))-1,F82)</f>
        <v>-0.10536113179448992</v>
      </c>
      <c r="G83" s="110">
        <f>表2_367162629303891213141523242526272831323637[[#This Row],[累计净值]]</f>
        <v>0.98380000000000001</v>
      </c>
      <c r="H83" s="20">
        <f>IF(表2_367162629303891213141523242526272831323637[[#This Row],[累计净值]]&gt;1.027,0.8*(表2_367162629303891213141523242526272831323637[[#This Row],[累计净值]]/$B$48-1),表2_367162629303891213141523242526272831323637[[#This Row],[累计净值]]/$B$48-1)</f>
        <v>-4.2064264849074884E-2</v>
      </c>
    </row>
    <row r="84" spans="1:8">
      <c r="A84" s="15">
        <v>44267</v>
      </c>
      <c r="B84" s="112">
        <v>0.98640000000000005</v>
      </c>
      <c r="C84" s="112">
        <f>C83*(1+表2_367162629303891213141523242526272831323637[[#This Row],[每日盈亏]])</f>
        <v>0.99946162844600483</v>
      </c>
      <c r="D84" s="108">
        <f t="shared" si="4"/>
        <v>2.6000000000000467E-3</v>
      </c>
      <c r="E84" s="109" t="str">
        <f t="shared" si="9"/>
        <v>/</v>
      </c>
      <c r="F84" s="109">
        <f ca="1">IF(表2_367162629303891213141523242526272831323637[[#This Row],[累计净值]]/MAX(INDIRECT("B21:B" &amp; ROW()))-1&lt;F83,表2_367162629303891213141523242526272831323637[[#This Row],[累计净值]]/MAX(INDIRECT("B21:B" &amp; ROW()))-1,F83)</f>
        <v>-0.10536113179448992</v>
      </c>
      <c r="G84" s="110">
        <f>表2_367162629303891213141523242526272831323637[[#This Row],[累计净值]]</f>
        <v>0.98640000000000005</v>
      </c>
      <c r="H84" s="20">
        <f>IF(表2_367162629303891213141523242526272831323637[[#This Row],[累计净值]]&gt;1.027,0.8*(表2_367162629303891213141523242526272831323637[[#This Row],[累计净值]]/$B$48-1),表2_367162629303891213141523242526272831323637[[#This Row],[累计净值]]/$B$48-1)</f>
        <v>-3.9532619279454617E-2</v>
      </c>
    </row>
    <row r="85" spans="1:8">
      <c r="A85" s="15">
        <v>44270</v>
      </c>
      <c r="B85" s="112">
        <v>0.97629999999999995</v>
      </c>
      <c r="C85" s="112">
        <f>C84*(1+表2_367162629303891213141523242526272831323637[[#This Row],[每日盈亏]])</f>
        <v>0.98936706599870006</v>
      </c>
      <c r="D85" s="108">
        <f t="shared" ref="D85:D116" si="10">IFERROR(B85-B84,0)</f>
        <v>-1.0100000000000109E-2</v>
      </c>
      <c r="E85" s="109">
        <f t="shared" ref="E85:E90" si="11">IF(D85&lt;0,D85,"/")</f>
        <v>-1.0100000000000109E-2</v>
      </c>
      <c r="F85" s="109">
        <f ca="1">IF(表2_367162629303891213141523242526272831323637[[#This Row],[累计净值]]/MAX(INDIRECT("B21:B" &amp; ROW()))-1&lt;F84,表2_367162629303891213141523242526272831323637[[#This Row],[累计净值]]/MAX(INDIRECT("B21:B" &amp; ROW()))-1,F84)</f>
        <v>-0.10536113179448992</v>
      </c>
      <c r="G85" s="110">
        <f>表2_367162629303891213141523242526272831323637[[#This Row],[累计净值]]</f>
        <v>0.97629999999999995</v>
      </c>
      <c r="H85" s="20">
        <f>IF(表2_367162629303891213141523242526272831323637[[#This Row],[累计净值]]&gt;1.027,0.8*(表2_367162629303891213141523242526272831323637[[#This Row],[累计净值]]/$B$48-1),表2_367162629303891213141523242526272831323637[[#This Row],[累计净值]]/$B$48-1)</f>
        <v>-4.9367088607594867E-2</v>
      </c>
    </row>
    <row r="86" spans="1:8">
      <c r="A86" s="15">
        <v>44271</v>
      </c>
      <c r="B86" s="112">
        <v>0.97889999999999999</v>
      </c>
      <c r="C86" s="112">
        <f>C85*(1+表2_367162629303891213141523242526272831323637[[#This Row],[每日盈亏]])</f>
        <v>0.99193942037029681</v>
      </c>
      <c r="D86" s="108">
        <f t="shared" si="10"/>
        <v>2.6000000000000467E-3</v>
      </c>
      <c r="E86" s="109" t="str">
        <f t="shared" si="11"/>
        <v>/</v>
      </c>
      <c r="F86" s="109">
        <f ca="1">IF(表2_367162629303891213141523242526272831323637[[#This Row],[累计净值]]/MAX(INDIRECT("B21:B" &amp; ROW()))-1&lt;F85,表2_367162629303891213141523242526272831323637[[#This Row],[累计净值]]/MAX(INDIRECT("B21:B" &amp; ROW()))-1,F85)</f>
        <v>-0.10536113179448992</v>
      </c>
      <c r="G86" s="110">
        <f>表2_367162629303891213141523242526272831323637[[#This Row],[累计净值]]</f>
        <v>0.97889999999999999</v>
      </c>
      <c r="H86" s="20">
        <f>IF(表2_367162629303891213141523242526272831323637[[#This Row],[累计净值]]&gt;1.027,0.8*(表2_367162629303891213141523242526272831323637[[#This Row],[累计净值]]/$B$48-1),表2_367162629303891213141523242526272831323637[[#This Row],[累计净值]]/$B$48-1)</f>
        <v>-4.68354430379746E-2</v>
      </c>
    </row>
    <row r="87" spans="1:8">
      <c r="A87" s="15">
        <v>44272</v>
      </c>
      <c r="B87" s="112">
        <v>0.99029999999999996</v>
      </c>
      <c r="C87" s="112">
        <f>C86*(1+表2_367162629303891213141523242526272831323637[[#This Row],[每日盈亏]])</f>
        <v>1.0032475297625183</v>
      </c>
      <c r="D87" s="108">
        <f t="shared" si="10"/>
        <v>1.1399999999999966E-2</v>
      </c>
      <c r="E87" s="109" t="str">
        <f t="shared" si="11"/>
        <v>/</v>
      </c>
      <c r="F87" s="109">
        <f ca="1">IF(表2_367162629303891213141523242526272831323637[[#This Row],[累计净值]]/MAX(INDIRECT("B21:B" &amp; ROW()))-1&lt;F86,表2_367162629303891213141523242526272831323637[[#This Row],[累计净值]]/MAX(INDIRECT("B21:B" &amp; ROW()))-1,F86)</f>
        <v>-0.10536113179448992</v>
      </c>
      <c r="G87" s="110">
        <f>表2_367162629303891213141523242526272831323637[[#This Row],[累计净值]]</f>
        <v>0.99029999999999996</v>
      </c>
      <c r="H87" s="20">
        <f>IF(表2_367162629303891213141523242526272831323637[[#This Row],[累计净值]]&gt;1.027,0.8*(表2_367162629303891213141523242526272831323637[[#This Row],[累计净值]]/$B$48-1),表2_367162629303891213141523242526272831323637[[#This Row],[累计净值]]/$B$48-1)</f>
        <v>-3.5735150925024328E-2</v>
      </c>
    </row>
    <row r="88" spans="1:8">
      <c r="A88" s="15">
        <v>44273</v>
      </c>
      <c r="B88" s="112">
        <v>0.99890000000000001</v>
      </c>
      <c r="C88" s="112">
        <f>C87*(1+表2_367162629303891213141523242526272831323637[[#This Row],[每日盈亏]])</f>
        <v>1.0118754585184759</v>
      </c>
      <c r="D88" s="108">
        <f t="shared" si="10"/>
        <v>8.600000000000052E-3</v>
      </c>
      <c r="E88" s="109" t="str">
        <f t="shared" si="11"/>
        <v>/</v>
      </c>
      <c r="F88" s="109">
        <f ca="1">IF(表2_367162629303891213141523242526272831323637[[#This Row],[累计净值]]/MAX(INDIRECT("B21:B" &amp; ROW()))-1&lt;F87,表2_367162629303891213141523242526272831323637[[#This Row],[累计净值]]/MAX(INDIRECT("B21:B" &amp; ROW()))-1,F87)</f>
        <v>-0.10536113179448992</v>
      </c>
      <c r="G88" s="110">
        <f>表2_367162629303891213141523242526272831323637[[#This Row],[累计净值]]</f>
        <v>0.99890000000000001</v>
      </c>
      <c r="H88" s="20">
        <f>IF(表2_367162629303891213141523242526272831323637[[#This Row],[累计净值]]&gt;1.027,0.8*(表2_367162629303891213141523242526272831323637[[#This Row],[累计净值]]/$B$48-1),表2_367162629303891213141523242526272831323637[[#This Row],[累计净值]]/$B$48-1)</f>
        <v>-2.7361246348588053E-2</v>
      </c>
    </row>
    <row r="89" spans="1:8">
      <c r="A89" s="15">
        <v>44274</v>
      </c>
      <c r="B89" s="112">
        <v>0.9889</v>
      </c>
      <c r="C89" s="112">
        <f>C88*(1+表2_367162629303891213141523242526272831323637[[#This Row],[每日盈亏]])</f>
        <v>1.0017567039332911</v>
      </c>
      <c r="D89" s="108">
        <f t="shared" si="10"/>
        <v>-1.0000000000000009E-2</v>
      </c>
      <c r="E89" s="109">
        <f t="shared" si="11"/>
        <v>-1.0000000000000009E-2</v>
      </c>
      <c r="F89" s="109">
        <f ca="1">IF(表2_367162629303891213141523242526272831323637[[#This Row],[累计净值]]/MAX(INDIRECT("B21:B" &amp; ROW()))-1&lt;F88,表2_367162629303891213141523242526272831323637[[#This Row],[累计净值]]/MAX(INDIRECT("B21:B" &amp; ROW()))-1,F88)</f>
        <v>-0.10536113179448992</v>
      </c>
      <c r="G89" s="110">
        <f>表2_367162629303891213141523242526272831323637[[#This Row],[累计净值]]</f>
        <v>0.9889</v>
      </c>
      <c r="H89" s="20">
        <f>IF(表2_367162629303891213141523242526272831323637[[#This Row],[累计净值]]&gt;1.027,0.8*(表2_367162629303891213141523242526272831323637[[#This Row],[累计净值]]/$B$48-1),表2_367162629303891213141523242526272831323637[[#This Row],[累计净值]]/$B$48-1)</f>
        <v>-3.7098344693281327E-2</v>
      </c>
    </row>
    <row r="90" spans="1:8">
      <c r="A90" s="15">
        <v>44277</v>
      </c>
      <c r="B90" s="112">
        <v>1.0031000000000001</v>
      </c>
      <c r="C90" s="112">
        <f>C89*(1+表2_367162629303891213141523242526272831323637[[#This Row],[每日盈亏]])</f>
        <v>1.015981649129144</v>
      </c>
      <c r="D90" s="108">
        <f t="shared" si="10"/>
        <v>1.4200000000000101E-2</v>
      </c>
      <c r="E90" s="109" t="str">
        <f t="shared" si="11"/>
        <v>/</v>
      </c>
      <c r="F90" s="109">
        <f ca="1">IF(表2_367162629303891213141523242526272831323637[[#This Row],[累计净值]]/MAX(INDIRECT("B21:B" &amp; ROW()))-1&lt;F89,表2_367162629303891213141523242526272831323637[[#This Row],[累计净值]]/MAX(INDIRECT("B21:B" &amp; ROW()))-1,F89)</f>
        <v>-0.10536113179448992</v>
      </c>
      <c r="G90" s="110">
        <f>表2_367162629303891213141523242526272831323637[[#This Row],[累计净值]]</f>
        <v>1.0031000000000001</v>
      </c>
      <c r="H90" s="20">
        <f>IF(表2_367162629303891213141523242526272831323637[[#This Row],[累计净值]]&gt;1.027,0.8*(表2_367162629303891213141523242526272831323637[[#This Row],[累计净值]]/$B$48-1),表2_367162629303891213141523242526272831323637[[#This Row],[累计净值]]/$B$48-1)</f>
        <v>-2.3271665043816725E-2</v>
      </c>
    </row>
    <row r="91" spans="1:8">
      <c r="A91" s="15">
        <v>44278</v>
      </c>
      <c r="B91" s="112">
        <v>0.98929999999999996</v>
      </c>
      <c r="C91" s="112">
        <f>C90*(1+表2_367162629303891213141523242526272831323637[[#This Row],[每日盈亏]])</f>
        <v>1.0019611023711616</v>
      </c>
      <c r="D91" s="108">
        <f t="shared" si="10"/>
        <v>-1.3800000000000145E-2</v>
      </c>
      <c r="E91" s="109">
        <f t="shared" ref="E91:E94" si="12">IF(D91&lt;0,D91,"/")</f>
        <v>-1.3800000000000145E-2</v>
      </c>
      <c r="F91" s="109">
        <f ca="1">IF(表2_367162629303891213141523242526272831323637[[#This Row],[累计净值]]/MAX(INDIRECT("B21:B" &amp; ROW()))-1&lt;F90,表2_367162629303891213141523242526272831323637[[#This Row],[累计净值]]/MAX(INDIRECT("B21:B" &amp; ROW()))-1,F90)</f>
        <v>-0.10536113179448992</v>
      </c>
      <c r="G91" s="110">
        <f>表2_367162629303891213141523242526272831323637[[#This Row],[累计净值]]</f>
        <v>0.98929999999999996</v>
      </c>
      <c r="H91" s="20">
        <f>IF(表2_367162629303891213141523242526272831323637[[#This Row],[累计净值]]&gt;1.027,0.8*(表2_367162629303891213141523242526272831323637[[#This Row],[累计净值]]/$B$48-1),表2_367162629303891213141523242526272831323637[[#This Row],[累计净值]]/$B$48-1)</f>
        <v>-3.6708860759493644E-2</v>
      </c>
    </row>
    <row r="92" spans="1:8">
      <c r="A92" s="15">
        <v>44279</v>
      </c>
      <c r="B92" s="112">
        <v>0.97160000000000002</v>
      </c>
      <c r="C92" s="112">
        <f>C91*(1+表2_367162629303891213141523242526272831323637[[#This Row],[每日盈亏]])</f>
        <v>0.98422639085919217</v>
      </c>
      <c r="D92" s="108">
        <f t="shared" si="10"/>
        <v>-1.7699999999999938E-2</v>
      </c>
      <c r="E92" s="109">
        <f t="shared" si="12"/>
        <v>-1.7699999999999938E-2</v>
      </c>
      <c r="F92" s="109">
        <f ca="1">IF(表2_367162629303891213141523242526272831323637[[#This Row],[累计净值]]/MAX(INDIRECT("B21:B" &amp; ROW()))-1&lt;F91,表2_367162629303891213141523242526272831323637[[#This Row],[累计净值]]/MAX(INDIRECT("B21:B" &amp; ROW()))-1,F91)</f>
        <v>-0.10536113179448992</v>
      </c>
      <c r="G92" s="110">
        <f>表2_367162629303891213141523242526272831323637[[#This Row],[累计净值]]</f>
        <v>0.97160000000000002</v>
      </c>
      <c r="H92" s="20">
        <f>IF(表2_367162629303891213141523242526272831323637[[#This Row],[累计净值]]&gt;1.027,0.8*(表2_367162629303891213141523242526272831323637[[#This Row],[累计净值]]/$B$48-1),表2_367162629303891213141523242526272831323637[[#This Row],[累计净值]]/$B$48-1)</f>
        <v>-5.3943524829600631E-2</v>
      </c>
    </row>
    <row r="93" spans="1:8">
      <c r="A93" s="15">
        <v>44280</v>
      </c>
      <c r="B93" s="112">
        <v>0.97330000000000005</v>
      </c>
      <c r="C93" s="112">
        <f>C92*(1+表2_367162629303891213141523242526272831323637[[#This Row],[每日盈亏]])</f>
        <v>0.98589957572365283</v>
      </c>
      <c r="D93" s="108">
        <f t="shared" si="10"/>
        <v>1.7000000000000348E-3</v>
      </c>
      <c r="E93" s="109" t="str">
        <f t="shared" si="12"/>
        <v>/</v>
      </c>
      <c r="F93" s="109">
        <f ca="1">IF(表2_367162629303891213141523242526272831323637[[#This Row],[累计净值]]/MAX(INDIRECT("B21:B" &amp; ROW()))-1&lt;F92,表2_367162629303891213141523242526272831323637[[#This Row],[累计净值]]/MAX(INDIRECT("B21:B" &amp; ROW()))-1,F92)</f>
        <v>-0.10536113179448992</v>
      </c>
      <c r="G93" s="110">
        <f>表2_367162629303891213141523242526272831323637[[#This Row],[累计净值]]</f>
        <v>0.97330000000000005</v>
      </c>
      <c r="H93" s="20">
        <f>IF(表2_367162629303891213141523242526272831323637[[#This Row],[累计净值]]&gt;1.027,0.8*(表2_367162629303891213141523242526272831323637[[#This Row],[累计净值]]/$B$48-1),表2_367162629303891213141523242526272831323637[[#This Row],[累计净值]]/$B$48-1)</f>
        <v>-5.2288218111002815E-2</v>
      </c>
    </row>
    <row r="94" spans="1:8">
      <c r="A94" s="15">
        <v>44281</v>
      </c>
      <c r="B94" s="112">
        <v>0.99339999999999995</v>
      </c>
      <c r="C94" s="112">
        <f>C93*(1+表2_367162629303891213141523242526272831323637[[#This Row],[每日盈亏]])</f>
        <v>1.0057161571956981</v>
      </c>
      <c r="D94" s="108">
        <f t="shared" si="10"/>
        <v>2.0099999999999896E-2</v>
      </c>
      <c r="E94" s="109" t="str">
        <f t="shared" si="12"/>
        <v>/</v>
      </c>
      <c r="F94" s="109">
        <f ca="1">IF(表2_367162629303891213141523242526272831323637[[#This Row],[累计净值]]/MAX(INDIRECT("B21:B" &amp; ROW()))-1&lt;F93,表2_367162629303891213141523242526272831323637[[#This Row],[累计净值]]/MAX(INDIRECT("B21:B" &amp; ROW()))-1,F93)</f>
        <v>-0.10536113179448992</v>
      </c>
      <c r="G94" s="110">
        <f>表2_367162629303891213141523242526272831323637[[#This Row],[累计净值]]</f>
        <v>0.99339999999999995</v>
      </c>
      <c r="H94" s="20">
        <f>IF(表2_367162629303891213141523242526272831323637[[#This Row],[累计净值]]&gt;1.027,0.8*(表2_367162629303891213141523242526272831323637[[#This Row],[累计净值]]/$B$48-1),表2_367162629303891213141523242526272831323637[[#This Row],[累计净值]]/$B$48-1)</f>
        <v>-3.2716650438169403E-2</v>
      </c>
    </row>
    <row r="95" spans="1:8">
      <c r="A95" s="15">
        <v>44284</v>
      </c>
      <c r="B95" s="112">
        <v>0.99639999999999995</v>
      </c>
      <c r="C95" s="112">
        <f>C94*(1+表2_367162629303891213141523242526272831323637[[#This Row],[每日盈亏]])</f>
        <v>1.0087333056672854</v>
      </c>
      <c r="D95" s="108">
        <f t="shared" si="10"/>
        <v>3.0000000000000027E-3</v>
      </c>
      <c r="E95" s="109" t="str">
        <f t="shared" ref="E95:E100" si="13">IF(D95&lt;0,D95,"/")</f>
        <v>/</v>
      </c>
      <c r="F95" s="109">
        <f ca="1">IF(表2_367162629303891213141523242526272831323637[[#This Row],[累计净值]]/MAX(INDIRECT("B21:B" &amp; ROW()))-1&lt;F94,表2_367162629303891213141523242526272831323637[[#This Row],[累计净值]]/MAX(INDIRECT("B21:B" &amp; ROW()))-1,F94)</f>
        <v>-0.10536113179448992</v>
      </c>
      <c r="G95" s="110">
        <f>表2_367162629303891213141523242526272831323637[[#This Row],[累计净值]]</f>
        <v>0.99639999999999995</v>
      </c>
      <c r="H95" s="20">
        <f>IF(表2_367162629303891213141523242526272831323637[[#This Row],[累计净值]]&gt;1.027,0.8*(表2_367162629303891213141523242526272831323637[[#This Row],[累计净值]]/$B$48-1),表2_367162629303891213141523242526272831323637[[#This Row],[累计净值]]/$B$48-1)</f>
        <v>-2.9795520934761455E-2</v>
      </c>
    </row>
    <row r="96" spans="1:8">
      <c r="A96" s="15">
        <v>44285</v>
      </c>
      <c r="B96" s="112">
        <v>0.99970000000000003</v>
      </c>
      <c r="C96" s="112">
        <f>C95*(1+表2_367162629303891213141523242526272831323637[[#This Row],[每日盈亏]])</f>
        <v>1.0120621255759874</v>
      </c>
      <c r="D96" s="108">
        <f t="shared" si="10"/>
        <v>3.3000000000000806E-3</v>
      </c>
      <c r="E96" s="109" t="str">
        <f t="shared" si="13"/>
        <v>/</v>
      </c>
      <c r="F96" s="109">
        <f ca="1">IF(表2_367162629303891213141523242526272831323637[[#This Row],[累计净值]]/MAX(INDIRECT("B21:B" &amp; ROW()))-1&lt;F95,表2_367162629303891213141523242526272831323637[[#This Row],[累计净值]]/MAX(INDIRECT("B21:B" &amp; ROW()))-1,F95)</f>
        <v>-0.10536113179448992</v>
      </c>
      <c r="G96" s="110">
        <f>表2_367162629303891213141523242526272831323637[[#This Row],[累计净值]]</f>
        <v>0.99970000000000003</v>
      </c>
      <c r="H96" s="20">
        <f>IF(表2_367162629303891213141523242526272831323637[[#This Row],[累计净值]]&gt;1.027,0.8*(表2_367162629303891213141523242526272831323637[[#This Row],[累计净值]]/$B$48-1),表2_367162629303891213141523242526272831323637[[#This Row],[累计净值]]/$B$48-1)</f>
        <v>-2.6582278481012578E-2</v>
      </c>
    </row>
    <row r="97" spans="1:8">
      <c r="A97" s="15">
        <v>44286</v>
      </c>
      <c r="B97" s="112">
        <v>0.99539999999999995</v>
      </c>
      <c r="C97" s="112">
        <f>C96*(1+表2_367162629303891213141523242526272831323637[[#This Row],[每日盈亏]])</f>
        <v>1.0077102584360105</v>
      </c>
      <c r="D97" s="108">
        <f t="shared" si="10"/>
        <v>-4.3000000000000815E-3</v>
      </c>
      <c r="E97" s="109">
        <f t="shared" si="13"/>
        <v>-4.3000000000000815E-3</v>
      </c>
      <c r="F97" s="109">
        <f ca="1">IF(表2_367162629303891213141523242526272831323637[[#This Row],[累计净值]]/MAX(INDIRECT("B21:B" &amp; ROW()))-1&lt;F96,表2_367162629303891213141523242526272831323637[[#This Row],[累计净值]]/MAX(INDIRECT("B21:B" &amp; ROW()))-1,F96)</f>
        <v>-0.10536113179448992</v>
      </c>
      <c r="G97" s="110">
        <f>表2_367162629303891213141523242526272831323637[[#This Row],[累计净值]]</f>
        <v>0.99539999999999995</v>
      </c>
      <c r="H97" s="20">
        <f>IF(表2_367162629303891213141523242526272831323637[[#This Row],[累计净值]]&gt;1.027,0.8*(表2_367162629303891213141523242526272831323637[[#This Row],[累计净值]]/$B$48-1),表2_367162629303891213141523242526272831323637[[#This Row],[累计净值]]/$B$48-1)</f>
        <v>-3.0769230769230771E-2</v>
      </c>
    </row>
    <row r="98" spans="1:8">
      <c r="A98" s="15">
        <v>44287</v>
      </c>
      <c r="B98" s="112">
        <v>1.0038</v>
      </c>
      <c r="C98" s="112">
        <f>C97*(1+表2_367162629303891213141523242526272831323637[[#This Row],[每日盈亏]])</f>
        <v>1.016175024606873</v>
      </c>
      <c r="D98" s="108">
        <f t="shared" si="10"/>
        <v>8.4000000000000741E-3</v>
      </c>
      <c r="E98" s="109" t="str">
        <f t="shared" si="13"/>
        <v>/</v>
      </c>
      <c r="F98" s="109">
        <f ca="1">IF(表2_367162629303891213141523242526272831323637[[#This Row],[累计净值]]/MAX(INDIRECT("B21:B" &amp; ROW()))-1&lt;F97,表2_367162629303891213141523242526272831323637[[#This Row],[累计净值]]/MAX(INDIRECT("B21:B" &amp; ROW()))-1,F97)</f>
        <v>-0.10536113179448992</v>
      </c>
      <c r="G98" s="110">
        <f>表2_367162629303891213141523242526272831323637[[#This Row],[累计净值]]</f>
        <v>1.0038</v>
      </c>
      <c r="H98" s="20">
        <f>IF(表2_367162629303891213141523242526272831323637[[#This Row],[累计净值]]&gt;1.027,0.8*(表2_367162629303891213141523242526272831323637[[#This Row],[累计净值]]/$B$48-1),表2_367162629303891213141523242526272831323637[[#This Row],[累计净值]]/$B$48-1)</f>
        <v>-2.2590068159688337E-2</v>
      </c>
    </row>
    <row r="99" spans="1:8">
      <c r="A99" s="15">
        <v>44288</v>
      </c>
      <c r="B99" s="112">
        <v>1.0085</v>
      </c>
      <c r="C99" s="112">
        <f>C98*(1+表2_367162629303891213141523242526272831323637[[#This Row],[每日盈亏]])</f>
        <v>1.0209510472225252</v>
      </c>
      <c r="D99" s="108">
        <f t="shared" si="10"/>
        <v>4.6999999999999265E-3</v>
      </c>
      <c r="E99" s="109" t="str">
        <f t="shared" si="13"/>
        <v>/</v>
      </c>
      <c r="F99" s="109">
        <f ca="1">IF(表2_367162629303891213141523242526272831323637[[#This Row],[累计净值]]/MAX(INDIRECT("B21:B" &amp; ROW()))-1&lt;F98,表2_367162629303891213141523242526272831323637[[#This Row],[累计净值]]/MAX(INDIRECT("B21:B" &amp; ROW()))-1,F98)</f>
        <v>-0.10536113179448992</v>
      </c>
      <c r="G99" s="110">
        <f>表2_367162629303891213141523242526272831323637[[#This Row],[累计净值]]</f>
        <v>1.0085</v>
      </c>
      <c r="H99" s="20">
        <f>IF(表2_367162629303891213141523242526272831323637[[#This Row],[累计净值]]&gt;1.027,0.8*(表2_367162629303891213141523242526272831323637[[#This Row],[累计净值]]/$B$48-1),表2_367162629303891213141523242526272831323637[[#This Row],[累计净值]]/$B$48-1)</f>
        <v>-1.8013631937682573E-2</v>
      </c>
    </row>
    <row r="100" spans="1:8">
      <c r="A100" s="15">
        <v>44292</v>
      </c>
      <c r="B100" s="112">
        <v>1.0147999999999999</v>
      </c>
      <c r="C100" s="112">
        <f>C99*(1+表2_367162629303891213141523242526272831323637[[#This Row],[每日盈亏]])</f>
        <v>1.0273830388200271</v>
      </c>
      <c r="D100" s="108">
        <f t="shared" si="10"/>
        <v>6.2999999999999723E-3</v>
      </c>
      <c r="E100" s="109" t="str">
        <f t="shared" si="13"/>
        <v>/</v>
      </c>
      <c r="F100" s="109">
        <f ca="1">IF(表2_367162629303891213141523242526272831323637[[#This Row],[累计净值]]/MAX(INDIRECT("B21:B" &amp; ROW()))-1&lt;F99,表2_367162629303891213141523242526272831323637[[#This Row],[累计净值]]/MAX(INDIRECT("B21:B" &amp; ROW()))-1,F99)</f>
        <v>-0.10536113179448992</v>
      </c>
      <c r="G100" s="110">
        <f>表2_367162629303891213141523242526272831323637[[#This Row],[累计净值]]</f>
        <v>1.0147999999999999</v>
      </c>
      <c r="H100" s="20">
        <f>IF(表2_367162629303891213141523242526272831323637[[#This Row],[累计净值]]&gt;1.027,0.8*(表2_367162629303891213141523242526272831323637[[#This Row],[累计净值]]/$B$48-1),表2_367162629303891213141523242526272831323637[[#This Row],[累计净值]]/$B$48-1)</f>
        <v>-1.1879259980525747E-2</v>
      </c>
    </row>
    <row r="101" spans="1:8">
      <c r="A101" s="15">
        <v>44293</v>
      </c>
      <c r="B101" s="112">
        <v>1.0169999999999999</v>
      </c>
      <c r="C101" s="112">
        <f>C100*(1+表2_367162629303891213141523242526272831323637[[#This Row],[每日盈亏]])</f>
        <v>1.0296432815054313</v>
      </c>
      <c r="D101" s="108">
        <f t="shared" si="10"/>
        <v>2.1999999999999797E-3</v>
      </c>
      <c r="E101" s="109" t="str">
        <f t="shared" ref="E101:E106" si="14">IF(D101&lt;0,D101,"/")</f>
        <v>/</v>
      </c>
      <c r="F101" s="109">
        <f ca="1">IF(表2_367162629303891213141523242526272831323637[[#This Row],[累计净值]]/MAX(INDIRECT("B21:B" &amp; ROW()))-1&lt;F100,表2_367162629303891213141523242526272831323637[[#This Row],[累计净值]]/MAX(INDIRECT("B21:B" &amp; ROW()))-1,F100)</f>
        <v>-0.10536113179448992</v>
      </c>
      <c r="G101" s="110">
        <f>表2_367162629303891213141523242526272831323637[[#This Row],[累计净值]]</f>
        <v>1.0169999999999999</v>
      </c>
      <c r="H101" s="20">
        <f>IF(表2_367162629303891213141523242526272831323637[[#This Row],[累计净值]]&gt;1.027,0.8*(表2_367162629303891213141523242526272831323637[[#This Row],[累计净值]]/$B$48-1),表2_367162629303891213141523242526272831323637[[#This Row],[累计净值]]/$B$48-1)</f>
        <v>-9.7370983446932735E-3</v>
      </c>
    </row>
    <row r="102" spans="1:8">
      <c r="A102" s="15">
        <v>44294</v>
      </c>
      <c r="B102" s="112">
        <v>1.0195000000000001</v>
      </c>
      <c r="C102" s="112">
        <f>C101*(1+表2_367162629303891213141523242526272831323637[[#This Row],[每日盈亏]])</f>
        <v>1.0322173897091951</v>
      </c>
      <c r="D102" s="108">
        <f t="shared" si="10"/>
        <v>2.5000000000001688E-3</v>
      </c>
      <c r="E102" s="109" t="str">
        <f t="shared" si="14"/>
        <v>/</v>
      </c>
      <c r="F102" s="109">
        <f ca="1">IF(表2_367162629303891213141523242526272831323637[[#This Row],[累计净值]]/MAX(INDIRECT("B21:B" &amp; ROW()))-1&lt;F101,表2_367162629303891213141523242526272831323637[[#This Row],[累计净值]]/MAX(INDIRECT("B21:B" &amp; ROW()))-1,F101)</f>
        <v>-0.10536113179448992</v>
      </c>
      <c r="G102" s="110">
        <f>表2_367162629303891213141523242526272831323637[[#This Row],[累计净值]]</f>
        <v>1.0195000000000001</v>
      </c>
      <c r="H102" s="20">
        <f>IF(表2_367162629303891213141523242526272831323637[[#This Row],[累计净值]]&gt;1.027,0.8*(表2_367162629303891213141523242526272831323637[[#This Row],[累计净值]]/$B$48-1),表2_367162629303891213141523242526272831323637[[#This Row],[累计净值]]/$B$48-1)</f>
        <v>-7.3028237585197608E-3</v>
      </c>
    </row>
    <row r="103" spans="1:8">
      <c r="A103" s="15">
        <v>44295</v>
      </c>
      <c r="B103" s="112">
        <v>1.018</v>
      </c>
      <c r="C103" s="112">
        <f>C102*(1+表2_367162629303891213141523242526272831323637[[#This Row],[每日盈亏]])</f>
        <v>1.0306690636246312</v>
      </c>
      <c r="D103" s="108">
        <f t="shared" si="10"/>
        <v>-1.5000000000000568E-3</v>
      </c>
      <c r="E103" s="109">
        <f t="shared" si="14"/>
        <v>-1.5000000000000568E-3</v>
      </c>
      <c r="F103" s="109">
        <f ca="1">IF(表2_367162629303891213141523242526272831323637[[#This Row],[累计净值]]/MAX(INDIRECT("B21:B" &amp; ROW()))-1&lt;F102,表2_367162629303891213141523242526272831323637[[#This Row],[累计净值]]/MAX(INDIRECT("B21:B" &amp; ROW()))-1,F102)</f>
        <v>-0.10536113179448992</v>
      </c>
      <c r="G103" s="110">
        <f>表2_367162629303891213141523242526272831323637[[#This Row],[累计净值]]</f>
        <v>1.018</v>
      </c>
      <c r="H103" s="20">
        <f>IF(表2_367162629303891213141523242526272831323637[[#This Row],[累计净值]]&gt;1.027,0.8*(表2_367162629303891213141523242526272831323637[[#This Row],[累计净值]]/$B$48-1),表2_367162629303891213141523242526272831323637[[#This Row],[累计净值]]/$B$48-1)</f>
        <v>-8.7633885102238462E-3</v>
      </c>
    </row>
    <row r="104" spans="1:8">
      <c r="A104" s="15">
        <v>44298</v>
      </c>
      <c r="B104" s="112">
        <v>0.99509999999999998</v>
      </c>
      <c r="C104" s="112">
        <f>C103*(1+表2_367162629303891213141523242526272831323637[[#This Row],[每日盈亏]])</f>
        <v>1.0070667420676271</v>
      </c>
      <c r="D104" s="108">
        <f t="shared" si="10"/>
        <v>-2.2900000000000031E-2</v>
      </c>
      <c r="E104" s="109">
        <f t="shared" si="14"/>
        <v>-2.2900000000000031E-2</v>
      </c>
      <c r="F104" s="109">
        <f ca="1">IF(表2_367162629303891213141523242526272831323637[[#This Row],[累计净值]]/MAX(INDIRECT("B21:B" &amp; ROW()))-1&lt;F103,表2_367162629303891213141523242526272831323637[[#This Row],[累计净值]]/MAX(INDIRECT("B21:B" &amp; ROW()))-1,F103)</f>
        <v>-0.10536113179448992</v>
      </c>
      <c r="G104" s="110">
        <f>表2_367162629303891213141523242526272831323637[[#This Row],[累计净值]]</f>
        <v>0.99509999999999998</v>
      </c>
      <c r="H104" s="20">
        <f>IF(表2_367162629303891213141523242526272831323637[[#This Row],[累计净值]]&gt;1.027,0.8*(表2_367162629303891213141523242526272831323637[[#This Row],[累计净值]]/$B$48-1),表2_367162629303891213141523242526272831323637[[#This Row],[累计净值]]/$B$48-1)</f>
        <v>-3.1061343719571477E-2</v>
      </c>
    </row>
    <row r="105" spans="1:8">
      <c r="A105" s="15">
        <v>44299</v>
      </c>
      <c r="B105" s="112">
        <v>0.99250000000000005</v>
      </c>
      <c r="C105" s="112">
        <f>C104*(1+表2_367162629303891213141523242526272831323637[[#This Row],[每日盈亏]])</f>
        <v>1.0044483685382515</v>
      </c>
      <c r="D105" s="108">
        <f t="shared" si="10"/>
        <v>-2.5999999999999357E-3</v>
      </c>
      <c r="E105" s="109">
        <f t="shared" si="14"/>
        <v>-2.5999999999999357E-3</v>
      </c>
      <c r="F105" s="109">
        <f ca="1">IF(表2_367162629303891213141523242526272831323637[[#This Row],[累计净值]]/MAX(INDIRECT("B21:B" &amp; ROW()))-1&lt;F104,表2_367162629303891213141523242526272831323637[[#This Row],[累计净值]]/MAX(INDIRECT("B21:B" &amp; ROW()))-1,F104)</f>
        <v>-0.10536113179448992</v>
      </c>
      <c r="G105" s="110">
        <f>表2_367162629303891213141523242526272831323637[[#This Row],[累计净值]]</f>
        <v>0.99250000000000005</v>
      </c>
      <c r="H105" s="20">
        <f>IF(表2_367162629303891213141523242526272831323637[[#This Row],[累计净值]]&gt;1.027,0.8*(表2_367162629303891213141523242526272831323637[[#This Row],[累计净值]]/$B$48-1),表2_367162629303891213141523242526272831323637[[#This Row],[累计净值]]/$B$48-1)</f>
        <v>-3.3592989289191744E-2</v>
      </c>
    </row>
    <row r="106" spans="1:8">
      <c r="A106" s="15">
        <v>44300</v>
      </c>
      <c r="B106" s="112">
        <v>1.0079</v>
      </c>
      <c r="C106" s="112">
        <f>C105*(1+表2_367162629303891213141523242526272831323637[[#This Row],[每日盈亏]])</f>
        <v>1.0199168734137407</v>
      </c>
      <c r="D106" s="108">
        <f t="shared" si="10"/>
        <v>1.5399999999999969E-2</v>
      </c>
      <c r="E106" s="109" t="str">
        <f t="shared" si="14"/>
        <v>/</v>
      </c>
      <c r="F106" s="109">
        <f ca="1">IF(表2_367162629303891213141523242526272831323637[[#This Row],[累计净值]]/MAX(INDIRECT("B21:B" &amp; ROW()))-1&lt;F105,表2_367162629303891213141523242526272831323637[[#This Row],[累计净值]]/MAX(INDIRECT("B21:B" &amp; ROW()))-1,F105)</f>
        <v>-0.10536113179448992</v>
      </c>
      <c r="G106" s="110">
        <f>表2_367162629303891213141523242526272831323637[[#This Row],[累计净值]]</f>
        <v>1.0079</v>
      </c>
      <c r="H106" s="20">
        <f>IF(表2_367162629303891213141523242526272831323637[[#This Row],[累计净值]]&gt;1.027,0.8*(表2_367162629303891213141523242526272831323637[[#This Row],[累计净值]]/$B$48-1),表2_367162629303891213141523242526272831323637[[#This Row],[累计净值]]/$B$48-1)</f>
        <v>-1.8597857838364096E-2</v>
      </c>
    </row>
    <row r="107" spans="1:8">
      <c r="A107" s="15">
        <v>44301</v>
      </c>
      <c r="B107" s="112">
        <v>1.0064</v>
      </c>
      <c r="C107" s="112">
        <f>C106*(1+表2_367162629303891213141523242526272831323637[[#This Row],[每日盈亏]])</f>
        <v>1.01838699810362</v>
      </c>
      <c r="D107" s="108">
        <f t="shared" si="10"/>
        <v>-1.5000000000000568E-3</v>
      </c>
      <c r="E107" s="109">
        <f t="shared" ref="E107:E112" si="15">IF(D107&lt;0,D107,"/")</f>
        <v>-1.5000000000000568E-3</v>
      </c>
      <c r="F107" s="109">
        <f ca="1">IF(表2_367162629303891213141523242526272831323637[[#This Row],[累计净值]]/MAX(INDIRECT("B21:B" &amp; ROW()))-1&lt;F106,表2_367162629303891213141523242526272831323637[[#This Row],[累计净值]]/MAX(INDIRECT("B21:B" &amp; ROW()))-1,F106)</f>
        <v>-0.10536113179448992</v>
      </c>
      <c r="G107" s="110">
        <f>表2_367162629303891213141523242526272831323637[[#This Row],[累计净值]]</f>
        <v>1.0064</v>
      </c>
      <c r="H107" s="20">
        <f>IF(表2_367162629303891213141523242526272831323637[[#This Row],[累计净值]]&gt;1.027,0.8*(表2_367162629303891213141523242526272831323637[[#This Row],[累计净值]]/$B$48-1),表2_367162629303891213141523242526272831323637[[#This Row],[累计净值]]/$B$48-1)</f>
        <v>-2.005842259006807E-2</v>
      </c>
    </row>
    <row r="108" spans="1:8">
      <c r="A108" s="15">
        <v>44302</v>
      </c>
      <c r="B108" s="112">
        <v>1.0135000000000001</v>
      </c>
      <c r="C108" s="112">
        <f>C107*(1+表2_367162629303891213141523242526272831323637[[#This Row],[每日盈亏]])</f>
        <v>1.0256175457901557</v>
      </c>
      <c r="D108" s="108">
        <f t="shared" si="10"/>
        <v>7.1000000000001062E-3</v>
      </c>
      <c r="E108" s="109" t="str">
        <f t="shared" si="15"/>
        <v>/</v>
      </c>
      <c r="F108" s="109">
        <f ca="1">IF(表2_367162629303891213141523242526272831323637[[#This Row],[累计净值]]/MAX(INDIRECT("B21:B" &amp; ROW()))-1&lt;F107,表2_367162629303891213141523242526272831323637[[#This Row],[累计净值]]/MAX(INDIRECT("B21:B" &amp; ROW()))-1,F107)</f>
        <v>-0.10536113179448992</v>
      </c>
      <c r="G108" s="110">
        <f>表2_367162629303891213141523242526272831323637[[#This Row],[累计净值]]</f>
        <v>1.0135000000000001</v>
      </c>
      <c r="H108" s="20">
        <f>IF(表2_367162629303891213141523242526272831323637[[#This Row],[累计净值]]&gt;1.027,0.8*(表2_367162629303891213141523242526272831323637[[#This Row],[累计净值]]/$B$48-1),表2_367162629303891213141523242526272831323637[[#This Row],[累计净值]]/$B$48-1)</f>
        <v>-1.3145082765335769E-2</v>
      </c>
    </row>
    <row r="109" spans="1:8">
      <c r="A109" s="15">
        <v>44305</v>
      </c>
      <c r="B109" s="112">
        <v>1.0324</v>
      </c>
      <c r="C109" s="112">
        <f>C108*(1+表2_367162629303891213141523242526272831323637[[#This Row],[每日盈亏]])</f>
        <v>1.0450017174055897</v>
      </c>
      <c r="D109" s="108">
        <f t="shared" si="10"/>
        <v>1.8899999999999917E-2</v>
      </c>
      <c r="E109" s="109" t="str">
        <f t="shared" si="15"/>
        <v>/</v>
      </c>
      <c r="F109" s="109">
        <f ca="1">IF(表2_367162629303891213141523242526272831323637[[#This Row],[累计净值]]/MAX(INDIRECT("B21:B" &amp; ROW()))-1&lt;F108,表2_367162629303891213141523242526272831323637[[#This Row],[累计净值]]/MAX(INDIRECT("B21:B" &amp; ROW()))-1,F108)</f>
        <v>-0.10536113179448992</v>
      </c>
      <c r="G109" s="110">
        <f>表2_367162629303891213141523242526272831323637[[#This Row],[累计净值]]</f>
        <v>1.0324</v>
      </c>
      <c r="H109" s="20">
        <f>IF(表2_367162629303891213141523242526272831323637[[#This Row],[累计净值]]&gt;1.027,0.8*(表2_367162629303891213141523242526272831323637[[#This Row],[累计净值]]/$B$48-1),表2_367162629303891213141523242526272831323637[[#This Row],[累计净值]]/$B$48-1)</f>
        <v>4.2064264849075881E-3</v>
      </c>
    </row>
    <row r="110" spans="1:8">
      <c r="A110" s="15">
        <v>44306</v>
      </c>
      <c r="B110" s="112">
        <v>1.032</v>
      </c>
      <c r="C110" s="112">
        <f>C109*(1+表2_367162629303891213141523242526272831323637[[#This Row],[每日盈亏]])</f>
        <v>1.0445837167186274</v>
      </c>
      <c r="D110" s="108">
        <f t="shared" si="10"/>
        <v>-3.9999999999995595E-4</v>
      </c>
      <c r="E110" s="109">
        <f t="shared" si="15"/>
        <v>-3.9999999999995595E-4</v>
      </c>
      <c r="F110" s="109">
        <f ca="1">IF(表2_367162629303891213141523242526272831323637[[#This Row],[累计净值]]/MAX(INDIRECT("B21:B" &amp; ROW()))-1&lt;F109,表2_367162629303891213141523242526272831323637[[#This Row],[累计净值]]/MAX(INDIRECT("B21:B" &amp; ROW()))-1,F109)</f>
        <v>-0.10536113179448992</v>
      </c>
      <c r="G110" s="110">
        <f>表2_367162629303891213141523242526272831323637[[#This Row],[累计净值]]</f>
        <v>1.032</v>
      </c>
      <c r="H110" s="20">
        <f>IF(表2_367162629303891213141523242526272831323637[[#This Row],[累计净值]]&gt;1.027,0.8*(表2_367162629303891213141523242526272831323637[[#This Row],[累计净值]]/$B$48-1),表2_367162629303891213141523242526272831323637[[#This Row],[累计净值]]/$B$48-1)</f>
        <v>3.8948393378774428E-3</v>
      </c>
    </row>
    <row r="111" spans="1:8">
      <c r="A111" s="15">
        <v>44307</v>
      </c>
      <c r="B111" s="112">
        <v>1.0298</v>
      </c>
      <c r="C111" s="112">
        <f>C110*(1+表2_367162629303891213141523242526272831323637[[#This Row],[每日盈亏]])</f>
        <v>1.0422856325418464</v>
      </c>
      <c r="D111" s="108">
        <f t="shared" si="10"/>
        <v>-2.1999999999999797E-3</v>
      </c>
      <c r="E111" s="109">
        <f t="shared" si="15"/>
        <v>-2.1999999999999797E-3</v>
      </c>
      <c r="F111" s="109">
        <f ca="1">IF(表2_367162629303891213141523242526272831323637[[#This Row],[累计净值]]/MAX(INDIRECT("B21:B" &amp; ROW()))-1&lt;F110,表2_367162629303891213141523242526272831323637[[#This Row],[累计净值]]/MAX(INDIRECT("B21:B" &amp; ROW()))-1,F110)</f>
        <v>-0.10536113179448992</v>
      </c>
      <c r="G111" s="110">
        <f>表2_367162629303891213141523242526272831323637[[#This Row],[累计净值]]</f>
        <v>1.0298</v>
      </c>
      <c r="H111" s="20">
        <f>IF(表2_367162629303891213141523242526272831323637[[#This Row],[累计净值]]&gt;1.027,0.8*(表2_367162629303891213141523242526272831323637[[#This Row],[累计净值]]/$B$48-1),表2_367162629303891213141523242526272831323637[[#This Row],[累计净值]]/$B$48-1)</f>
        <v>2.1811100292113751E-3</v>
      </c>
    </row>
    <row r="112" spans="1:8">
      <c r="A112" s="15">
        <v>44308</v>
      </c>
      <c r="B112" s="112">
        <v>1.0341</v>
      </c>
      <c r="C112" s="112">
        <f>C111*(1+表2_367162629303891213141523242526272831323637[[#This Row],[每日盈亏]])</f>
        <v>1.0467674607617763</v>
      </c>
      <c r="D112" s="108">
        <f t="shared" si="10"/>
        <v>4.2999999999999705E-3</v>
      </c>
      <c r="E112" s="109" t="str">
        <f t="shared" si="15"/>
        <v>/</v>
      </c>
      <c r="F112" s="109">
        <f ca="1">IF(表2_367162629303891213141523242526272831323637[[#This Row],[累计净值]]/MAX(INDIRECT("B21:B" &amp; ROW()))-1&lt;F111,表2_367162629303891213141523242526272831323637[[#This Row],[累计净值]]/MAX(INDIRECT("B21:B" &amp; ROW()))-1,F111)</f>
        <v>-0.10536113179448992</v>
      </c>
      <c r="G112" s="110">
        <f>表2_367162629303891213141523242526272831323637[[#This Row],[累计净值]]</f>
        <v>1.0341</v>
      </c>
      <c r="H112" s="20">
        <f>IF(表2_367162629303891213141523242526272831323637[[#This Row],[累计净值]]&gt;1.027,0.8*(表2_367162629303891213141523242526272831323637[[#This Row],[累计净值]]/$B$48-1),表2_367162629303891213141523242526272831323637[[#This Row],[累计净值]]/$B$48-1)</f>
        <v>5.5306718597858406E-3</v>
      </c>
    </row>
    <row r="113" spans="1:8">
      <c r="A113" s="15">
        <v>44309</v>
      </c>
      <c r="B113" s="112">
        <v>1.0349999999999999</v>
      </c>
      <c r="C113" s="112">
        <f>C112*(1+表2_367162629303891213141523242526272831323637[[#This Row],[每日盈亏]])</f>
        <v>1.0477095514764618</v>
      </c>
      <c r="D113" s="108">
        <f t="shared" si="10"/>
        <v>8.9999999999990088E-4</v>
      </c>
      <c r="E113" s="109" t="str">
        <f>IF(D113&lt;0,D113,"/")</f>
        <v>/</v>
      </c>
      <c r="F113" s="109">
        <f ca="1">IF(表2_367162629303891213141523242526272831323637[[#This Row],[累计净值]]/MAX(INDIRECT("B21:B" &amp; ROW()))-1&lt;F112,表2_367162629303891213141523242526272831323637[[#This Row],[累计净值]]/MAX(INDIRECT("B21:B" &amp; ROW()))-1,F112)</f>
        <v>-0.10536113179448992</v>
      </c>
      <c r="G113" s="110">
        <f>表2_367162629303891213141523242526272831323637[[#This Row],[累计净值]]</f>
        <v>1.0349999999999999</v>
      </c>
      <c r="H113" s="20">
        <f>IF(表2_367162629303891213141523242526272831323637[[#This Row],[累计净值]]&gt;1.027,0.8*(表2_367162629303891213141523242526272831323637[[#This Row],[累计净值]]/$B$48-1),表2_367162629303891213141523242526272831323637[[#This Row],[累计净值]]/$B$48-1)</f>
        <v>6.2317429406036247E-3</v>
      </c>
    </row>
    <row r="114" spans="1:8">
      <c r="A114" s="15">
        <v>44312</v>
      </c>
      <c r="B114" s="112">
        <v>1.0309999999999999</v>
      </c>
      <c r="C114" s="112">
        <f>C113*(1+表2_367162629303891213141523242526272831323637[[#This Row],[每日盈亏]])</f>
        <v>1.0435187132705559</v>
      </c>
      <c r="D114" s="108">
        <f t="shared" si="10"/>
        <v>-4.0000000000000036E-3</v>
      </c>
      <c r="E114" s="109">
        <f>IF(D114&lt;0,D114,"/")</f>
        <v>-4.0000000000000036E-3</v>
      </c>
      <c r="F114" s="109">
        <f ca="1">IF(表2_367162629303891213141523242526272831323637[[#This Row],[累计净值]]/MAX(INDIRECT("B21:B" &amp; ROW()))-1&lt;F113,表2_367162629303891213141523242526272831323637[[#This Row],[累计净值]]/MAX(INDIRECT("B21:B" &amp; ROW()))-1,F113)</f>
        <v>-0.10536113179448992</v>
      </c>
      <c r="G114" s="110">
        <f>表2_367162629303891213141523242526272831323637[[#This Row],[累计净值]]</f>
        <v>1.0309999999999999</v>
      </c>
      <c r="H114" s="20">
        <f>IF(表2_367162629303891213141523242526272831323637[[#This Row],[累计净值]]&gt;1.027,0.8*(表2_367162629303891213141523242526272831323637[[#This Row],[累计净值]]/$B$48-1),表2_367162629303891213141523242526272831323637[[#This Row],[累计净值]]/$B$48-1)</f>
        <v>3.1158714703018123E-3</v>
      </c>
    </row>
    <row r="115" spans="1:8">
      <c r="A115" s="15">
        <v>44313</v>
      </c>
      <c r="B115" s="112">
        <v>1.0289999999999999</v>
      </c>
      <c r="C115" s="112">
        <f>C114*(1+表2_367162629303891213141523242526272831323637[[#This Row],[每日盈亏]])</f>
        <v>1.0414316758440147</v>
      </c>
      <c r="D115" s="108">
        <f t="shared" si="10"/>
        <v>-2.0000000000000018E-3</v>
      </c>
      <c r="E115" s="109">
        <f>IF(D115&lt;0,D115,"/")</f>
        <v>-2.0000000000000018E-3</v>
      </c>
      <c r="F115" s="109">
        <f ca="1">IF(表2_367162629303891213141523242526272831323637[[#This Row],[累计净值]]/MAX(INDIRECT("B21:B" &amp; ROW()))-1&lt;F114,表2_367162629303891213141523242526272831323637[[#This Row],[累计净值]]/MAX(INDIRECT("B21:B" &amp; ROW()))-1,F114)</f>
        <v>-0.10536113179448992</v>
      </c>
      <c r="G115" s="110">
        <f>表2_367162629303891213141523242526272831323637[[#This Row],[累计净值]]</f>
        <v>1.0289999999999999</v>
      </c>
      <c r="H115" s="20">
        <f>IF(表2_367162629303891213141523242526272831323637[[#This Row],[累计净值]]&gt;1.027,0.8*(表2_367162629303891213141523242526272831323637[[#This Row],[累计净值]]/$B$48-1),表2_367162629303891213141523242526272831323637[[#This Row],[累计净值]]/$B$48-1)</f>
        <v>1.5579357351509062E-3</v>
      </c>
    </row>
    <row r="116" spans="1:8">
      <c r="A116" s="15">
        <v>44314</v>
      </c>
      <c r="B116" s="112">
        <v>1.0358000000000001</v>
      </c>
      <c r="C116" s="112">
        <f>C115*(1+表2_367162629303891213141523242526272831323637[[#This Row],[每日盈亏]])</f>
        <v>1.0485134112397543</v>
      </c>
      <c r="D116" s="108">
        <f t="shared" si="10"/>
        <v>6.8000000000001393E-3</v>
      </c>
      <c r="E116" s="109" t="str">
        <f>IF(D116&lt;0,D116,"/")</f>
        <v>/</v>
      </c>
      <c r="F116" s="109">
        <f ca="1">IF(表2_367162629303891213141523242526272831323637[[#This Row],[累计净值]]/MAX(INDIRECT("B21:B" &amp; ROW()))-1&lt;F115,表2_367162629303891213141523242526272831323637[[#This Row],[累计净值]]/MAX(INDIRECT("B21:B" &amp; ROW()))-1,F115)</f>
        <v>-0.10536113179448992</v>
      </c>
      <c r="G116" s="110">
        <f>表2_367162629303891213141523242526272831323637[[#This Row],[累计净值]]</f>
        <v>1.0358000000000001</v>
      </c>
      <c r="H116" s="20">
        <f>IF(表2_367162629303891213141523242526272831323637[[#This Row],[累计净值]]&gt;1.027,0.8*(表2_367162629303891213141523242526272831323637[[#This Row],[累计净值]]/$B$48-1),表2_367162629303891213141523242526272831323637[[#This Row],[累计净值]]/$B$48-1)</f>
        <v>6.8549172346640931E-3</v>
      </c>
    </row>
    <row r="117" spans="1:8">
      <c r="A117" s="15">
        <v>44315</v>
      </c>
      <c r="B117" s="112">
        <v>1.0362</v>
      </c>
      <c r="C117" s="112">
        <f>C116*(1+表2_367162629303891213141523242526272831323637[[#This Row],[每日盈亏]])</f>
        <v>1.0489328166042502</v>
      </c>
      <c r="D117" s="108">
        <f t="shared" ref="D117:D126" si="16">IFERROR(B117-B116,0)</f>
        <v>3.9999999999995595E-4</v>
      </c>
      <c r="E117" s="109" t="str">
        <f>IF(D117&lt;0,D117,"/")</f>
        <v>/</v>
      </c>
      <c r="F117" s="109">
        <f ca="1">IF(表2_367162629303891213141523242526272831323637[[#This Row],[累计净值]]/MAX(INDIRECT("B21:B" &amp; ROW()))-1&lt;F116,表2_367162629303891213141523242526272831323637[[#This Row],[累计净值]]/MAX(INDIRECT("B21:B" &amp; ROW()))-1,F116)</f>
        <v>-0.10536113179448992</v>
      </c>
      <c r="G117" s="110">
        <f>表2_367162629303891213141523242526272831323637[[#This Row],[累计净值]]</f>
        <v>1.0362</v>
      </c>
      <c r="H117" s="20">
        <f>IF(表2_367162629303891213141523242526272831323637[[#This Row],[累计净值]]&gt;1.027,0.8*(表2_367162629303891213141523242526272831323637[[#This Row],[累计净值]]/$B$48-1),表2_367162629303891213141523242526272831323637[[#This Row],[累计净值]]/$B$48-1)</f>
        <v>7.1665043816944163E-3</v>
      </c>
    </row>
    <row r="118" spans="1:8">
      <c r="A118" s="15">
        <v>44316</v>
      </c>
      <c r="B118" s="112">
        <v>1.0309999999999999</v>
      </c>
      <c r="C118" s="112">
        <f>C117*(1+表2_367162629303891213141523242526272831323637[[#This Row],[每日盈亏]])</f>
        <v>1.0434783659579081</v>
      </c>
      <c r="D118" s="108">
        <f t="shared" si="16"/>
        <v>-5.2000000000000934E-3</v>
      </c>
      <c r="E118" s="109">
        <f t="shared" ref="E118:E119" si="17">IF(D118&lt;0,D118,"/")</f>
        <v>-5.2000000000000934E-3</v>
      </c>
      <c r="F118" s="109">
        <f ca="1">IF(表2_367162629303891213141523242526272831323637[[#This Row],[累计净值]]/MAX(INDIRECT("B21:B" &amp; ROW()))-1&lt;F117,表2_367162629303891213141523242526272831323637[[#This Row],[累计净值]]/MAX(INDIRECT("B21:B" &amp; ROW()))-1,F117)</f>
        <v>-0.10536113179448992</v>
      </c>
      <c r="G118" s="110">
        <f>表2_367162629303891213141523242526272831323637[[#This Row],[累计净值]]</f>
        <v>1.0309999999999999</v>
      </c>
      <c r="H118" s="20">
        <f>IF(表2_367162629303891213141523242526272831323637[[#This Row],[累计净值]]&gt;1.027,0.8*(表2_367162629303891213141523242526272831323637[[#This Row],[累计净值]]/$B$48-1),表2_367162629303891213141523242526272831323637[[#This Row],[累计净值]]/$B$48-1)</f>
        <v>3.1158714703018123E-3</v>
      </c>
    </row>
    <row r="119" spans="1:8">
      <c r="A119" s="15">
        <v>44322</v>
      </c>
      <c r="B119" s="112">
        <v>1.0363</v>
      </c>
      <c r="C119" s="112">
        <f>C118*(1+表2_367162629303891213141523242526272831323637[[#This Row],[每日盈亏]])</f>
        <v>1.0490088012974852</v>
      </c>
      <c r="D119" s="108">
        <f t="shared" si="16"/>
        <v>5.3000000000000824E-3</v>
      </c>
      <c r="E119" s="109" t="str">
        <f t="shared" si="17"/>
        <v>/</v>
      </c>
      <c r="F119" s="109">
        <f ca="1">IF(表2_367162629303891213141523242526272831323637[[#This Row],[累计净值]]/MAX(INDIRECT("B21:B" &amp; ROW()))-1&lt;F118,表2_367162629303891213141523242526272831323637[[#This Row],[累计净值]]/MAX(INDIRECT("B21:B" &amp; ROW()))-1,F118)</f>
        <v>-0.10536113179448992</v>
      </c>
      <c r="G119" s="110">
        <f>表2_367162629303891213141523242526272831323637[[#This Row],[累计净值]]</f>
        <v>1.0363</v>
      </c>
      <c r="H119" s="20">
        <f>IF(表2_367162629303891213141523242526272831323637[[#This Row],[累计净值]]&gt;1.027,0.8*(表2_367162629303891213141523242526272831323637[[#This Row],[累计净值]]/$B$48-1),表2_367162629303891213141523242526272831323637[[#This Row],[累计净值]]/$B$48-1)</f>
        <v>7.2444011684519088E-3</v>
      </c>
    </row>
    <row r="120" spans="1:8">
      <c r="A120" s="15">
        <v>44323</v>
      </c>
      <c r="B120" s="112">
        <v>1.0299</v>
      </c>
      <c r="C120" s="112">
        <f>C119*(1+表2_367162629303891213141523242526272831323637[[#This Row],[每日盈亏]])</f>
        <v>1.0422951449691813</v>
      </c>
      <c r="D120" s="108">
        <f t="shared" si="16"/>
        <v>-6.3999999999999613E-3</v>
      </c>
      <c r="E120" s="109">
        <f t="shared" ref="E120:E125" si="18">IF(D120&lt;0,D120,"/")</f>
        <v>-6.3999999999999613E-3</v>
      </c>
      <c r="F120" s="109">
        <f ca="1">IF(表2_367162629303891213141523242526272831323637[[#This Row],[累计净值]]/MAX(INDIRECT("B21:B" &amp; ROW()))-1&lt;F119,表2_367162629303891213141523242526272831323637[[#This Row],[累计净值]]/MAX(INDIRECT("B21:B" &amp; ROW()))-1,F119)</f>
        <v>-0.10536113179448992</v>
      </c>
      <c r="G120" s="110">
        <f>表2_367162629303891213141523242526272831323637[[#This Row],[累计净值]]</f>
        <v>1.0299</v>
      </c>
      <c r="H120" s="20">
        <f>IF(表2_367162629303891213141523242526272831323637[[#This Row],[累计净值]]&gt;1.027,0.8*(表2_367162629303891213141523242526272831323637[[#This Row],[累计净值]]/$B$48-1),表2_367162629303891213141523242526272831323637[[#This Row],[累计净值]]/$B$48-1)</f>
        <v>2.2590068159688672E-3</v>
      </c>
    </row>
    <row r="121" spans="1:8">
      <c r="A121" s="15">
        <v>44326</v>
      </c>
      <c r="B121" s="112">
        <v>1.0337000000000001</v>
      </c>
      <c r="C121" s="112">
        <f>C120*(1+表2_367162629303891213141523242526272831323637[[#This Row],[每日盈亏]])</f>
        <v>1.0462558665200643</v>
      </c>
      <c r="D121" s="108">
        <f t="shared" si="16"/>
        <v>3.8000000000000256E-3</v>
      </c>
      <c r="E121" s="109" t="str">
        <f t="shared" si="18"/>
        <v>/</v>
      </c>
      <c r="F121" s="109">
        <f ca="1">IF(表2_367162629303891213141523242526272831323637[[#This Row],[累计净值]]/MAX(INDIRECT("B21:B" &amp; ROW()))-1&lt;F120,表2_367162629303891213141523242526272831323637[[#This Row],[累计净值]]/MAX(INDIRECT("B21:B" &amp; ROW()))-1,F120)</f>
        <v>-0.10536113179448992</v>
      </c>
      <c r="G121" s="110">
        <f>表2_367162629303891213141523242526272831323637[[#This Row],[累计净值]]</f>
        <v>1.0337000000000001</v>
      </c>
      <c r="H121" s="20">
        <f>IF(表2_367162629303891213141523242526272831323637[[#This Row],[累计净值]]&gt;1.027,0.8*(表2_367162629303891213141523242526272831323637[[#This Row],[累计净值]]/$B$48-1),表2_367162629303891213141523242526272831323637[[#This Row],[累计净值]]/$B$48-1)</f>
        <v>5.2190847127556953E-3</v>
      </c>
    </row>
    <row r="122" spans="1:8">
      <c r="A122" s="15">
        <v>44327</v>
      </c>
      <c r="B122" s="112">
        <v>1.026</v>
      </c>
      <c r="C122" s="112">
        <f>C121*(1+表2_367162629303891213141523242526272831323637[[#This Row],[每日盈亏]])</f>
        <v>1.0381996963478597</v>
      </c>
      <c r="D122" s="108">
        <f t="shared" si="16"/>
        <v>-7.7000000000000401E-3</v>
      </c>
      <c r="E122" s="109">
        <f t="shared" si="18"/>
        <v>-7.7000000000000401E-3</v>
      </c>
      <c r="F122" s="109">
        <f ca="1">IF(表2_367162629303891213141523242526272831323637[[#This Row],[累计净值]]/MAX(INDIRECT("B21:B" &amp; ROW()))-1&lt;F121,表2_367162629303891213141523242526272831323637[[#This Row],[累计净值]]/MAX(INDIRECT("B21:B" &amp; ROW()))-1,F121)</f>
        <v>-0.10536113179448992</v>
      </c>
      <c r="G122" s="110">
        <f>表2_367162629303891213141523242526272831323637[[#This Row],[累计净值]]</f>
        <v>1.026</v>
      </c>
      <c r="H122" s="20">
        <f>IF(表2_367162629303891213141523242526272831323637[[#This Row],[累计净值]]&gt;1.027,0.8*(表2_367162629303891213141523242526272831323637[[#This Row],[累计净值]]/$B$48-1),表2_367162629303891213141523242526272831323637[[#This Row],[累计净值]]/$B$48-1)</f>
        <v>-9.7370983446920523E-4</v>
      </c>
    </row>
    <row r="123" spans="1:8">
      <c r="A123" s="15">
        <v>44328</v>
      </c>
      <c r="B123" s="112">
        <v>1.036</v>
      </c>
      <c r="C123" s="112">
        <f>C122*(1+表2_367162629303891213141523242526272831323637[[#This Row],[每日盈亏]])</f>
        <v>1.0485816933113383</v>
      </c>
      <c r="D123" s="108">
        <f t="shared" si="16"/>
        <v>1.0000000000000009E-2</v>
      </c>
      <c r="E123" s="109" t="str">
        <f t="shared" si="18"/>
        <v>/</v>
      </c>
      <c r="F123" s="109">
        <f ca="1">IF(表2_367162629303891213141523242526272831323637[[#This Row],[累计净值]]/MAX(INDIRECT("B21:B" &amp; ROW()))-1&lt;F122,表2_367162629303891213141523242526272831323637[[#This Row],[累计净值]]/MAX(INDIRECT("B21:B" &amp; ROW()))-1,F122)</f>
        <v>-0.10536113179448992</v>
      </c>
      <c r="G123" s="110">
        <f>表2_367162629303891213141523242526272831323637[[#This Row],[累计净值]]</f>
        <v>1.036</v>
      </c>
      <c r="H123" s="20">
        <f>IF(表2_367162629303891213141523242526272831323637[[#This Row],[累计净值]]&gt;1.027,0.8*(表2_367162629303891213141523242526272831323637[[#This Row],[累计净值]]/$B$48-1),表2_367162629303891213141523242526272831323637[[#This Row],[累计净值]]/$B$48-1)</f>
        <v>7.0107108081792551E-3</v>
      </c>
    </row>
    <row r="124" spans="1:8">
      <c r="A124" s="15">
        <v>44329</v>
      </c>
      <c r="B124" s="112">
        <v>1.0215000000000001</v>
      </c>
      <c r="C124" s="112">
        <f>C123*(1+表2_367162629303891213141523242526272831323637[[#This Row],[每日盈亏]])</f>
        <v>1.0333772587583239</v>
      </c>
      <c r="D124" s="108">
        <f t="shared" si="16"/>
        <v>-1.4499999999999957E-2</v>
      </c>
      <c r="E124" s="109">
        <f t="shared" si="18"/>
        <v>-1.4499999999999957E-2</v>
      </c>
      <c r="F124" s="109">
        <f ca="1">IF(表2_367162629303891213141523242526272831323637[[#This Row],[累计净值]]/MAX(INDIRECT("B21:B" &amp; ROW()))-1&lt;F123,表2_367162629303891213141523242526272831323637[[#This Row],[累计净值]]/MAX(INDIRECT("B21:B" &amp; ROW()))-1,F123)</f>
        <v>-0.10536113179448992</v>
      </c>
      <c r="G124" s="110">
        <f>表2_367162629303891213141523242526272831323637[[#This Row],[累计净值]]</f>
        <v>1.0215000000000001</v>
      </c>
      <c r="H124" s="20">
        <f>IF(表2_367162629303891213141523242526272831323637[[#This Row],[累计净值]]&gt;1.027,0.8*(表2_367162629303891213141523242526272831323637[[#This Row],[累计净值]]/$B$48-1),表2_367162629303891213141523242526272831323637[[#This Row],[累计净值]]/$B$48-1)</f>
        <v>-5.3554040895811283E-3</v>
      </c>
    </row>
    <row r="125" spans="1:8">
      <c r="A125" s="15">
        <v>44330</v>
      </c>
      <c r="B125" s="112">
        <v>1.0334000000000001</v>
      </c>
      <c r="C125" s="112">
        <f>C124*(1+表2_367162629303891213141523242526272831323637[[#This Row],[每日盈亏]])</f>
        <v>1.045674448137548</v>
      </c>
      <c r="D125" s="108">
        <f t="shared" si="16"/>
        <v>1.1900000000000022E-2</v>
      </c>
      <c r="E125" s="109" t="str">
        <f t="shared" si="18"/>
        <v>/</v>
      </c>
      <c r="F125" s="109">
        <f ca="1">IF(表2_367162629303891213141523242526272831323637[[#This Row],[累计净值]]/MAX(INDIRECT("B21:B" &amp; ROW()))-1&lt;F124,表2_367162629303891213141523242526272831323637[[#This Row],[累计净值]]/MAX(INDIRECT("B21:B" &amp; ROW()))-1,F124)</f>
        <v>-0.10536113179448992</v>
      </c>
      <c r="G125" s="110">
        <f>表2_367162629303891213141523242526272831323637[[#This Row],[累计净值]]</f>
        <v>1.0334000000000001</v>
      </c>
      <c r="H125" s="20">
        <f>IF(表2_367162629303891213141523242526272831323637[[#This Row],[累计净值]]&gt;1.027,0.8*(表2_367162629303891213141523242526272831323637[[#This Row],[累计净值]]/$B$48-1),表2_367162629303891213141523242526272831323637[[#This Row],[累计净值]]/$B$48-1)</f>
        <v>4.9853943524830416E-3</v>
      </c>
    </row>
    <row r="126" spans="1:8">
      <c r="A126" s="15">
        <v>44333</v>
      </c>
      <c r="B126" s="112">
        <v>1.0435000000000001</v>
      </c>
      <c r="C126" s="112">
        <f>C125*(1+表2_367162629303891213141523242526272831323637[[#This Row],[每日盈亏]])</f>
        <v>1.0562357600637371</v>
      </c>
      <c r="D126" s="108">
        <f t="shared" si="16"/>
        <v>1.0099999999999998E-2</v>
      </c>
      <c r="E126" s="109" t="str">
        <f>IF(D126&lt;0,D126,"/")</f>
        <v>/</v>
      </c>
      <c r="F126" s="109">
        <f ca="1">IF(表2_367162629303891213141523242526272831323637[[#This Row],[累计净值]]/MAX(INDIRECT("B21:B" &amp; ROW()))-1&lt;F125,表2_367162629303891213141523242526272831323637[[#This Row],[累计净值]]/MAX(INDIRECT("B21:B" &amp; ROW()))-1,F125)</f>
        <v>-0.10536113179448992</v>
      </c>
      <c r="G126" s="110">
        <f>表2_367162629303891213141523242526272831323637[[#This Row],[累计净值]]</f>
        <v>1.0435000000000001</v>
      </c>
      <c r="H126" s="20">
        <f>IF(表2_367162629303891213141523242526272831323637[[#This Row],[累计净值]]&gt;1.027,0.8*(表2_367162629303891213141523242526272831323637[[#This Row],[累计净值]]/$B$48-1),表2_367162629303891213141523242526272831323637[[#This Row],[累计净值]]/$B$48-1)</f>
        <v>1.2852969814995242E-2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207"/>
  <sheetViews>
    <sheetView workbookViewId="0">
      <pane xSplit="1" ySplit="20" topLeftCell="B192" activePane="bottomRight" state="frozen"/>
      <selection pane="topRight" activeCell="B1" sqref="B1"/>
      <selection pane="bottomLeft" activeCell="A21" sqref="A21"/>
      <selection pane="bottomRight" activeCell="O203" sqref="O20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COUNT(表2_36716262930389121314152324252627[每日盈亏])</f>
        <v>187</v>
      </c>
      <c r="C2" s="27"/>
      <c r="D2" s="3" t="s">
        <v>1</v>
      </c>
      <c r="E2" s="28"/>
      <c r="F2" s="1" t="s">
        <v>2</v>
      </c>
      <c r="G2" s="400" t="s">
        <v>3</v>
      </c>
    </row>
    <row r="3" spans="1:7">
      <c r="A3" s="25" t="s">
        <v>4</v>
      </c>
      <c r="B3" s="26">
        <f>COUNTIF(表2_36716262930389121314152324252627[每日盈亏],"&gt;0")</f>
        <v>95</v>
      </c>
      <c r="C3" s="29"/>
      <c r="D3" s="30" t="s">
        <v>5</v>
      </c>
      <c r="E3" s="31">
        <f>245^0.5*(B10-0.025/365)/E10</f>
        <v>2.5355352963772413</v>
      </c>
      <c r="G3" s="400"/>
    </row>
    <row r="4" spans="1:7">
      <c r="A4" s="25" t="s">
        <v>6</v>
      </c>
      <c r="B4" s="26">
        <f>COUNTIF(表2_36716262930389121314152324252627[每日盈亏],"&lt;0")</f>
        <v>83</v>
      </c>
      <c r="C4" s="29"/>
      <c r="D4" s="32" t="s">
        <v>7</v>
      </c>
      <c r="E4" s="31">
        <f ca="1">-B9/E8</f>
        <v>6.2434237482153661</v>
      </c>
      <c r="G4" s="2">
        <f>LOOKUP(999^10,表2_36716262930389121314152324252627[累计净值])</f>
        <v>1.8740000000000001</v>
      </c>
    </row>
    <row r="5" spans="1:7">
      <c r="A5" s="25" t="s">
        <v>8</v>
      </c>
      <c r="B5" s="26">
        <f>B2-B3-B4</f>
        <v>9</v>
      </c>
      <c r="C5" s="29"/>
      <c r="D5" s="33" t="s">
        <v>9</v>
      </c>
      <c r="E5" s="4">
        <f>245^0.5*(B10-0.025/365)/E9</f>
        <v>5.4580106644626198</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LOOKUP(999^10,表2_36716262930389121314152324252627[累计净值])/$B$21-1</f>
        <v>0.2687880839539607</v>
      </c>
      <c r="C8" s="40"/>
      <c r="D8" s="30" t="s">
        <v>13</v>
      </c>
      <c r="E8" s="41">
        <f ca="1">MIN(表2_36716262930389121314152324252627[最大回撤])</f>
        <v>-5.6404230317273707E-2</v>
      </c>
    </row>
    <row r="9" spans="1:7">
      <c r="A9" s="25" t="s">
        <v>14</v>
      </c>
      <c r="B9" s="32">
        <f>B8*245/B2</f>
        <v>0.35215551106267579</v>
      </c>
      <c r="C9" s="40"/>
      <c r="D9" s="33" t="s">
        <v>15</v>
      </c>
      <c r="E9" s="6">
        <f>STDEV(表2_36716262930389121314152324252627[下跌幅度])</f>
        <v>6.0452549374118173E-3</v>
      </c>
    </row>
    <row r="10" spans="1:7">
      <c r="A10" s="42" t="s">
        <v>16</v>
      </c>
      <c r="B10" s="43">
        <f>AVERAGE(表2_36716262930389121314152324252627[每日盈亏])</f>
        <v>2.1764705882352945E-3</v>
      </c>
      <c r="C10" s="44"/>
      <c r="D10" s="33" t="s">
        <v>17</v>
      </c>
      <c r="E10" s="6">
        <f>STDEV(表2_36716262930389121314152324252627[每日盈亏])</f>
        <v>1.3013057228953656E-2</v>
      </c>
    </row>
    <row r="11" spans="1:7">
      <c r="A11" s="7" t="s">
        <v>18</v>
      </c>
      <c r="B11" s="32">
        <f>B3/B2</f>
        <v>0.50802139037433158</v>
      </c>
      <c r="C11" s="40"/>
      <c r="D11" s="32" t="s">
        <v>19</v>
      </c>
      <c r="E11" s="41">
        <f>245^0.5*E10</f>
        <v>0.20368656391324794</v>
      </c>
    </row>
    <row r="12" spans="1:7" ht="16" thickBot="1">
      <c r="A12" s="45" t="s">
        <v>20</v>
      </c>
      <c r="B12" s="46">
        <f>-(SUMIF(表2_36716262930389121314152324252627[每日盈亏],"&gt;=0")/B3)/(SUMIF(表2_36716262930389121314152324252627[每日盈亏],"&lt;0")/B4)</f>
        <v>1.4132737001836919</v>
      </c>
      <c r="C12" s="47"/>
      <c r="D12" s="48"/>
      <c r="E12" s="49"/>
    </row>
    <row r="14" spans="1:7" ht="32">
      <c r="A14" s="50" t="s">
        <v>21</v>
      </c>
      <c r="B14" s="50" t="s">
        <v>14</v>
      </c>
      <c r="C14" s="51" t="s">
        <v>19</v>
      </c>
      <c r="D14" s="51" t="s">
        <v>13</v>
      </c>
      <c r="E14" s="51" t="s">
        <v>5</v>
      </c>
      <c r="F14" s="51" t="s">
        <v>7</v>
      </c>
    </row>
    <row r="15" spans="1:7">
      <c r="A15" s="78">
        <f>B2</f>
        <v>187</v>
      </c>
      <c r="B15" s="53">
        <f>B9</f>
        <v>0.35215551106267579</v>
      </c>
      <c r="C15" s="53">
        <f>E11</f>
        <v>0.20368656391324794</v>
      </c>
      <c r="D15" s="53">
        <f ca="1">E8</f>
        <v>-5.6404230317273707E-2</v>
      </c>
      <c r="E15" s="54">
        <f>E3</f>
        <v>2.5355352963772413</v>
      </c>
      <c r="F15" s="54">
        <f ca="1">E4</f>
        <v>6.2434237482153661</v>
      </c>
    </row>
    <row r="19" spans="1:7">
      <c r="A19" s="8"/>
      <c r="B19" s="1" t="s">
        <v>22</v>
      </c>
    </row>
    <row r="20" spans="1:7" ht="16">
      <c r="A20" s="22" t="s">
        <v>23</v>
      </c>
      <c r="B20" s="22" t="s">
        <v>24</v>
      </c>
      <c r="C20" s="22" t="s">
        <v>25</v>
      </c>
      <c r="D20" s="22" t="s">
        <v>26</v>
      </c>
      <c r="E20" s="22" t="s">
        <v>27</v>
      </c>
      <c r="F20" s="22" t="s">
        <v>28</v>
      </c>
      <c r="G20" s="22" t="s">
        <v>29</v>
      </c>
    </row>
    <row r="21" spans="1:7">
      <c r="A21" s="15">
        <v>44049</v>
      </c>
      <c r="B21" s="16">
        <v>1.4770000000000001</v>
      </c>
      <c r="C21" s="11">
        <f t="shared" ref="C21:C27" si="0">IFERROR(B21-B20,0)</f>
        <v>0</v>
      </c>
      <c r="D21" s="12" t="str">
        <f t="shared" ref="D21:D27" si="1">IF(C21&lt;0,C21,"/")</f>
        <v>/</v>
      </c>
      <c r="E21" s="12">
        <f ca="1">IF(表2_36716262930389121314152324252627[[#This Row],[累计净值]]/MAX(INDIRECT("B21:B" &amp; ROW()))-1&lt;E20,表2_36716262930389121314152324252627[[#This Row],[累计净值]]/MAX(INDIRECT("B21:B" &amp; ROW()))-1,E20)</f>
        <v>0</v>
      </c>
      <c r="F21" s="13">
        <f>表2_36716262930389121314152324252627[[#This Row],[累计净值]]</f>
        <v>1.4770000000000001</v>
      </c>
      <c r="G21" s="194" t="s">
        <v>30</v>
      </c>
    </row>
    <row r="22" spans="1:7">
      <c r="A22" s="15">
        <v>44050</v>
      </c>
      <c r="B22" s="16">
        <v>1.464</v>
      </c>
      <c r="C22" s="17">
        <f t="shared" si="0"/>
        <v>-1.3000000000000123E-2</v>
      </c>
      <c r="D22" s="18">
        <f t="shared" si="1"/>
        <v>-1.3000000000000123E-2</v>
      </c>
      <c r="E22" s="18">
        <f ca="1">IF(表2_36716262930389121314152324252627[[#This Row],[累计净值]]/MAX(INDIRECT("B21:B" &amp; ROW()))-1&lt;E21,表2_36716262930389121314152324252627[[#This Row],[累计净值]]/MAX(INDIRECT("B21:B" &amp; ROW()))-1,E21)</f>
        <v>-8.8016249153690662E-3</v>
      </c>
      <c r="F22" s="19">
        <f>表2_36716262930389121314152324252627[[#This Row],[累计净值]]</f>
        <v>1.464</v>
      </c>
      <c r="G22" s="20">
        <f>表2_36716262930389121314152324252627[[#This Row],[累计净值]]/$B$21-1</f>
        <v>-8.8016249153690662E-3</v>
      </c>
    </row>
    <row r="23" spans="1:7">
      <c r="A23" s="15">
        <v>44053</v>
      </c>
      <c r="B23" s="112">
        <v>1.454</v>
      </c>
      <c r="C23" s="108">
        <f>IFERROR(B23-#REF!,0)</f>
        <v>0</v>
      </c>
      <c r="D23" s="109" t="str">
        <f t="shared" si="1"/>
        <v>/</v>
      </c>
      <c r="E23" s="18">
        <f ca="1">IF(表2_36716262930389121314152324252627[[#This Row],[累计净值]]/MAX(INDIRECT("B21:B" &amp; ROW()))-1&lt;E22,表2_36716262930389121314152324252627[[#This Row],[累计净值]]/MAX(INDIRECT("B21:B" &amp; ROW()))-1,E22)</f>
        <v>-1.5572105619499066E-2</v>
      </c>
      <c r="F23" s="110">
        <f>表2_36716262930389121314152324252627[[#This Row],[累计净值]]</f>
        <v>1.454</v>
      </c>
      <c r="G23" s="20">
        <f>表2_36716262930389121314152324252627[[#This Row],[累计净值]]/$B$21-1</f>
        <v>-1.5572105619499066E-2</v>
      </c>
    </row>
    <row r="24" spans="1:7">
      <c r="A24" s="15">
        <v>44054</v>
      </c>
      <c r="B24" s="112">
        <v>1.4510000000000001</v>
      </c>
      <c r="C24" s="108">
        <f t="shared" si="0"/>
        <v>-2.9999999999998916E-3</v>
      </c>
      <c r="D24" s="109">
        <f t="shared" si="1"/>
        <v>-2.9999999999998916E-3</v>
      </c>
      <c r="E24" s="18">
        <f ca="1">IF(表2_36716262930389121314152324252627[[#This Row],[累计净值]]/MAX(INDIRECT("B21:B" &amp; ROW()))-1&lt;E23,表2_36716262930389121314152324252627[[#This Row],[累计净值]]/MAX(INDIRECT("B21:B" &amp; ROW()))-1,E23)</f>
        <v>-1.7603249830738021E-2</v>
      </c>
      <c r="F24" s="110">
        <f>表2_36716262930389121314152324252627[[#This Row],[累计净值]]</f>
        <v>1.4510000000000001</v>
      </c>
      <c r="G24" s="20">
        <f>表2_36716262930389121314152324252627[[#This Row],[累计净值]]/$B$21-1</f>
        <v>-1.7603249830738021E-2</v>
      </c>
    </row>
    <row r="25" spans="1:7">
      <c r="A25" s="15">
        <v>44055</v>
      </c>
      <c r="B25" s="112">
        <v>1.43</v>
      </c>
      <c r="C25" s="108">
        <f t="shared" si="0"/>
        <v>-2.100000000000013E-2</v>
      </c>
      <c r="D25" s="109">
        <f t="shared" si="1"/>
        <v>-2.100000000000013E-2</v>
      </c>
      <c r="E25" s="18">
        <f ca="1">IF(表2_36716262930389121314152324252627[[#This Row],[累计净值]]/MAX(INDIRECT("B21:B" &amp; ROW()))-1&lt;E24,表2_36716262930389121314152324252627[[#This Row],[累计净值]]/MAX(INDIRECT("B21:B" &amp; ROW()))-1,E24)</f>
        <v>-3.1821259309411043E-2</v>
      </c>
      <c r="F25" s="110">
        <f>表2_36716262930389121314152324252627[[#This Row],[累计净值]]</f>
        <v>1.43</v>
      </c>
      <c r="G25" s="20">
        <f>表2_36716262930389121314152324252627[[#This Row],[累计净值]]/$B$21-1</f>
        <v>-3.1821259309411043E-2</v>
      </c>
    </row>
    <row r="26" spans="1:7">
      <c r="A26" s="15">
        <v>44056</v>
      </c>
      <c r="B26" s="112">
        <v>1.427</v>
      </c>
      <c r="C26" s="108">
        <f t="shared" si="0"/>
        <v>-2.9999999999998916E-3</v>
      </c>
      <c r="D26" s="109">
        <f t="shared" si="1"/>
        <v>-2.9999999999998916E-3</v>
      </c>
      <c r="E26" s="18">
        <f ca="1">IF(表2_36716262930389121314152324252627[[#This Row],[累计净值]]/MAX(INDIRECT("B21:B" &amp; ROW()))-1&lt;E25,表2_36716262930389121314152324252627[[#This Row],[累计净值]]/MAX(INDIRECT("B21:B" &amp; ROW()))-1,E25)</f>
        <v>-3.3852403520649998E-2</v>
      </c>
      <c r="F26" s="110">
        <f>表2_36716262930389121314152324252627[[#This Row],[累计净值]]</f>
        <v>1.427</v>
      </c>
      <c r="G26" s="20">
        <f>表2_36716262930389121314152324252627[[#This Row],[累计净值]]/$B$21-1</f>
        <v>-3.3852403520649998E-2</v>
      </c>
    </row>
    <row r="27" spans="1:7">
      <c r="A27" s="15">
        <v>44057</v>
      </c>
      <c r="B27" s="112">
        <v>1.4139999999999999</v>
      </c>
      <c r="C27" s="108">
        <f t="shared" si="0"/>
        <v>-1.3000000000000123E-2</v>
      </c>
      <c r="D27" s="109">
        <f t="shared" si="1"/>
        <v>-1.3000000000000123E-2</v>
      </c>
      <c r="E27" s="18">
        <f ca="1">IF(表2_36716262930389121314152324252627[[#This Row],[累计净值]]/MAX(INDIRECT("B21:B" &amp; ROW()))-1&lt;E26,表2_36716262930389121314152324252627[[#This Row],[累计净值]]/MAX(INDIRECT("B21:B" &amp; ROW()))-1,E26)</f>
        <v>-4.2654028436019065E-2</v>
      </c>
      <c r="F27" s="110">
        <f>表2_36716262930389121314152324252627[[#This Row],[累计净值]]</f>
        <v>1.4139999999999999</v>
      </c>
      <c r="G27" s="20">
        <f>表2_36716262930389121314152324252627[[#This Row],[累计净值]]/$B$21-1</f>
        <v>-4.2654028436019065E-2</v>
      </c>
    </row>
    <row r="28" spans="1:7">
      <c r="A28" s="15">
        <v>44060</v>
      </c>
      <c r="B28" s="112">
        <v>1.4179999999999999</v>
      </c>
      <c r="C28" s="108">
        <f t="shared" ref="C28:C33" si="2">IFERROR(B28-B27,0)</f>
        <v>4.0000000000000036E-3</v>
      </c>
      <c r="D28" s="109" t="str">
        <f t="shared" ref="D28:D33" si="3">IF(C28&lt;0,C28,"/")</f>
        <v>/</v>
      </c>
      <c r="E28" s="109">
        <f ca="1">IF(表2_36716262930389121314152324252627[[#This Row],[累计净值]]/MAX(INDIRECT("B21:B" &amp; ROW()))-1&lt;E27,表2_36716262930389121314152324252627[[#This Row],[累计净值]]/MAX(INDIRECT("B21:B" &amp; ROW()))-1,E27)</f>
        <v>-4.2654028436019065E-2</v>
      </c>
      <c r="F28" s="110">
        <f>表2_36716262930389121314152324252627[[#This Row],[累计净值]]</f>
        <v>1.4179999999999999</v>
      </c>
      <c r="G28" s="20">
        <f>表2_36716262930389121314152324252627[[#This Row],[累计净值]]/$B$21-1</f>
        <v>-3.9945836154367087E-2</v>
      </c>
    </row>
    <row r="29" spans="1:7">
      <c r="A29" s="15">
        <v>44061</v>
      </c>
      <c r="B29" s="112">
        <v>1.4219999999999999</v>
      </c>
      <c r="C29" s="108">
        <f t="shared" si="2"/>
        <v>4.0000000000000036E-3</v>
      </c>
      <c r="D29" s="109" t="str">
        <f t="shared" si="3"/>
        <v>/</v>
      </c>
      <c r="E29" s="109">
        <f ca="1">IF(表2_36716262930389121314152324252627[[#This Row],[累计净值]]/MAX(INDIRECT("B21:B" &amp; ROW()))-1&lt;E28,表2_36716262930389121314152324252627[[#This Row],[累计净值]]/MAX(INDIRECT("B21:B" &amp; ROW()))-1,E28)</f>
        <v>-4.2654028436019065E-2</v>
      </c>
      <c r="F29" s="110">
        <f>表2_36716262930389121314152324252627[[#This Row],[累计净值]]</f>
        <v>1.4219999999999999</v>
      </c>
      <c r="G29" s="20">
        <f>表2_36716262930389121314152324252627[[#This Row],[累计净值]]/$B$21-1</f>
        <v>-3.7237643872715109E-2</v>
      </c>
    </row>
    <row r="30" spans="1:7">
      <c r="A30" s="15">
        <v>44062</v>
      </c>
      <c r="B30" s="112">
        <v>1.415</v>
      </c>
      <c r="C30" s="108">
        <f t="shared" si="2"/>
        <v>-6.9999999999998952E-3</v>
      </c>
      <c r="D30" s="109">
        <f t="shared" si="3"/>
        <v>-6.9999999999998952E-3</v>
      </c>
      <c r="E30" s="109">
        <f ca="1">IF(表2_36716262930389121314152324252627[[#This Row],[累计净值]]/MAX(INDIRECT("B21:B" &amp; ROW()))-1&lt;E29,表2_36716262930389121314152324252627[[#This Row],[累计净值]]/MAX(INDIRECT("B21:B" &amp; ROW()))-1,E29)</f>
        <v>-4.2654028436019065E-2</v>
      </c>
      <c r="F30" s="110">
        <f>表2_36716262930389121314152324252627[[#This Row],[累计净值]]</f>
        <v>1.415</v>
      </c>
      <c r="G30" s="20">
        <f>表2_36716262930389121314152324252627[[#This Row],[累计净值]]/$B$21-1</f>
        <v>-4.1976980365606043E-2</v>
      </c>
    </row>
    <row r="31" spans="1:7">
      <c r="A31" s="15">
        <v>44063</v>
      </c>
      <c r="B31" s="112">
        <v>1.413</v>
      </c>
      <c r="C31" s="108">
        <f t="shared" si="2"/>
        <v>-2.0000000000000018E-3</v>
      </c>
      <c r="D31" s="109">
        <f t="shared" si="3"/>
        <v>-2.0000000000000018E-3</v>
      </c>
      <c r="E31" s="109">
        <f ca="1">IF(表2_36716262930389121314152324252627[[#This Row],[累计净值]]/MAX(INDIRECT("B21:B" &amp; ROW()))-1&lt;E30,表2_36716262930389121314152324252627[[#This Row],[累计净值]]/MAX(INDIRECT("B21:B" &amp; ROW()))-1,E30)</f>
        <v>-4.3331076506431976E-2</v>
      </c>
      <c r="F31" s="110">
        <f>表2_36716262930389121314152324252627[[#This Row],[累计净值]]</f>
        <v>1.413</v>
      </c>
      <c r="G31" s="20">
        <f>表2_36716262930389121314152324252627[[#This Row],[累计净值]]/$B$21-1</f>
        <v>-4.3331076506431976E-2</v>
      </c>
    </row>
    <row r="32" spans="1:7">
      <c r="A32" s="15">
        <v>44064</v>
      </c>
      <c r="B32" s="112">
        <v>1.413</v>
      </c>
      <c r="C32" s="108">
        <f t="shared" si="2"/>
        <v>0</v>
      </c>
      <c r="D32" s="109" t="str">
        <f t="shared" si="3"/>
        <v>/</v>
      </c>
      <c r="E32" s="109">
        <f ca="1">IF(表2_36716262930389121314152324252627[[#This Row],[累计净值]]/MAX(INDIRECT("B21:B" &amp; ROW()))-1&lt;E31,表2_36716262930389121314152324252627[[#This Row],[累计净值]]/MAX(INDIRECT("B21:B" &amp; ROW()))-1,E31)</f>
        <v>-4.3331076506431976E-2</v>
      </c>
      <c r="F32" s="110">
        <f>表2_36716262930389121314152324252627[[#This Row],[累计净值]]</f>
        <v>1.413</v>
      </c>
      <c r="G32" s="20">
        <f>表2_36716262930389121314152324252627[[#This Row],[累计净值]]/$B$21-1</f>
        <v>-4.3331076506431976E-2</v>
      </c>
    </row>
    <row r="33" spans="1:7">
      <c r="A33" s="15">
        <v>44067</v>
      </c>
      <c r="B33" s="112">
        <v>1.4039999999999999</v>
      </c>
      <c r="C33" s="108">
        <f t="shared" si="2"/>
        <v>-9.000000000000119E-3</v>
      </c>
      <c r="D33" s="109">
        <f t="shared" si="3"/>
        <v>-9.000000000000119E-3</v>
      </c>
      <c r="E33" s="109">
        <f ca="1">IF(表2_36716262930389121314152324252627[[#This Row],[累计净值]]/MAX(INDIRECT("B21:B" &amp; ROW()))-1&lt;E32,表2_36716262930389121314152324252627[[#This Row],[累计净值]]/MAX(INDIRECT("B21:B" &amp; ROW()))-1,E32)</f>
        <v>-4.9424509140149064E-2</v>
      </c>
      <c r="F33" s="110">
        <f>表2_36716262930389121314152324252627[[#This Row],[累计净值]]</f>
        <v>1.4039999999999999</v>
      </c>
      <c r="G33" s="20">
        <f>表2_36716262930389121314152324252627[[#This Row],[累计净值]]/$B$21-1</f>
        <v>-4.9424509140149064E-2</v>
      </c>
    </row>
    <row r="34" spans="1:7">
      <c r="A34" s="15">
        <v>44068</v>
      </c>
      <c r="B34" s="112">
        <v>1.4039999999999999</v>
      </c>
      <c r="C34" s="108">
        <f t="shared" ref="C34:C39" si="4">IFERROR(B34-B33,0)</f>
        <v>0</v>
      </c>
      <c r="D34" s="109" t="str">
        <f t="shared" ref="D34:D39" si="5">IF(C34&lt;0,C34,"/")</f>
        <v>/</v>
      </c>
      <c r="E34" s="109">
        <f ca="1">IF(表2_36716262930389121314152324252627[[#This Row],[累计净值]]/MAX(INDIRECT("B21:B" &amp; ROW()))-1&lt;E33,表2_36716262930389121314152324252627[[#This Row],[累计净值]]/MAX(INDIRECT("B21:B" &amp; ROW()))-1,E33)</f>
        <v>-4.9424509140149064E-2</v>
      </c>
      <c r="F34" s="110">
        <f>表2_36716262930389121314152324252627[[#This Row],[累计净值]]</f>
        <v>1.4039999999999999</v>
      </c>
      <c r="G34" s="20">
        <f>表2_36716262930389121314152324252627[[#This Row],[累计净值]]/$B$21-1</f>
        <v>-4.9424509140149064E-2</v>
      </c>
    </row>
    <row r="35" spans="1:7">
      <c r="A35" s="15">
        <v>44069</v>
      </c>
      <c r="B35" s="112">
        <v>1.411</v>
      </c>
      <c r="C35" s="108">
        <f t="shared" si="4"/>
        <v>7.0000000000001172E-3</v>
      </c>
      <c r="D35" s="109" t="str">
        <f t="shared" si="5"/>
        <v>/</v>
      </c>
      <c r="E35" s="109">
        <f ca="1">IF(表2_36716262930389121314152324252627[[#This Row],[累计净值]]/MAX(INDIRECT("B21:B" &amp; ROW()))-1&lt;E34,表2_36716262930389121314152324252627[[#This Row],[累计净值]]/MAX(INDIRECT("B21:B" &amp; ROW()))-1,E34)</f>
        <v>-4.9424509140149064E-2</v>
      </c>
      <c r="F35" s="110">
        <f>表2_36716262930389121314152324252627[[#This Row],[累计净值]]</f>
        <v>1.411</v>
      </c>
      <c r="G35" s="20">
        <f>表2_36716262930389121314152324252627[[#This Row],[累计净值]]/$B$21-1</f>
        <v>-4.468517264725802E-2</v>
      </c>
    </row>
    <row r="36" spans="1:7">
      <c r="A36" s="15">
        <v>44070</v>
      </c>
      <c r="B36" s="112">
        <v>1.4039999999999999</v>
      </c>
      <c r="C36" s="108">
        <f t="shared" si="4"/>
        <v>-7.0000000000001172E-3</v>
      </c>
      <c r="D36" s="109">
        <f t="shared" si="5"/>
        <v>-7.0000000000001172E-3</v>
      </c>
      <c r="E36" s="109">
        <f ca="1">IF(表2_36716262930389121314152324252627[[#This Row],[累计净值]]/MAX(INDIRECT("B21:B" &amp; ROW()))-1&lt;E35,表2_36716262930389121314152324252627[[#This Row],[累计净值]]/MAX(INDIRECT("B21:B" &amp; ROW()))-1,E35)</f>
        <v>-4.9424509140149064E-2</v>
      </c>
      <c r="F36" s="110">
        <f>表2_36716262930389121314152324252627[[#This Row],[累计净值]]</f>
        <v>1.4039999999999999</v>
      </c>
      <c r="G36" s="20">
        <f>表2_36716262930389121314152324252627[[#This Row],[累计净值]]/$B$21-1</f>
        <v>-4.9424509140149064E-2</v>
      </c>
    </row>
    <row r="37" spans="1:7">
      <c r="A37" s="15">
        <v>44071</v>
      </c>
      <c r="B37" s="112">
        <v>1.399</v>
      </c>
      <c r="C37" s="108">
        <f t="shared" si="4"/>
        <v>-4.9999999999998934E-3</v>
      </c>
      <c r="D37" s="109">
        <f t="shared" si="5"/>
        <v>-4.9999999999998934E-3</v>
      </c>
      <c r="E37" s="109">
        <f ca="1">IF(表2_36716262930389121314152324252627[[#This Row],[累计净值]]/MAX(INDIRECT("B21:B" &amp; ROW()))-1&lt;E36,表2_36716262930389121314152324252627[[#This Row],[累计净值]]/MAX(INDIRECT("B21:B" &amp; ROW()))-1,E36)</f>
        <v>-5.2809749492213953E-2</v>
      </c>
      <c r="F37" s="110">
        <f>表2_36716262930389121314152324252627[[#This Row],[累计净值]]</f>
        <v>1.399</v>
      </c>
      <c r="G37" s="20">
        <f>表2_36716262930389121314152324252627[[#This Row],[累计净值]]/$B$21-1</f>
        <v>-5.2809749492213953E-2</v>
      </c>
    </row>
    <row r="38" spans="1:7">
      <c r="A38" s="15">
        <v>44074</v>
      </c>
      <c r="B38" s="112">
        <v>1.411</v>
      </c>
      <c r="C38" s="108">
        <f t="shared" si="4"/>
        <v>1.2000000000000011E-2</v>
      </c>
      <c r="D38" s="109" t="str">
        <f t="shared" si="5"/>
        <v>/</v>
      </c>
      <c r="E38" s="109">
        <f ca="1">IF(表2_36716262930389121314152324252627[[#This Row],[累计净值]]/MAX(INDIRECT("B21:B" &amp; ROW()))-1&lt;E37,表2_36716262930389121314152324252627[[#This Row],[累计净值]]/MAX(INDIRECT("B21:B" &amp; ROW()))-1,E37)</f>
        <v>-5.2809749492213953E-2</v>
      </c>
      <c r="F38" s="110">
        <f>表2_36716262930389121314152324252627[[#This Row],[累计净值]]</f>
        <v>1.411</v>
      </c>
      <c r="G38" s="20">
        <f>表2_36716262930389121314152324252627[[#This Row],[累计净值]]/$B$21-1</f>
        <v>-4.468517264725802E-2</v>
      </c>
    </row>
    <row r="39" spans="1:7">
      <c r="A39" s="15">
        <v>44075</v>
      </c>
      <c r="B39" s="112">
        <v>1.4139999999999999</v>
      </c>
      <c r="C39" s="108">
        <f t="shared" si="4"/>
        <v>2.9999999999998916E-3</v>
      </c>
      <c r="D39" s="109" t="str">
        <f t="shared" si="5"/>
        <v>/</v>
      </c>
      <c r="E39" s="109">
        <f ca="1">IF(表2_36716262930389121314152324252627[[#This Row],[累计净值]]/MAX(INDIRECT("B21:B" &amp; ROW()))-1&lt;E38,表2_36716262930389121314152324252627[[#This Row],[累计净值]]/MAX(INDIRECT("B21:B" &amp; ROW()))-1,E38)</f>
        <v>-5.2809749492213953E-2</v>
      </c>
      <c r="F39" s="110">
        <f>表2_36716262930389121314152324252627[[#This Row],[累计净值]]</f>
        <v>1.4139999999999999</v>
      </c>
      <c r="G39" s="20">
        <f>表2_36716262930389121314152324252627[[#This Row],[累计净值]]/$B$21-1</f>
        <v>-4.2654028436019065E-2</v>
      </c>
    </row>
    <row r="40" spans="1:7">
      <c r="A40" s="15">
        <v>44076</v>
      </c>
      <c r="B40" s="112">
        <v>1.4119999999999999</v>
      </c>
      <c r="C40" s="108">
        <f t="shared" ref="C40:C45" si="6">IFERROR(B40-B39,0)</f>
        <v>-2.0000000000000018E-3</v>
      </c>
      <c r="D40" s="109">
        <f t="shared" ref="D40:D45" si="7">IF(C40&lt;0,C40,"/")</f>
        <v>-2.0000000000000018E-3</v>
      </c>
      <c r="E40" s="109">
        <f ca="1">IF(表2_36716262930389121314152324252627[[#This Row],[累计净值]]/MAX(INDIRECT("B21:B" &amp; ROW()))-1&lt;E39,表2_36716262930389121314152324252627[[#This Row],[累计净值]]/MAX(INDIRECT("B21:B" &amp; ROW()))-1,E39)</f>
        <v>-5.2809749492213953E-2</v>
      </c>
      <c r="F40" s="110">
        <f>表2_36716262930389121314152324252627[[#This Row],[累计净值]]</f>
        <v>1.4119999999999999</v>
      </c>
      <c r="G40" s="20">
        <f>表2_36716262930389121314152324252627[[#This Row],[累计净值]]/$B$21-1</f>
        <v>-4.4008124576845109E-2</v>
      </c>
    </row>
    <row r="41" spans="1:7">
      <c r="A41" s="15">
        <v>44077</v>
      </c>
      <c r="B41" s="112">
        <v>1.4139999999999999</v>
      </c>
      <c r="C41" s="108">
        <f t="shared" si="6"/>
        <v>2.0000000000000018E-3</v>
      </c>
      <c r="D41" s="109" t="str">
        <f t="shared" si="7"/>
        <v>/</v>
      </c>
      <c r="E41" s="109">
        <f ca="1">IF(表2_36716262930389121314152324252627[[#This Row],[累计净值]]/MAX(INDIRECT("B21:B" &amp; ROW()))-1&lt;E40,表2_36716262930389121314152324252627[[#This Row],[累计净值]]/MAX(INDIRECT("B21:B" &amp; ROW()))-1,E40)</f>
        <v>-5.2809749492213953E-2</v>
      </c>
      <c r="F41" s="110">
        <f>表2_36716262930389121314152324252627[[#This Row],[累计净值]]</f>
        <v>1.4139999999999999</v>
      </c>
      <c r="G41" s="20">
        <f>表2_36716262930389121314152324252627[[#This Row],[累计净值]]/$B$21-1</f>
        <v>-4.2654028436019065E-2</v>
      </c>
    </row>
    <row r="42" spans="1:7">
      <c r="A42" s="15">
        <v>44078</v>
      </c>
      <c r="B42" s="112">
        <v>1.407</v>
      </c>
      <c r="C42" s="108">
        <f t="shared" si="6"/>
        <v>-6.9999999999998952E-3</v>
      </c>
      <c r="D42" s="109">
        <f t="shared" si="7"/>
        <v>-6.9999999999998952E-3</v>
      </c>
      <c r="E42" s="109">
        <f ca="1">IF(表2_36716262930389121314152324252627[[#This Row],[累计净值]]/MAX(INDIRECT("B21:B" &amp; ROW()))-1&lt;E41,表2_36716262930389121314152324252627[[#This Row],[累计净值]]/MAX(INDIRECT("B21:B" &amp; ROW()))-1,E41)</f>
        <v>-5.2809749492213953E-2</v>
      </c>
      <c r="F42" s="110">
        <f>表2_36716262930389121314152324252627[[#This Row],[累计净值]]</f>
        <v>1.407</v>
      </c>
      <c r="G42" s="20">
        <f>表2_36716262930389121314152324252627[[#This Row],[累计净值]]/$B$21-1</f>
        <v>-4.7393364928909998E-2</v>
      </c>
    </row>
    <row r="43" spans="1:7">
      <c r="A43" s="15">
        <v>44081</v>
      </c>
      <c r="B43" s="112">
        <v>1.4139999999999999</v>
      </c>
      <c r="C43" s="108">
        <f t="shared" si="6"/>
        <v>6.9999999999998952E-3</v>
      </c>
      <c r="D43" s="109" t="str">
        <f t="shared" si="7"/>
        <v>/</v>
      </c>
      <c r="E43" s="109">
        <f ca="1">IF(表2_36716262930389121314152324252627[[#This Row],[累计净值]]/MAX(INDIRECT("B21:B" &amp; ROW()))-1&lt;E42,表2_36716262930389121314152324252627[[#This Row],[累计净值]]/MAX(INDIRECT("B21:B" &amp; ROW()))-1,E42)</f>
        <v>-5.2809749492213953E-2</v>
      </c>
      <c r="F43" s="110">
        <f>表2_36716262930389121314152324252627[[#This Row],[累计净值]]</f>
        <v>1.4139999999999999</v>
      </c>
      <c r="G43" s="20">
        <f>表2_36716262930389121314152324252627[[#This Row],[累计净值]]/$B$21-1</f>
        <v>-4.2654028436019065E-2</v>
      </c>
    </row>
    <row r="44" spans="1:7">
      <c r="A44" s="15">
        <v>44082</v>
      </c>
      <c r="B44" s="112">
        <v>1.409</v>
      </c>
      <c r="C44" s="108">
        <f t="shared" si="6"/>
        <v>-4.9999999999998934E-3</v>
      </c>
      <c r="D44" s="109">
        <f t="shared" si="7"/>
        <v>-4.9999999999998934E-3</v>
      </c>
      <c r="E44" s="109">
        <f ca="1">IF(表2_36716262930389121314152324252627[[#This Row],[累计净值]]/MAX(INDIRECT("B21:B" &amp; ROW()))-1&lt;E43,表2_36716262930389121314152324252627[[#This Row],[累计净值]]/MAX(INDIRECT("B21:B" &amp; ROW()))-1,E43)</f>
        <v>-5.2809749492213953E-2</v>
      </c>
      <c r="F44" s="110">
        <f>表2_36716262930389121314152324252627[[#This Row],[累计净值]]</f>
        <v>1.409</v>
      </c>
      <c r="G44" s="20">
        <f>表2_36716262930389121314152324252627[[#This Row],[累计净值]]/$B$21-1</f>
        <v>-4.6039268788083954E-2</v>
      </c>
    </row>
    <row r="45" spans="1:7">
      <c r="A45" s="15">
        <v>44083</v>
      </c>
      <c r="B45" s="112">
        <v>1.423</v>
      </c>
      <c r="C45" s="108">
        <f t="shared" si="6"/>
        <v>1.4000000000000012E-2</v>
      </c>
      <c r="D45" s="109" t="str">
        <f t="shared" si="7"/>
        <v>/</v>
      </c>
      <c r="E45" s="109">
        <f ca="1">IF(表2_36716262930389121314152324252627[[#This Row],[累计净值]]/MAX(INDIRECT("B21:B" &amp; ROW()))-1&lt;E44,表2_36716262930389121314152324252627[[#This Row],[累计净值]]/MAX(INDIRECT("B21:B" &amp; ROW()))-1,E44)</f>
        <v>-5.2809749492213953E-2</v>
      </c>
      <c r="F45" s="110">
        <f>表2_36716262930389121314152324252627[[#This Row],[累计净值]]</f>
        <v>1.423</v>
      </c>
      <c r="G45" s="20">
        <f>表2_36716262930389121314152324252627[[#This Row],[累计净值]]/$B$21-1</f>
        <v>-3.6560595802301976E-2</v>
      </c>
    </row>
    <row r="46" spans="1:7">
      <c r="A46" s="15">
        <v>44084</v>
      </c>
      <c r="B46" s="112">
        <v>1.423</v>
      </c>
      <c r="C46" s="108">
        <f t="shared" ref="C46:C51" si="8">IFERROR(B46-B45,0)</f>
        <v>0</v>
      </c>
      <c r="D46" s="109" t="str">
        <f t="shared" ref="D46:D51" si="9">IF(C46&lt;0,C46,"/")</f>
        <v>/</v>
      </c>
      <c r="E46" s="109">
        <f ca="1">IF(表2_36716262930389121314152324252627[[#This Row],[累计净值]]/MAX(INDIRECT("B21:B" &amp; ROW()))-1&lt;E45,表2_36716262930389121314152324252627[[#This Row],[累计净值]]/MAX(INDIRECT("B21:B" &amp; ROW()))-1,E45)</f>
        <v>-5.2809749492213953E-2</v>
      </c>
      <c r="F46" s="110">
        <f>表2_36716262930389121314152324252627[[#This Row],[累计净值]]</f>
        <v>1.423</v>
      </c>
      <c r="G46" s="20">
        <f>表2_36716262930389121314152324252627[[#This Row],[累计净值]]/$B$21-1</f>
        <v>-3.6560595802301976E-2</v>
      </c>
    </row>
    <row r="47" spans="1:7">
      <c r="A47" s="15">
        <v>44085</v>
      </c>
      <c r="B47" s="112">
        <v>1.421</v>
      </c>
      <c r="C47" s="108">
        <f t="shared" si="8"/>
        <v>-2.0000000000000018E-3</v>
      </c>
      <c r="D47" s="109">
        <f t="shared" si="9"/>
        <v>-2.0000000000000018E-3</v>
      </c>
      <c r="E47" s="109">
        <f ca="1">IF(表2_36716262930389121314152324252627[[#This Row],[累计净值]]/MAX(INDIRECT("B21:B" &amp; ROW()))-1&lt;E46,表2_36716262930389121314152324252627[[#This Row],[累计净值]]/MAX(INDIRECT("B21:B" &amp; ROW()))-1,E46)</f>
        <v>-5.2809749492213953E-2</v>
      </c>
      <c r="F47" s="110">
        <f>表2_36716262930389121314152324252627[[#This Row],[累计净值]]</f>
        <v>1.421</v>
      </c>
      <c r="G47" s="20">
        <f>表2_36716262930389121314152324252627[[#This Row],[累计净值]]/$B$21-1</f>
        <v>-3.791469194312802E-2</v>
      </c>
    </row>
    <row r="48" spans="1:7">
      <c r="A48" s="15">
        <v>44088</v>
      </c>
      <c r="B48" s="112">
        <v>1.417</v>
      </c>
      <c r="C48" s="108">
        <f t="shared" si="8"/>
        <v>-4.0000000000000036E-3</v>
      </c>
      <c r="D48" s="109">
        <f t="shared" si="9"/>
        <v>-4.0000000000000036E-3</v>
      </c>
      <c r="E48" s="109">
        <f ca="1">IF(表2_36716262930389121314152324252627[[#This Row],[累计净值]]/MAX(INDIRECT("B21:B" &amp; ROW()))-1&lt;E47,表2_36716262930389121314152324252627[[#This Row],[累计净值]]/MAX(INDIRECT("B21:B" &amp; ROW()))-1,E47)</f>
        <v>-5.2809749492213953E-2</v>
      </c>
      <c r="F48" s="110">
        <f>表2_36716262930389121314152324252627[[#This Row],[累计净值]]</f>
        <v>1.417</v>
      </c>
      <c r="G48" s="20">
        <f>表2_36716262930389121314152324252627[[#This Row],[累计净值]]/$B$21-1</f>
        <v>-4.0622884224779998E-2</v>
      </c>
    </row>
    <row r="49" spans="1:7">
      <c r="A49" s="15">
        <v>44089</v>
      </c>
      <c r="B49" s="112">
        <v>1.42</v>
      </c>
      <c r="C49" s="108">
        <f t="shared" si="8"/>
        <v>2.9999999999998916E-3</v>
      </c>
      <c r="D49" s="109" t="str">
        <f t="shared" si="9"/>
        <v>/</v>
      </c>
      <c r="E49" s="109">
        <f ca="1">IF(表2_36716262930389121314152324252627[[#This Row],[累计净值]]/MAX(INDIRECT("B21:B" &amp; ROW()))-1&lt;E48,表2_36716262930389121314152324252627[[#This Row],[累计净值]]/MAX(INDIRECT("B21:B" &amp; ROW()))-1,E48)</f>
        <v>-5.2809749492213953E-2</v>
      </c>
      <c r="F49" s="110">
        <f>表2_36716262930389121314152324252627[[#This Row],[累计净值]]</f>
        <v>1.42</v>
      </c>
      <c r="G49" s="20">
        <f>表2_36716262930389121314152324252627[[#This Row],[累计净值]]/$B$21-1</f>
        <v>-3.8591740013541043E-2</v>
      </c>
    </row>
    <row r="50" spans="1:7">
      <c r="A50" s="15">
        <v>44090</v>
      </c>
      <c r="B50" s="112">
        <v>1.419</v>
      </c>
      <c r="C50" s="108">
        <f t="shared" si="8"/>
        <v>-9.9999999999988987E-4</v>
      </c>
      <c r="D50" s="109">
        <f t="shared" si="9"/>
        <v>-9.9999999999988987E-4</v>
      </c>
      <c r="E50" s="109">
        <f ca="1">IF(表2_36716262930389121314152324252627[[#This Row],[累计净值]]/MAX(INDIRECT("B21:B" &amp; ROW()))-1&lt;E49,表2_36716262930389121314152324252627[[#This Row],[累计净值]]/MAX(INDIRECT("B21:B" &amp; ROW()))-1,E49)</f>
        <v>-5.2809749492213953E-2</v>
      </c>
      <c r="F50" s="110">
        <f>表2_36716262930389121314152324252627[[#This Row],[累计净值]]</f>
        <v>1.419</v>
      </c>
      <c r="G50" s="20">
        <f>表2_36716262930389121314152324252627[[#This Row],[累计净值]]/$B$21-1</f>
        <v>-3.9268788083953954E-2</v>
      </c>
    </row>
    <row r="51" spans="1:7">
      <c r="A51" s="15">
        <v>44091</v>
      </c>
      <c r="B51" s="112">
        <v>1.421</v>
      </c>
      <c r="C51" s="108">
        <f t="shared" si="8"/>
        <v>2.0000000000000018E-3</v>
      </c>
      <c r="D51" s="109" t="str">
        <f t="shared" si="9"/>
        <v>/</v>
      </c>
      <c r="E51" s="109">
        <f ca="1">IF(表2_36716262930389121314152324252627[[#This Row],[累计净值]]/MAX(INDIRECT("B21:B" &amp; ROW()))-1&lt;E50,表2_36716262930389121314152324252627[[#This Row],[累计净值]]/MAX(INDIRECT("B21:B" &amp; ROW()))-1,E50)</f>
        <v>-5.2809749492213953E-2</v>
      </c>
      <c r="F51" s="110">
        <f>表2_36716262930389121314152324252627[[#This Row],[累计净值]]</f>
        <v>1.421</v>
      </c>
      <c r="G51" s="20">
        <f>表2_36716262930389121314152324252627[[#This Row],[累计净值]]/$B$21-1</f>
        <v>-3.791469194312802E-2</v>
      </c>
    </row>
    <row r="52" spans="1:7">
      <c r="A52" s="15">
        <v>44092</v>
      </c>
      <c r="B52" s="112">
        <v>1.43</v>
      </c>
      <c r="C52" s="108">
        <f t="shared" ref="C52:C57" si="10">IFERROR(B52-B51,0)</f>
        <v>8.999999999999897E-3</v>
      </c>
      <c r="D52" s="109" t="str">
        <f t="shared" ref="D52:D57" si="11">IF(C52&lt;0,C52,"/")</f>
        <v>/</v>
      </c>
      <c r="E52" s="109">
        <f ca="1">IF(表2_36716262930389121314152324252627[[#This Row],[累计净值]]/MAX(INDIRECT("B21:B" &amp; ROW()))-1&lt;E51,表2_36716262930389121314152324252627[[#This Row],[累计净值]]/MAX(INDIRECT("B21:B" &amp; ROW()))-1,E51)</f>
        <v>-5.2809749492213953E-2</v>
      </c>
      <c r="F52" s="110">
        <f>表2_36716262930389121314152324252627[[#This Row],[累计净值]]</f>
        <v>1.43</v>
      </c>
      <c r="G52" s="20">
        <f>表2_36716262930389121314152324252627[[#This Row],[累计净值]]/$B$21-1</f>
        <v>-3.1821259309411043E-2</v>
      </c>
    </row>
    <row r="53" spans="1:7">
      <c r="A53" s="15">
        <v>44095</v>
      </c>
      <c r="B53" s="112">
        <v>1.4319999999999999</v>
      </c>
      <c r="C53" s="108">
        <f t="shared" si="10"/>
        <v>2.0000000000000018E-3</v>
      </c>
      <c r="D53" s="109" t="str">
        <f t="shared" si="11"/>
        <v>/</v>
      </c>
      <c r="E53" s="109">
        <f ca="1">IF(表2_36716262930389121314152324252627[[#This Row],[累计净值]]/MAX(INDIRECT("B21:B" &amp; ROW()))-1&lt;E52,表2_36716262930389121314152324252627[[#This Row],[累计净值]]/MAX(INDIRECT("B21:B" &amp; ROW()))-1,E52)</f>
        <v>-5.2809749492213953E-2</v>
      </c>
      <c r="F53" s="110">
        <f>表2_36716262930389121314152324252627[[#This Row],[累计净值]]</f>
        <v>1.4319999999999999</v>
      </c>
      <c r="G53" s="20">
        <f>表2_36716262930389121314152324252627[[#This Row],[累计净值]]/$B$21-1</f>
        <v>-3.046716316858511E-2</v>
      </c>
    </row>
    <row r="54" spans="1:7">
      <c r="A54" s="15">
        <v>44096</v>
      </c>
      <c r="B54" s="112">
        <v>1.4419999999999999</v>
      </c>
      <c r="C54" s="108">
        <f t="shared" si="10"/>
        <v>1.0000000000000009E-2</v>
      </c>
      <c r="D54" s="109" t="str">
        <f t="shared" si="11"/>
        <v>/</v>
      </c>
      <c r="E54" s="109">
        <f ca="1">IF(表2_36716262930389121314152324252627[[#This Row],[累计净值]]/MAX(INDIRECT("B21:B" &amp; ROW()))-1&lt;E53,表2_36716262930389121314152324252627[[#This Row],[累计净值]]/MAX(INDIRECT("B21:B" &amp; ROW()))-1,E53)</f>
        <v>-5.2809749492213953E-2</v>
      </c>
      <c r="F54" s="110">
        <f>表2_36716262930389121314152324252627[[#This Row],[累计净值]]</f>
        <v>1.4419999999999999</v>
      </c>
      <c r="G54" s="20">
        <f>表2_36716262930389121314152324252627[[#This Row],[累计净值]]/$B$21-1</f>
        <v>-2.369668246445511E-2</v>
      </c>
    </row>
    <row r="55" spans="1:7">
      <c r="A55" s="15">
        <v>44097</v>
      </c>
      <c r="B55" s="112">
        <v>1.4370000000000001</v>
      </c>
      <c r="C55" s="108">
        <f t="shared" si="10"/>
        <v>-4.9999999999998934E-3</v>
      </c>
      <c r="D55" s="109">
        <f t="shared" si="11"/>
        <v>-4.9999999999998934E-3</v>
      </c>
      <c r="E55" s="109">
        <f ca="1">IF(表2_36716262930389121314152324252627[[#This Row],[累计净值]]/MAX(INDIRECT("B21:B" &amp; ROW()))-1&lt;E54,表2_36716262930389121314152324252627[[#This Row],[累计净值]]/MAX(INDIRECT("B21:B" &amp; ROW()))-1,E54)</f>
        <v>-5.2809749492213953E-2</v>
      </c>
      <c r="F55" s="110">
        <f>表2_36716262930389121314152324252627[[#This Row],[累计净值]]</f>
        <v>1.4370000000000001</v>
      </c>
      <c r="G55" s="20">
        <f>表2_36716262930389121314152324252627[[#This Row],[累计净值]]/$B$21-1</f>
        <v>-2.7081922816519999E-2</v>
      </c>
    </row>
    <row r="56" spans="1:7">
      <c r="A56" s="15">
        <v>44098</v>
      </c>
      <c r="B56" s="112">
        <v>1.4430000000000001</v>
      </c>
      <c r="C56" s="108">
        <f t="shared" si="10"/>
        <v>6.0000000000000053E-3</v>
      </c>
      <c r="D56" s="109" t="str">
        <f t="shared" si="11"/>
        <v>/</v>
      </c>
      <c r="E56" s="109">
        <f ca="1">IF(表2_36716262930389121314152324252627[[#This Row],[累计净值]]/MAX(INDIRECT("B21:B" &amp; ROW()))-1&lt;E55,表2_36716262930389121314152324252627[[#This Row],[累计净值]]/MAX(INDIRECT("B21:B" &amp; ROW()))-1,E55)</f>
        <v>-5.2809749492213953E-2</v>
      </c>
      <c r="F56" s="110">
        <f>表2_36716262930389121314152324252627[[#This Row],[累计净值]]</f>
        <v>1.4430000000000001</v>
      </c>
      <c r="G56" s="20">
        <f>表2_36716262930389121314152324252627[[#This Row],[累计净值]]/$B$21-1</f>
        <v>-2.3019634394041977E-2</v>
      </c>
    </row>
    <row r="57" spans="1:7">
      <c r="A57" s="15">
        <v>44099</v>
      </c>
      <c r="B57" s="112">
        <v>1.4350000000000001</v>
      </c>
      <c r="C57" s="108">
        <f t="shared" si="10"/>
        <v>-8.0000000000000071E-3</v>
      </c>
      <c r="D57" s="109">
        <f t="shared" si="11"/>
        <v>-8.0000000000000071E-3</v>
      </c>
      <c r="E57" s="109">
        <f ca="1">IF(表2_36716262930389121314152324252627[[#This Row],[累计净值]]/MAX(INDIRECT("B21:B" &amp; ROW()))-1&lt;E56,表2_36716262930389121314152324252627[[#This Row],[累计净值]]/MAX(INDIRECT("B21:B" &amp; ROW()))-1,E56)</f>
        <v>-5.2809749492213953E-2</v>
      </c>
      <c r="F57" s="110">
        <f>表2_36716262930389121314152324252627[[#This Row],[累计净值]]</f>
        <v>1.4350000000000001</v>
      </c>
      <c r="G57" s="20">
        <f>表2_36716262930389121314152324252627[[#This Row],[累计净值]]/$B$21-1</f>
        <v>-2.8436018957346043E-2</v>
      </c>
    </row>
    <row r="58" spans="1:7">
      <c r="A58" s="15">
        <v>44102</v>
      </c>
      <c r="B58" s="112">
        <v>1.431</v>
      </c>
      <c r="C58" s="108">
        <f>IFERROR(B58-B57,0)</f>
        <v>-4.0000000000000036E-3</v>
      </c>
      <c r="D58" s="109">
        <f>IF(C58&lt;0,C58,"/")</f>
        <v>-4.0000000000000036E-3</v>
      </c>
      <c r="E58" s="109">
        <f ca="1">IF(表2_36716262930389121314152324252627[[#This Row],[累计净值]]/MAX(INDIRECT("B21:B" &amp; ROW()))-1&lt;E57,表2_36716262930389121314152324252627[[#This Row],[累计净值]]/MAX(INDIRECT("B21:B" &amp; ROW()))-1,E57)</f>
        <v>-5.2809749492213953E-2</v>
      </c>
      <c r="F58" s="110">
        <f>表2_36716262930389121314152324252627[[#This Row],[累计净值]]</f>
        <v>1.431</v>
      </c>
      <c r="G58" s="20">
        <f>表2_36716262930389121314152324252627[[#This Row],[累计净值]]/$B$21-1</f>
        <v>-3.1144211238998021E-2</v>
      </c>
    </row>
    <row r="59" spans="1:7">
      <c r="A59" s="15">
        <v>44103</v>
      </c>
      <c r="B59" s="112">
        <v>1.42</v>
      </c>
      <c r="C59" s="108">
        <f t="shared" ref="C59:C60" si="12">IFERROR(B59-B58,0)</f>
        <v>-1.1000000000000121E-2</v>
      </c>
      <c r="D59" s="109">
        <f t="shared" ref="D59:D60" si="13">IF(C59&lt;0,C59,"/")</f>
        <v>-1.1000000000000121E-2</v>
      </c>
      <c r="E59" s="109">
        <f ca="1">IF(表2_36716262930389121314152324252627[[#This Row],[累计净值]]/MAX(INDIRECT("B21:B" &amp; ROW()))-1&lt;E58,表2_36716262930389121314152324252627[[#This Row],[累计净值]]/MAX(INDIRECT("B21:B" &amp; ROW()))-1,E58)</f>
        <v>-5.2809749492213953E-2</v>
      </c>
      <c r="F59" s="110">
        <f>表2_36716262930389121314152324252627[[#This Row],[累计净值]]</f>
        <v>1.42</v>
      </c>
      <c r="G59" s="20">
        <f>表2_36716262930389121314152324252627[[#This Row],[累计净值]]/$B$21-1</f>
        <v>-3.8591740013541043E-2</v>
      </c>
    </row>
    <row r="60" spans="1:7">
      <c r="A60" s="15">
        <v>44104</v>
      </c>
      <c r="B60" s="112">
        <v>1.4259999999999999</v>
      </c>
      <c r="C60" s="108">
        <f t="shared" si="12"/>
        <v>6.0000000000000053E-3</v>
      </c>
      <c r="D60" s="109" t="str">
        <f t="shared" si="13"/>
        <v>/</v>
      </c>
      <c r="E60" s="109">
        <f ca="1">IF(表2_36716262930389121314152324252627[[#This Row],[累计净值]]/MAX(INDIRECT("B21:B" &amp; ROW()))-1&lt;E59,表2_36716262930389121314152324252627[[#This Row],[累计净值]]/MAX(INDIRECT("B21:B" &amp; ROW()))-1,E59)</f>
        <v>-5.2809749492213953E-2</v>
      </c>
      <c r="F60" s="110">
        <f>表2_36716262930389121314152324252627[[#This Row],[累计净值]]</f>
        <v>1.4259999999999999</v>
      </c>
      <c r="G60" s="20">
        <f>表2_36716262930389121314152324252627[[#This Row],[累计净值]]/$B$21-1</f>
        <v>-3.4529451591063021E-2</v>
      </c>
    </row>
    <row r="61" spans="1:7">
      <c r="A61" s="15">
        <v>44113</v>
      </c>
      <c r="B61" s="112">
        <v>1.43</v>
      </c>
      <c r="C61" s="108">
        <f t="shared" ref="C61:C66" si="14">IFERROR(B61-B60,0)</f>
        <v>4.0000000000000036E-3</v>
      </c>
      <c r="D61" s="109" t="str">
        <f t="shared" ref="D61:D66" si="15">IF(C61&lt;0,C61,"/")</f>
        <v>/</v>
      </c>
      <c r="E61" s="109">
        <f ca="1">IF(表2_36716262930389121314152324252627[[#This Row],[累计净值]]/MAX(INDIRECT("B21:B" &amp; ROW()))-1&lt;E60,表2_36716262930389121314152324252627[[#This Row],[累计净值]]/MAX(INDIRECT("B21:B" &amp; ROW()))-1,E60)</f>
        <v>-5.2809749492213953E-2</v>
      </c>
      <c r="F61" s="110">
        <f>表2_36716262930389121314152324252627[[#This Row],[累计净值]]</f>
        <v>1.43</v>
      </c>
      <c r="G61" s="20">
        <f>表2_36716262930389121314152324252627[[#This Row],[累计净值]]/$B$21-1</f>
        <v>-3.1821259309411043E-2</v>
      </c>
    </row>
    <row r="62" spans="1:7">
      <c r="A62" s="15">
        <v>44116</v>
      </c>
      <c r="B62" s="112">
        <v>1.4750000000000001</v>
      </c>
      <c r="C62" s="108">
        <f t="shared" si="14"/>
        <v>4.5000000000000151E-2</v>
      </c>
      <c r="D62" s="109" t="str">
        <f t="shared" si="15"/>
        <v>/</v>
      </c>
      <c r="E62" s="109">
        <f ca="1">IF(表2_36716262930389121314152324252627[[#This Row],[累计净值]]/MAX(INDIRECT("B21:B" &amp; ROW()))-1&lt;E61,表2_36716262930389121314152324252627[[#This Row],[累计净值]]/MAX(INDIRECT("B21:B" &amp; ROW()))-1,E61)</f>
        <v>-5.2809749492213953E-2</v>
      </c>
      <c r="F62" s="110">
        <f>表2_36716262930389121314152324252627[[#This Row],[累计净值]]</f>
        <v>1.4750000000000001</v>
      </c>
      <c r="G62" s="20">
        <f>表2_36716262930389121314152324252627[[#This Row],[累计净值]]/$B$21-1</f>
        <v>-1.3540961408260443E-3</v>
      </c>
    </row>
    <row r="63" spans="1:7">
      <c r="A63" s="15">
        <v>44117</v>
      </c>
      <c r="B63" s="112">
        <v>1.4770000000000001</v>
      </c>
      <c r="C63" s="108">
        <f t="shared" si="14"/>
        <v>2.0000000000000018E-3</v>
      </c>
      <c r="D63" s="109" t="str">
        <f t="shared" si="15"/>
        <v>/</v>
      </c>
      <c r="E63" s="109">
        <f ca="1">IF(表2_36716262930389121314152324252627[[#This Row],[累计净值]]/MAX(INDIRECT("B21:B" &amp; ROW()))-1&lt;E62,表2_36716262930389121314152324252627[[#This Row],[累计净值]]/MAX(INDIRECT("B21:B" &amp; ROW()))-1,E62)</f>
        <v>-5.2809749492213953E-2</v>
      </c>
      <c r="F63" s="110">
        <f>表2_36716262930389121314152324252627[[#This Row],[累计净值]]</f>
        <v>1.4770000000000001</v>
      </c>
      <c r="G63" s="20">
        <f>表2_36716262930389121314152324252627[[#This Row],[累计净值]]/$B$21-1</f>
        <v>0</v>
      </c>
    </row>
    <row r="64" spans="1:7">
      <c r="A64" s="15">
        <v>44118</v>
      </c>
      <c r="B64" s="112">
        <v>1.4730000000000001</v>
      </c>
      <c r="C64" s="108">
        <f t="shared" si="14"/>
        <v>-4.0000000000000036E-3</v>
      </c>
      <c r="D64" s="109">
        <f t="shared" si="15"/>
        <v>-4.0000000000000036E-3</v>
      </c>
      <c r="E64" s="109">
        <f ca="1">IF(表2_36716262930389121314152324252627[[#This Row],[累计净值]]/MAX(INDIRECT("B21:B" &amp; ROW()))-1&lt;E63,表2_36716262930389121314152324252627[[#This Row],[累计净值]]/MAX(INDIRECT("B21:B" &amp; ROW()))-1,E63)</f>
        <v>-5.2809749492213953E-2</v>
      </c>
      <c r="F64" s="110">
        <f>表2_36716262930389121314152324252627[[#This Row],[累计净值]]</f>
        <v>1.4730000000000001</v>
      </c>
      <c r="G64" s="20">
        <f>表2_36716262930389121314152324252627[[#This Row],[累计净值]]/$B$21-1</f>
        <v>-2.7081922816519777E-3</v>
      </c>
    </row>
    <row r="65" spans="1:7">
      <c r="A65" s="15">
        <v>44119</v>
      </c>
      <c r="B65" s="112">
        <v>1.4690000000000001</v>
      </c>
      <c r="C65" s="108">
        <f t="shared" si="14"/>
        <v>-4.0000000000000036E-3</v>
      </c>
      <c r="D65" s="109">
        <f t="shared" si="15"/>
        <v>-4.0000000000000036E-3</v>
      </c>
      <c r="E65" s="109">
        <f ca="1">IF(表2_36716262930389121314152324252627[[#This Row],[累计净值]]/MAX(INDIRECT("B21:B" &amp; ROW()))-1&lt;E64,表2_36716262930389121314152324252627[[#This Row],[累计净值]]/MAX(INDIRECT("B21:B" &amp; ROW()))-1,E64)</f>
        <v>-5.2809749492213953E-2</v>
      </c>
      <c r="F65" s="110">
        <f>表2_36716262930389121314152324252627[[#This Row],[累计净值]]</f>
        <v>1.4690000000000001</v>
      </c>
      <c r="G65" s="20">
        <f>表2_36716262930389121314152324252627[[#This Row],[累计净值]]/$B$21-1</f>
        <v>-5.4163845633039553E-3</v>
      </c>
    </row>
    <row r="66" spans="1:7">
      <c r="A66" s="15">
        <v>44120</v>
      </c>
      <c r="B66" s="112">
        <v>1.456</v>
      </c>
      <c r="C66" s="108">
        <f t="shared" si="14"/>
        <v>-1.3000000000000123E-2</v>
      </c>
      <c r="D66" s="109">
        <f t="shared" si="15"/>
        <v>-1.3000000000000123E-2</v>
      </c>
      <c r="E66" s="109">
        <f ca="1">IF(表2_36716262930389121314152324252627[[#This Row],[累计净值]]/MAX(INDIRECT("B21:B" &amp; ROW()))-1&lt;E65,表2_36716262930389121314152324252627[[#This Row],[累计净值]]/MAX(INDIRECT("B21:B" &amp; ROW()))-1,E65)</f>
        <v>-5.2809749492213953E-2</v>
      </c>
      <c r="F66" s="110">
        <f>表2_36716262930389121314152324252627[[#This Row],[累计净值]]</f>
        <v>1.456</v>
      </c>
      <c r="G66" s="20">
        <f>表2_36716262930389121314152324252627[[#This Row],[累计净值]]/$B$21-1</f>
        <v>-1.4218009478673022E-2</v>
      </c>
    </row>
    <row r="67" spans="1:7">
      <c r="A67" s="15">
        <v>44123</v>
      </c>
      <c r="B67" s="112">
        <v>1.46</v>
      </c>
      <c r="C67" s="108">
        <f t="shared" ref="C67:C72" si="16">IFERROR(B67-B66,0)</f>
        <v>4.0000000000000036E-3</v>
      </c>
      <c r="D67" s="109" t="str">
        <f t="shared" ref="D67:D72" si="17">IF(C67&lt;0,C67,"/")</f>
        <v>/</v>
      </c>
      <c r="E67" s="109">
        <f ca="1">IF(表2_36716262930389121314152324252627[[#This Row],[累计净值]]/MAX(INDIRECT("B21:B" &amp; ROW()))-1&lt;E66,表2_36716262930389121314152324252627[[#This Row],[累计净值]]/MAX(INDIRECT("B21:B" &amp; ROW()))-1,E66)</f>
        <v>-5.2809749492213953E-2</v>
      </c>
      <c r="F67" s="110">
        <f>表2_36716262930389121314152324252627[[#This Row],[累计净值]]</f>
        <v>1.46</v>
      </c>
      <c r="G67" s="20">
        <f>表2_36716262930389121314152324252627[[#This Row],[累计净值]]/$B$21-1</f>
        <v>-1.1509817197021044E-2</v>
      </c>
    </row>
    <row r="68" spans="1:7">
      <c r="A68" s="15">
        <v>44124</v>
      </c>
      <c r="B68" s="112">
        <v>1.456</v>
      </c>
      <c r="C68" s="108">
        <f t="shared" si="16"/>
        <v>-4.0000000000000036E-3</v>
      </c>
      <c r="D68" s="109">
        <f t="shared" si="17"/>
        <v>-4.0000000000000036E-3</v>
      </c>
      <c r="E68" s="109">
        <f ca="1">IF(表2_36716262930389121314152324252627[[#This Row],[累计净值]]/MAX(INDIRECT("B21:B" &amp; ROW()))-1&lt;E67,表2_36716262930389121314152324252627[[#This Row],[累计净值]]/MAX(INDIRECT("B21:B" &amp; ROW()))-1,E67)</f>
        <v>-5.2809749492213953E-2</v>
      </c>
      <c r="F68" s="110">
        <f>表2_36716262930389121314152324252627[[#This Row],[累计净值]]</f>
        <v>1.456</v>
      </c>
      <c r="G68" s="20">
        <f>表2_36716262930389121314152324252627[[#This Row],[累计净值]]/$B$21-1</f>
        <v>-1.4218009478673022E-2</v>
      </c>
    </row>
    <row r="69" spans="1:7">
      <c r="A69" s="15">
        <v>44125</v>
      </c>
      <c r="B69" s="112">
        <v>1.454</v>
      </c>
      <c r="C69" s="108">
        <f t="shared" si="16"/>
        <v>-2.0000000000000018E-3</v>
      </c>
      <c r="D69" s="109">
        <f t="shared" si="17"/>
        <v>-2.0000000000000018E-3</v>
      </c>
      <c r="E69" s="109">
        <f ca="1">IF(表2_36716262930389121314152324252627[[#This Row],[累计净值]]/MAX(INDIRECT("B21:B" &amp; ROW()))-1&lt;E68,表2_36716262930389121314152324252627[[#This Row],[累计净值]]/MAX(INDIRECT("B21:B" &amp; ROW()))-1,E68)</f>
        <v>-5.2809749492213953E-2</v>
      </c>
      <c r="F69" s="110">
        <f>表2_36716262930389121314152324252627[[#This Row],[累计净值]]</f>
        <v>1.454</v>
      </c>
      <c r="G69" s="20">
        <f>表2_36716262930389121314152324252627[[#This Row],[累计净值]]/$B$21-1</f>
        <v>-1.5572105619499066E-2</v>
      </c>
    </row>
    <row r="70" spans="1:7">
      <c r="A70" s="15">
        <v>44126</v>
      </c>
      <c r="B70" s="112">
        <v>1.45</v>
      </c>
      <c r="C70" s="108">
        <f t="shared" si="16"/>
        <v>-4.0000000000000036E-3</v>
      </c>
      <c r="D70" s="109">
        <f t="shared" si="17"/>
        <v>-4.0000000000000036E-3</v>
      </c>
      <c r="E70" s="109">
        <f ca="1">IF(表2_36716262930389121314152324252627[[#This Row],[累计净值]]/MAX(INDIRECT("B21:B" &amp; ROW()))-1&lt;E69,表2_36716262930389121314152324252627[[#This Row],[累计净值]]/MAX(INDIRECT("B21:B" &amp; ROW()))-1,E69)</f>
        <v>-5.2809749492213953E-2</v>
      </c>
      <c r="F70" s="110">
        <f>表2_36716262930389121314152324252627[[#This Row],[累计净值]]</f>
        <v>1.45</v>
      </c>
      <c r="G70" s="20">
        <f>表2_36716262930389121314152324252627[[#This Row],[累计净值]]/$B$21-1</f>
        <v>-1.8280297901151044E-2</v>
      </c>
    </row>
    <row r="71" spans="1:7">
      <c r="A71" s="15">
        <v>44127</v>
      </c>
      <c r="B71" s="112">
        <v>1.4470000000000001</v>
      </c>
      <c r="C71" s="108">
        <f t="shared" si="16"/>
        <v>-2.9999999999998916E-3</v>
      </c>
      <c r="D71" s="109">
        <f t="shared" si="17"/>
        <v>-2.9999999999998916E-3</v>
      </c>
      <c r="E71" s="109">
        <f ca="1">IF(表2_36716262930389121314152324252627[[#This Row],[累计净值]]/MAX(INDIRECT("B21:B" &amp; ROW()))-1&lt;E70,表2_36716262930389121314152324252627[[#This Row],[累计净值]]/MAX(INDIRECT("B21:B" &amp; ROW()))-1,E70)</f>
        <v>-5.2809749492213953E-2</v>
      </c>
      <c r="F71" s="110">
        <f>表2_36716262930389121314152324252627[[#This Row],[累计净值]]</f>
        <v>1.4470000000000001</v>
      </c>
      <c r="G71" s="20">
        <f>表2_36716262930389121314152324252627[[#This Row],[累计净值]]/$B$21-1</f>
        <v>-2.0311442112389999E-2</v>
      </c>
    </row>
    <row r="72" spans="1:7">
      <c r="A72" s="15">
        <v>44130</v>
      </c>
      <c r="B72" s="112">
        <v>1.448</v>
      </c>
      <c r="C72" s="108">
        <f t="shared" si="16"/>
        <v>9.9999999999988987E-4</v>
      </c>
      <c r="D72" s="109" t="str">
        <f t="shared" si="17"/>
        <v>/</v>
      </c>
      <c r="E72" s="109">
        <f ca="1">IF(表2_36716262930389121314152324252627[[#This Row],[累计净值]]/MAX(INDIRECT("B21:B" &amp; ROW()))-1&lt;E71,表2_36716262930389121314152324252627[[#This Row],[累计净值]]/MAX(INDIRECT("B21:B" &amp; ROW()))-1,E71)</f>
        <v>-5.2809749492213953E-2</v>
      </c>
      <c r="F72" s="110">
        <f>表2_36716262930389121314152324252627[[#This Row],[累计净值]]</f>
        <v>1.448</v>
      </c>
      <c r="G72" s="20">
        <f>表2_36716262930389121314152324252627[[#This Row],[累计净值]]/$B$21-1</f>
        <v>-1.9634394041977088E-2</v>
      </c>
    </row>
    <row r="73" spans="1:7">
      <c r="A73" s="15">
        <v>44131</v>
      </c>
      <c r="B73" s="112">
        <v>1.4550000000000001</v>
      </c>
      <c r="C73" s="108">
        <f>IFERROR(B73-B72,0)</f>
        <v>7.0000000000001172E-3</v>
      </c>
      <c r="D73" s="109" t="str">
        <f>IF(C73&lt;0,C73,"/")</f>
        <v>/</v>
      </c>
      <c r="E73" s="109">
        <f ca="1">IF(表2_36716262930389121314152324252627[[#This Row],[累计净值]]/MAX(INDIRECT("B21:B" &amp; ROW()))-1&lt;E72,表2_36716262930389121314152324252627[[#This Row],[累计净值]]/MAX(INDIRECT("B21:B" &amp; ROW()))-1,E72)</f>
        <v>-5.2809749492213953E-2</v>
      </c>
      <c r="F73" s="110">
        <f>表2_36716262930389121314152324252627[[#This Row],[累计净值]]</f>
        <v>1.4550000000000001</v>
      </c>
      <c r="G73" s="20">
        <f>表2_36716262930389121314152324252627[[#This Row],[累计净值]]/$B$21-1</f>
        <v>-1.4895057549086044E-2</v>
      </c>
    </row>
    <row r="74" spans="1:7">
      <c r="A74" s="15">
        <v>44132</v>
      </c>
      <c r="B74" s="112">
        <v>1.446</v>
      </c>
      <c r="C74" s="108">
        <f>IFERROR(B74-B73,0)</f>
        <v>-9.000000000000119E-3</v>
      </c>
      <c r="D74" s="109">
        <f>IF(C74&lt;0,C74,"/")</f>
        <v>-9.000000000000119E-3</v>
      </c>
      <c r="E74" s="109">
        <f ca="1">IF(表2_36716262930389121314152324252627[[#This Row],[累计净值]]/MAX(INDIRECT("B21:B" &amp; ROW()))-1&lt;E73,表2_36716262930389121314152324252627[[#This Row],[累计净值]]/MAX(INDIRECT("B21:B" &amp; ROW()))-1,E73)</f>
        <v>-5.2809749492213953E-2</v>
      </c>
      <c r="F74" s="110">
        <f>表2_36716262930389121314152324252627[[#This Row],[累计净值]]</f>
        <v>1.446</v>
      </c>
      <c r="G74" s="20">
        <f>表2_36716262930389121314152324252627[[#This Row],[累计净值]]/$B$21-1</f>
        <v>-2.0988490182803021E-2</v>
      </c>
    </row>
    <row r="75" spans="1:7">
      <c r="A75" s="15">
        <v>44133</v>
      </c>
      <c r="B75" s="112">
        <v>1.4590000000000001</v>
      </c>
      <c r="C75" s="108">
        <f t="shared" ref="C75:C78" si="18">IFERROR(B75-B74,0)</f>
        <v>1.3000000000000123E-2</v>
      </c>
      <c r="D75" s="109" t="str">
        <f t="shared" ref="D75:D78" si="19">IF(C75&lt;0,C75,"/")</f>
        <v>/</v>
      </c>
      <c r="E75" s="109">
        <f ca="1">IF(表2_36716262930389121314152324252627[[#This Row],[累计净值]]/MAX(INDIRECT("B21:B" &amp; ROW()))-1&lt;E74,表2_36716262930389121314152324252627[[#This Row],[累计净值]]/MAX(INDIRECT("B21:B" &amp; ROW()))-1,E74)</f>
        <v>-5.2809749492213953E-2</v>
      </c>
      <c r="F75" s="110">
        <f>表2_36716262930389121314152324252627[[#This Row],[累计净值]]</f>
        <v>1.4590000000000001</v>
      </c>
      <c r="G75" s="20">
        <f>表2_36716262930389121314152324252627[[#This Row],[累计净值]]/$B$21-1</f>
        <v>-1.2186865267433955E-2</v>
      </c>
    </row>
    <row r="76" spans="1:7">
      <c r="A76" s="15">
        <v>44134</v>
      </c>
      <c r="B76" s="112">
        <v>1.4710000000000001</v>
      </c>
      <c r="C76" s="108">
        <f t="shared" si="18"/>
        <v>1.2000000000000011E-2</v>
      </c>
      <c r="D76" s="109" t="str">
        <f t="shared" si="19"/>
        <v>/</v>
      </c>
      <c r="E76" s="109">
        <f ca="1">IF(表2_36716262930389121314152324252627[[#This Row],[累计净值]]/MAX(INDIRECT("B21:B" &amp; ROW()))-1&lt;E75,表2_36716262930389121314152324252627[[#This Row],[累计净值]]/MAX(INDIRECT("B21:B" &amp; ROW()))-1,E75)</f>
        <v>-5.2809749492213953E-2</v>
      </c>
      <c r="F76" s="110">
        <f>表2_36716262930389121314152324252627[[#This Row],[累计净值]]</f>
        <v>1.4710000000000001</v>
      </c>
      <c r="G76" s="20">
        <f>表2_36716262930389121314152324252627[[#This Row],[累计净值]]/$B$21-1</f>
        <v>-4.062288422478022E-3</v>
      </c>
    </row>
    <row r="77" spans="1:7">
      <c r="A77" s="15">
        <v>44137</v>
      </c>
      <c r="B77" s="112">
        <v>1.486</v>
      </c>
      <c r="C77" s="108">
        <f t="shared" si="18"/>
        <v>1.4999999999999902E-2</v>
      </c>
      <c r="D77" s="109" t="str">
        <f t="shared" si="19"/>
        <v>/</v>
      </c>
      <c r="E77" s="109">
        <f ca="1">IF(表2_36716262930389121314152324252627[[#This Row],[累计净值]]/MAX(INDIRECT("B21:B" &amp; ROW()))-1&lt;E76,表2_36716262930389121314152324252627[[#This Row],[累计净值]]/MAX(INDIRECT("B21:B" &amp; ROW()))-1,E76)</f>
        <v>-5.2809749492213953E-2</v>
      </c>
      <c r="F77" s="110">
        <f>表2_36716262930389121314152324252627[[#This Row],[累计净值]]</f>
        <v>1.486</v>
      </c>
      <c r="G77" s="20">
        <f>表2_36716262930389121314152324252627[[#This Row],[累计净值]]/$B$21-1</f>
        <v>6.0934326337169775E-3</v>
      </c>
    </row>
    <row r="78" spans="1:7">
      <c r="A78" s="15">
        <v>44138</v>
      </c>
      <c r="B78" s="112">
        <v>1.4850000000000001</v>
      </c>
      <c r="C78" s="108">
        <f t="shared" si="18"/>
        <v>-9.9999999999988987E-4</v>
      </c>
      <c r="D78" s="109">
        <f t="shared" si="19"/>
        <v>-9.9999999999988987E-4</v>
      </c>
      <c r="E78" s="109">
        <f ca="1">IF(表2_36716262930389121314152324252627[[#This Row],[累计净值]]/MAX(INDIRECT("B21:B" &amp; ROW()))-1&lt;E77,表2_36716262930389121314152324252627[[#This Row],[累计净值]]/MAX(INDIRECT("B21:B" &amp; ROW()))-1,E77)</f>
        <v>-5.2809749492213953E-2</v>
      </c>
      <c r="F78" s="110">
        <f>表2_36716262930389121314152324252627[[#This Row],[累计净值]]</f>
        <v>1.4850000000000001</v>
      </c>
      <c r="G78" s="20">
        <f>表2_36716262930389121314152324252627[[#This Row],[累计净值]]/$B$21-1</f>
        <v>5.4163845633039553E-3</v>
      </c>
    </row>
    <row r="79" spans="1:7">
      <c r="A79" s="15">
        <v>44139</v>
      </c>
      <c r="B79" s="112">
        <v>1.4870000000000001</v>
      </c>
      <c r="C79" s="108">
        <f t="shared" ref="C79:C84" si="20">IFERROR(B79-B78,0)</f>
        <v>2.0000000000000018E-3</v>
      </c>
      <c r="D79" s="109" t="str">
        <f t="shared" ref="D79:D84" si="21">IF(C79&lt;0,C79,"/")</f>
        <v>/</v>
      </c>
      <c r="E79" s="109">
        <f ca="1">IF(表2_36716262930389121314152324252627[[#This Row],[累计净值]]/MAX(INDIRECT("B21:B" &amp; ROW()))-1&lt;E78,表2_36716262930389121314152324252627[[#This Row],[累计净值]]/MAX(INDIRECT("B21:B" &amp; ROW()))-1,E78)</f>
        <v>-5.2809749492213953E-2</v>
      </c>
      <c r="F79" s="110">
        <f>表2_36716262930389121314152324252627[[#This Row],[累计净值]]</f>
        <v>1.4870000000000001</v>
      </c>
      <c r="G79" s="20">
        <f>表2_36716262930389121314152324252627[[#This Row],[累计净值]]/$B$21-1</f>
        <v>6.7704807041299997E-3</v>
      </c>
    </row>
    <row r="80" spans="1:7">
      <c r="A80" s="15">
        <v>44140</v>
      </c>
      <c r="B80" s="112">
        <v>1.4870000000000001</v>
      </c>
      <c r="C80" s="108">
        <f t="shared" si="20"/>
        <v>0</v>
      </c>
      <c r="D80" s="109" t="str">
        <f t="shared" si="21"/>
        <v>/</v>
      </c>
      <c r="E80" s="109">
        <f ca="1">IF(表2_36716262930389121314152324252627[[#This Row],[累计净值]]/MAX(INDIRECT("B21:B" &amp; ROW()))-1&lt;E79,表2_36716262930389121314152324252627[[#This Row],[累计净值]]/MAX(INDIRECT("B21:B" &amp; ROW()))-1,E79)</f>
        <v>-5.2809749492213953E-2</v>
      </c>
      <c r="F80" s="110">
        <f>表2_36716262930389121314152324252627[[#This Row],[累计净值]]</f>
        <v>1.4870000000000001</v>
      </c>
      <c r="G80" s="20">
        <f>表2_36716262930389121314152324252627[[#This Row],[累计净值]]/$B$21-1</f>
        <v>6.7704807041299997E-3</v>
      </c>
    </row>
    <row r="81" spans="1:7">
      <c r="A81" s="15">
        <v>44141</v>
      </c>
      <c r="B81" s="112">
        <v>1.4970000000000001</v>
      </c>
      <c r="C81" s="108">
        <f t="shared" si="20"/>
        <v>1.0000000000000009E-2</v>
      </c>
      <c r="D81" s="109" t="str">
        <f t="shared" si="21"/>
        <v>/</v>
      </c>
      <c r="E81" s="109">
        <f ca="1">IF(表2_36716262930389121314152324252627[[#This Row],[累计净值]]/MAX(INDIRECT("B21:B" &amp; ROW()))-1&lt;E80,表2_36716262930389121314152324252627[[#This Row],[累计净值]]/MAX(INDIRECT("B21:B" &amp; ROW()))-1,E80)</f>
        <v>-5.2809749492213953E-2</v>
      </c>
      <c r="F81" s="110">
        <f>表2_36716262930389121314152324252627[[#This Row],[累计净值]]</f>
        <v>1.4970000000000001</v>
      </c>
      <c r="G81" s="20">
        <f>表2_36716262930389121314152324252627[[#This Row],[累计净值]]/$B$21-1</f>
        <v>1.3540961408259999E-2</v>
      </c>
    </row>
    <row r="82" spans="1:7">
      <c r="A82" s="15">
        <v>44144</v>
      </c>
      <c r="B82" s="112">
        <v>1.5209999999999999</v>
      </c>
      <c r="C82" s="108">
        <f t="shared" si="20"/>
        <v>2.3999999999999799E-2</v>
      </c>
      <c r="D82" s="109" t="str">
        <f t="shared" si="21"/>
        <v>/</v>
      </c>
      <c r="E82" s="109">
        <f ca="1">IF(表2_36716262930389121314152324252627[[#This Row],[累计净值]]/MAX(INDIRECT("B21:B" &amp; ROW()))-1&lt;E81,表2_36716262930389121314152324252627[[#This Row],[累计净值]]/MAX(INDIRECT("B21:B" &amp; ROW()))-1,E81)</f>
        <v>-5.2809749492213953E-2</v>
      </c>
      <c r="F82" s="110">
        <f>表2_36716262930389121314152324252627[[#This Row],[累计净值]]</f>
        <v>1.5209999999999999</v>
      </c>
      <c r="G82" s="20">
        <f>表2_36716262930389121314152324252627[[#This Row],[累计净值]]/$B$21-1</f>
        <v>2.9790115098171865E-2</v>
      </c>
    </row>
    <row r="83" spans="1:7">
      <c r="A83" s="15">
        <v>44145</v>
      </c>
      <c r="B83" s="112">
        <v>1.5069999999999999</v>
      </c>
      <c r="C83" s="108">
        <f t="shared" si="20"/>
        <v>-1.4000000000000012E-2</v>
      </c>
      <c r="D83" s="109">
        <f t="shared" si="21"/>
        <v>-1.4000000000000012E-2</v>
      </c>
      <c r="E83" s="109">
        <f ca="1">IF(表2_36716262930389121314152324252627[[#This Row],[累计净值]]/MAX(INDIRECT("B21:B" &amp; ROW()))-1&lt;E82,表2_36716262930389121314152324252627[[#This Row],[累计净值]]/MAX(INDIRECT("B21:B" &amp; ROW()))-1,E82)</f>
        <v>-5.2809749492213953E-2</v>
      </c>
      <c r="F83" s="110">
        <f>表2_36716262930389121314152324252627[[#This Row],[累计净值]]</f>
        <v>1.5069999999999999</v>
      </c>
      <c r="G83" s="20">
        <f>表2_36716262930389121314152324252627[[#This Row],[累计净值]]/$B$21-1</f>
        <v>2.0311442112389777E-2</v>
      </c>
    </row>
    <row r="84" spans="1:7">
      <c r="A84" s="15">
        <v>44146</v>
      </c>
      <c r="B84" s="112">
        <v>1.4990000000000001</v>
      </c>
      <c r="C84" s="108">
        <f t="shared" si="20"/>
        <v>-7.9999999999997851E-3</v>
      </c>
      <c r="D84" s="109">
        <f t="shared" si="21"/>
        <v>-7.9999999999997851E-3</v>
      </c>
      <c r="E84" s="109">
        <f ca="1">IF(表2_36716262930389121314152324252627[[#This Row],[累计净值]]/MAX(INDIRECT("B21:B" &amp; ROW()))-1&lt;E83,表2_36716262930389121314152324252627[[#This Row],[累计净值]]/MAX(INDIRECT("B21:B" &amp; ROW()))-1,E83)</f>
        <v>-5.2809749492213953E-2</v>
      </c>
      <c r="F84" s="110">
        <f>表2_36716262930389121314152324252627[[#This Row],[累计净值]]</f>
        <v>1.4990000000000001</v>
      </c>
      <c r="G84" s="20">
        <f>表2_36716262930389121314152324252627[[#This Row],[累计净值]]/$B$21-1</f>
        <v>1.4895057549086044E-2</v>
      </c>
    </row>
    <row r="85" spans="1:7">
      <c r="A85" s="15">
        <v>44147</v>
      </c>
      <c r="B85" s="112">
        <v>1.5</v>
      </c>
      <c r="C85" s="108">
        <f t="shared" ref="C85:C90" si="22">IFERROR(B85-B84,0)</f>
        <v>9.9999999999988987E-4</v>
      </c>
      <c r="D85" s="109" t="str">
        <f t="shared" ref="D85:D90" si="23">IF(C85&lt;0,C85,"/")</f>
        <v>/</v>
      </c>
      <c r="E85" s="109">
        <f ca="1">IF(表2_36716262930389121314152324252627[[#This Row],[累计净值]]/MAX(INDIRECT("B21:B" &amp; ROW()))-1&lt;E84,表2_36716262930389121314152324252627[[#This Row],[累计净值]]/MAX(INDIRECT("B21:B" &amp; ROW()))-1,E84)</f>
        <v>-5.2809749492213953E-2</v>
      </c>
      <c r="F85" s="110">
        <f>表2_36716262930389121314152324252627[[#This Row],[累计净值]]</f>
        <v>1.5</v>
      </c>
      <c r="G85" s="20">
        <f>表2_36716262930389121314152324252627[[#This Row],[累计净值]]/$B$21-1</f>
        <v>1.5572105619498844E-2</v>
      </c>
    </row>
    <row r="86" spans="1:7">
      <c r="A86" s="15">
        <v>44148</v>
      </c>
      <c r="B86" s="112">
        <v>1.504</v>
      </c>
      <c r="C86" s="108">
        <f t="shared" si="22"/>
        <v>4.0000000000000036E-3</v>
      </c>
      <c r="D86" s="109" t="str">
        <f t="shared" si="23"/>
        <v>/</v>
      </c>
      <c r="E86" s="109">
        <f ca="1">IF(表2_36716262930389121314152324252627[[#This Row],[累计净值]]/MAX(INDIRECT("B21:B" &amp; ROW()))-1&lt;E85,表2_36716262930389121314152324252627[[#This Row],[累计净值]]/MAX(INDIRECT("B21:B" &amp; ROW()))-1,E85)</f>
        <v>-5.2809749492213953E-2</v>
      </c>
      <c r="F86" s="110">
        <f>表2_36716262930389121314152324252627[[#This Row],[累计净值]]</f>
        <v>1.504</v>
      </c>
      <c r="G86" s="20">
        <f>表2_36716262930389121314152324252627[[#This Row],[累计净值]]/$B$21-1</f>
        <v>1.8280297901150933E-2</v>
      </c>
    </row>
    <row r="87" spans="1:7">
      <c r="A87" s="15">
        <v>44151</v>
      </c>
      <c r="B87" s="112">
        <v>1.516</v>
      </c>
      <c r="C87" s="108">
        <f t="shared" si="22"/>
        <v>1.2000000000000011E-2</v>
      </c>
      <c r="D87" s="109" t="str">
        <f t="shared" si="23"/>
        <v>/</v>
      </c>
      <c r="E87" s="109">
        <f ca="1">IF(表2_36716262930389121314152324252627[[#This Row],[累计净值]]/MAX(INDIRECT("B21:B" &amp; ROW()))-1&lt;E86,表2_36716262930389121314152324252627[[#This Row],[累计净值]]/MAX(INDIRECT("B21:B" &amp; ROW()))-1,E86)</f>
        <v>-5.2809749492213953E-2</v>
      </c>
      <c r="F87" s="110">
        <f>表2_36716262930389121314152324252627[[#This Row],[累计净值]]</f>
        <v>1.516</v>
      </c>
      <c r="G87" s="20">
        <f>表2_36716262930389121314152324252627[[#This Row],[累计净值]]/$B$21-1</f>
        <v>2.6404874746106977E-2</v>
      </c>
    </row>
    <row r="88" spans="1:7">
      <c r="A88" s="15">
        <v>44152</v>
      </c>
      <c r="B88" s="112">
        <v>1.5249999999999999</v>
      </c>
      <c r="C88" s="108">
        <f t="shared" si="22"/>
        <v>8.999999999999897E-3</v>
      </c>
      <c r="D88" s="109" t="str">
        <f t="shared" si="23"/>
        <v>/</v>
      </c>
      <c r="E88" s="109">
        <f ca="1">IF(表2_36716262930389121314152324252627[[#This Row],[累计净值]]/MAX(INDIRECT("B21:B" &amp; ROW()))-1&lt;E87,表2_36716262930389121314152324252627[[#This Row],[累计净值]]/MAX(INDIRECT("B21:B" &amp; ROW()))-1,E87)</f>
        <v>-5.2809749492213953E-2</v>
      </c>
      <c r="F88" s="110">
        <f>表2_36716262930389121314152324252627[[#This Row],[累计净值]]</f>
        <v>1.5249999999999999</v>
      </c>
      <c r="G88" s="20">
        <f>表2_36716262930389121314152324252627[[#This Row],[累计净值]]/$B$21-1</f>
        <v>3.2498307379823954E-2</v>
      </c>
    </row>
    <row r="89" spans="1:7">
      <c r="A89" s="15">
        <v>44153</v>
      </c>
      <c r="B89" s="112">
        <v>1.54</v>
      </c>
      <c r="C89" s="108">
        <f t="shared" si="22"/>
        <v>1.5000000000000124E-2</v>
      </c>
      <c r="D89" s="109" t="str">
        <f t="shared" si="23"/>
        <v>/</v>
      </c>
      <c r="E89" s="109">
        <f ca="1">IF(表2_36716262930389121314152324252627[[#This Row],[累计净值]]/MAX(INDIRECT("B21:B" &amp; ROW()))-1&lt;E88,表2_36716262930389121314152324252627[[#This Row],[累计净值]]/MAX(INDIRECT("B21:B" &amp; ROW()))-1,E88)</f>
        <v>-5.2809749492213953E-2</v>
      </c>
      <c r="F89" s="110">
        <f>表2_36716262930389121314152324252627[[#This Row],[累计净值]]</f>
        <v>1.54</v>
      </c>
      <c r="G89" s="20">
        <f>表2_36716262930389121314152324252627[[#This Row],[累计净值]]/$B$21-1</f>
        <v>4.2654028436018843E-2</v>
      </c>
    </row>
    <row r="90" spans="1:7">
      <c r="A90" s="15">
        <v>44154</v>
      </c>
      <c r="B90" s="112">
        <v>1.55</v>
      </c>
      <c r="C90" s="108">
        <f t="shared" si="22"/>
        <v>1.0000000000000009E-2</v>
      </c>
      <c r="D90" s="109" t="str">
        <f t="shared" si="23"/>
        <v>/</v>
      </c>
      <c r="E90" s="109">
        <f ca="1">IF(表2_36716262930389121314152324252627[[#This Row],[累计净值]]/MAX(INDIRECT("B21:B" &amp; ROW()))-1&lt;E89,表2_36716262930389121314152324252627[[#This Row],[累计净值]]/MAX(INDIRECT("B21:B" &amp; ROW()))-1,E89)</f>
        <v>-5.2809749492213953E-2</v>
      </c>
      <c r="F90" s="110">
        <f>表2_36716262930389121314152324252627[[#This Row],[累计净值]]</f>
        <v>1.55</v>
      </c>
      <c r="G90" s="20">
        <f>表2_36716262930389121314152324252627[[#This Row],[累计净值]]/$B$21-1</f>
        <v>4.9424509140148842E-2</v>
      </c>
    </row>
    <row r="91" spans="1:7">
      <c r="A91" s="15">
        <v>44155</v>
      </c>
      <c r="B91" s="112">
        <v>1.5529999999999999</v>
      </c>
      <c r="C91" s="108">
        <f t="shared" ref="C91:C96" si="24">IFERROR(B91-B90,0)</f>
        <v>2.9999999999998916E-3</v>
      </c>
      <c r="D91" s="109" t="str">
        <f t="shared" ref="D91:D96" si="25">IF(C91&lt;0,C91,"/")</f>
        <v>/</v>
      </c>
      <c r="E91" s="109">
        <f ca="1">IF(表2_36716262930389121314152324252627[[#This Row],[累计净值]]/MAX(INDIRECT("B21:B" &amp; ROW()))-1&lt;E90,表2_36716262930389121314152324252627[[#This Row],[累计净值]]/MAX(INDIRECT("B21:B" &amp; ROW()))-1,E90)</f>
        <v>-5.2809749492213953E-2</v>
      </c>
      <c r="F91" s="110">
        <f>表2_36716262930389121314152324252627[[#This Row],[累计净值]]</f>
        <v>1.5529999999999999</v>
      </c>
      <c r="G91" s="20">
        <f>表2_36716262930389121314152324252627[[#This Row],[累计净值]]/$B$21-1</f>
        <v>5.1455653351387909E-2</v>
      </c>
    </row>
    <row r="92" spans="1:7">
      <c r="A92" s="15">
        <v>44158</v>
      </c>
      <c r="B92" s="112">
        <v>1.5509999999999999</v>
      </c>
      <c r="C92" s="108">
        <f t="shared" si="24"/>
        <v>-2.0000000000000018E-3</v>
      </c>
      <c r="D92" s="109">
        <f t="shared" si="25"/>
        <v>-2.0000000000000018E-3</v>
      </c>
      <c r="E92" s="109">
        <f ca="1">IF(表2_36716262930389121314152324252627[[#This Row],[累计净值]]/MAX(INDIRECT("B21:B" &amp; ROW()))-1&lt;E91,表2_36716262930389121314152324252627[[#This Row],[累计净值]]/MAX(INDIRECT("B21:B" &amp; ROW()))-1,E91)</f>
        <v>-5.2809749492213953E-2</v>
      </c>
      <c r="F92" s="110">
        <f>表2_36716262930389121314152324252627[[#This Row],[累计净值]]</f>
        <v>1.5509999999999999</v>
      </c>
      <c r="G92" s="20">
        <f>表2_36716262930389121314152324252627[[#This Row],[累计净值]]/$B$21-1</f>
        <v>5.0101557210561865E-2</v>
      </c>
    </row>
    <row r="93" spans="1:7">
      <c r="A93" s="15">
        <v>44159</v>
      </c>
      <c r="B93" s="112">
        <v>1.55</v>
      </c>
      <c r="C93" s="108">
        <f t="shared" si="24"/>
        <v>-9.9999999999988987E-4</v>
      </c>
      <c r="D93" s="109">
        <f t="shared" si="25"/>
        <v>-9.9999999999988987E-4</v>
      </c>
      <c r="E93" s="109">
        <f ca="1">IF(表2_36716262930389121314152324252627[[#This Row],[累计净值]]/MAX(INDIRECT("B21:B" &amp; ROW()))-1&lt;E92,表2_36716262930389121314152324252627[[#This Row],[累计净值]]/MAX(INDIRECT("B21:B" &amp; ROW()))-1,E92)</f>
        <v>-5.2809749492213953E-2</v>
      </c>
      <c r="F93" s="110">
        <f>表2_36716262930389121314152324252627[[#This Row],[累计净值]]</f>
        <v>1.55</v>
      </c>
      <c r="G93" s="20">
        <f>表2_36716262930389121314152324252627[[#This Row],[累计净值]]/$B$21-1</f>
        <v>4.9424509140148842E-2</v>
      </c>
    </row>
    <row r="94" spans="1:7">
      <c r="A94" s="15">
        <v>44160</v>
      </c>
      <c r="B94" s="112">
        <v>1.56</v>
      </c>
      <c r="C94" s="108">
        <f t="shared" si="24"/>
        <v>1.0000000000000009E-2</v>
      </c>
      <c r="D94" s="109" t="str">
        <f t="shared" si="25"/>
        <v>/</v>
      </c>
      <c r="E94" s="109">
        <f ca="1">IF(表2_36716262930389121314152324252627[[#This Row],[累计净值]]/MAX(INDIRECT("B21:B" &amp; ROW()))-1&lt;E93,表2_36716262930389121314152324252627[[#This Row],[累计净值]]/MAX(INDIRECT("B21:B" &amp; ROW()))-1,E93)</f>
        <v>-5.2809749492213953E-2</v>
      </c>
      <c r="F94" s="110">
        <f>表2_36716262930389121314152324252627[[#This Row],[累计净值]]</f>
        <v>1.56</v>
      </c>
      <c r="G94" s="20">
        <f>表2_36716262930389121314152324252627[[#This Row],[累计净值]]/$B$21-1</f>
        <v>5.6194989844278842E-2</v>
      </c>
    </row>
    <row r="95" spans="1:7">
      <c r="A95" s="15">
        <v>44161</v>
      </c>
      <c r="B95" s="112">
        <v>1.5589999999999999</v>
      </c>
      <c r="C95" s="108">
        <f t="shared" si="24"/>
        <v>-1.0000000000001119E-3</v>
      </c>
      <c r="D95" s="109">
        <f t="shared" si="25"/>
        <v>-1.0000000000001119E-3</v>
      </c>
      <c r="E95" s="109">
        <f ca="1">IF(表2_36716262930389121314152324252627[[#This Row],[累计净值]]/MAX(INDIRECT("B21:B" &amp; ROW()))-1&lt;E94,表2_36716262930389121314152324252627[[#This Row],[累计净值]]/MAX(INDIRECT("B21:B" &amp; ROW()))-1,E94)</f>
        <v>-5.2809749492213953E-2</v>
      </c>
      <c r="F95" s="110">
        <f>表2_36716262930389121314152324252627[[#This Row],[累计净值]]</f>
        <v>1.5589999999999999</v>
      </c>
      <c r="G95" s="20">
        <f>表2_36716262930389121314152324252627[[#This Row],[累计净值]]/$B$21-1</f>
        <v>5.551794177386582E-2</v>
      </c>
    </row>
    <row r="96" spans="1:7">
      <c r="A96" s="15">
        <v>44162</v>
      </c>
      <c r="B96" s="112">
        <v>1.57</v>
      </c>
      <c r="C96" s="108">
        <f t="shared" si="24"/>
        <v>1.1000000000000121E-2</v>
      </c>
      <c r="D96" s="109" t="str">
        <f t="shared" si="25"/>
        <v>/</v>
      </c>
      <c r="E96" s="109">
        <f ca="1">IF(表2_36716262930389121314152324252627[[#This Row],[累计净值]]/MAX(INDIRECT("B21:B" &amp; ROW()))-1&lt;E95,表2_36716262930389121314152324252627[[#This Row],[累计净值]]/MAX(INDIRECT("B21:B" &amp; ROW()))-1,E95)</f>
        <v>-5.2809749492213953E-2</v>
      </c>
      <c r="F96" s="110">
        <f>表2_36716262930389121314152324252627[[#This Row],[累计净值]]</f>
        <v>1.57</v>
      </c>
      <c r="G96" s="20">
        <f>表2_36716262930389121314152324252627[[#This Row],[累计净值]]/$B$21-1</f>
        <v>6.2965470548408842E-2</v>
      </c>
    </row>
    <row r="97" spans="1:7">
      <c r="A97" s="15">
        <v>44165</v>
      </c>
      <c r="B97" s="112">
        <v>1.5760000000000001</v>
      </c>
      <c r="C97" s="108">
        <f t="shared" ref="C97:C102" si="26">IFERROR(B97-B96,0)</f>
        <v>6.0000000000000053E-3</v>
      </c>
      <c r="D97" s="109" t="str">
        <f t="shared" ref="D97:D102" si="27">IF(C97&lt;0,C97,"/")</f>
        <v>/</v>
      </c>
      <c r="E97" s="109">
        <f ca="1">IF(表2_36716262930389121314152324252627[[#This Row],[累计净值]]/MAX(INDIRECT("B21:B" &amp; ROW()))-1&lt;E96,表2_36716262930389121314152324252627[[#This Row],[累计净值]]/MAX(INDIRECT("B21:B" &amp; ROW()))-1,E96)</f>
        <v>-5.2809749492213953E-2</v>
      </c>
      <c r="F97" s="110">
        <f>表2_36716262930389121314152324252627[[#This Row],[累计净值]]</f>
        <v>1.5760000000000001</v>
      </c>
      <c r="G97" s="20">
        <f>表2_36716262930389121314152324252627[[#This Row],[累计净值]]/$B$21-1</f>
        <v>6.7027758970886975E-2</v>
      </c>
    </row>
    <row r="98" spans="1:7">
      <c r="A98" s="15">
        <v>44166</v>
      </c>
      <c r="B98" s="112">
        <v>1.5820000000000001</v>
      </c>
      <c r="C98" s="108">
        <f t="shared" si="26"/>
        <v>6.0000000000000053E-3</v>
      </c>
      <c r="D98" s="109" t="str">
        <f t="shared" si="27"/>
        <v>/</v>
      </c>
      <c r="E98" s="109">
        <f ca="1">IF(表2_36716262930389121314152324252627[[#This Row],[累计净值]]/MAX(INDIRECT("B21:B" &amp; ROW()))-1&lt;E97,表2_36716262930389121314152324252627[[#This Row],[累计净值]]/MAX(INDIRECT("B21:B" &amp; ROW()))-1,E97)</f>
        <v>-5.2809749492213953E-2</v>
      </c>
      <c r="F98" s="110">
        <f>表2_36716262930389121314152324252627[[#This Row],[累计净值]]</f>
        <v>1.5820000000000001</v>
      </c>
      <c r="G98" s="20">
        <f>表2_36716262930389121314152324252627[[#This Row],[累计净值]]/$B$21-1</f>
        <v>7.1090047393364886E-2</v>
      </c>
    </row>
    <row r="99" spans="1:7">
      <c r="A99" s="15">
        <v>44167</v>
      </c>
      <c r="B99" s="112">
        <v>1.5960000000000001</v>
      </c>
      <c r="C99" s="108">
        <f t="shared" si="26"/>
        <v>1.4000000000000012E-2</v>
      </c>
      <c r="D99" s="109" t="str">
        <f t="shared" si="27"/>
        <v>/</v>
      </c>
      <c r="E99" s="109">
        <f ca="1">IF(表2_36716262930389121314152324252627[[#This Row],[累计净值]]/MAX(INDIRECT("B21:B" &amp; ROW()))-1&lt;E98,表2_36716262930389121314152324252627[[#This Row],[累计净值]]/MAX(INDIRECT("B21:B" &amp; ROW()))-1,E98)</f>
        <v>-5.2809749492213953E-2</v>
      </c>
      <c r="F99" s="110">
        <f>表2_36716262930389121314152324252627[[#This Row],[累计净值]]</f>
        <v>1.5960000000000001</v>
      </c>
      <c r="G99" s="20">
        <f>表2_36716262930389121314152324252627[[#This Row],[累计净值]]/$B$21-1</f>
        <v>8.0568720379146974E-2</v>
      </c>
    </row>
    <row r="100" spans="1:7">
      <c r="A100" s="15">
        <v>44168</v>
      </c>
      <c r="B100" s="112">
        <v>1.5860000000000001</v>
      </c>
      <c r="C100" s="108">
        <f t="shared" si="26"/>
        <v>-1.0000000000000009E-2</v>
      </c>
      <c r="D100" s="109">
        <f t="shared" si="27"/>
        <v>-1.0000000000000009E-2</v>
      </c>
      <c r="E100" s="109">
        <f ca="1">IF(表2_36716262930389121314152324252627[[#This Row],[累计净值]]/MAX(INDIRECT("B21:B" &amp; ROW()))-1&lt;E99,表2_36716262930389121314152324252627[[#This Row],[累计净值]]/MAX(INDIRECT("B21:B" &amp; ROW()))-1,E99)</f>
        <v>-5.2809749492213953E-2</v>
      </c>
      <c r="F100" s="110">
        <f>表2_36716262930389121314152324252627[[#This Row],[累计净值]]</f>
        <v>1.5860000000000001</v>
      </c>
      <c r="G100" s="20">
        <f>表2_36716262930389121314152324252627[[#This Row],[累计净值]]/$B$21-1</f>
        <v>7.3798239675016974E-2</v>
      </c>
    </row>
    <row r="101" spans="1:7">
      <c r="A101" s="15">
        <v>44169</v>
      </c>
      <c r="B101" s="112">
        <v>1.57</v>
      </c>
      <c r="C101" s="108">
        <f t="shared" si="26"/>
        <v>-1.6000000000000014E-2</v>
      </c>
      <c r="D101" s="109">
        <f t="shared" si="27"/>
        <v>-1.6000000000000014E-2</v>
      </c>
      <c r="E101" s="109">
        <f ca="1">IF(表2_36716262930389121314152324252627[[#This Row],[累计净值]]/MAX(INDIRECT("B21:B" &amp; ROW()))-1&lt;E100,表2_36716262930389121314152324252627[[#This Row],[累计净值]]/MAX(INDIRECT("B21:B" &amp; ROW()))-1,E100)</f>
        <v>-5.2809749492213953E-2</v>
      </c>
      <c r="F101" s="110">
        <f>表2_36716262930389121314152324252627[[#This Row],[累计净值]]</f>
        <v>1.57</v>
      </c>
      <c r="G101" s="20">
        <f>表2_36716262930389121314152324252627[[#This Row],[累计净值]]/$B$21-1</f>
        <v>6.2965470548408842E-2</v>
      </c>
    </row>
    <row r="102" spans="1:7">
      <c r="A102" s="15">
        <v>44172</v>
      </c>
      <c r="B102" s="112">
        <v>1.5940000000000001</v>
      </c>
      <c r="C102" s="108">
        <f t="shared" si="26"/>
        <v>2.4000000000000021E-2</v>
      </c>
      <c r="D102" s="109" t="str">
        <f t="shared" si="27"/>
        <v>/</v>
      </c>
      <c r="E102" s="109">
        <f ca="1">IF(表2_36716262930389121314152324252627[[#This Row],[累计净值]]/MAX(INDIRECT("B21:B" &amp; ROW()))-1&lt;E101,表2_36716262930389121314152324252627[[#This Row],[累计净值]]/MAX(INDIRECT("B21:B" &amp; ROW()))-1,E101)</f>
        <v>-5.2809749492213953E-2</v>
      </c>
      <c r="F102" s="110">
        <f>表2_36716262930389121314152324252627[[#This Row],[累计净值]]</f>
        <v>1.5940000000000001</v>
      </c>
      <c r="G102" s="20">
        <f>表2_36716262930389121314152324252627[[#This Row],[累计净值]]/$B$21-1</f>
        <v>7.921462423832093E-2</v>
      </c>
    </row>
    <row r="103" spans="1:7">
      <c r="A103" s="15">
        <v>44173</v>
      </c>
      <c r="B103" s="112">
        <v>1.6</v>
      </c>
      <c r="C103" s="108">
        <f t="shared" ref="C103:C109" si="28">IFERROR(B103-B102,0)</f>
        <v>6.0000000000000053E-3</v>
      </c>
      <c r="D103" s="109" t="str">
        <f t="shared" ref="D103:D109" si="29">IF(C103&lt;0,C103,"/")</f>
        <v>/</v>
      </c>
      <c r="E103" s="109">
        <f ca="1">IF(表2_36716262930389121314152324252627[[#This Row],[累计净值]]/MAX(INDIRECT("B21:B" &amp; ROW()))-1&lt;E102,表2_36716262930389121314152324252627[[#This Row],[累计净值]]/MAX(INDIRECT("B21:B" &amp; ROW()))-1,E102)</f>
        <v>-5.2809749492213953E-2</v>
      </c>
      <c r="F103" s="110">
        <f>表2_36716262930389121314152324252627[[#This Row],[累计净值]]</f>
        <v>1.6</v>
      </c>
      <c r="G103" s="20">
        <f>表2_36716262930389121314152324252627[[#This Row],[累计净值]]/$B$21-1</f>
        <v>8.3276912660798841E-2</v>
      </c>
    </row>
    <row r="104" spans="1:7">
      <c r="A104" s="15">
        <v>44174</v>
      </c>
      <c r="B104" s="112">
        <v>1.6160000000000001</v>
      </c>
      <c r="C104" s="108">
        <f t="shared" si="28"/>
        <v>1.6000000000000014E-2</v>
      </c>
      <c r="D104" s="109" t="str">
        <f t="shared" si="29"/>
        <v>/</v>
      </c>
      <c r="E104" s="109">
        <f ca="1">IF(表2_36716262930389121314152324252627[[#This Row],[累计净值]]/MAX(INDIRECT("B21:B" &amp; ROW()))-1&lt;E103,表2_36716262930389121314152324252627[[#This Row],[累计净值]]/MAX(INDIRECT("B21:B" &amp; ROW()))-1,E103)</f>
        <v>-5.2809749492213953E-2</v>
      </c>
      <c r="F104" s="110">
        <f>表2_36716262930389121314152324252627[[#This Row],[累计净值]]</f>
        <v>1.6160000000000001</v>
      </c>
      <c r="G104" s="20">
        <f>表2_36716262930389121314152324252627[[#This Row],[累计净值]]/$B$21-1</f>
        <v>9.4109681787406974E-2</v>
      </c>
    </row>
    <row r="105" spans="1:7">
      <c r="A105" s="15">
        <v>44175</v>
      </c>
      <c r="B105" s="112">
        <v>1.6479999999999999</v>
      </c>
      <c r="C105" s="108">
        <f t="shared" si="28"/>
        <v>3.1999999999999806E-2</v>
      </c>
      <c r="D105" s="109" t="str">
        <f t="shared" si="29"/>
        <v>/</v>
      </c>
      <c r="E105" s="109">
        <f ca="1">IF(表2_36716262930389121314152324252627[[#This Row],[累计净值]]/MAX(INDIRECT("B21:B" &amp; ROW()))-1&lt;E104,表2_36716262930389121314152324252627[[#This Row],[累计净值]]/MAX(INDIRECT("B21:B" &amp; ROW()))-1,E104)</f>
        <v>-5.2809749492213953E-2</v>
      </c>
      <c r="F105" s="110">
        <f>表2_36716262930389121314152324252627[[#This Row],[累计净值]]</f>
        <v>1.6479999999999999</v>
      </c>
      <c r="G105" s="20">
        <f>表2_36716262930389121314152324252627[[#This Row],[累计净值]]/$B$21-1</f>
        <v>0.11577522004062279</v>
      </c>
    </row>
    <row r="106" spans="1:7">
      <c r="A106" s="15">
        <v>44176</v>
      </c>
      <c r="B106" s="112">
        <v>1.671</v>
      </c>
      <c r="C106" s="108">
        <f t="shared" si="28"/>
        <v>2.3000000000000131E-2</v>
      </c>
      <c r="D106" s="109" t="str">
        <f t="shared" si="29"/>
        <v>/</v>
      </c>
      <c r="E106" s="109">
        <f ca="1">IF(表2_36716262930389121314152324252627[[#This Row],[累计净值]]/MAX(INDIRECT("B21:B" &amp; ROW()))-1&lt;E105,表2_36716262930389121314152324252627[[#This Row],[累计净值]]/MAX(INDIRECT("B21:B" &amp; ROW()))-1,E105)</f>
        <v>-5.2809749492213953E-2</v>
      </c>
      <c r="F106" s="110">
        <f>表2_36716262930389121314152324252627[[#This Row],[累计净值]]</f>
        <v>1.671</v>
      </c>
      <c r="G106" s="20">
        <f>表2_36716262930389121314152324252627[[#This Row],[累计净值]]/$B$21-1</f>
        <v>0.13134732566012186</v>
      </c>
    </row>
    <row r="107" spans="1:7">
      <c r="A107" s="15">
        <v>44179</v>
      </c>
      <c r="B107" s="112">
        <v>1.6579999999999999</v>
      </c>
      <c r="C107" s="108">
        <f t="shared" si="28"/>
        <v>-1.3000000000000123E-2</v>
      </c>
      <c r="D107" s="109">
        <f t="shared" si="29"/>
        <v>-1.3000000000000123E-2</v>
      </c>
      <c r="E107" s="109">
        <f ca="1">IF(表2_36716262930389121314152324252627[[#This Row],[累计净值]]/MAX(INDIRECT("B21:B" &amp; ROW()))-1&lt;E106,表2_36716262930389121314152324252627[[#This Row],[累计净值]]/MAX(INDIRECT("B21:B" &amp; ROW()))-1,E106)</f>
        <v>-5.2809749492213953E-2</v>
      </c>
      <c r="F107" s="110">
        <f>表2_36716262930389121314152324252627[[#This Row],[累计净值]]</f>
        <v>1.6579999999999999</v>
      </c>
      <c r="G107" s="20">
        <f>表2_36716262930389121314152324252627[[#This Row],[累计净值]]/$B$21-1</f>
        <v>0.12254570074475279</v>
      </c>
    </row>
    <row r="108" spans="1:7">
      <c r="A108" s="15">
        <v>44180</v>
      </c>
      <c r="B108" s="112">
        <v>1.655</v>
      </c>
      <c r="C108" s="108">
        <f t="shared" si="28"/>
        <v>-2.9999999999998916E-3</v>
      </c>
      <c r="D108" s="109">
        <f t="shared" si="29"/>
        <v>-2.9999999999998916E-3</v>
      </c>
      <c r="E108" s="109">
        <f ca="1">IF(表2_36716262930389121314152324252627[[#This Row],[累计净值]]/MAX(INDIRECT("B21:B" &amp; ROW()))-1&lt;E107,表2_36716262930389121314152324252627[[#This Row],[累计净值]]/MAX(INDIRECT("B21:B" &amp; ROW()))-1,E107)</f>
        <v>-5.2809749492213953E-2</v>
      </c>
      <c r="F108" s="110">
        <f>表2_36716262930389121314152324252627[[#This Row],[累计净值]]</f>
        <v>1.655</v>
      </c>
      <c r="G108" s="20">
        <f>表2_36716262930389121314152324252627[[#This Row],[累计净值]]/$B$21-1</f>
        <v>0.12051455653351373</v>
      </c>
    </row>
    <row r="109" spans="1:7">
      <c r="A109" s="15">
        <v>44181</v>
      </c>
      <c r="B109" s="112">
        <v>1.659</v>
      </c>
      <c r="C109" s="108">
        <f t="shared" si="28"/>
        <v>4.0000000000000036E-3</v>
      </c>
      <c r="D109" s="109" t="str">
        <f t="shared" si="29"/>
        <v>/</v>
      </c>
      <c r="E109" s="109">
        <f ca="1">IF(表2_36716262930389121314152324252627[[#This Row],[累计净值]]/MAX(INDIRECT("B21:B" &amp; ROW()))-1&lt;E108,表2_36716262930389121314152324252627[[#This Row],[累计净值]]/MAX(INDIRECT("B21:B" &amp; ROW()))-1,E108)</f>
        <v>-5.2809749492213953E-2</v>
      </c>
      <c r="F109" s="110">
        <f>表2_36716262930389121314152324252627[[#This Row],[累计净值]]</f>
        <v>1.659</v>
      </c>
      <c r="G109" s="20">
        <f>表2_36716262930389121314152324252627[[#This Row],[累计净值]]/$B$21-1</f>
        <v>0.12322274881516582</v>
      </c>
    </row>
    <row r="110" spans="1:7">
      <c r="A110" s="15">
        <v>44182</v>
      </c>
      <c r="B110" s="112">
        <v>1.6639999999999999</v>
      </c>
      <c r="C110" s="108">
        <f>IFERROR(B110-B109,0)</f>
        <v>4.9999999999998934E-3</v>
      </c>
      <c r="D110" s="109" t="str">
        <f>IF(C110&lt;0,C110,"/")</f>
        <v>/</v>
      </c>
      <c r="E110" s="109">
        <f ca="1">IF(表2_36716262930389121314152324252627[[#This Row],[累计净值]]/MAX(INDIRECT("B21:B" &amp; ROW()))-1&lt;E109,表2_36716262930389121314152324252627[[#This Row],[累计净值]]/MAX(INDIRECT("B21:B" &amp; ROW()))-1,E109)</f>
        <v>-5.2809749492213953E-2</v>
      </c>
      <c r="F110" s="110">
        <f>表2_36716262930389121314152324252627[[#This Row],[累计净值]]</f>
        <v>1.6639999999999999</v>
      </c>
      <c r="G110" s="20">
        <f>表2_36716262930389121314152324252627[[#This Row],[累计净值]]/$B$21-1</f>
        <v>0.12660798916723071</v>
      </c>
    </row>
    <row r="111" spans="1:7">
      <c r="A111" s="15">
        <v>44183</v>
      </c>
      <c r="B111" s="112">
        <v>1.681</v>
      </c>
      <c r="C111" s="108">
        <f>IFERROR(B111-B110,0)</f>
        <v>1.7000000000000126E-2</v>
      </c>
      <c r="D111" s="109" t="str">
        <f>IF(C111&lt;0,C111,"/")</f>
        <v>/</v>
      </c>
      <c r="E111" s="109">
        <f ca="1">IF(表2_36716262930389121314152324252627[[#This Row],[累计净值]]/MAX(INDIRECT("B21:B" &amp; ROW()))-1&lt;E110,表2_36716262930389121314152324252627[[#This Row],[累计净值]]/MAX(INDIRECT("B21:B" &amp; ROW()))-1,E110)</f>
        <v>-5.2809749492213953E-2</v>
      </c>
      <c r="F111" s="110">
        <f>表2_36716262930389121314152324252627[[#This Row],[累计净值]]</f>
        <v>1.681</v>
      </c>
      <c r="G111" s="20">
        <f>表2_36716262930389121314152324252627[[#This Row],[累计净值]]/$B$21-1</f>
        <v>0.13811780636425186</v>
      </c>
    </row>
    <row r="112" spans="1:7">
      <c r="A112" s="15">
        <v>44186</v>
      </c>
      <c r="B112" s="117">
        <v>1.6970000000000001</v>
      </c>
      <c r="C112" s="108">
        <f>IFERROR(B112-B111,0)</f>
        <v>1.6000000000000014E-2</v>
      </c>
      <c r="D112" s="109" t="str">
        <f>IF(C112&lt;0,C112,"/")</f>
        <v>/</v>
      </c>
      <c r="E112" s="109">
        <f ca="1">IF(表2_36716262930389121314152324252627[[#This Row],[累计净值]]/MAX(INDIRECT("B21:B" &amp; ROW()))-1&lt;E111,表2_36716262930389121314152324252627[[#This Row],[累计净值]]/MAX(INDIRECT("B21:B" &amp; ROW()))-1,E111)</f>
        <v>-5.2809749492213953E-2</v>
      </c>
      <c r="F112" s="110">
        <f>表2_36716262930389121314152324252627[[#This Row],[累计净值]]</f>
        <v>1.6970000000000001</v>
      </c>
      <c r="G112" s="20">
        <f>表2_36716262930389121314152324252627[[#This Row],[累计净值]]/$B$21-1</f>
        <v>0.14895057549085977</v>
      </c>
    </row>
    <row r="113" spans="1:7">
      <c r="A113" s="15">
        <v>44187</v>
      </c>
      <c r="B113" s="112">
        <v>1.6879999999999999</v>
      </c>
      <c r="C113" s="108">
        <f>IFERROR(B113-B112,0)</f>
        <v>-9.000000000000119E-3</v>
      </c>
      <c r="D113" s="109">
        <f>IF(C113&lt;0,C113,"/")</f>
        <v>-9.000000000000119E-3</v>
      </c>
      <c r="E113" s="109">
        <f ca="1">IF(表2_36716262930389121314152324252627[[#This Row],[累计净值]]/MAX(INDIRECT("B21:B" &amp; ROW()))-1&lt;E112,表2_36716262930389121314152324252627[[#This Row],[累计净值]]/MAX(INDIRECT("B21:B" &amp; ROW()))-1,E112)</f>
        <v>-5.2809749492213953E-2</v>
      </c>
      <c r="F113" s="110">
        <f>表2_36716262930389121314152324252627[[#This Row],[累计净值]]</f>
        <v>1.6879999999999999</v>
      </c>
      <c r="G113" s="20">
        <f>表2_36716262930389121314152324252627[[#This Row],[累计净值]]/$B$21-1</f>
        <v>0.14285714285714279</v>
      </c>
    </row>
    <row r="114" spans="1:7">
      <c r="A114" s="15">
        <v>44188</v>
      </c>
      <c r="B114" s="112">
        <v>1.6859999999999999</v>
      </c>
      <c r="C114" s="108">
        <f>IFERROR(B114-B113,0)</f>
        <v>-2.0000000000000018E-3</v>
      </c>
      <c r="D114" s="109">
        <f>IF(C114&lt;0,C114,"/")</f>
        <v>-2.0000000000000018E-3</v>
      </c>
      <c r="E114" s="109">
        <f ca="1">IF(表2_36716262930389121314152324252627[[#This Row],[累计净值]]/MAX(INDIRECT("B21:B" &amp; ROW()))-1&lt;E113,表2_36716262930389121314152324252627[[#This Row],[累计净值]]/MAX(INDIRECT("B21:B" &amp; ROW()))-1,E113)</f>
        <v>-5.2809749492213953E-2</v>
      </c>
      <c r="F114" s="110">
        <f>表2_36716262930389121314152324252627[[#This Row],[累计净值]]</f>
        <v>1.6859999999999999</v>
      </c>
      <c r="G114" s="20">
        <f>表2_36716262930389121314152324252627[[#This Row],[累计净值]]/$B$21-1</f>
        <v>0.14150304671631675</v>
      </c>
    </row>
    <row r="115" spans="1:7">
      <c r="A115" s="15">
        <v>44189</v>
      </c>
      <c r="B115" s="112">
        <v>1.6839999999999999</v>
      </c>
      <c r="C115" s="108">
        <f t="shared" ref="C115:C116" si="30">IFERROR(B115-B114,0)</f>
        <v>-2.0000000000000018E-3</v>
      </c>
      <c r="D115" s="109">
        <f t="shared" ref="D115:D116" si="31">IF(C115&lt;0,C115,"/")</f>
        <v>-2.0000000000000018E-3</v>
      </c>
      <c r="E115" s="109">
        <f ca="1">IF(表2_36716262930389121314152324252627[[#This Row],[累计净值]]/MAX(INDIRECT("B21:B" &amp; ROW()))-1&lt;E114,表2_36716262930389121314152324252627[[#This Row],[累计净值]]/MAX(INDIRECT("B21:B" &amp; ROW()))-1,E114)</f>
        <v>-5.2809749492213953E-2</v>
      </c>
      <c r="F115" s="110">
        <f>表2_36716262930389121314152324252627[[#This Row],[累计净值]]</f>
        <v>1.6839999999999999</v>
      </c>
      <c r="G115" s="20">
        <f>表2_36716262930389121314152324252627[[#This Row],[累计净值]]/$B$21-1</f>
        <v>0.14014895057549071</v>
      </c>
    </row>
    <row r="116" spans="1:7">
      <c r="A116" s="15">
        <v>44190</v>
      </c>
      <c r="B116" s="112">
        <v>1.68</v>
      </c>
      <c r="C116" s="108">
        <f t="shared" si="30"/>
        <v>-4.0000000000000036E-3</v>
      </c>
      <c r="D116" s="109">
        <f t="shared" si="31"/>
        <v>-4.0000000000000036E-3</v>
      </c>
      <c r="E116" s="109">
        <f ca="1">IF(表2_36716262930389121314152324252627[[#This Row],[累计净值]]/MAX(INDIRECT("B21:B" &amp; ROW()))-1&lt;E115,表2_36716262930389121314152324252627[[#This Row],[累计净值]]/MAX(INDIRECT("B21:B" &amp; ROW()))-1,E115)</f>
        <v>-5.2809749492213953E-2</v>
      </c>
      <c r="F116" s="110">
        <f>表2_36716262930389121314152324252627[[#This Row],[累计净值]]</f>
        <v>1.68</v>
      </c>
      <c r="G116" s="20">
        <f>表2_36716262930389121314152324252627[[#This Row],[累计净值]]/$B$21-1</f>
        <v>0.13744075829383884</v>
      </c>
    </row>
    <row r="117" spans="1:7">
      <c r="A117" s="15">
        <v>44193</v>
      </c>
      <c r="B117" s="112">
        <v>1.667</v>
      </c>
      <c r="C117" s="108">
        <f t="shared" ref="C117:C122" si="32">IFERROR(B117-B116,0)</f>
        <v>-1.2999999999999901E-2</v>
      </c>
      <c r="D117" s="109">
        <f t="shared" ref="D117:D122" si="33">IF(C117&lt;0,C117,"/")</f>
        <v>-1.2999999999999901E-2</v>
      </c>
      <c r="E117" s="109">
        <f ca="1">IF(表2_36716262930389121314152324252627[[#This Row],[累计净值]]/MAX(INDIRECT("B21:B" &amp; ROW()))-1&lt;E116,表2_36716262930389121314152324252627[[#This Row],[累计净值]]/MAX(INDIRECT("B21:B" &amp; ROW()))-1,E116)</f>
        <v>-5.2809749492213953E-2</v>
      </c>
      <c r="F117" s="110">
        <f>表2_36716262930389121314152324252627[[#This Row],[累计净值]]</f>
        <v>1.667</v>
      </c>
      <c r="G117" s="20">
        <f>表2_36716262930389121314152324252627[[#This Row],[累计净值]]/$B$21-1</f>
        <v>0.12863913337846977</v>
      </c>
    </row>
    <row r="118" spans="1:7">
      <c r="A118" s="15">
        <v>44194</v>
      </c>
      <c r="B118" s="112">
        <v>1.6519999999999999</v>
      </c>
      <c r="C118" s="108">
        <f t="shared" si="32"/>
        <v>-1.5000000000000124E-2</v>
      </c>
      <c r="D118" s="109">
        <f t="shared" si="33"/>
        <v>-1.5000000000000124E-2</v>
      </c>
      <c r="E118" s="109">
        <f ca="1">IF(表2_36716262930389121314152324252627[[#This Row],[累计净值]]/MAX(INDIRECT("B21:B" &amp; ROW()))-1&lt;E117,表2_36716262930389121314152324252627[[#This Row],[累计净值]]/MAX(INDIRECT("B21:B" &amp; ROW()))-1,E117)</f>
        <v>-5.2809749492213953E-2</v>
      </c>
      <c r="F118" s="110">
        <f>表2_36716262930389121314152324252627[[#This Row],[累计净值]]</f>
        <v>1.6519999999999999</v>
      </c>
      <c r="G118" s="20">
        <f>表2_36716262930389121314152324252627[[#This Row],[累计净值]]/$B$21-1</f>
        <v>0.11848341232227466</v>
      </c>
    </row>
    <row r="119" spans="1:7">
      <c r="A119" s="15">
        <v>44195</v>
      </c>
      <c r="B119" s="112">
        <v>1.655</v>
      </c>
      <c r="C119" s="108">
        <f t="shared" si="32"/>
        <v>3.0000000000001137E-3</v>
      </c>
      <c r="D119" s="109" t="str">
        <f t="shared" si="33"/>
        <v>/</v>
      </c>
      <c r="E119" s="109">
        <f ca="1">IF(表2_36716262930389121314152324252627[[#This Row],[累计净值]]/MAX(INDIRECT("B21:B" &amp; ROW()))-1&lt;E118,表2_36716262930389121314152324252627[[#This Row],[累计净值]]/MAX(INDIRECT("B21:B" &amp; ROW()))-1,E118)</f>
        <v>-5.2809749492213953E-2</v>
      </c>
      <c r="F119" s="110">
        <f>表2_36716262930389121314152324252627[[#This Row],[累计净值]]</f>
        <v>1.655</v>
      </c>
      <c r="G119" s="20">
        <f>表2_36716262930389121314152324252627[[#This Row],[累计净值]]/$B$21-1</f>
        <v>0.12051455653351373</v>
      </c>
    </row>
    <row r="120" spans="1:7">
      <c r="A120" s="15">
        <v>44196</v>
      </c>
      <c r="B120" s="112">
        <v>1.6619999999999999</v>
      </c>
      <c r="C120" s="108">
        <f t="shared" si="32"/>
        <v>6.9999999999998952E-3</v>
      </c>
      <c r="D120" s="109" t="str">
        <f t="shared" si="33"/>
        <v>/</v>
      </c>
      <c r="E120" s="109">
        <f ca="1">IF(表2_36716262930389121314152324252627[[#This Row],[累计净值]]/MAX(INDIRECT("B21:B" &amp; ROW()))-1&lt;E119,表2_36716262930389121314152324252627[[#This Row],[累计净值]]/MAX(INDIRECT("B21:B" &amp; ROW()))-1,E119)</f>
        <v>-5.2809749492213953E-2</v>
      </c>
      <c r="F120" s="110">
        <f>表2_36716262930389121314152324252627[[#This Row],[累计净值]]</f>
        <v>1.6619999999999999</v>
      </c>
      <c r="G120" s="20">
        <f>表2_36716262930389121314152324252627[[#This Row],[累计净值]]/$B$21-1</f>
        <v>0.12525389302640466</v>
      </c>
    </row>
    <row r="121" spans="1:7">
      <c r="A121" s="15">
        <v>44200</v>
      </c>
      <c r="B121" s="112">
        <v>1.669</v>
      </c>
      <c r="C121" s="108">
        <f t="shared" si="32"/>
        <v>7.0000000000001172E-3</v>
      </c>
      <c r="D121" s="109" t="str">
        <f t="shared" si="33"/>
        <v>/</v>
      </c>
      <c r="E121" s="109">
        <f ca="1">IF(表2_36716262930389121314152324252627[[#This Row],[累计净值]]/MAX(INDIRECT("B21:B" &amp; ROW()))-1&lt;E120,表2_36716262930389121314152324252627[[#This Row],[累计净值]]/MAX(INDIRECT("B21:B" &amp; ROW()))-1,E120)</f>
        <v>-5.2809749492213953E-2</v>
      </c>
      <c r="F121" s="110">
        <f>表2_36716262930389121314152324252627[[#This Row],[累计净值]]</f>
        <v>1.669</v>
      </c>
      <c r="G121" s="20">
        <f>表2_36716262930389121314152324252627[[#This Row],[累计净值]]/$B$21-1</f>
        <v>0.12999322951929582</v>
      </c>
    </row>
    <row r="122" spans="1:7">
      <c r="A122" s="15">
        <v>44201</v>
      </c>
      <c r="B122" s="112">
        <v>1.69</v>
      </c>
      <c r="C122" s="108">
        <f t="shared" si="32"/>
        <v>2.0999999999999908E-2</v>
      </c>
      <c r="D122" s="109" t="str">
        <f t="shared" si="33"/>
        <v>/</v>
      </c>
      <c r="E122" s="109">
        <f ca="1">IF(表2_36716262930389121314152324252627[[#This Row],[累计净值]]/MAX(INDIRECT("B21:B" &amp; ROW()))-1&lt;E121,表2_36716262930389121314152324252627[[#This Row],[累计净值]]/MAX(INDIRECT("B21:B" &amp; ROW()))-1,E121)</f>
        <v>-5.2809749492213953E-2</v>
      </c>
      <c r="F122" s="110">
        <f>表2_36716262930389121314152324252627[[#This Row],[累计净值]]</f>
        <v>1.69</v>
      </c>
      <c r="G122" s="20">
        <f>表2_36716262930389121314152324252627[[#This Row],[累计净值]]/$B$21-1</f>
        <v>0.14421123899796884</v>
      </c>
    </row>
    <row r="123" spans="1:7">
      <c r="A123" s="15">
        <v>44202</v>
      </c>
      <c r="B123" s="112">
        <v>1.6879999999999999</v>
      </c>
      <c r="C123" s="108">
        <f t="shared" ref="C123:C128" si="34">IFERROR(B123-B122,0)</f>
        <v>-2.0000000000000018E-3</v>
      </c>
      <c r="D123" s="109">
        <f t="shared" ref="D123:D128" si="35">IF(C123&lt;0,C123,"/")</f>
        <v>-2.0000000000000018E-3</v>
      </c>
      <c r="E123" s="109">
        <f ca="1">IF(表2_36716262930389121314152324252627[[#This Row],[累计净值]]/MAX(INDIRECT("B21:B" &amp; ROW()))-1&lt;E122,表2_36716262930389121314152324252627[[#This Row],[累计净值]]/MAX(INDIRECT("B21:B" &amp; ROW()))-1,E122)</f>
        <v>-5.2809749492213953E-2</v>
      </c>
      <c r="F123" s="110">
        <f>表2_36716262930389121314152324252627[[#This Row],[累计净值]]</f>
        <v>1.6879999999999999</v>
      </c>
      <c r="G123" s="20">
        <f>表2_36716262930389121314152324252627[[#This Row],[累计净值]]/$B$21-1</f>
        <v>0.14285714285714279</v>
      </c>
    </row>
    <row r="124" spans="1:7">
      <c r="A124" s="15">
        <v>44203</v>
      </c>
      <c r="B124" s="112">
        <v>1.696</v>
      </c>
      <c r="C124" s="108">
        <f t="shared" si="34"/>
        <v>8.0000000000000071E-3</v>
      </c>
      <c r="D124" s="109" t="str">
        <f t="shared" si="35"/>
        <v>/</v>
      </c>
      <c r="E124" s="109">
        <f ca="1">IF(表2_36716262930389121314152324252627[[#This Row],[累计净值]]/MAX(INDIRECT("B21:B" &amp; ROW()))-1&lt;E123,表2_36716262930389121314152324252627[[#This Row],[累计净值]]/MAX(INDIRECT("B21:B" &amp; ROW()))-1,E123)</f>
        <v>-5.2809749492213953E-2</v>
      </c>
      <c r="F124" s="110">
        <f>表2_36716262930389121314152324252627[[#This Row],[累计净值]]</f>
        <v>1.696</v>
      </c>
      <c r="G124" s="20">
        <f>表2_36716262930389121314152324252627[[#This Row],[累计净值]]/$B$21-1</f>
        <v>0.14827352742044675</v>
      </c>
    </row>
    <row r="125" spans="1:7">
      <c r="A125" s="15">
        <v>44204</v>
      </c>
      <c r="B125" s="117">
        <v>1.702</v>
      </c>
      <c r="C125" s="108">
        <f t="shared" si="34"/>
        <v>6.0000000000000053E-3</v>
      </c>
      <c r="D125" s="109" t="str">
        <f t="shared" si="35"/>
        <v>/</v>
      </c>
      <c r="E125" s="109">
        <f ca="1">IF(表2_36716262930389121314152324252627[[#This Row],[累计净值]]/MAX(INDIRECT("B21:B" &amp; ROW()))-1&lt;E124,表2_36716262930389121314152324252627[[#This Row],[累计净值]]/MAX(INDIRECT("B21:B" &amp; ROW()))-1,E124)</f>
        <v>-5.2809749492213953E-2</v>
      </c>
      <c r="F125" s="110">
        <f>表2_36716262930389121314152324252627[[#This Row],[累计净值]]</f>
        <v>1.702</v>
      </c>
      <c r="G125" s="20">
        <f>表2_36716262930389121314152324252627[[#This Row],[累计净值]]/$B$21-1</f>
        <v>0.15233581584292466</v>
      </c>
    </row>
    <row r="126" spans="1:7">
      <c r="A126" s="15">
        <v>44207</v>
      </c>
      <c r="B126" s="112">
        <v>1.7</v>
      </c>
      <c r="C126" s="108">
        <f t="shared" si="34"/>
        <v>-2.0000000000000018E-3</v>
      </c>
      <c r="D126" s="109">
        <f t="shared" si="35"/>
        <v>-2.0000000000000018E-3</v>
      </c>
      <c r="E126" s="109">
        <f ca="1">IF(表2_36716262930389121314152324252627[[#This Row],[累计净值]]/MAX(INDIRECT("B21:B" &amp; ROW()))-1&lt;E125,表2_36716262930389121314152324252627[[#This Row],[累计净值]]/MAX(INDIRECT("B21:B" &amp; ROW()))-1,E125)</f>
        <v>-5.2809749492213953E-2</v>
      </c>
      <c r="F126" s="110">
        <f>表2_36716262930389121314152324252627[[#This Row],[累计净值]]</f>
        <v>1.7</v>
      </c>
      <c r="G126" s="20">
        <f>表2_36716262930389121314152324252627[[#This Row],[累计净值]]/$B$21-1</f>
        <v>0.15098171970209884</v>
      </c>
    </row>
    <row r="127" spans="1:7">
      <c r="A127" s="15">
        <v>44208</v>
      </c>
      <c r="B127" s="112">
        <v>1.6990000000000001</v>
      </c>
      <c r="C127" s="108">
        <f t="shared" si="34"/>
        <v>-9.9999999999988987E-4</v>
      </c>
      <c r="D127" s="109">
        <f t="shared" si="35"/>
        <v>-9.9999999999988987E-4</v>
      </c>
      <c r="E127" s="109">
        <f ca="1">IF(表2_36716262930389121314152324252627[[#This Row],[累计净值]]/MAX(INDIRECT("B21:B" &amp; ROW()))-1&lt;E126,表2_36716262930389121314152324252627[[#This Row],[累计净值]]/MAX(INDIRECT("B21:B" &amp; ROW()))-1,E126)</f>
        <v>-5.2809749492213953E-2</v>
      </c>
      <c r="F127" s="110">
        <f>表2_36716262930389121314152324252627[[#This Row],[累计净值]]</f>
        <v>1.6990000000000001</v>
      </c>
      <c r="G127" s="20">
        <f>表2_36716262930389121314152324252627[[#This Row],[累计净值]]/$B$21-1</f>
        <v>0.15030467163168582</v>
      </c>
    </row>
    <row r="128" spans="1:7">
      <c r="A128" s="15">
        <v>44209</v>
      </c>
      <c r="B128" s="112">
        <v>1.6850000000000001</v>
      </c>
      <c r="C128" s="108">
        <f t="shared" si="34"/>
        <v>-1.4000000000000012E-2</v>
      </c>
      <c r="D128" s="109">
        <f t="shared" si="35"/>
        <v>-1.4000000000000012E-2</v>
      </c>
      <c r="E128" s="109">
        <f ca="1">IF(表2_36716262930389121314152324252627[[#This Row],[累计净值]]/MAX(INDIRECT("B21:B" &amp; ROW()))-1&lt;E127,表2_36716262930389121314152324252627[[#This Row],[累计净值]]/MAX(INDIRECT("B21:B" &amp; ROW()))-1,E127)</f>
        <v>-5.2809749492213953E-2</v>
      </c>
      <c r="F128" s="110">
        <f>表2_36716262930389121314152324252627[[#This Row],[累计净值]]</f>
        <v>1.6850000000000001</v>
      </c>
      <c r="G128" s="20">
        <f>表2_36716262930389121314152324252627[[#This Row],[累计净值]]/$B$21-1</f>
        <v>0.14082599864590373</v>
      </c>
    </row>
    <row r="129" spans="1:7">
      <c r="A129" s="15">
        <v>44210</v>
      </c>
      <c r="B129" s="112">
        <v>1.677</v>
      </c>
      <c r="C129" s="108">
        <f t="shared" ref="C129:C134" si="36">IFERROR(B129-B128,0)</f>
        <v>-8.0000000000000071E-3</v>
      </c>
      <c r="D129" s="109">
        <f t="shared" ref="D129:D134" si="37">IF(C129&lt;0,C129,"/")</f>
        <v>-8.0000000000000071E-3</v>
      </c>
      <c r="E129" s="109">
        <f ca="1">IF(表2_36716262930389121314152324252627[[#This Row],[累计净值]]/MAX(INDIRECT("B21:B" &amp; ROW()))-1&lt;E128,表2_36716262930389121314152324252627[[#This Row],[累计净值]]/MAX(INDIRECT("B21:B" &amp; ROW()))-1,E128)</f>
        <v>-5.2809749492213953E-2</v>
      </c>
      <c r="F129" s="110">
        <f>表2_36716262930389121314152324252627[[#This Row],[累计净值]]</f>
        <v>1.677</v>
      </c>
      <c r="G129" s="20">
        <f>表2_36716262930389121314152324252627[[#This Row],[累计净值]]/$B$21-1</f>
        <v>0.13540961408259977</v>
      </c>
    </row>
    <row r="130" spans="1:7">
      <c r="A130" s="15">
        <v>44211</v>
      </c>
      <c r="B130" s="112">
        <v>1.67</v>
      </c>
      <c r="C130" s="108">
        <f t="shared" si="36"/>
        <v>-7.0000000000001172E-3</v>
      </c>
      <c r="D130" s="109">
        <f t="shared" si="37"/>
        <v>-7.0000000000001172E-3</v>
      </c>
      <c r="E130" s="109">
        <f ca="1">IF(表2_36716262930389121314152324252627[[#This Row],[累计净值]]/MAX(INDIRECT("B21:B" &amp; ROW()))-1&lt;E129,表2_36716262930389121314152324252627[[#This Row],[累计净值]]/MAX(INDIRECT("B21:B" &amp; ROW()))-1,E129)</f>
        <v>-5.2809749492213953E-2</v>
      </c>
      <c r="F130" s="110">
        <f>表2_36716262930389121314152324252627[[#This Row],[累计净值]]</f>
        <v>1.67</v>
      </c>
      <c r="G130" s="20">
        <f>表2_36716262930389121314152324252627[[#This Row],[累计净值]]/$B$21-1</f>
        <v>0.13067027758970884</v>
      </c>
    </row>
    <row r="131" spans="1:7">
      <c r="A131" s="15">
        <v>44214</v>
      </c>
      <c r="B131" s="112">
        <v>1.657</v>
      </c>
      <c r="C131" s="108">
        <f t="shared" si="36"/>
        <v>-1.2999999999999901E-2</v>
      </c>
      <c r="D131" s="109">
        <f t="shared" si="37"/>
        <v>-1.2999999999999901E-2</v>
      </c>
      <c r="E131" s="109">
        <f ca="1">IF(表2_36716262930389121314152324252627[[#This Row],[累计净值]]/MAX(INDIRECT("B21:B" &amp; ROW()))-1&lt;E130,表2_36716262930389121314152324252627[[#This Row],[累计净值]]/MAX(INDIRECT("B21:B" &amp; ROW()))-1,E130)</f>
        <v>-5.2809749492213953E-2</v>
      </c>
      <c r="F131" s="110">
        <f>表2_36716262930389121314152324252627[[#This Row],[累计净值]]</f>
        <v>1.657</v>
      </c>
      <c r="G131" s="20">
        <f>表2_36716262930389121314152324252627[[#This Row],[累计净值]]/$B$21-1</f>
        <v>0.12186865267433977</v>
      </c>
    </row>
    <row r="132" spans="1:7">
      <c r="A132" s="15">
        <v>44215</v>
      </c>
      <c r="B132" s="112">
        <v>1.655</v>
      </c>
      <c r="C132" s="108">
        <f t="shared" si="36"/>
        <v>-2.0000000000000018E-3</v>
      </c>
      <c r="D132" s="109">
        <f t="shared" si="37"/>
        <v>-2.0000000000000018E-3</v>
      </c>
      <c r="E132" s="109">
        <f ca="1">IF(表2_36716262930389121314152324252627[[#This Row],[累计净值]]/MAX(INDIRECT("B21:B" &amp; ROW()))-1&lt;E131,表2_36716262930389121314152324252627[[#This Row],[累计净值]]/MAX(INDIRECT("B21:B" &amp; ROW()))-1,E131)</f>
        <v>-5.2809749492213953E-2</v>
      </c>
      <c r="F132" s="110">
        <f>表2_36716262930389121314152324252627[[#This Row],[累计净值]]</f>
        <v>1.655</v>
      </c>
      <c r="G132" s="20">
        <f>表2_36716262930389121314152324252627[[#This Row],[累计净值]]/$B$21-1</f>
        <v>0.12051455653351373</v>
      </c>
    </row>
    <row r="133" spans="1:7">
      <c r="A133" s="15">
        <v>44216</v>
      </c>
      <c r="B133" s="112">
        <v>1.645</v>
      </c>
      <c r="C133" s="108">
        <f t="shared" si="36"/>
        <v>-1.0000000000000009E-2</v>
      </c>
      <c r="D133" s="109">
        <f t="shared" si="37"/>
        <v>-1.0000000000000009E-2</v>
      </c>
      <c r="E133" s="109">
        <f ca="1">IF(表2_36716262930389121314152324252627[[#This Row],[累计净值]]/MAX(INDIRECT("B21:B" &amp; ROW()))-1&lt;E132,表2_36716262930389121314152324252627[[#This Row],[累计净值]]/MAX(INDIRECT("B21:B" &amp; ROW()))-1,E132)</f>
        <v>-5.2809749492213953E-2</v>
      </c>
      <c r="F133" s="110">
        <f>表2_36716262930389121314152324252627[[#This Row],[累计净值]]</f>
        <v>1.645</v>
      </c>
      <c r="G133" s="20">
        <f>表2_36716262930389121314152324252627[[#This Row],[累计净值]]/$B$21-1</f>
        <v>0.11374407582938373</v>
      </c>
    </row>
    <row r="134" spans="1:7">
      <c r="A134" s="15">
        <v>44217</v>
      </c>
      <c r="B134" s="112">
        <v>1.6319999999999999</v>
      </c>
      <c r="C134" s="108">
        <f t="shared" si="36"/>
        <v>-1.3000000000000123E-2</v>
      </c>
      <c r="D134" s="109">
        <f t="shared" si="37"/>
        <v>-1.3000000000000123E-2</v>
      </c>
      <c r="E134" s="109">
        <f ca="1">IF(表2_36716262930389121314152324252627[[#This Row],[累计净值]]/MAX(INDIRECT("B21:B" &amp; ROW()))-1&lt;E133,表2_36716262930389121314152324252627[[#This Row],[累计净值]]/MAX(INDIRECT("B21:B" &amp; ROW()))-1,E133)</f>
        <v>-5.2809749492213953E-2</v>
      </c>
      <c r="F134" s="110">
        <f>表2_36716262930389121314152324252627[[#This Row],[累计净值]]</f>
        <v>1.6319999999999999</v>
      </c>
      <c r="G134" s="20">
        <f>表2_36716262930389121314152324252627[[#This Row],[累计净值]]/$B$21-1</f>
        <v>0.10494245091401466</v>
      </c>
    </row>
    <row r="135" spans="1:7">
      <c r="A135" s="15">
        <v>44218</v>
      </c>
      <c r="B135" s="112">
        <v>1.639</v>
      </c>
      <c r="C135" s="108">
        <f t="shared" ref="C135:C140" si="38">IFERROR(B135-B134,0)</f>
        <v>7.0000000000001172E-3</v>
      </c>
      <c r="D135" s="109" t="str">
        <f t="shared" ref="D135:D140" si="39">IF(C135&lt;0,C135,"/")</f>
        <v>/</v>
      </c>
      <c r="E135" s="109">
        <f ca="1">IF(表2_36716262930389121314152324252627[[#This Row],[累计净值]]/MAX(INDIRECT("B21:B" &amp; ROW()))-1&lt;E134,表2_36716262930389121314152324252627[[#This Row],[累计净值]]/MAX(INDIRECT("B21:B" &amp; ROW()))-1,E134)</f>
        <v>-5.2809749492213953E-2</v>
      </c>
      <c r="F135" s="110">
        <f>表2_36716262930389121314152324252627[[#This Row],[累计净值]]</f>
        <v>1.639</v>
      </c>
      <c r="G135" s="20">
        <f>表2_36716262930389121314152324252627[[#This Row],[累计净值]]/$B$21-1</f>
        <v>0.10968178740690582</v>
      </c>
    </row>
    <row r="136" spans="1:7">
      <c r="A136" s="15">
        <v>44221</v>
      </c>
      <c r="B136" s="112">
        <v>1.635</v>
      </c>
      <c r="C136" s="108">
        <f t="shared" si="38"/>
        <v>-4.0000000000000036E-3</v>
      </c>
      <c r="D136" s="109">
        <f t="shared" si="39"/>
        <v>-4.0000000000000036E-3</v>
      </c>
      <c r="E136" s="109">
        <f ca="1">IF(表2_36716262930389121314152324252627[[#This Row],[累计净值]]/MAX(INDIRECT("B21:B" &amp; ROW()))-1&lt;E135,表2_36716262930389121314152324252627[[#This Row],[累计净值]]/MAX(INDIRECT("B21:B" &amp; ROW()))-1,E135)</f>
        <v>-5.2809749492213953E-2</v>
      </c>
      <c r="F136" s="110">
        <f>表2_36716262930389121314152324252627[[#This Row],[累计净值]]</f>
        <v>1.635</v>
      </c>
      <c r="G136" s="20">
        <f>表2_36716262930389121314152324252627[[#This Row],[累计净值]]/$B$21-1</f>
        <v>0.10697359512525373</v>
      </c>
    </row>
    <row r="137" spans="1:7">
      <c r="A137" s="15">
        <v>44222</v>
      </c>
      <c r="B137" s="112">
        <v>1.6359999999999999</v>
      </c>
      <c r="C137" s="108">
        <f t="shared" si="38"/>
        <v>9.9999999999988987E-4</v>
      </c>
      <c r="D137" s="109" t="str">
        <f t="shared" si="39"/>
        <v>/</v>
      </c>
      <c r="E137" s="109">
        <f ca="1">IF(表2_36716262930389121314152324252627[[#This Row],[累计净值]]/MAX(INDIRECT("B21:B" &amp; ROW()))-1&lt;E136,表2_36716262930389121314152324252627[[#This Row],[累计净值]]/MAX(INDIRECT("B21:B" &amp; ROW()))-1,E136)</f>
        <v>-5.2809749492213953E-2</v>
      </c>
      <c r="F137" s="110">
        <f>表2_36716262930389121314152324252627[[#This Row],[累计净值]]</f>
        <v>1.6359999999999999</v>
      </c>
      <c r="G137" s="20">
        <f>表2_36716262930389121314152324252627[[#This Row],[累计净值]]/$B$21-1</f>
        <v>0.10765064319566675</v>
      </c>
    </row>
    <row r="138" spans="1:7">
      <c r="A138" s="15">
        <v>44223</v>
      </c>
      <c r="B138" s="112">
        <v>1.6279999999999999</v>
      </c>
      <c r="C138" s="108">
        <f t="shared" si="38"/>
        <v>-8.0000000000000071E-3</v>
      </c>
      <c r="D138" s="109">
        <f t="shared" si="39"/>
        <v>-8.0000000000000071E-3</v>
      </c>
      <c r="E138" s="109">
        <f ca="1">IF(表2_36716262930389121314152324252627[[#This Row],[累计净值]]/MAX(INDIRECT("B21:B" &amp; ROW()))-1&lt;E137,表2_36716262930389121314152324252627[[#This Row],[累计净值]]/MAX(INDIRECT("B21:B" &amp; ROW()))-1,E137)</f>
        <v>-5.2809749492213953E-2</v>
      </c>
      <c r="F138" s="110">
        <f>表2_36716262930389121314152324252627[[#This Row],[累计净值]]</f>
        <v>1.6279999999999999</v>
      </c>
      <c r="G138" s="20">
        <f>表2_36716262930389121314152324252627[[#This Row],[累计净值]]/$B$21-1</f>
        <v>0.1022342586323628</v>
      </c>
    </row>
    <row r="139" spans="1:7">
      <c r="A139" s="15">
        <v>44224</v>
      </c>
      <c r="B139" s="112">
        <v>1.6359999999999999</v>
      </c>
      <c r="C139" s="108">
        <f t="shared" si="38"/>
        <v>8.0000000000000071E-3</v>
      </c>
      <c r="D139" s="109" t="str">
        <f t="shared" si="39"/>
        <v>/</v>
      </c>
      <c r="E139" s="109">
        <f ca="1">IF(表2_36716262930389121314152324252627[[#This Row],[累计净值]]/MAX(INDIRECT("B21:B" &amp; ROW()))-1&lt;E138,表2_36716262930389121314152324252627[[#This Row],[累计净值]]/MAX(INDIRECT("B21:B" &amp; ROW()))-1,E138)</f>
        <v>-5.2809749492213953E-2</v>
      </c>
      <c r="F139" s="110">
        <f>表2_36716262930389121314152324252627[[#This Row],[累计净值]]</f>
        <v>1.6359999999999999</v>
      </c>
      <c r="G139" s="20">
        <f>表2_36716262930389121314152324252627[[#This Row],[累计净值]]/$B$21-1</f>
        <v>0.10765064319566675</v>
      </c>
    </row>
    <row r="140" spans="1:7">
      <c r="A140" s="15">
        <v>44225</v>
      </c>
      <c r="B140" s="112">
        <v>1.635</v>
      </c>
      <c r="C140" s="108">
        <f t="shared" si="38"/>
        <v>-9.9999999999988987E-4</v>
      </c>
      <c r="D140" s="109">
        <f t="shared" si="39"/>
        <v>-9.9999999999988987E-4</v>
      </c>
      <c r="E140" s="109">
        <f ca="1">IF(表2_36716262930389121314152324252627[[#This Row],[累计净值]]/MAX(INDIRECT("B21:B" &amp; ROW()))-1&lt;E139,表2_36716262930389121314152324252627[[#This Row],[累计净值]]/MAX(INDIRECT("B21:B" &amp; ROW()))-1,E139)</f>
        <v>-5.2809749492213953E-2</v>
      </c>
      <c r="F140" s="110">
        <f>表2_36716262930389121314152324252627[[#This Row],[累计净值]]</f>
        <v>1.635</v>
      </c>
      <c r="G140" s="20">
        <f>表2_36716262930389121314152324252627[[#This Row],[累计净值]]/$B$21-1</f>
        <v>0.10697359512525373</v>
      </c>
    </row>
    <row r="141" spans="1:7">
      <c r="A141" s="15">
        <v>44228</v>
      </c>
      <c r="B141" s="112">
        <v>1.609</v>
      </c>
      <c r="C141" s="108">
        <f t="shared" ref="C141:C146" si="40">IFERROR(B141-B140,0)</f>
        <v>-2.6000000000000023E-2</v>
      </c>
      <c r="D141" s="109">
        <f t="shared" ref="D141:D146" si="41">IF(C141&lt;0,C141,"/")</f>
        <v>-2.6000000000000023E-2</v>
      </c>
      <c r="E141" s="109">
        <f ca="1">IF(表2_36716262930389121314152324252627[[#This Row],[累计净值]]/MAX(INDIRECT("B21:B" &amp; ROW()))-1&lt;E140,表2_36716262930389121314152324252627[[#This Row],[累计净值]]/MAX(INDIRECT("B21:B" &amp; ROW()))-1,E140)</f>
        <v>-5.4641598119859025E-2</v>
      </c>
      <c r="F141" s="110">
        <f>表2_36716262930389121314152324252627[[#This Row],[累计净值]]</f>
        <v>1.609</v>
      </c>
      <c r="G141" s="20">
        <f>表2_36716262930389121314152324252627[[#This Row],[累计净值]]/$B$21-1</f>
        <v>8.9370345294515818E-2</v>
      </c>
    </row>
    <row r="142" spans="1:7">
      <c r="A142" s="15">
        <v>44229</v>
      </c>
      <c r="B142" s="112">
        <v>1.615</v>
      </c>
      <c r="C142" s="108">
        <f t="shared" si="40"/>
        <v>6.0000000000000053E-3</v>
      </c>
      <c r="D142" s="109" t="str">
        <f t="shared" si="41"/>
        <v>/</v>
      </c>
      <c r="E142" s="109">
        <f ca="1">IF(表2_36716262930389121314152324252627[[#This Row],[累计净值]]/MAX(INDIRECT("B21:B" &amp; ROW()))-1&lt;E141,表2_36716262930389121314152324252627[[#This Row],[累计净值]]/MAX(INDIRECT("B21:B" &amp; ROW()))-1,E141)</f>
        <v>-5.4641598119859025E-2</v>
      </c>
      <c r="F142" s="110">
        <f>表2_36716262930389121314152324252627[[#This Row],[累计净值]]</f>
        <v>1.615</v>
      </c>
      <c r="G142" s="20">
        <f>表2_36716262930389121314152324252627[[#This Row],[累计净值]]/$B$21-1</f>
        <v>9.3432633716993729E-2</v>
      </c>
    </row>
    <row r="143" spans="1:7">
      <c r="A143" s="15">
        <v>44230</v>
      </c>
      <c r="B143" s="112">
        <v>1.6160000000000001</v>
      </c>
      <c r="C143" s="108">
        <f t="shared" si="40"/>
        <v>1.0000000000001119E-3</v>
      </c>
      <c r="D143" s="109" t="str">
        <f t="shared" si="41"/>
        <v>/</v>
      </c>
      <c r="E143" s="109">
        <f ca="1">IF(表2_36716262930389121314152324252627[[#This Row],[累计净值]]/MAX(INDIRECT("B21:B" &amp; ROW()))-1&lt;E142,表2_36716262930389121314152324252627[[#This Row],[累计净值]]/MAX(INDIRECT("B21:B" &amp; ROW()))-1,E142)</f>
        <v>-5.4641598119859025E-2</v>
      </c>
      <c r="F143" s="110">
        <f>表2_36716262930389121314152324252627[[#This Row],[累计净值]]</f>
        <v>1.6160000000000001</v>
      </c>
      <c r="G143" s="20">
        <f>表2_36716262930389121314152324252627[[#This Row],[累计净值]]/$B$21-1</f>
        <v>9.4109681787406974E-2</v>
      </c>
    </row>
    <row r="144" spans="1:7">
      <c r="A144" s="15">
        <v>44231</v>
      </c>
      <c r="B144" s="112">
        <v>1.6060000000000001</v>
      </c>
      <c r="C144" s="108">
        <f t="shared" si="40"/>
        <v>-1.0000000000000009E-2</v>
      </c>
      <c r="D144" s="109">
        <f t="shared" si="41"/>
        <v>-1.0000000000000009E-2</v>
      </c>
      <c r="E144" s="109">
        <f ca="1">IF(表2_36716262930389121314152324252627[[#This Row],[累计净值]]/MAX(INDIRECT("B21:B" &amp; ROW()))-1&lt;E143,表2_36716262930389121314152324252627[[#This Row],[累计净值]]/MAX(INDIRECT("B21:B" &amp; ROW()))-1,E143)</f>
        <v>-5.6404230317273707E-2</v>
      </c>
      <c r="F144" s="110">
        <f>表2_36716262930389121314152324252627[[#This Row],[累计净值]]</f>
        <v>1.6060000000000001</v>
      </c>
      <c r="G144" s="20">
        <f>表2_36716262930389121314152324252627[[#This Row],[累计净值]]/$B$21-1</f>
        <v>8.7339201083276974E-2</v>
      </c>
    </row>
    <row r="145" spans="1:7">
      <c r="A145" s="15">
        <v>44232</v>
      </c>
      <c r="B145" s="112">
        <v>1.617</v>
      </c>
      <c r="C145" s="108">
        <f t="shared" si="40"/>
        <v>1.0999999999999899E-2</v>
      </c>
      <c r="D145" s="109" t="str">
        <f t="shared" si="41"/>
        <v>/</v>
      </c>
      <c r="E145" s="109">
        <f ca="1">IF(表2_36716262930389121314152324252627[[#This Row],[累计净值]]/MAX(INDIRECT("B21:B" &amp; ROW()))-1&lt;E144,表2_36716262930389121314152324252627[[#This Row],[累计净值]]/MAX(INDIRECT("B21:B" &amp; ROW()))-1,E144)</f>
        <v>-5.6404230317273707E-2</v>
      </c>
      <c r="F145" s="110">
        <f>表2_36716262930389121314152324252627[[#This Row],[累计净值]]</f>
        <v>1.617</v>
      </c>
      <c r="G145" s="20">
        <f>表2_36716262930389121314152324252627[[#This Row],[累计净值]]/$B$21-1</f>
        <v>9.4786729857819774E-2</v>
      </c>
    </row>
    <row r="146" spans="1:7">
      <c r="A146" s="15">
        <v>44235</v>
      </c>
      <c r="B146" s="112">
        <v>1.6220000000000001</v>
      </c>
      <c r="C146" s="108">
        <f t="shared" si="40"/>
        <v>5.0000000000001155E-3</v>
      </c>
      <c r="D146" s="109" t="str">
        <f t="shared" si="41"/>
        <v>/</v>
      </c>
      <c r="E146" s="109">
        <f ca="1">IF(表2_36716262930389121314152324252627[[#This Row],[累计净值]]/MAX(INDIRECT("B21:B" &amp; ROW()))-1&lt;E145,表2_36716262930389121314152324252627[[#This Row],[累计净值]]/MAX(INDIRECT("B21:B" &amp; ROW()))-1,E145)</f>
        <v>-5.6404230317273707E-2</v>
      </c>
      <c r="F146" s="110">
        <f>表2_36716262930389121314152324252627[[#This Row],[累计净值]]</f>
        <v>1.6220000000000001</v>
      </c>
      <c r="G146" s="20">
        <f>表2_36716262930389121314152324252627[[#This Row],[累计净值]]/$B$21-1</f>
        <v>9.8171970209884885E-2</v>
      </c>
    </row>
    <row r="147" spans="1:7">
      <c r="A147" s="15">
        <v>44236</v>
      </c>
      <c r="B147" s="112">
        <v>1.63</v>
      </c>
      <c r="C147" s="108">
        <f>IFERROR(B147-B146,0)</f>
        <v>7.9999999999997851E-3</v>
      </c>
      <c r="D147" s="109" t="str">
        <f>IF(C147&lt;0,C147,"/")</f>
        <v>/</v>
      </c>
      <c r="E147" s="109">
        <f ca="1">IF(表2_36716262930389121314152324252627[[#This Row],[累计净值]]/MAX(INDIRECT("B21:B" &amp; ROW()))-1&lt;E146,表2_36716262930389121314152324252627[[#This Row],[累计净值]]/MAX(INDIRECT("B21:B" &amp; ROW()))-1,E146)</f>
        <v>-5.6404230317273707E-2</v>
      </c>
      <c r="F147" s="110">
        <f>表2_36716262930389121314152324252627[[#This Row],[累计净值]]</f>
        <v>1.63</v>
      </c>
      <c r="G147" s="20">
        <f>表2_36716262930389121314152324252627[[#This Row],[累计净值]]/$B$21-1</f>
        <v>0.10358835477318884</v>
      </c>
    </row>
    <row r="148" spans="1:7">
      <c r="A148" s="15">
        <v>44237</v>
      </c>
      <c r="B148" s="112">
        <v>1.635</v>
      </c>
      <c r="C148" s="108">
        <f t="shared" ref="C148:C149" si="42">IFERROR(B148-B147,0)</f>
        <v>5.0000000000001155E-3</v>
      </c>
      <c r="D148" s="109" t="str">
        <f t="shared" ref="D148:D149" si="43">IF(C148&lt;0,C148,"/")</f>
        <v>/</v>
      </c>
      <c r="E148" s="109">
        <f ca="1">IF(表2_36716262930389121314152324252627[[#This Row],[累计净值]]/MAX(INDIRECT("B21:B" &amp; ROW()))-1&lt;E147,表2_36716262930389121314152324252627[[#This Row],[累计净值]]/MAX(INDIRECT("B21:B" &amp; ROW()))-1,E147)</f>
        <v>-5.6404230317273707E-2</v>
      </c>
      <c r="F148" s="110">
        <f>表2_36716262930389121314152324252627[[#This Row],[累计净值]]</f>
        <v>1.635</v>
      </c>
      <c r="G148" s="20">
        <f>表2_36716262930389121314152324252627[[#This Row],[累计净值]]/$B$21-1</f>
        <v>0.10697359512525373</v>
      </c>
    </row>
    <row r="149" spans="1:7">
      <c r="A149" s="15">
        <v>44245</v>
      </c>
      <c r="B149" s="112">
        <v>1.6779999999999999</v>
      </c>
      <c r="C149" s="108">
        <f t="shared" si="42"/>
        <v>4.2999999999999927E-2</v>
      </c>
      <c r="D149" s="109" t="str">
        <f t="shared" si="43"/>
        <v>/</v>
      </c>
      <c r="E149" s="109">
        <f ca="1">IF(表2_36716262930389121314152324252627[[#This Row],[累计净值]]/MAX(INDIRECT("B21:B" &amp; ROW()))-1&lt;E148,表2_36716262930389121314152324252627[[#This Row],[累计净值]]/MAX(INDIRECT("B21:B" &amp; ROW()))-1,E148)</f>
        <v>-5.6404230317273707E-2</v>
      </c>
      <c r="F149" s="110">
        <f>表2_36716262930389121314152324252627[[#This Row],[累计净值]]</f>
        <v>1.6779999999999999</v>
      </c>
      <c r="G149" s="20">
        <f>表2_36716262930389121314152324252627[[#This Row],[累计净值]]/$B$21-1</f>
        <v>0.13608666215301279</v>
      </c>
    </row>
    <row r="150" spans="1:7">
      <c r="A150" s="15">
        <v>44246</v>
      </c>
      <c r="B150" s="112">
        <v>1.69</v>
      </c>
      <c r="C150" s="108">
        <f>IFERROR(B150-B149,0)</f>
        <v>1.2000000000000011E-2</v>
      </c>
      <c r="D150" s="109" t="str">
        <f>IF(C150&lt;0,C150,"/")</f>
        <v>/</v>
      </c>
      <c r="E150" s="109">
        <f ca="1">IF(表2_36716262930389121314152324252627[[#This Row],[累计净值]]/MAX(INDIRECT("B21:B" &amp; ROW()))-1&lt;E149,表2_36716262930389121314152324252627[[#This Row],[累计净值]]/MAX(INDIRECT("B21:B" &amp; ROW()))-1,E149)</f>
        <v>-5.6404230317273707E-2</v>
      </c>
      <c r="F150" s="110">
        <f>表2_36716262930389121314152324252627[[#This Row],[累计净值]]</f>
        <v>1.69</v>
      </c>
      <c r="G150" s="20">
        <f>表2_36716262930389121314152324252627[[#This Row],[累计净值]]/$B$21-1</f>
        <v>0.14421123899796884</v>
      </c>
    </row>
    <row r="151" spans="1:7">
      <c r="A151" s="15">
        <v>44249</v>
      </c>
      <c r="B151" s="112">
        <v>1.7370000000000001</v>
      </c>
      <c r="C151" s="108">
        <f>IFERROR(B151-B150,0)</f>
        <v>4.7000000000000153E-2</v>
      </c>
      <c r="D151" s="109" t="str">
        <f>IF(C151&lt;0,C151,"/")</f>
        <v>/</v>
      </c>
      <c r="E151" s="109">
        <f ca="1">IF(表2_36716262930389121314152324252627[[#This Row],[累计净值]]/MAX(INDIRECT("B21:B" &amp; ROW()))-1&lt;E150,表2_36716262930389121314152324252627[[#This Row],[累计净值]]/MAX(INDIRECT("B21:B" &amp; ROW()))-1,E150)</f>
        <v>-5.6404230317273707E-2</v>
      </c>
      <c r="F151" s="110">
        <f>表2_36716262930389121314152324252627[[#This Row],[累计净值]]</f>
        <v>1.7370000000000001</v>
      </c>
      <c r="G151" s="20">
        <f>表2_36716262930389121314152324252627[[#This Row],[累计净值]]/$B$21-1</f>
        <v>0.17603249830737977</v>
      </c>
    </row>
    <row r="152" spans="1:7">
      <c r="A152" s="15">
        <v>44250</v>
      </c>
      <c r="B152" s="112">
        <v>1.7509999999999999</v>
      </c>
      <c r="C152" s="108">
        <f>IFERROR(B152-B151,0)</f>
        <v>1.399999999999979E-2</v>
      </c>
      <c r="D152" s="109" t="str">
        <f>IF(C152&lt;0,C152,"/")</f>
        <v>/</v>
      </c>
      <c r="E152" s="109">
        <f ca="1">IF(表2_36716262930389121314152324252627[[#This Row],[累计净值]]/MAX(INDIRECT("B21:B" &amp; ROW()))-1&lt;E151,表2_36716262930389121314152324252627[[#This Row],[累计净值]]/MAX(INDIRECT("B21:B" &amp; ROW()))-1,E151)</f>
        <v>-5.6404230317273707E-2</v>
      </c>
      <c r="F152" s="110">
        <f>表2_36716262930389121314152324252627[[#This Row],[累计净值]]</f>
        <v>1.7509999999999999</v>
      </c>
      <c r="G152" s="20">
        <f>表2_36716262930389121314152324252627[[#This Row],[累计净值]]/$B$21-1</f>
        <v>0.18551117129316164</v>
      </c>
    </row>
    <row r="153" spans="1:7">
      <c r="A153" s="15">
        <v>44251</v>
      </c>
      <c r="B153" s="112">
        <v>1.752</v>
      </c>
      <c r="C153" s="108">
        <f t="shared" ref="C153:C154" si="44">IFERROR(B153-B152,0)</f>
        <v>1.0000000000001119E-3</v>
      </c>
      <c r="D153" s="109" t="str">
        <f t="shared" ref="D153:D154" si="45">IF(C153&lt;0,C153,"/")</f>
        <v>/</v>
      </c>
      <c r="E153" s="109">
        <f ca="1">IF(表2_36716262930389121314152324252627[[#This Row],[累计净值]]/MAX(INDIRECT("B21:B" &amp; ROW()))-1&lt;E152,表2_36716262930389121314152324252627[[#This Row],[累计净值]]/MAX(INDIRECT("B21:B" &amp; ROW()))-1,E152)</f>
        <v>-5.6404230317273707E-2</v>
      </c>
      <c r="F153" s="110">
        <f>表2_36716262930389121314152324252627[[#This Row],[累计净值]]</f>
        <v>1.752</v>
      </c>
      <c r="G153" s="20">
        <f>表2_36716262930389121314152324252627[[#This Row],[累计净值]]/$B$21-1</f>
        <v>0.18618821936357466</v>
      </c>
    </row>
    <row r="154" spans="1:7">
      <c r="A154" s="15">
        <v>44252</v>
      </c>
      <c r="B154" s="117">
        <v>1.774</v>
      </c>
      <c r="C154" s="108">
        <f t="shared" si="44"/>
        <v>2.200000000000002E-2</v>
      </c>
      <c r="D154" s="109" t="str">
        <f t="shared" si="45"/>
        <v>/</v>
      </c>
      <c r="E154" s="109">
        <f ca="1">IF(表2_36716262930389121314152324252627[[#This Row],[累计净值]]/MAX(INDIRECT("B21:B" &amp; ROW()))-1&lt;E153,表2_36716262930389121314152324252627[[#This Row],[累计净值]]/MAX(INDIRECT("B21:B" &amp; ROW()))-1,E153)</f>
        <v>-5.6404230317273707E-2</v>
      </c>
      <c r="F154" s="110">
        <f>表2_36716262930389121314152324252627[[#This Row],[累计净值]]</f>
        <v>1.774</v>
      </c>
      <c r="G154" s="20">
        <f>表2_36716262930389121314152324252627[[#This Row],[累计净值]]/$B$21-1</f>
        <v>0.2010832769126607</v>
      </c>
    </row>
    <row r="155" spans="1:7">
      <c r="A155" s="15">
        <v>44253</v>
      </c>
      <c r="B155" s="112">
        <v>1.7529999999999999</v>
      </c>
      <c r="C155" s="108">
        <f>IFERROR(B155-B154,0)</f>
        <v>-2.100000000000013E-2</v>
      </c>
      <c r="D155" s="109">
        <f>IF(C155&lt;0,C155,"/")</f>
        <v>-2.100000000000013E-2</v>
      </c>
      <c r="E155" s="109">
        <f ca="1">IF(表2_36716262930389121314152324252627[[#This Row],[累计净值]]/MAX(INDIRECT("B21:B" &amp; ROW()))-1&lt;E154,表2_36716262930389121314152324252627[[#This Row],[累计净值]]/MAX(INDIRECT("B21:B" &amp; ROW()))-1,E154)</f>
        <v>-5.6404230317273707E-2</v>
      </c>
      <c r="F155" s="110">
        <f>表2_36716262930389121314152324252627[[#This Row],[累计净值]]</f>
        <v>1.7529999999999999</v>
      </c>
      <c r="G155" s="20">
        <f>表2_36716262930389121314152324252627[[#This Row],[累计净值]]/$B$21-1</f>
        <v>0.18686526743398768</v>
      </c>
    </row>
    <row r="156" spans="1:7">
      <c r="A156" s="15">
        <v>44256</v>
      </c>
      <c r="B156" s="112">
        <v>1.7589999999999999</v>
      </c>
      <c r="C156" s="108">
        <f t="shared" ref="C156" si="46">IFERROR(B156-B155,0)</f>
        <v>6.0000000000000053E-3</v>
      </c>
      <c r="D156" s="109" t="str">
        <f t="shared" ref="D156" si="47">IF(C156&lt;0,C156,"/")</f>
        <v>/</v>
      </c>
      <c r="E156" s="109">
        <f ca="1">IF(表2_36716262930389121314152324252627[[#This Row],[累计净值]]/MAX(INDIRECT("B21:B" &amp; ROW()))-1&lt;E155,表2_36716262930389121314152324252627[[#This Row],[累计净值]]/MAX(INDIRECT("B21:B" &amp; ROW()))-1,E155)</f>
        <v>-5.6404230317273707E-2</v>
      </c>
      <c r="F156" s="110">
        <f>表2_36716262930389121314152324252627[[#This Row],[累计净值]]</f>
        <v>1.7589999999999999</v>
      </c>
      <c r="G156" s="20">
        <f>表2_36716262930389121314152324252627[[#This Row],[累计净值]]/$B$21-1</f>
        <v>0.19092755585646559</v>
      </c>
    </row>
    <row r="157" spans="1:7">
      <c r="A157" s="15">
        <v>44257</v>
      </c>
      <c r="B157" s="112">
        <v>1.7549999999999999</v>
      </c>
      <c r="C157" s="108">
        <f>IFERROR(B157-B156,0)</f>
        <v>-4.0000000000000036E-3</v>
      </c>
      <c r="D157" s="109">
        <f>IF(C157&lt;0,C157,"/")</f>
        <v>-4.0000000000000036E-3</v>
      </c>
      <c r="E157" s="109">
        <f ca="1">IF(表2_36716262930389121314152324252627[[#This Row],[累计净值]]/MAX(INDIRECT("B21:B" &amp; ROW()))-1&lt;E156,表2_36716262930389121314152324252627[[#This Row],[累计净值]]/MAX(INDIRECT("B21:B" &amp; ROW()))-1,E156)</f>
        <v>-5.6404230317273707E-2</v>
      </c>
      <c r="F157" s="110">
        <f>表2_36716262930389121314152324252627[[#This Row],[累计净值]]</f>
        <v>1.7549999999999999</v>
      </c>
      <c r="G157" s="20">
        <f>表2_36716262930389121314152324252627[[#This Row],[累计净值]]/$B$21-1</f>
        <v>0.18821936357481373</v>
      </c>
    </row>
    <row r="158" spans="1:7">
      <c r="A158" s="15">
        <v>44258</v>
      </c>
      <c r="B158" s="112">
        <v>1.7629999999999999</v>
      </c>
      <c r="C158" s="108">
        <f t="shared" ref="C158" si="48">IFERROR(B158-B157,0)</f>
        <v>8.0000000000000071E-3</v>
      </c>
      <c r="D158" s="109" t="str">
        <f t="shared" ref="D158" si="49">IF(C158&lt;0,C158,"/")</f>
        <v>/</v>
      </c>
      <c r="E158" s="109">
        <f ca="1">IF(表2_36716262930389121314152324252627[[#This Row],[累计净值]]/MAX(INDIRECT("B21:B" &amp; ROW()))-1&lt;E157,表2_36716262930389121314152324252627[[#This Row],[累计净值]]/MAX(INDIRECT("B21:B" &amp; ROW()))-1,E157)</f>
        <v>-5.6404230317273707E-2</v>
      </c>
      <c r="F158" s="110">
        <f>表2_36716262930389121314152324252627[[#This Row],[累计净值]]</f>
        <v>1.7629999999999999</v>
      </c>
      <c r="G158" s="20">
        <f>表2_36716262930389121314152324252627[[#This Row],[累计净值]]/$B$21-1</f>
        <v>0.19363574813811768</v>
      </c>
    </row>
    <row r="159" spans="1:7">
      <c r="A159" s="15">
        <v>44259</v>
      </c>
      <c r="B159" s="112">
        <v>1.764</v>
      </c>
      <c r="C159" s="108">
        <f t="shared" ref="C159:C165" si="50">IFERROR(B159-B158,0)</f>
        <v>1.0000000000001119E-3</v>
      </c>
      <c r="D159" s="109" t="str">
        <f t="shared" ref="D159:D165" si="51">IF(C159&lt;0,C159,"/")</f>
        <v>/</v>
      </c>
      <c r="E159" s="109">
        <f ca="1">IF(表2_36716262930389121314152324252627[[#This Row],[累计净值]]/MAX(INDIRECT("B21:B" &amp; ROW()))-1&lt;E158,表2_36716262930389121314152324252627[[#This Row],[累计净值]]/MAX(INDIRECT("B21:B" &amp; ROW()))-1,E158)</f>
        <v>-5.6404230317273707E-2</v>
      </c>
      <c r="F159" s="110">
        <f>表2_36716262930389121314152324252627[[#This Row],[累计净值]]</f>
        <v>1.764</v>
      </c>
      <c r="G159" s="20">
        <f>表2_36716262930389121314152324252627[[#This Row],[累计净值]]/$B$21-1</f>
        <v>0.1943127962085307</v>
      </c>
    </row>
    <row r="160" spans="1:7">
      <c r="A160" s="15">
        <v>44260</v>
      </c>
      <c r="B160" s="112">
        <v>1.746</v>
      </c>
      <c r="C160" s="108">
        <f t="shared" si="50"/>
        <v>-1.8000000000000016E-2</v>
      </c>
      <c r="D160" s="109">
        <f t="shared" si="51"/>
        <v>-1.8000000000000016E-2</v>
      </c>
      <c r="E160" s="109">
        <f ca="1">IF(表2_36716262930389121314152324252627[[#This Row],[累计净值]]/MAX(INDIRECT("B21:B" &amp; ROW()))-1&lt;E159,表2_36716262930389121314152324252627[[#This Row],[累计净值]]/MAX(INDIRECT("B21:B" &amp; ROW()))-1,E159)</f>
        <v>-5.6404230317273707E-2</v>
      </c>
      <c r="F160" s="110">
        <f>表2_36716262930389121314152324252627[[#This Row],[累计净值]]</f>
        <v>1.746</v>
      </c>
      <c r="G160" s="20">
        <f>表2_36716262930389121314152324252627[[#This Row],[累计净值]]/$B$21-1</f>
        <v>0.18212593094109675</v>
      </c>
    </row>
    <row r="161" spans="1:7">
      <c r="A161" s="15">
        <v>44263</v>
      </c>
      <c r="B161" s="112">
        <v>1.7669999999999999</v>
      </c>
      <c r="C161" s="108">
        <f t="shared" si="50"/>
        <v>2.0999999999999908E-2</v>
      </c>
      <c r="D161" s="109" t="str">
        <f t="shared" si="51"/>
        <v>/</v>
      </c>
      <c r="E161" s="109">
        <f ca="1">IF(表2_36716262930389121314152324252627[[#This Row],[累计净值]]/MAX(INDIRECT("B21:B" &amp; ROW()))-1&lt;E160,表2_36716262930389121314152324252627[[#This Row],[累计净值]]/MAX(INDIRECT("B21:B" &amp; ROW()))-1,E160)</f>
        <v>-5.6404230317273707E-2</v>
      </c>
      <c r="F161" s="110">
        <f>表2_36716262930389121314152324252627[[#This Row],[累计净值]]</f>
        <v>1.7669999999999999</v>
      </c>
      <c r="G161" s="20">
        <f>表2_36716262930389121314152324252627[[#This Row],[累计净值]]/$B$21-1</f>
        <v>0.19634394041976977</v>
      </c>
    </row>
    <row r="162" spans="1:7">
      <c r="A162" s="15">
        <v>44264</v>
      </c>
      <c r="B162" s="112">
        <v>1.7649999999999999</v>
      </c>
      <c r="C162" s="108">
        <f t="shared" si="50"/>
        <v>-2.0000000000000018E-3</v>
      </c>
      <c r="D162" s="109">
        <f t="shared" si="51"/>
        <v>-2.0000000000000018E-3</v>
      </c>
      <c r="E162" s="109">
        <f ca="1">IF(表2_36716262930389121314152324252627[[#This Row],[累计净值]]/MAX(INDIRECT("B21:B" &amp; ROW()))-1&lt;E161,表2_36716262930389121314152324252627[[#This Row],[累计净值]]/MAX(INDIRECT("B21:B" &amp; ROW()))-1,E161)</f>
        <v>-5.6404230317273707E-2</v>
      </c>
      <c r="F162" s="110">
        <f>表2_36716262930389121314152324252627[[#This Row],[累计净值]]</f>
        <v>1.7649999999999999</v>
      </c>
      <c r="G162" s="20">
        <f>表2_36716262930389121314152324252627[[#This Row],[累计净值]]/$B$21-1</f>
        <v>0.19498984427894372</v>
      </c>
    </row>
    <row r="163" spans="1:7">
      <c r="A163" s="15">
        <v>44265</v>
      </c>
      <c r="B163" s="112">
        <v>1.7589999999999999</v>
      </c>
      <c r="C163" s="108">
        <f t="shared" si="50"/>
        <v>-6.0000000000000053E-3</v>
      </c>
      <c r="D163" s="109">
        <f t="shared" si="51"/>
        <v>-6.0000000000000053E-3</v>
      </c>
      <c r="E163" s="109">
        <f ca="1">IF(表2_36716262930389121314152324252627[[#This Row],[累计净值]]/MAX(INDIRECT("B21:B" &amp; ROW()))-1&lt;E162,表2_36716262930389121314152324252627[[#This Row],[累计净值]]/MAX(INDIRECT("B21:B" &amp; ROW()))-1,E162)</f>
        <v>-5.6404230317273707E-2</v>
      </c>
      <c r="F163" s="110">
        <f>表2_36716262930389121314152324252627[[#This Row],[累计净值]]</f>
        <v>1.7589999999999999</v>
      </c>
      <c r="G163" s="20">
        <f>表2_36716262930389121314152324252627[[#This Row],[累计净值]]/$B$21-1</f>
        <v>0.19092755585646559</v>
      </c>
    </row>
    <row r="164" spans="1:7">
      <c r="A164" s="15">
        <v>44266</v>
      </c>
      <c r="B164" s="112">
        <v>1.7529999999999999</v>
      </c>
      <c r="C164" s="108">
        <f t="shared" si="50"/>
        <v>-6.0000000000000053E-3</v>
      </c>
      <c r="D164" s="109">
        <f t="shared" si="51"/>
        <v>-6.0000000000000053E-3</v>
      </c>
      <c r="E164" s="109">
        <f ca="1">IF(表2_36716262930389121314152324252627[[#This Row],[累计净值]]/MAX(INDIRECT("B21:B" &amp; ROW()))-1&lt;E163,表2_36716262930389121314152324252627[[#This Row],[累计净值]]/MAX(INDIRECT("B21:B" &amp; ROW()))-1,E163)</f>
        <v>-5.6404230317273707E-2</v>
      </c>
      <c r="F164" s="110">
        <f>表2_36716262930389121314152324252627[[#This Row],[累计净值]]</f>
        <v>1.7529999999999999</v>
      </c>
      <c r="G164" s="20">
        <f>表2_36716262930389121314152324252627[[#This Row],[累计净值]]/$B$21-1</f>
        <v>0.18686526743398768</v>
      </c>
    </row>
    <row r="165" spans="1:7">
      <c r="A165" s="15">
        <v>44267</v>
      </c>
      <c r="B165" s="112">
        <v>1.7450000000000001</v>
      </c>
      <c r="C165" s="108">
        <f t="shared" si="50"/>
        <v>-7.9999999999997851E-3</v>
      </c>
      <c r="D165" s="109">
        <f t="shared" si="51"/>
        <v>-7.9999999999997851E-3</v>
      </c>
      <c r="E165" s="109">
        <f ca="1">IF(表2_36716262930389121314152324252627[[#This Row],[累计净值]]/MAX(INDIRECT("B21:B" &amp; ROW()))-1&lt;E164,表2_36716262930389121314152324252627[[#This Row],[累计净值]]/MAX(INDIRECT("B21:B" &amp; ROW()))-1,E164)</f>
        <v>-5.6404230317273707E-2</v>
      </c>
      <c r="F165" s="110">
        <f>表2_36716262930389121314152324252627[[#This Row],[累计净值]]</f>
        <v>1.7450000000000001</v>
      </c>
      <c r="G165" s="20">
        <f>表2_36716262930389121314152324252627[[#This Row],[累计净值]]/$B$21-1</f>
        <v>0.18144888287068373</v>
      </c>
    </row>
    <row r="166" spans="1:7">
      <c r="A166" s="15">
        <v>44270</v>
      </c>
      <c r="B166" s="112">
        <v>1.728</v>
      </c>
      <c r="C166" s="108">
        <f t="shared" ref="C166:C171" si="52">IFERROR(B166-B165,0)</f>
        <v>-1.7000000000000126E-2</v>
      </c>
      <c r="D166" s="109">
        <f t="shared" ref="D166:D171" si="53">IF(C166&lt;0,C166,"/")</f>
        <v>-1.7000000000000126E-2</v>
      </c>
      <c r="E166" s="109">
        <f ca="1">IF(表2_36716262930389121314152324252627[[#This Row],[累计净值]]/MAX(INDIRECT("B21:B" &amp; ROW()))-1&lt;E165,表2_36716262930389121314152324252627[[#This Row],[累计净值]]/MAX(INDIRECT("B21:B" &amp; ROW()))-1,E165)</f>
        <v>-5.6404230317273707E-2</v>
      </c>
      <c r="F166" s="110">
        <f>表2_36716262930389121314152324252627[[#This Row],[累计净值]]</f>
        <v>1.728</v>
      </c>
      <c r="G166" s="20">
        <f>表2_36716262930389121314152324252627[[#This Row],[累计净值]]/$B$21-1</f>
        <v>0.16993906567366279</v>
      </c>
    </row>
    <row r="167" spans="1:7">
      <c r="A167" s="15">
        <v>44271</v>
      </c>
      <c r="B167" s="112">
        <v>1.7310000000000001</v>
      </c>
      <c r="C167" s="108">
        <f t="shared" si="52"/>
        <v>3.0000000000001137E-3</v>
      </c>
      <c r="D167" s="109" t="str">
        <f t="shared" si="53"/>
        <v>/</v>
      </c>
      <c r="E167" s="109">
        <f ca="1">IF(表2_36716262930389121314152324252627[[#This Row],[累计净值]]/MAX(INDIRECT("B21:B" &amp; ROW()))-1&lt;E166,表2_36716262930389121314152324252627[[#This Row],[累计净值]]/MAX(INDIRECT("B21:B" &amp; ROW()))-1,E166)</f>
        <v>-5.6404230317273707E-2</v>
      </c>
      <c r="F167" s="110">
        <f>表2_36716262930389121314152324252627[[#This Row],[累计净值]]</f>
        <v>1.7310000000000001</v>
      </c>
      <c r="G167" s="20">
        <f>表2_36716262930389121314152324252627[[#This Row],[累计净值]]/$B$21-1</f>
        <v>0.17197020988490186</v>
      </c>
    </row>
    <row r="168" spans="1:7">
      <c r="A168" s="15">
        <v>44272</v>
      </c>
      <c r="B168" s="112">
        <v>1.712</v>
      </c>
      <c r="C168" s="108">
        <f t="shared" si="52"/>
        <v>-1.9000000000000128E-2</v>
      </c>
      <c r="D168" s="109">
        <f t="shared" si="53"/>
        <v>-1.9000000000000128E-2</v>
      </c>
      <c r="E168" s="109">
        <f ca="1">IF(表2_36716262930389121314152324252627[[#This Row],[累计净值]]/MAX(INDIRECT("B21:B" &amp; ROW()))-1&lt;E167,表2_36716262930389121314152324252627[[#This Row],[累计净值]]/MAX(INDIRECT("B21:B" &amp; ROW()))-1,E167)</f>
        <v>-5.6404230317273707E-2</v>
      </c>
      <c r="F168" s="110">
        <f>表2_36716262930389121314152324252627[[#This Row],[累计净值]]</f>
        <v>1.712</v>
      </c>
      <c r="G168" s="20">
        <f>表2_36716262930389121314152324252627[[#This Row],[累计净值]]/$B$21-1</f>
        <v>0.15910629654705466</v>
      </c>
    </row>
    <row r="169" spans="1:7">
      <c r="A169" s="15">
        <v>44273</v>
      </c>
      <c r="B169" s="112">
        <v>1.7090000000000001</v>
      </c>
      <c r="C169" s="108">
        <f t="shared" si="52"/>
        <v>-2.9999999999998916E-3</v>
      </c>
      <c r="D169" s="109">
        <f t="shared" si="53"/>
        <v>-2.9999999999998916E-3</v>
      </c>
      <c r="E169" s="109">
        <f ca="1">IF(表2_36716262930389121314152324252627[[#This Row],[累计净值]]/MAX(INDIRECT("B21:B" &amp; ROW()))-1&lt;E168,表2_36716262930389121314152324252627[[#This Row],[累计净值]]/MAX(INDIRECT("B21:B" &amp; ROW()))-1,E168)</f>
        <v>-5.6404230317273707E-2</v>
      </c>
      <c r="F169" s="110">
        <f>表2_36716262930389121314152324252627[[#This Row],[累计净值]]</f>
        <v>1.7090000000000001</v>
      </c>
      <c r="G169" s="20">
        <f>表2_36716262930389121314152324252627[[#This Row],[累计净值]]/$B$21-1</f>
        <v>0.15707515233581582</v>
      </c>
    </row>
    <row r="170" spans="1:7">
      <c r="A170" s="15">
        <v>44274</v>
      </c>
      <c r="B170" s="112">
        <v>1.7130000000000001</v>
      </c>
      <c r="C170" s="108">
        <f t="shared" si="52"/>
        <v>4.0000000000000036E-3</v>
      </c>
      <c r="D170" s="109" t="str">
        <f t="shared" si="53"/>
        <v>/</v>
      </c>
      <c r="E170" s="109">
        <f ca="1">IF(表2_36716262930389121314152324252627[[#This Row],[累计净值]]/MAX(INDIRECT("B21:B" &amp; ROW()))-1&lt;E169,表2_36716262930389121314152324252627[[#This Row],[累计净值]]/MAX(INDIRECT("B21:B" &amp; ROW()))-1,E169)</f>
        <v>-5.6404230317273707E-2</v>
      </c>
      <c r="F170" s="110">
        <f>表2_36716262930389121314152324252627[[#This Row],[累计净值]]</f>
        <v>1.7130000000000001</v>
      </c>
      <c r="G170" s="20">
        <f>表2_36716262930389121314152324252627[[#This Row],[累计净值]]/$B$21-1</f>
        <v>0.1597833446174679</v>
      </c>
    </row>
    <row r="171" spans="1:7">
      <c r="A171" s="15">
        <v>44277</v>
      </c>
      <c r="B171" s="112">
        <v>1.7170000000000001</v>
      </c>
      <c r="C171" s="108">
        <f t="shared" si="52"/>
        <v>4.0000000000000036E-3</v>
      </c>
      <c r="D171" s="109" t="str">
        <f t="shared" si="53"/>
        <v>/</v>
      </c>
      <c r="E171" s="109">
        <f ca="1">IF(表2_36716262930389121314152324252627[[#This Row],[累计净值]]/MAX(INDIRECT("B21:B" &amp; ROW()))-1&lt;E170,表2_36716262930389121314152324252627[[#This Row],[累计净值]]/MAX(INDIRECT("B21:B" &amp; ROW()))-1,E170)</f>
        <v>-5.6404230317273707E-2</v>
      </c>
      <c r="F171" s="110">
        <f>表2_36716262930389121314152324252627[[#This Row],[累计净值]]</f>
        <v>1.7170000000000001</v>
      </c>
      <c r="G171" s="20">
        <f>表2_36716262930389121314152324252627[[#This Row],[累计净值]]/$B$21-1</f>
        <v>0.16249153689911977</v>
      </c>
    </row>
    <row r="172" spans="1:7">
      <c r="A172" s="15">
        <v>44278</v>
      </c>
      <c r="B172" s="112">
        <v>1.734</v>
      </c>
      <c r="C172" s="108">
        <f t="shared" ref="C172:C175" si="54">IFERROR(B172-B171,0)</f>
        <v>1.6999999999999904E-2</v>
      </c>
      <c r="D172" s="109" t="str">
        <f t="shared" ref="D172:D175" si="55">IF(C172&lt;0,C172,"/")</f>
        <v>/</v>
      </c>
      <c r="E172" s="109">
        <f ca="1">IF(表2_36716262930389121314152324252627[[#This Row],[累计净值]]/MAX(INDIRECT("B21:B" &amp; ROW()))-1&lt;E171,表2_36716262930389121314152324252627[[#This Row],[累计净值]]/MAX(INDIRECT("B21:B" &amp; ROW()))-1,E171)</f>
        <v>-5.6404230317273707E-2</v>
      </c>
      <c r="F172" s="110">
        <f>表2_36716262930389121314152324252627[[#This Row],[累计净值]]</f>
        <v>1.734</v>
      </c>
      <c r="G172" s="20">
        <f>表2_36716262930389121314152324252627[[#This Row],[累计净值]]/$B$21-1</f>
        <v>0.1740013540961407</v>
      </c>
    </row>
    <row r="173" spans="1:7">
      <c r="A173" s="15">
        <v>44279</v>
      </c>
      <c r="B173" s="112">
        <v>1.742</v>
      </c>
      <c r="C173" s="108">
        <f t="shared" si="54"/>
        <v>8.0000000000000071E-3</v>
      </c>
      <c r="D173" s="109" t="str">
        <f t="shared" si="55"/>
        <v>/</v>
      </c>
      <c r="E173" s="109">
        <f ca="1">IF(表2_36716262930389121314152324252627[[#This Row],[累计净值]]/MAX(INDIRECT("B21:B" &amp; ROW()))-1&lt;E172,表2_36716262930389121314152324252627[[#This Row],[累计净值]]/MAX(INDIRECT("B21:B" &amp; ROW()))-1,E172)</f>
        <v>-5.6404230317273707E-2</v>
      </c>
      <c r="F173" s="110">
        <f>表2_36716262930389121314152324252627[[#This Row],[累计净值]]</f>
        <v>1.742</v>
      </c>
      <c r="G173" s="20">
        <f>表2_36716262930389121314152324252627[[#This Row],[累计净值]]/$B$21-1</f>
        <v>0.17941773865944466</v>
      </c>
    </row>
    <row r="174" spans="1:7">
      <c r="A174" s="15">
        <v>44280</v>
      </c>
      <c r="B174" s="112">
        <v>1.742</v>
      </c>
      <c r="C174" s="108">
        <f t="shared" si="54"/>
        <v>0</v>
      </c>
      <c r="D174" s="109" t="str">
        <f t="shared" si="55"/>
        <v>/</v>
      </c>
      <c r="E174" s="109">
        <f ca="1">IF(表2_36716262930389121314152324252627[[#This Row],[累计净值]]/MAX(INDIRECT("B21:B" &amp; ROW()))-1&lt;E173,表2_36716262930389121314152324252627[[#This Row],[累计净值]]/MAX(INDIRECT("B21:B" &amp; ROW()))-1,E173)</f>
        <v>-5.6404230317273707E-2</v>
      </c>
      <c r="F174" s="110">
        <f>表2_36716262930389121314152324252627[[#This Row],[累计净值]]</f>
        <v>1.742</v>
      </c>
      <c r="G174" s="20">
        <f>表2_36716262930389121314152324252627[[#This Row],[累计净值]]/$B$21-1</f>
        <v>0.17941773865944466</v>
      </c>
    </row>
    <row r="175" spans="1:7">
      <c r="A175" s="15">
        <v>44281</v>
      </c>
      <c r="B175" s="112">
        <v>1.7370000000000001</v>
      </c>
      <c r="C175" s="108">
        <f t="shared" si="54"/>
        <v>-4.9999999999998934E-3</v>
      </c>
      <c r="D175" s="109">
        <f t="shared" si="55"/>
        <v>-4.9999999999998934E-3</v>
      </c>
      <c r="E175" s="109">
        <f ca="1">IF(表2_36716262930389121314152324252627[[#This Row],[累计净值]]/MAX(INDIRECT("B21:B" &amp; ROW()))-1&lt;E174,表2_36716262930389121314152324252627[[#This Row],[累计净值]]/MAX(INDIRECT("B21:B" &amp; ROW()))-1,E174)</f>
        <v>-5.6404230317273707E-2</v>
      </c>
      <c r="F175" s="110">
        <f>表2_36716262930389121314152324252627[[#This Row],[累计净值]]</f>
        <v>1.7370000000000001</v>
      </c>
      <c r="G175" s="20">
        <f>表2_36716262930389121314152324252627[[#This Row],[累计净值]]/$B$21-1</f>
        <v>0.17603249830737977</v>
      </c>
    </row>
    <row r="176" spans="1:7">
      <c r="A176" s="15">
        <v>44284</v>
      </c>
      <c r="B176" s="112">
        <v>1.7410000000000001</v>
      </c>
      <c r="C176" s="108">
        <f t="shared" ref="C176:C182" si="56">IFERROR(B176-B175,0)</f>
        <v>4.0000000000000036E-3</v>
      </c>
      <c r="D176" s="109" t="str">
        <f t="shared" ref="D176:D182" si="57">IF(C176&lt;0,C176,"/")</f>
        <v>/</v>
      </c>
      <c r="E176" s="109">
        <f ca="1">IF(表2_36716262930389121314152324252627[[#This Row],[累计净值]]/MAX(INDIRECT("B21:B" &amp; ROW()))-1&lt;E175,表2_36716262930389121314152324252627[[#This Row],[累计净值]]/MAX(INDIRECT("B21:B" &amp; ROW()))-1,E175)</f>
        <v>-5.6404230317273707E-2</v>
      </c>
      <c r="F176" s="110">
        <f>表2_36716262930389121314152324252627[[#This Row],[累计净值]]</f>
        <v>1.7410000000000001</v>
      </c>
      <c r="G176" s="20">
        <f>表2_36716262930389121314152324252627[[#This Row],[累计净值]]/$B$21-1</f>
        <v>0.17874069058903186</v>
      </c>
    </row>
    <row r="177" spans="1:7">
      <c r="A177" s="15">
        <v>44285</v>
      </c>
      <c r="B177" s="112">
        <v>1.748</v>
      </c>
      <c r="C177" s="108">
        <f t="shared" si="56"/>
        <v>6.9999999999998952E-3</v>
      </c>
      <c r="D177" s="109" t="str">
        <f t="shared" si="57"/>
        <v>/</v>
      </c>
      <c r="E177" s="109">
        <f ca="1">IF(表2_36716262930389121314152324252627[[#This Row],[累计净值]]/MAX(INDIRECT("B21:B" &amp; ROW()))-1&lt;E176,表2_36716262930389121314152324252627[[#This Row],[累计净值]]/MAX(INDIRECT("B21:B" &amp; ROW()))-1,E176)</f>
        <v>-5.6404230317273707E-2</v>
      </c>
      <c r="F177" s="110">
        <f>表2_36716262930389121314152324252627[[#This Row],[累计净值]]</f>
        <v>1.748</v>
      </c>
      <c r="G177" s="20">
        <f>表2_36716262930389121314152324252627[[#This Row],[累计净值]]/$B$21-1</f>
        <v>0.18348002708192279</v>
      </c>
    </row>
    <row r="178" spans="1:7">
      <c r="A178" s="15">
        <v>44286</v>
      </c>
      <c r="B178" s="112">
        <v>1.748</v>
      </c>
      <c r="C178" s="108">
        <f t="shared" si="56"/>
        <v>0</v>
      </c>
      <c r="D178" s="109" t="str">
        <f t="shared" si="57"/>
        <v>/</v>
      </c>
      <c r="E178" s="109">
        <f ca="1">IF(表2_36716262930389121314152324252627[[#This Row],[累计净值]]/MAX(INDIRECT("B21:B" &amp; ROW()))-1&lt;E177,表2_36716262930389121314152324252627[[#This Row],[累计净值]]/MAX(INDIRECT("B21:B" &amp; ROW()))-1,E177)</f>
        <v>-5.6404230317273707E-2</v>
      </c>
      <c r="F178" s="110">
        <f>表2_36716262930389121314152324252627[[#This Row],[累计净值]]</f>
        <v>1.748</v>
      </c>
      <c r="G178" s="20">
        <f>表2_36716262930389121314152324252627[[#This Row],[累计净值]]/$B$21-1</f>
        <v>0.18348002708192279</v>
      </c>
    </row>
    <row r="179" spans="1:7">
      <c r="A179" s="15">
        <v>44287</v>
      </c>
      <c r="B179" s="112">
        <v>1.736</v>
      </c>
      <c r="C179" s="108">
        <f t="shared" si="56"/>
        <v>-1.2000000000000011E-2</v>
      </c>
      <c r="D179" s="109">
        <f t="shared" si="57"/>
        <v>-1.2000000000000011E-2</v>
      </c>
      <c r="E179" s="109">
        <f ca="1">IF(表2_36716262930389121314152324252627[[#This Row],[累计净值]]/MAX(INDIRECT("B21:B" &amp; ROW()))-1&lt;E178,表2_36716262930389121314152324252627[[#This Row],[累计净值]]/MAX(INDIRECT("B21:B" &amp; ROW()))-1,E178)</f>
        <v>-5.6404230317273707E-2</v>
      </c>
      <c r="F179" s="110">
        <f>表2_36716262930389121314152324252627[[#This Row],[累计净值]]</f>
        <v>1.736</v>
      </c>
      <c r="G179" s="20">
        <f>表2_36716262930389121314152324252627[[#This Row],[累计净值]]/$B$21-1</f>
        <v>0.17535545023696675</v>
      </c>
    </row>
    <row r="180" spans="1:7">
      <c r="A180" s="15">
        <v>44288</v>
      </c>
      <c r="B180" s="112">
        <v>1.7330000000000001</v>
      </c>
      <c r="C180" s="108">
        <f t="shared" si="56"/>
        <v>-2.9999999999998916E-3</v>
      </c>
      <c r="D180" s="109">
        <f t="shared" si="57"/>
        <v>-2.9999999999998916E-3</v>
      </c>
      <c r="E180" s="109">
        <f ca="1">IF(表2_36716262930389121314152324252627[[#This Row],[累计净值]]/MAX(INDIRECT("B21:B" &amp; ROW()))-1&lt;E179,表2_36716262930389121314152324252627[[#This Row],[累计净值]]/MAX(INDIRECT("B21:B" &amp; ROW()))-1,E179)</f>
        <v>-5.6404230317273707E-2</v>
      </c>
      <c r="F180" s="110">
        <f>表2_36716262930389121314152324252627[[#This Row],[累计净值]]</f>
        <v>1.7330000000000001</v>
      </c>
      <c r="G180" s="20">
        <f>表2_36716262930389121314152324252627[[#This Row],[累计净值]]/$B$21-1</f>
        <v>0.1733243060257279</v>
      </c>
    </row>
    <row r="181" spans="1:7">
      <c r="A181" s="15">
        <v>44292</v>
      </c>
      <c r="B181" s="112">
        <v>1.7430000000000001</v>
      </c>
      <c r="C181" s="108">
        <f t="shared" si="56"/>
        <v>1.0000000000000009E-2</v>
      </c>
      <c r="D181" s="109" t="str">
        <f t="shared" si="57"/>
        <v>/</v>
      </c>
      <c r="E181" s="109">
        <f ca="1">IF(表2_36716262930389121314152324252627[[#This Row],[累计净值]]/MAX(INDIRECT("B21:B" &amp; ROW()))-1&lt;E180,表2_36716262930389121314152324252627[[#This Row],[累计净值]]/MAX(INDIRECT("B21:B" &amp; ROW()))-1,E180)</f>
        <v>-5.6404230317273707E-2</v>
      </c>
      <c r="F181" s="110">
        <f>表2_36716262930389121314152324252627[[#This Row],[累计净值]]</f>
        <v>1.7430000000000001</v>
      </c>
      <c r="G181" s="20">
        <f>表2_36716262930389121314152324252627[[#This Row],[累计净值]]/$B$21-1</f>
        <v>0.1800947867298579</v>
      </c>
    </row>
    <row r="182" spans="1:7">
      <c r="A182" s="15">
        <v>44293</v>
      </c>
      <c r="B182" s="112">
        <v>1.732</v>
      </c>
      <c r="C182" s="108">
        <f t="shared" si="56"/>
        <v>-1.1000000000000121E-2</v>
      </c>
      <c r="D182" s="109">
        <f t="shared" si="57"/>
        <v>-1.1000000000000121E-2</v>
      </c>
      <c r="E182" s="109">
        <f ca="1">IF(表2_36716262930389121314152324252627[[#This Row],[累计净值]]/MAX(INDIRECT("B21:B" &amp; ROW()))-1&lt;E181,表2_36716262930389121314152324252627[[#This Row],[累计净值]]/MAX(INDIRECT("B21:B" &amp; ROW()))-1,E181)</f>
        <v>-5.6404230317273707E-2</v>
      </c>
      <c r="F182" s="110">
        <f>表2_36716262930389121314152324252627[[#This Row],[累计净值]]</f>
        <v>1.732</v>
      </c>
      <c r="G182" s="20">
        <f>表2_36716262930389121314152324252627[[#This Row],[累计净值]]/$B$21-1</f>
        <v>0.17264725795531466</v>
      </c>
    </row>
    <row r="183" spans="1:7">
      <c r="A183" s="15">
        <v>44294</v>
      </c>
      <c r="B183" s="112">
        <v>1.7130000000000001</v>
      </c>
      <c r="C183" s="108">
        <f t="shared" ref="C183:C189" si="58">IFERROR(B183-B182,0)</f>
        <v>-1.8999999999999906E-2</v>
      </c>
      <c r="D183" s="109">
        <f t="shared" ref="D183:D189" si="59">IF(C183&lt;0,C183,"/")</f>
        <v>-1.8999999999999906E-2</v>
      </c>
      <c r="E183" s="109">
        <f ca="1">IF(表2_36716262930389121314152324252627[[#This Row],[累计净值]]/MAX(INDIRECT("B21:B" &amp; ROW()))-1&lt;E182,表2_36716262930389121314152324252627[[#This Row],[累计净值]]/MAX(INDIRECT("B21:B" &amp; ROW()))-1,E182)</f>
        <v>-5.6404230317273707E-2</v>
      </c>
      <c r="F183" s="110">
        <f>表2_36716262930389121314152324252627[[#This Row],[累计净值]]</f>
        <v>1.7130000000000001</v>
      </c>
      <c r="G183" s="20">
        <f>表2_36716262930389121314152324252627[[#This Row],[累计净值]]/$B$21-1</f>
        <v>0.1597833446174679</v>
      </c>
    </row>
    <row r="184" spans="1:7">
      <c r="A184" s="15">
        <v>44295</v>
      </c>
      <c r="B184" s="112">
        <v>1.7110000000000001</v>
      </c>
      <c r="C184" s="108">
        <f t="shared" si="58"/>
        <v>-2.0000000000000018E-3</v>
      </c>
      <c r="D184" s="109">
        <f t="shared" si="59"/>
        <v>-2.0000000000000018E-3</v>
      </c>
      <c r="E184" s="109">
        <f ca="1">IF(表2_36716262930389121314152324252627[[#This Row],[累计净值]]/MAX(INDIRECT("B21:B" &amp; ROW()))-1&lt;E183,表2_36716262930389121314152324252627[[#This Row],[累计净值]]/MAX(INDIRECT("B21:B" &amp; ROW()))-1,E183)</f>
        <v>-5.6404230317273707E-2</v>
      </c>
      <c r="F184" s="110">
        <f>表2_36716262930389121314152324252627[[#This Row],[累计净值]]</f>
        <v>1.7110000000000001</v>
      </c>
      <c r="G184" s="20">
        <f>表2_36716262930389121314152324252627[[#This Row],[累计净值]]/$B$21-1</f>
        <v>0.15842924847664186</v>
      </c>
    </row>
    <row r="185" spans="1:7">
      <c r="A185" s="15">
        <v>44298</v>
      </c>
      <c r="B185" s="112">
        <v>1.6919999999999999</v>
      </c>
      <c r="C185" s="108">
        <f t="shared" si="58"/>
        <v>-1.9000000000000128E-2</v>
      </c>
      <c r="D185" s="109">
        <f t="shared" si="59"/>
        <v>-1.9000000000000128E-2</v>
      </c>
      <c r="E185" s="109">
        <f ca="1">IF(表2_36716262930389121314152324252627[[#This Row],[累计净值]]/MAX(INDIRECT("B21:B" &amp; ROW()))-1&lt;E184,表2_36716262930389121314152324252627[[#This Row],[累计净值]]/MAX(INDIRECT("B21:B" &amp; ROW()))-1,E184)</f>
        <v>-5.6404230317273707E-2</v>
      </c>
      <c r="F185" s="110">
        <f>表2_36716262930389121314152324252627[[#This Row],[累计净值]]</f>
        <v>1.6919999999999999</v>
      </c>
      <c r="G185" s="20">
        <f>表2_36716262930389121314152324252627[[#This Row],[累计净值]]/$B$21-1</f>
        <v>0.14556533513879466</v>
      </c>
    </row>
    <row r="186" spans="1:7">
      <c r="A186" s="15">
        <v>44299</v>
      </c>
      <c r="B186" s="112">
        <v>1.7</v>
      </c>
      <c r="C186" s="108">
        <f t="shared" si="58"/>
        <v>8.0000000000000071E-3</v>
      </c>
      <c r="D186" s="109" t="str">
        <f t="shared" si="59"/>
        <v>/</v>
      </c>
      <c r="E186" s="109">
        <f ca="1">IF(表2_36716262930389121314152324252627[[#This Row],[累计净值]]/MAX(INDIRECT("B21:B" &amp; ROW()))-1&lt;E185,表2_36716262930389121314152324252627[[#This Row],[累计净值]]/MAX(INDIRECT("B21:B" &amp; ROW()))-1,E185)</f>
        <v>-5.6404230317273707E-2</v>
      </c>
      <c r="F186" s="110">
        <f>表2_36716262930389121314152324252627[[#This Row],[累计净值]]</f>
        <v>1.7</v>
      </c>
      <c r="G186" s="20">
        <f>表2_36716262930389121314152324252627[[#This Row],[累计净值]]/$B$21-1</f>
        <v>0.15098171970209884</v>
      </c>
    </row>
    <row r="187" spans="1:7">
      <c r="A187" s="15">
        <v>44300</v>
      </c>
      <c r="B187" s="112">
        <v>1.704</v>
      </c>
      <c r="C187" s="108">
        <f t="shared" si="58"/>
        <v>4.0000000000000036E-3</v>
      </c>
      <c r="D187" s="109" t="str">
        <f t="shared" si="59"/>
        <v>/</v>
      </c>
      <c r="E187" s="109">
        <f ca="1">IF(表2_36716262930389121314152324252627[[#This Row],[累计净值]]/MAX(INDIRECT("B21:B" &amp; ROW()))-1&lt;E186,表2_36716262930389121314152324252627[[#This Row],[累计净值]]/MAX(INDIRECT("B21:B" &amp; ROW()))-1,E186)</f>
        <v>-5.6404230317273707E-2</v>
      </c>
      <c r="F187" s="110">
        <f>表2_36716262930389121314152324252627[[#This Row],[累计净值]]</f>
        <v>1.704</v>
      </c>
      <c r="G187" s="20">
        <f>表2_36716262930389121314152324252627[[#This Row],[累计净值]]/$B$21-1</f>
        <v>0.1536899119837507</v>
      </c>
    </row>
    <row r="188" spans="1:7">
      <c r="A188" s="15">
        <v>44301</v>
      </c>
      <c r="B188" s="112">
        <v>1.7030000000000001</v>
      </c>
      <c r="C188" s="108">
        <f t="shared" si="58"/>
        <v>-9.9999999999988987E-4</v>
      </c>
      <c r="D188" s="109">
        <f t="shared" si="59"/>
        <v>-9.9999999999988987E-4</v>
      </c>
      <c r="E188" s="109">
        <f ca="1">IF(表2_36716262930389121314152324252627[[#This Row],[累计净值]]/MAX(INDIRECT("B21:B" &amp; ROW()))-1&lt;E187,表2_36716262930389121314152324252627[[#This Row],[累计净值]]/MAX(INDIRECT("B21:B" &amp; ROW()))-1,E187)</f>
        <v>-5.6404230317273707E-2</v>
      </c>
      <c r="F188" s="110">
        <f>表2_36716262930389121314152324252627[[#This Row],[累计净值]]</f>
        <v>1.7030000000000001</v>
      </c>
      <c r="G188" s="20">
        <f>表2_36716262930389121314152324252627[[#This Row],[累计净值]]/$B$21-1</f>
        <v>0.1530128639133379</v>
      </c>
    </row>
    <row r="189" spans="1:7">
      <c r="A189" s="15">
        <v>44302</v>
      </c>
      <c r="B189" s="112">
        <v>1.7170000000000001</v>
      </c>
      <c r="C189" s="108">
        <f t="shared" si="58"/>
        <v>1.4000000000000012E-2</v>
      </c>
      <c r="D189" s="109" t="str">
        <f t="shared" si="59"/>
        <v>/</v>
      </c>
      <c r="E189" s="109">
        <f ca="1">IF(表2_36716262930389121314152324252627[[#This Row],[累计净值]]/MAX(INDIRECT("B21:B" &amp; ROW()))-1&lt;E188,表2_36716262930389121314152324252627[[#This Row],[累计净值]]/MAX(INDIRECT("B21:B" &amp; ROW()))-1,E188)</f>
        <v>-5.6404230317273707E-2</v>
      </c>
      <c r="F189" s="110">
        <f>表2_36716262930389121314152324252627[[#This Row],[累计净值]]</f>
        <v>1.7170000000000001</v>
      </c>
      <c r="G189" s="20">
        <f>表2_36716262930389121314152324252627[[#This Row],[累计净值]]/$B$21-1</f>
        <v>0.16249153689911977</v>
      </c>
    </row>
    <row r="190" spans="1:7">
      <c r="A190" s="15">
        <v>44305</v>
      </c>
      <c r="B190" s="112">
        <v>1.7210000000000001</v>
      </c>
      <c r="C190" s="108">
        <f t="shared" ref="C190:C195" si="60">IFERROR(B190-B189,0)</f>
        <v>4.0000000000000036E-3</v>
      </c>
      <c r="D190" s="109" t="str">
        <f t="shared" ref="D190:D195" si="61">IF(C190&lt;0,C190,"/")</f>
        <v>/</v>
      </c>
      <c r="E190" s="109">
        <f ca="1">IF(表2_36716262930389121314152324252627[[#This Row],[累计净值]]/MAX(INDIRECT("B21:B" &amp; ROW()))-1&lt;E189,表2_36716262930389121314152324252627[[#This Row],[累计净值]]/MAX(INDIRECT("B21:B" &amp; ROW()))-1,E189)</f>
        <v>-5.6404230317273707E-2</v>
      </c>
      <c r="F190" s="110">
        <f>表2_36716262930389121314152324252627[[#This Row],[累计净值]]</f>
        <v>1.7210000000000001</v>
      </c>
      <c r="G190" s="20">
        <f>表2_36716262930389121314152324252627[[#This Row],[累计净值]]/$B$21-1</f>
        <v>0.16519972918077186</v>
      </c>
    </row>
    <row r="191" spans="1:7">
      <c r="A191" s="15">
        <v>44306</v>
      </c>
      <c r="B191" s="112">
        <v>1.718</v>
      </c>
      <c r="C191" s="108">
        <f t="shared" si="60"/>
        <v>-3.0000000000001137E-3</v>
      </c>
      <c r="D191" s="109">
        <f t="shared" si="61"/>
        <v>-3.0000000000001137E-3</v>
      </c>
      <c r="E191" s="109">
        <f ca="1">IF(表2_36716262930389121314152324252627[[#This Row],[累计净值]]/MAX(INDIRECT("B21:B" &amp; ROW()))-1&lt;E190,表2_36716262930389121314152324252627[[#This Row],[累计净值]]/MAX(INDIRECT("B21:B" &amp; ROW()))-1,E190)</f>
        <v>-5.6404230317273707E-2</v>
      </c>
      <c r="F191" s="110">
        <f>表2_36716262930389121314152324252627[[#This Row],[累计净值]]</f>
        <v>1.718</v>
      </c>
      <c r="G191" s="20">
        <f>表2_36716262930389121314152324252627[[#This Row],[累计净值]]/$B$21-1</f>
        <v>0.16316858496953279</v>
      </c>
    </row>
    <row r="192" spans="1:7">
      <c r="A192" s="15">
        <v>44307</v>
      </c>
      <c r="B192" s="112">
        <v>1.724</v>
      </c>
      <c r="C192" s="108">
        <f t="shared" si="60"/>
        <v>6.0000000000000053E-3</v>
      </c>
      <c r="D192" s="109" t="str">
        <f t="shared" si="61"/>
        <v>/</v>
      </c>
      <c r="E192" s="109">
        <f ca="1">IF(表2_36716262930389121314152324252627[[#This Row],[累计净值]]/MAX(INDIRECT("B21:B" &amp; ROW()))-1&lt;E191,表2_36716262930389121314152324252627[[#This Row],[累计净值]]/MAX(INDIRECT("B21:B" &amp; ROW()))-1,E191)</f>
        <v>-5.6404230317273707E-2</v>
      </c>
      <c r="F192" s="110">
        <f>表2_36716262930389121314152324252627[[#This Row],[累计净值]]</f>
        <v>1.724</v>
      </c>
      <c r="G192" s="20">
        <f>表2_36716262930389121314152324252627[[#This Row],[累计净值]]/$B$21-1</f>
        <v>0.1672308733920107</v>
      </c>
    </row>
    <row r="193" spans="1:7">
      <c r="A193" s="15">
        <v>44308</v>
      </c>
      <c r="B193" s="112">
        <v>1.7410000000000001</v>
      </c>
      <c r="C193" s="108">
        <f t="shared" si="60"/>
        <v>1.7000000000000126E-2</v>
      </c>
      <c r="D193" s="109" t="str">
        <f t="shared" si="61"/>
        <v>/</v>
      </c>
      <c r="E193" s="109">
        <f ca="1">IF(表2_36716262930389121314152324252627[[#This Row],[累计净值]]/MAX(INDIRECT("B21:B" &amp; ROW()))-1&lt;E192,表2_36716262930389121314152324252627[[#This Row],[累计净值]]/MAX(INDIRECT("B21:B" &amp; ROW()))-1,E192)</f>
        <v>-5.6404230317273707E-2</v>
      </c>
      <c r="F193" s="110">
        <f>表2_36716262930389121314152324252627[[#This Row],[累计净值]]</f>
        <v>1.7410000000000001</v>
      </c>
      <c r="G193" s="20">
        <f>表2_36716262930389121314152324252627[[#This Row],[累计净值]]/$B$21-1</f>
        <v>0.17874069058903186</v>
      </c>
    </row>
    <row r="194" spans="1:7">
      <c r="A194" s="15">
        <v>44309</v>
      </c>
      <c r="B194" s="112">
        <v>1.7410000000000001</v>
      </c>
      <c r="C194" s="108">
        <f t="shared" si="60"/>
        <v>0</v>
      </c>
      <c r="D194" s="109" t="str">
        <f t="shared" si="61"/>
        <v>/</v>
      </c>
      <c r="E194" s="109">
        <f ca="1">IF(表2_36716262930389121314152324252627[[#This Row],[累计净值]]/MAX(INDIRECT("B21:B" &amp; ROW()))-1&lt;E193,表2_36716262930389121314152324252627[[#This Row],[累计净值]]/MAX(INDIRECT("B21:B" &amp; ROW()))-1,E193)</f>
        <v>-5.6404230317273707E-2</v>
      </c>
      <c r="F194" s="110">
        <f>表2_36716262930389121314152324252627[[#This Row],[累计净值]]</f>
        <v>1.7410000000000001</v>
      </c>
      <c r="G194" s="20">
        <f>表2_36716262930389121314152324252627[[#This Row],[累计净值]]/$B$21-1</f>
        <v>0.17874069058903186</v>
      </c>
    </row>
    <row r="195" spans="1:7">
      <c r="A195" s="15">
        <v>44312</v>
      </c>
      <c r="B195" s="112">
        <v>1.748</v>
      </c>
      <c r="C195" s="108">
        <f t="shared" si="60"/>
        <v>6.9999999999998952E-3</v>
      </c>
      <c r="D195" s="109" t="str">
        <f t="shared" si="61"/>
        <v>/</v>
      </c>
      <c r="E195" s="109">
        <f ca="1">IF(表2_36716262930389121314152324252627[[#This Row],[累计净值]]/MAX(INDIRECT("B21:B" &amp; ROW()))-1&lt;E194,表2_36716262930389121314152324252627[[#This Row],[累计净值]]/MAX(INDIRECT("B21:B" &amp; ROW()))-1,E194)</f>
        <v>-5.6404230317273707E-2</v>
      </c>
      <c r="F195" s="110">
        <f>表2_36716262930389121314152324252627[[#This Row],[累计净值]]</f>
        <v>1.748</v>
      </c>
      <c r="G195" s="20">
        <f>表2_36716262930389121314152324252627[[#This Row],[累计净值]]/$B$21-1</f>
        <v>0.18348002708192279</v>
      </c>
    </row>
    <row r="196" spans="1:7">
      <c r="A196" s="15">
        <v>44313</v>
      </c>
      <c r="B196" s="112">
        <v>1.7609999999999999</v>
      </c>
      <c r="C196" s="108">
        <f>IFERROR(B196-B195,0)</f>
        <v>1.2999999999999901E-2</v>
      </c>
      <c r="D196" s="109" t="str">
        <f>IF(C196&lt;0,C196,"/")</f>
        <v>/</v>
      </c>
      <c r="E196" s="109">
        <f ca="1">IF(表2_36716262930389121314152324252627[[#This Row],[累计净值]]/MAX(INDIRECT("B21:B" &amp; ROW()))-1&lt;E195,表2_36716262930389121314152324252627[[#This Row],[累计净值]]/MAX(INDIRECT("B21:B" &amp; ROW()))-1,E195)</f>
        <v>-5.6404230317273707E-2</v>
      </c>
      <c r="F196" s="110">
        <f>表2_36716262930389121314152324252627[[#This Row],[累计净值]]</f>
        <v>1.7609999999999999</v>
      </c>
      <c r="G196" s="20">
        <f>表2_36716262930389121314152324252627[[#This Row],[累计净值]]/$B$21-1</f>
        <v>0.19228165199729164</v>
      </c>
    </row>
    <row r="197" spans="1:7">
      <c r="A197" s="15">
        <v>44314</v>
      </c>
      <c r="B197" s="112">
        <v>1.744</v>
      </c>
      <c r="C197" s="108">
        <f>IFERROR(B197-B196,0)</f>
        <v>-1.6999999999999904E-2</v>
      </c>
      <c r="D197" s="109">
        <f>IF(C197&lt;0,C197,"/")</f>
        <v>-1.6999999999999904E-2</v>
      </c>
      <c r="E197" s="109">
        <f ca="1">IF(表2_36716262930389121314152324252627[[#This Row],[累计净值]]/MAX(INDIRECT("B21:B" &amp; ROW()))-1&lt;E196,表2_36716262930389121314152324252627[[#This Row],[累计净值]]/MAX(INDIRECT("B21:B" &amp; ROW()))-1,E196)</f>
        <v>-5.6404230317273707E-2</v>
      </c>
      <c r="F197" s="110">
        <f>表2_36716262930389121314152324252627[[#This Row],[累计净值]]</f>
        <v>1.744</v>
      </c>
      <c r="G197" s="20">
        <f>表2_36716262930389121314152324252627[[#This Row],[累计净值]]/$B$21-1</f>
        <v>0.1807718348002707</v>
      </c>
    </row>
    <row r="198" spans="1:7">
      <c r="A198" s="15">
        <v>44315</v>
      </c>
      <c r="B198" s="112">
        <v>1.7509999999999999</v>
      </c>
      <c r="C198" s="108">
        <f t="shared" ref="C198:C200" si="62">IFERROR(B198-B197,0)</f>
        <v>6.9999999999998952E-3</v>
      </c>
      <c r="D198" s="109" t="str">
        <f t="shared" ref="D198:D200" si="63">IF(C198&lt;0,C198,"/")</f>
        <v>/</v>
      </c>
      <c r="E198" s="109">
        <f ca="1">IF(表2_36716262930389121314152324252627[[#This Row],[累计净值]]/MAX(INDIRECT("B21:B" &amp; ROW()))-1&lt;E197,表2_36716262930389121314152324252627[[#This Row],[累计净值]]/MAX(INDIRECT("B21:B" &amp; ROW()))-1,E197)</f>
        <v>-5.6404230317273707E-2</v>
      </c>
      <c r="F198" s="110">
        <f>表2_36716262930389121314152324252627[[#This Row],[累计净值]]</f>
        <v>1.7509999999999999</v>
      </c>
      <c r="G198" s="20">
        <f>表2_36716262930389121314152324252627[[#This Row],[累计净值]]/$B$21-1</f>
        <v>0.18551117129316164</v>
      </c>
    </row>
    <row r="199" spans="1:7">
      <c r="A199" s="15">
        <v>44316</v>
      </c>
      <c r="B199" s="112">
        <v>1.738</v>
      </c>
      <c r="C199" s="108">
        <f t="shared" si="62"/>
        <v>-1.2999999999999901E-2</v>
      </c>
      <c r="D199" s="109">
        <f t="shared" si="63"/>
        <v>-1.2999999999999901E-2</v>
      </c>
      <c r="E199" s="109">
        <f ca="1">IF(表2_36716262930389121314152324252627[[#This Row],[累计净值]]/MAX(INDIRECT("B21:B" &amp; ROW()))-1&lt;E198,表2_36716262930389121314152324252627[[#This Row],[累计净值]]/MAX(INDIRECT("B21:B" &amp; ROW()))-1,E198)</f>
        <v>-5.6404230317273707E-2</v>
      </c>
      <c r="F199" s="110">
        <f>表2_36716262930389121314152324252627[[#This Row],[累计净值]]</f>
        <v>1.738</v>
      </c>
      <c r="G199" s="20">
        <f>表2_36716262930389121314152324252627[[#This Row],[累计净值]]/$B$21-1</f>
        <v>0.17670954637779279</v>
      </c>
    </row>
    <row r="200" spans="1:7">
      <c r="A200" s="15">
        <v>44322</v>
      </c>
      <c r="B200" s="112">
        <v>1.7629999999999999</v>
      </c>
      <c r="C200" s="108">
        <f t="shared" si="62"/>
        <v>2.4999999999999911E-2</v>
      </c>
      <c r="D200" s="109" t="str">
        <f t="shared" si="63"/>
        <v>/</v>
      </c>
      <c r="E200" s="109">
        <f ca="1">IF(表2_36716262930389121314152324252627[[#This Row],[累计净值]]/MAX(INDIRECT("B21:B" &amp; ROW()))-1&lt;E199,表2_36716262930389121314152324252627[[#This Row],[累计净值]]/MAX(INDIRECT("B21:B" &amp; ROW()))-1,E199)</f>
        <v>-5.6404230317273707E-2</v>
      </c>
      <c r="F200" s="110">
        <f>表2_36716262930389121314152324252627[[#This Row],[累计净值]]</f>
        <v>1.7629999999999999</v>
      </c>
      <c r="G200" s="20">
        <f>表2_36716262930389121314152324252627[[#This Row],[累计净值]]/$B$21-1</f>
        <v>0.19363574813811768</v>
      </c>
    </row>
    <row r="201" spans="1:7">
      <c r="A201" s="15">
        <v>44323</v>
      </c>
      <c r="B201" s="112">
        <v>1.827</v>
      </c>
      <c r="C201" s="108">
        <f t="shared" ref="C201:C206" si="64">IFERROR(B201-B200,0)</f>
        <v>6.4000000000000057E-2</v>
      </c>
      <c r="D201" s="109" t="str">
        <f t="shared" ref="D201:D206" si="65">IF(C201&lt;0,C201,"/")</f>
        <v>/</v>
      </c>
      <c r="E201" s="109">
        <f ca="1">IF(表2_36716262930389121314152324252627[[#This Row],[累计净值]]/MAX(INDIRECT("B21:B" &amp; ROW()))-1&lt;E200,表2_36716262930389121314152324252627[[#This Row],[累计净值]]/MAX(INDIRECT("B21:B" &amp; ROW()))-1,E200)</f>
        <v>-5.6404230317273707E-2</v>
      </c>
      <c r="F201" s="110">
        <f>表2_36716262930389121314152324252627[[#This Row],[累计净值]]</f>
        <v>1.827</v>
      </c>
      <c r="G201" s="20">
        <f>表2_36716262930389121314152324252627[[#This Row],[累计净值]]/$B$21-1</f>
        <v>0.23696682464454977</v>
      </c>
    </row>
    <row r="202" spans="1:7">
      <c r="A202" s="15">
        <v>44326</v>
      </c>
      <c r="B202" s="112">
        <v>1.879</v>
      </c>
      <c r="C202" s="108">
        <f t="shared" si="64"/>
        <v>5.2000000000000046E-2</v>
      </c>
      <c r="D202" s="109" t="str">
        <f t="shared" si="65"/>
        <v>/</v>
      </c>
      <c r="E202" s="109">
        <f ca="1">IF(表2_36716262930389121314152324252627[[#This Row],[累计净值]]/MAX(INDIRECT("B21:B" &amp; ROW()))-1&lt;E201,表2_36716262930389121314152324252627[[#This Row],[累计净值]]/MAX(INDIRECT("B21:B" &amp; ROW()))-1,E201)</f>
        <v>-5.6404230317273707E-2</v>
      </c>
      <c r="F202" s="110">
        <f>表2_36716262930389121314152324252627[[#This Row],[累计净值]]</f>
        <v>1.879</v>
      </c>
      <c r="G202" s="20">
        <f>表2_36716262930389121314152324252627[[#This Row],[累计净值]]/$B$21-1</f>
        <v>0.27217332430602559</v>
      </c>
    </row>
    <row r="203" spans="1:7">
      <c r="A203" s="15">
        <v>44327</v>
      </c>
      <c r="B203" s="112">
        <v>1.891</v>
      </c>
      <c r="C203" s="108">
        <f t="shared" si="64"/>
        <v>1.2000000000000011E-2</v>
      </c>
      <c r="D203" s="109" t="str">
        <f t="shared" si="65"/>
        <v>/</v>
      </c>
      <c r="E203" s="109">
        <f ca="1">IF(表2_36716262930389121314152324252627[[#This Row],[累计净值]]/MAX(INDIRECT("B21:B" &amp; ROW()))-1&lt;E202,表2_36716262930389121314152324252627[[#This Row],[累计净值]]/MAX(INDIRECT("B21:B" &amp; ROW()))-1,E202)</f>
        <v>-5.6404230317273707E-2</v>
      </c>
      <c r="F203" s="110">
        <f>表2_36716262930389121314152324252627[[#This Row],[累计净值]]</f>
        <v>1.891</v>
      </c>
      <c r="G203" s="20">
        <f>表2_36716262930389121314152324252627[[#This Row],[累计净值]]/$B$21-1</f>
        <v>0.28029790115098163</v>
      </c>
    </row>
    <row r="204" spans="1:7">
      <c r="A204" s="15">
        <v>44328</v>
      </c>
      <c r="B204" s="117">
        <v>1.9139999999999999</v>
      </c>
      <c r="C204" s="108">
        <f t="shared" si="64"/>
        <v>2.2999999999999909E-2</v>
      </c>
      <c r="D204" s="109" t="str">
        <f t="shared" si="65"/>
        <v>/</v>
      </c>
      <c r="E204" s="109">
        <f ca="1">IF(表2_36716262930389121314152324252627[[#This Row],[累计净值]]/MAX(INDIRECT("B21:B" &amp; ROW()))-1&lt;E203,表2_36716262930389121314152324252627[[#This Row],[累计净值]]/MAX(INDIRECT("B21:B" &amp; ROW()))-1,E203)</f>
        <v>-5.6404230317273707E-2</v>
      </c>
      <c r="F204" s="110">
        <f>表2_36716262930389121314152324252627[[#This Row],[累计净值]]</f>
        <v>1.9139999999999999</v>
      </c>
      <c r="G204" s="20">
        <f>表2_36716262930389121314152324252627[[#This Row],[累计净值]]/$B$21-1</f>
        <v>0.29587000677048048</v>
      </c>
    </row>
    <row r="205" spans="1:7">
      <c r="A205" s="15">
        <v>44329</v>
      </c>
      <c r="B205" s="112">
        <v>1.903</v>
      </c>
      <c r="C205" s="108">
        <f t="shared" si="64"/>
        <v>-1.0999999999999899E-2</v>
      </c>
      <c r="D205" s="109">
        <f t="shared" si="65"/>
        <v>-1.0999999999999899E-2</v>
      </c>
      <c r="E205" s="109">
        <f ca="1">IF(表2_36716262930389121314152324252627[[#This Row],[累计净值]]/MAX(INDIRECT("B21:B" &amp; ROW()))-1&lt;E204,表2_36716262930389121314152324252627[[#This Row],[累计净值]]/MAX(INDIRECT("B21:B" &amp; ROW()))-1,E204)</f>
        <v>-5.6404230317273707E-2</v>
      </c>
      <c r="F205" s="110">
        <f>表2_36716262930389121314152324252627[[#This Row],[累计净值]]</f>
        <v>1.903</v>
      </c>
      <c r="G205" s="20">
        <f>表2_36716262930389121314152324252627[[#This Row],[累计净值]]/$B$21-1</f>
        <v>0.28842247799593768</v>
      </c>
    </row>
    <row r="206" spans="1:7">
      <c r="A206" s="15">
        <v>44330</v>
      </c>
      <c r="B206" s="112">
        <v>1.8839999999999999</v>
      </c>
      <c r="C206" s="108">
        <f t="shared" si="64"/>
        <v>-1.9000000000000128E-2</v>
      </c>
      <c r="D206" s="109">
        <f t="shared" si="65"/>
        <v>-1.9000000000000128E-2</v>
      </c>
      <c r="E206" s="109">
        <f ca="1">IF(表2_36716262930389121314152324252627[[#This Row],[累计净值]]/MAX(INDIRECT("B21:B" &amp; ROW()))-1&lt;E205,表2_36716262930389121314152324252627[[#This Row],[累计净值]]/MAX(INDIRECT("B21:B" &amp; ROW()))-1,E205)</f>
        <v>-5.6404230317273707E-2</v>
      </c>
      <c r="F206" s="110">
        <f>表2_36716262930389121314152324252627[[#This Row],[累计净值]]</f>
        <v>1.8839999999999999</v>
      </c>
      <c r="G206" s="20">
        <f>表2_36716262930389121314152324252627[[#This Row],[累计净值]]/$B$21-1</f>
        <v>0.27555856465809048</v>
      </c>
    </row>
    <row r="207" spans="1:7">
      <c r="A207" s="15">
        <v>44333</v>
      </c>
      <c r="B207" s="112">
        <v>1.8740000000000001</v>
      </c>
      <c r="C207" s="108">
        <f>IFERROR(B207-B206,0)</f>
        <v>-9.9999999999997868E-3</v>
      </c>
      <c r="D207" s="109">
        <f>IF(C207&lt;0,C207,"/")</f>
        <v>-9.9999999999997868E-3</v>
      </c>
      <c r="E207" s="109">
        <f ca="1">IF(表2_36716262930389121314152324252627[[#This Row],[累计净值]]/MAX(INDIRECT("B21:B" &amp; ROW()))-1&lt;E206,表2_36716262930389121314152324252627[[#This Row],[累计净值]]/MAX(INDIRECT("B21:B" &amp; ROW()))-1,E206)</f>
        <v>-5.6404230317273707E-2</v>
      </c>
      <c r="F207" s="110">
        <f>表2_36716262930389121314152324252627[[#This Row],[累计净值]]</f>
        <v>1.8740000000000001</v>
      </c>
      <c r="G207" s="20">
        <f>表2_36716262930389121314152324252627[[#This Row],[累计净值]]/$B$21-1</f>
        <v>0.2687880839539607</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G189"/>
  <sheetViews>
    <sheetView workbookViewId="0">
      <pane xSplit="1" ySplit="20" topLeftCell="B172" activePane="bottomRight" state="frozen"/>
      <selection pane="topRight" activeCell="B1" sqref="B1"/>
      <selection pane="bottomLeft" activeCell="A21" sqref="A21"/>
      <selection pane="bottomRight" activeCell="G188" sqref="G188:G18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COUNT(表2_36716262930389121314152324252627282930[每日盈亏])</f>
        <v>169</v>
      </c>
      <c r="C2" s="27"/>
      <c r="D2" s="3" t="s">
        <v>1</v>
      </c>
      <c r="E2" s="28"/>
      <c r="F2" s="1" t="s">
        <v>2</v>
      </c>
      <c r="G2" s="400" t="s">
        <v>3</v>
      </c>
    </row>
    <row r="3" spans="1:7">
      <c r="A3" s="25" t="s">
        <v>4</v>
      </c>
      <c r="B3" s="26">
        <f>COUNTIF(表2_36716262930389121314152324252627282930[每日盈亏],"&gt;0")</f>
        <v>69</v>
      </c>
      <c r="C3" s="29"/>
      <c r="D3" s="30" t="s">
        <v>5</v>
      </c>
      <c r="E3" s="31">
        <f>245^0.5*(B10-0.025/365)/E10</f>
        <v>0.15154842205641506</v>
      </c>
      <c r="G3" s="400"/>
    </row>
    <row r="4" spans="1:7">
      <c r="A4" s="25" t="s">
        <v>6</v>
      </c>
      <c r="B4" s="26">
        <f>COUNTIF(表2_36716262930389121314152324252627282930[每日盈亏],"&lt;0")</f>
        <v>88</v>
      </c>
      <c r="C4" s="29"/>
      <c r="D4" s="32" t="s">
        <v>7</v>
      </c>
      <c r="E4" s="31">
        <f ca="1">-B9/E8</f>
        <v>0.4156195783719745</v>
      </c>
      <c r="G4" s="2">
        <f>LOOKUP(999^10,表2_36716262930389121314152324252627282930[累计净值])</f>
        <v>1.028</v>
      </c>
    </row>
    <row r="5" spans="1:7">
      <c r="A5" s="25" t="s">
        <v>8</v>
      </c>
      <c r="B5" s="26">
        <f>B2-B3-B4</f>
        <v>12</v>
      </c>
      <c r="C5" s="29"/>
      <c r="D5" s="33" t="s">
        <v>9</v>
      </c>
      <c r="E5" s="4">
        <f>245^0.5*(B10-0.025/365)/E9</f>
        <v>0.2631984313795947</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LOOKUP(999^10,表2_36716262930389121314152324252627282930[累计净值])/$B$21-1</f>
        <v>2.6973026973027059E-2</v>
      </c>
      <c r="C8" s="40"/>
      <c r="D8" s="30" t="s">
        <v>13</v>
      </c>
      <c r="E8" s="41">
        <f ca="1">MIN(表2_36716262930389121314152324252627282930[最大回撤])</f>
        <v>-9.4083414161008627E-2</v>
      </c>
    </row>
    <row r="9" spans="1:7">
      <c r="A9" s="25" t="s">
        <v>14</v>
      </c>
      <c r="B9" s="32">
        <f>B8*245/B2</f>
        <v>3.910290892539426E-2</v>
      </c>
      <c r="C9" s="40"/>
      <c r="D9" s="33" t="s">
        <v>15</v>
      </c>
      <c r="E9" s="6">
        <f>STDEV(表2_36716262930389121314152324252627282930[下跌幅度])</f>
        <v>5.0759642185668899E-3</v>
      </c>
    </row>
    <row r="10" spans="1:7">
      <c r="A10" s="42" t="s">
        <v>16</v>
      </c>
      <c r="B10" s="43">
        <f>AVERAGE(表2_36716262930389121314152324252627282930[每日盈亏])</f>
        <v>1.5384615384615529E-4</v>
      </c>
      <c r="C10" s="44"/>
      <c r="D10" s="33" t="s">
        <v>17</v>
      </c>
      <c r="E10" s="6">
        <f>STDEV(表2_36716262930389121314152324252627282930[每日盈亏])</f>
        <v>8.8155706403094357E-3</v>
      </c>
    </row>
    <row r="11" spans="1:7">
      <c r="A11" s="7" t="s">
        <v>18</v>
      </c>
      <c r="B11" s="32">
        <f>B3/B2</f>
        <v>0.40828402366863903</v>
      </c>
      <c r="C11" s="40"/>
      <c r="D11" s="32" t="s">
        <v>19</v>
      </c>
      <c r="E11" s="41">
        <f>245^0.5*E10</f>
        <v>0.13798550648528274</v>
      </c>
    </row>
    <row r="12" spans="1:7" ht="16" thickBot="1">
      <c r="A12" s="45" t="s">
        <v>20</v>
      </c>
      <c r="B12" s="46">
        <f>-(SUMIF(表2_36716262930389121314152324252627282930[每日盈亏],"&gt;=0")/B3)/(SUMIF(表2_36716262930389121314152324252627282930[每日盈亏],"&lt;0")/B4)</f>
        <v>1.3388861124993063</v>
      </c>
      <c r="C12" s="47"/>
      <c r="D12" s="48"/>
      <c r="E12" s="49"/>
    </row>
    <row r="14" spans="1:7" ht="32">
      <c r="A14" s="50" t="s">
        <v>21</v>
      </c>
      <c r="B14" s="50" t="s">
        <v>14</v>
      </c>
      <c r="C14" s="51" t="s">
        <v>19</v>
      </c>
      <c r="D14" s="51" t="s">
        <v>13</v>
      </c>
      <c r="E14" s="51" t="s">
        <v>5</v>
      </c>
      <c r="F14" s="51" t="s">
        <v>7</v>
      </c>
    </row>
    <row r="15" spans="1:7">
      <c r="A15" s="78">
        <f>B2</f>
        <v>169</v>
      </c>
      <c r="B15" s="53">
        <f>B9</f>
        <v>3.910290892539426E-2</v>
      </c>
      <c r="C15" s="53">
        <f>E11</f>
        <v>0.13798550648528274</v>
      </c>
      <c r="D15" s="53">
        <f ca="1">E8</f>
        <v>-9.4083414161008627E-2</v>
      </c>
      <c r="E15" s="54">
        <f>E3</f>
        <v>0.15154842205641506</v>
      </c>
      <c r="F15" s="54">
        <f ca="1">E4</f>
        <v>0.4156195783719745</v>
      </c>
    </row>
    <row r="19" spans="1:7">
      <c r="A19" s="8"/>
      <c r="B19" s="1" t="s">
        <v>22</v>
      </c>
    </row>
    <row r="20" spans="1:7" ht="16">
      <c r="A20" s="22" t="s">
        <v>23</v>
      </c>
      <c r="B20" s="22" t="s">
        <v>24</v>
      </c>
      <c r="C20" s="22" t="s">
        <v>25</v>
      </c>
      <c r="D20" s="22" t="s">
        <v>26</v>
      </c>
      <c r="E20" s="22" t="s">
        <v>27</v>
      </c>
      <c r="F20" s="22" t="s">
        <v>28</v>
      </c>
      <c r="G20" s="22" t="s">
        <v>29</v>
      </c>
    </row>
    <row r="21" spans="1:7">
      <c r="A21" s="15">
        <v>44074</v>
      </c>
      <c r="B21" s="112">
        <v>1.0009999999999999</v>
      </c>
      <c r="C21" s="11">
        <f>IFERROR(B21-B20,0)</f>
        <v>0</v>
      </c>
      <c r="D21" s="12" t="str">
        <f t="shared" ref="D21:D27" si="0">IF(C21&lt;0,C21,"/")</f>
        <v>/</v>
      </c>
      <c r="E21" s="12">
        <f ca="1">IF(表2_36716262930389121314152324252627282930[[#This Row],[累计净值]]/MAX(INDIRECT("B21:B" &amp; ROW()))-1&lt;E20,表2_36716262930389121314152324252627282930[[#This Row],[累计净值]]/MAX(INDIRECT("B21:B" &amp; ROW()))-1,E20)</f>
        <v>0</v>
      </c>
      <c r="F21" s="13">
        <f>表2_36716262930389121314152324252627282930[[#This Row],[累计净值]]</f>
        <v>1.0009999999999999</v>
      </c>
      <c r="G21" s="194" t="s">
        <v>30</v>
      </c>
    </row>
    <row r="22" spans="1:7">
      <c r="A22" s="15">
        <v>44075</v>
      </c>
      <c r="B22" s="112">
        <v>1.0069999999999999</v>
      </c>
      <c r="C22" s="17">
        <f>IFERROR(B22-B21,0)</f>
        <v>6.0000000000000053E-3</v>
      </c>
      <c r="D22" s="18" t="str">
        <f t="shared" si="0"/>
        <v>/</v>
      </c>
      <c r="E22" s="18">
        <f ca="1">IF(表2_36716262930389121314152324252627282930[[#This Row],[累计净值]]/MAX(INDIRECT("B21:B" &amp; ROW()))-1&lt;E21,表2_36716262930389121314152324252627282930[[#This Row],[累计净值]]/MAX(INDIRECT("B21:B" &amp; ROW()))-1,E21)</f>
        <v>0</v>
      </c>
      <c r="F22" s="19">
        <f>表2_36716262930389121314152324252627282930[[#This Row],[累计净值]]</f>
        <v>1.0069999999999999</v>
      </c>
      <c r="G22" s="20">
        <f>表2_36716262930389121314152324252627282930[[#This Row],[累计净值]]/$B$21-1</f>
        <v>5.9940059940060131E-3</v>
      </c>
    </row>
    <row r="23" spans="1:7">
      <c r="A23" s="15">
        <v>44076</v>
      </c>
      <c r="B23" s="112">
        <v>1.0109999999999999</v>
      </c>
      <c r="C23" s="17">
        <f>IFERROR(B23-B22,0)</f>
        <v>4.0000000000000036E-3</v>
      </c>
      <c r="D23" s="109" t="str">
        <f t="shared" si="0"/>
        <v>/</v>
      </c>
      <c r="E23" s="18">
        <f ca="1">IF(表2_36716262930389121314152324252627282930[[#This Row],[累计净值]]/MAX(INDIRECT("B21:B" &amp; ROW()))-1&lt;E22,表2_36716262930389121314152324252627282930[[#This Row],[累计净值]]/MAX(INDIRECT("B21:B" &amp; ROW()))-1,E22)</f>
        <v>0</v>
      </c>
      <c r="F23" s="110">
        <f>表2_36716262930389121314152324252627282930[[#This Row],[累计净值]]</f>
        <v>1.0109999999999999</v>
      </c>
      <c r="G23" s="20">
        <f>表2_36716262930389121314152324252627282930[[#This Row],[累计净值]]/$B$21-1</f>
        <v>9.9900099900100958E-3</v>
      </c>
    </row>
    <row r="24" spans="1:7">
      <c r="A24" s="15">
        <v>44077</v>
      </c>
      <c r="B24" s="112">
        <v>1.016</v>
      </c>
      <c r="C24" s="17">
        <f>IFERROR(B24-B23,0)</f>
        <v>5.0000000000001155E-3</v>
      </c>
      <c r="D24" s="109" t="str">
        <f t="shared" si="0"/>
        <v>/</v>
      </c>
      <c r="E24" s="18">
        <f ca="1">IF(表2_36716262930389121314152324252627282930[[#This Row],[累计净值]]/MAX(INDIRECT("B21:B" &amp; ROW()))-1&lt;E23,表2_36716262930389121314152324252627282930[[#This Row],[累计净值]]/MAX(INDIRECT("B21:B" &amp; ROW()))-1,E23)</f>
        <v>0</v>
      </c>
      <c r="F24" s="110">
        <f>表2_36716262930389121314152324252627282930[[#This Row],[累计净值]]</f>
        <v>1.016</v>
      </c>
      <c r="G24" s="20">
        <f>表2_36716262930389121314152324252627282930[[#This Row],[累计净值]]/$B$21-1</f>
        <v>1.4985014985015033E-2</v>
      </c>
    </row>
    <row r="25" spans="1:7">
      <c r="A25" s="15">
        <v>44078</v>
      </c>
      <c r="B25" s="112">
        <v>1.022</v>
      </c>
      <c r="C25" s="17">
        <f>IFERROR(B25-B24,0)</f>
        <v>6.0000000000000053E-3</v>
      </c>
      <c r="D25" s="109" t="str">
        <f t="shared" si="0"/>
        <v>/</v>
      </c>
      <c r="E25" s="18">
        <f ca="1">IF(表2_36716262930389121314152324252627282930[[#This Row],[累计净值]]/MAX(INDIRECT("B21:B" &amp; ROW()))-1&lt;E24,表2_36716262930389121314152324252627282930[[#This Row],[累计净值]]/MAX(INDIRECT("B21:B" &amp; ROW()))-1,E24)</f>
        <v>0</v>
      </c>
      <c r="F25" s="110">
        <f>表2_36716262930389121314152324252627282930[[#This Row],[累计净值]]</f>
        <v>1.022</v>
      </c>
      <c r="G25" s="20">
        <f>表2_36716262930389121314152324252627282930[[#This Row],[累计净值]]/$B$21-1</f>
        <v>2.0979020979021046E-2</v>
      </c>
    </row>
    <row r="26" spans="1:7">
      <c r="A26" s="15">
        <v>44081</v>
      </c>
      <c r="B26" s="112">
        <v>1.0229999999999999</v>
      </c>
      <c r="C26" s="108">
        <f>IFERROR(B26-#REF!,0)</f>
        <v>0</v>
      </c>
      <c r="D26" s="109" t="str">
        <f t="shared" si="0"/>
        <v>/</v>
      </c>
      <c r="E26" s="18">
        <f ca="1">IF(表2_36716262930389121314152324252627282930[[#This Row],[累计净值]]/MAX(INDIRECT("B21:B" &amp; ROW()))-1&lt;E25,表2_36716262930389121314152324252627282930[[#This Row],[累计净值]]/MAX(INDIRECT("B21:B" &amp; ROW()))-1,E25)</f>
        <v>0</v>
      </c>
      <c r="F26" s="110">
        <f>表2_36716262930389121314152324252627282930[[#This Row],[累计净值]]</f>
        <v>1.0229999999999999</v>
      </c>
      <c r="G26" s="20">
        <f>表2_36716262930389121314152324252627282930[[#This Row],[累计净值]]/$B$21-1</f>
        <v>2.19780219780219E-2</v>
      </c>
    </row>
    <row r="27" spans="1:7">
      <c r="A27" s="15">
        <v>44082</v>
      </c>
      <c r="B27" s="112">
        <v>1.0229999999999999</v>
      </c>
      <c r="C27" s="108">
        <f t="shared" ref="C27:C32" si="1">IFERROR(B27-B26,0)</f>
        <v>0</v>
      </c>
      <c r="D27" s="109" t="str">
        <f t="shared" si="0"/>
        <v>/</v>
      </c>
      <c r="E27" s="18">
        <f ca="1">IF(表2_36716262930389121314152324252627282930[[#This Row],[累计净值]]/MAX(INDIRECT("B21:B" &amp; ROW()))-1&lt;E26,表2_36716262930389121314152324252627282930[[#This Row],[累计净值]]/MAX(INDIRECT("B21:B" &amp; ROW()))-1,E26)</f>
        <v>0</v>
      </c>
      <c r="F27" s="110">
        <f>表2_36716262930389121314152324252627282930[[#This Row],[累计净值]]</f>
        <v>1.0229999999999999</v>
      </c>
      <c r="G27" s="20">
        <f>表2_36716262930389121314152324252627282930[[#This Row],[累计净值]]/$B$21-1</f>
        <v>2.19780219780219E-2</v>
      </c>
    </row>
    <row r="28" spans="1:7">
      <c r="A28" s="15">
        <v>44083</v>
      </c>
      <c r="B28" s="112">
        <v>1.0229999999999999</v>
      </c>
      <c r="C28" s="108">
        <f t="shared" si="1"/>
        <v>0</v>
      </c>
      <c r="D28" s="109" t="str">
        <f t="shared" ref="D28:D33" si="2">IF(C28&lt;0,C28,"/")</f>
        <v>/</v>
      </c>
      <c r="E28" s="109">
        <f ca="1">IF(表2_36716262930389121314152324252627282930[[#This Row],[累计净值]]/MAX(INDIRECT("B21:B" &amp; ROW()))-1&lt;E27,表2_36716262930389121314152324252627282930[[#This Row],[累计净值]]/MAX(INDIRECT("B21:B" &amp; ROW()))-1,E27)</f>
        <v>0</v>
      </c>
      <c r="F28" s="110">
        <f>表2_36716262930389121314152324252627282930[[#This Row],[累计净值]]</f>
        <v>1.0229999999999999</v>
      </c>
      <c r="G28" s="20">
        <f>表2_36716262930389121314152324252627282930[[#This Row],[累计净值]]/$B$21-1</f>
        <v>2.19780219780219E-2</v>
      </c>
    </row>
    <row r="29" spans="1:7">
      <c r="A29" s="15">
        <v>44084</v>
      </c>
      <c r="B29" s="112">
        <v>1.024</v>
      </c>
      <c r="C29" s="108">
        <f t="shared" si="1"/>
        <v>1.0000000000001119E-3</v>
      </c>
      <c r="D29" s="109" t="str">
        <f t="shared" si="2"/>
        <v>/</v>
      </c>
      <c r="E29" s="109">
        <f ca="1">IF(表2_36716262930389121314152324252627282930[[#This Row],[累计净值]]/MAX(INDIRECT("B21:B" &amp; ROW()))-1&lt;E28,表2_36716262930389121314152324252627282930[[#This Row],[累计净值]]/MAX(INDIRECT("B21:B" &amp; ROW()))-1,E28)</f>
        <v>0</v>
      </c>
      <c r="F29" s="110">
        <f>表2_36716262930389121314152324252627282930[[#This Row],[累计净值]]</f>
        <v>1.024</v>
      </c>
      <c r="G29" s="20">
        <f>表2_36716262930389121314152324252627282930[[#This Row],[累计净值]]/$B$21-1</f>
        <v>2.2977022977023198E-2</v>
      </c>
    </row>
    <row r="30" spans="1:7">
      <c r="A30" s="15">
        <v>44085</v>
      </c>
      <c r="B30" s="112">
        <v>1.0249999999999999</v>
      </c>
      <c r="C30" s="108">
        <f t="shared" si="1"/>
        <v>9.9999999999988987E-4</v>
      </c>
      <c r="D30" s="109" t="str">
        <f t="shared" si="2"/>
        <v>/</v>
      </c>
      <c r="E30" s="109">
        <f ca="1">IF(表2_36716262930389121314152324252627282930[[#This Row],[累计净值]]/MAX(INDIRECT("B21:B" &amp; ROW()))-1&lt;E29,表2_36716262930389121314152324252627282930[[#This Row],[累计净值]]/MAX(INDIRECT("B21:B" &amp; ROW()))-1,E29)</f>
        <v>0</v>
      </c>
      <c r="F30" s="110">
        <f>表2_36716262930389121314152324252627282930[[#This Row],[累计净值]]</f>
        <v>1.0249999999999999</v>
      </c>
      <c r="G30" s="20">
        <f>表2_36716262930389121314152324252627282930[[#This Row],[累计净值]]/$B$21-1</f>
        <v>2.3976023976024052E-2</v>
      </c>
    </row>
    <row r="31" spans="1:7">
      <c r="A31" s="15">
        <v>44088</v>
      </c>
      <c r="B31" s="112">
        <v>1.0309999999999999</v>
      </c>
      <c r="C31" s="108">
        <f t="shared" si="1"/>
        <v>6.0000000000000053E-3</v>
      </c>
      <c r="D31" s="109" t="str">
        <f t="shared" si="2"/>
        <v>/</v>
      </c>
      <c r="E31" s="109">
        <f ca="1">IF(表2_36716262930389121314152324252627282930[[#This Row],[累计净值]]/MAX(INDIRECT("B21:B" &amp; ROW()))-1&lt;E30,表2_36716262930389121314152324252627282930[[#This Row],[累计净值]]/MAX(INDIRECT("B21:B" &amp; ROW()))-1,E30)</f>
        <v>0</v>
      </c>
      <c r="F31" s="110">
        <f>表2_36716262930389121314152324252627282930[[#This Row],[累计净值]]</f>
        <v>1.0309999999999999</v>
      </c>
      <c r="G31" s="20">
        <f>表2_36716262930389121314152324252627282930[[#This Row],[累计净值]]/$B$21-1</f>
        <v>2.9970029970030065E-2</v>
      </c>
    </row>
    <row r="32" spans="1:7">
      <c r="A32" s="15">
        <v>44089</v>
      </c>
      <c r="B32" s="112">
        <v>1.028</v>
      </c>
      <c r="C32" s="108">
        <f t="shared" si="1"/>
        <v>-2.9999999999998916E-3</v>
      </c>
      <c r="D32" s="109">
        <f t="shared" si="2"/>
        <v>-2.9999999999998916E-3</v>
      </c>
      <c r="E32" s="109">
        <f ca="1">IF(表2_36716262930389121314152324252627282930[[#This Row],[累计净值]]/MAX(INDIRECT("B21:B" &amp; ROW()))-1&lt;E31,表2_36716262930389121314152324252627282930[[#This Row],[累计净值]]/MAX(INDIRECT("B21:B" &amp; ROW()))-1,E31)</f>
        <v>-2.9097963142579175E-3</v>
      </c>
      <c r="F32" s="110">
        <f>表2_36716262930389121314152324252627282930[[#This Row],[累计净值]]</f>
        <v>1.028</v>
      </c>
      <c r="G32" s="20">
        <f>表2_36716262930389121314152324252627282930[[#This Row],[累计净值]]/$B$21-1</f>
        <v>2.6973026973027059E-2</v>
      </c>
    </row>
    <row r="33" spans="1:7">
      <c r="A33" s="15">
        <v>44090</v>
      </c>
      <c r="B33" s="112">
        <v>1.0189999999999999</v>
      </c>
      <c r="C33" s="108">
        <f t="shared" ref="C33:C38" si="3">IFERROR(B33-B32,0)</f>
        <v>-9.000000000000119E-3</v>
      </c>
      <c r="D33" s="109">
        <f t="shared" si="2"/>
        <v>-9.000000000000119E-3</v>
      </c>
      <c r="E33" s="109">
        <f ca="1">IF(表2_36716262930389121314152324252627282930[[#This Row],[累计净值]]/MAX(INDIRECT("B21:B" &amp; ROW()))-1&lt;E32,表2_36716262930389121314152324252627282930[[#This Row],[累计净值]]/MAX(INDIRECT("B21:B" &amp; ROW()))-1,E32)</f>
        <v>-1.1639185257032003E-2</v>
      </c>
      <c r="F33" s="110">
        <f>表2_36716262930389121314152324252627282930[[#This Row],[累计净值]]</f>
        <v>1.0189999999999999</v>
      </c>
      <c r="G33" s="20">
        <f>表2_36716262930389121314152324252627282930[[#This Row],[累计净值]]/$B$21-1</f>
        <v>1.7982017982018039E-2</v>
      </c>
    </row>
    <row r="34" spans="1:7">
      <c r="A34" s="15">
        <v>44091</v>
      </c>
      <c r="B34" s="112">
        <v>1.026</v>
      </c>
      <c r="C34" s="108">
        <f t="shared" si="3"/>
        <v>7.0000000000001172E-3</v>
      </c>
      <c r="D34" s="109" t="str">
        <f t="shared" ref="D34:D39" si="4">IF(C34&lt;0,C34,"/")</f>
        <v>/</v>
      </c>
      <c r="E34" s="109">
        <f ca="1">IF(表2_36716262930389121314152324252627282930[[#This Row],[累计净值]]/MAX(INDIRECT("B21:B" &amp; ROW()))-1&lt;E33,表2_36716262930389121314152324252627282930[[#This Row],[累计净值]]/MAX(INDIRECT("B21:B" &amp; ROW()))-1,E33)</f>
        <v>-1.1639185257032003E-2</v>
      </c>
      <c r="F34" s="110">
        <f>表2_36716262930389121314152324252627282930[[#This Row],[累计净值]]</f>
        <v>1.026</v>
      </c>
      <c r="G34" s="20">
        <f>表2_36716262930389121314152324252627282930[[#This Row],[累计净值]]/$B$21-1</f>
        <v>2.4975024975025129E-2</v>
      </c>
    </row>
    <row r="35" spans="1:7">
      <c r="A35" s="15">
        <v>44092</v>
      </c>
      <c r="B35" s="112">
        <v>1.0169999999999999</v>
      </c>
      <c r="C35" s="108">
        <f t="shared" si="3"/>
        <v>-9.000000000000119E-3</v>
      </c>
      <c r="D35" s="109">
        <f t="shared" si="4"/>
        <v>-9.000000000000119E-3</v>
      </c>
      <c r="E35" s="109">
        <f ca="1">IF(表2_36716262930389121314152324252627282930[[#This Row],[累计净值]]/MAX(INDIRECT("B21:B" &amp; ROW()))-1&lt;E34,表2_36716262930389121314152324252627282930[[#This Row],[累计净值]]/MAX(INDIRECT("B21:B" &amp; ROW()))-1,E34)</f>
        <v>-1.3579049466537318E-2</v>
      </c>
      <c r="F35" s="110">
        <f>表2_36716262930389121314152324252627282930[[#This Row],[累计净值]]</f>
        <v>1.0169999999999999</v>
      </c>
      <c r="G35" s="20">
        <f>表2_36716262930389121314152324252627282930[[#This Row],[累计净值]]/$B$21-1</f>
        <v>1.5984015984016109E-2</v>
      </c>
    </row>
    <row r="36" spans="1:7">
      <c r="A36" s="15">
        <v>44095</v>
      </c>
      <c r="B36" s="112">
        <v>1</v>
      </c>
      <c r="C36" s="108">
        <f t="shared" si="3"/>
        <v>-1.6999999999999904E-2</v>
      </c>
      <c r="D36" s="109">
        <f t="shared" si="4"/>
        <v>-1.6999999999999904E-2</v>
      </c>
      <c r="E36" s="109">
        <f ca="1">IF(表2_36716262930389121314152324252627282930[[#This Row],[累计净值]]/MAX(INDIRECT("B21:B" &amp; ROW()))-1&lt;E35,表2_36716262930389121314152324252627282930[[#This Row],[累计净值]]/MAX(INDIRECT("B21:B" &amp; ROW()))-1,E35)</f>
        <v>-3.0067895247332554E-2</v>
      </c>
      <c r="F36" s="110">
        <f>表2_36716262930389121314152324252627282930[[#This Row],[累计净值]]</f>
        <v>1</v>
      </c>
      <c r="G36" s="20">
        <f>表2_36716262930389121314152324252627282930[[#This Row],[累计净值]]/$B$21-1</f>
        <v>-9.9900099900085415E-4</v>
      </c>
    </row>
    <row r="37" spans="1:7">
      <c r="A37" s="15">
        <v>44096</v>
      </c>
      <c r="B37" s="112">
        <v>1</v>
      </c>
      <c r="C37" s="108">
        <f t="shared" si="3"/>
        <v>0</v>
      </c>
      <c r="D37" s="109" t="str">
        <f t="shared" si="4"/>
        <v>/</v>
      </c>
      <c r="E37" s="109">
        <f ca="1">IF(表2_36716262930389121314152324252627282930[[#This Row],[累计净值]]/MAX(INDIRECT("B21:B" &amp; ROW()))-1&lt;E36,表2_36716262930389121314152324252627282930[[#This Row],[累计净值]]/MAX(INDIRECT("B21:B" &amp; ROW()))-1,E36)</f>
        <v>-3.0067895247332554E-2</v>
      </c>
      <c r="F37" s="110">
        <f>表2_36716262930389121314152324252627282930[[#This Row],[累计净值]]</f>
        <v>1</v>
      </c>
      <c r="G37" s="20">
        <f>表2_36716262930389121314152324252627282930[[#This Row],[累计净值]]/$B$21-1</f>
        <v>-9.9900099900085415E-4</v>
      </c>
    </row>
    <row r="38" spans="1:7">
      <c r="A38" s="15">
        <v>44097</v>
      </c>
      <c r="B38" s="112">
        <v>0.996</v>
      </c>
      <c r="C38" s="108">
        <f t="shared" si="3"/>
        <v>-4.0000000000000036E-3</v>
      </c>
      <c r="D38" s="109">
        <f t="shared" si="4"/>
        <v>-4.0000000000000036E-3</v>
      </c>
      <c r="E38" s="109">
        <f ca="1">IF(表2_36716262930389121314152324252627282930[[#This Row],[累计净值]]/MAX(INDIRECT("B21:B" &amp; ROW()))-1&lt;E37,表2_36716262930389121314152324252627282930[[#This Row],[累计净值]]/MAX(INDIRECT("B21:B" &amp; ROW()))-1,E37)</f>
        <v>-3.3947623666343296E-2</v>
      </c>
      <c r="F38" s="110">
        <f>表2_36716262930389121314152324252627282930[[#This Row],[累计净值]]</f>
        <v>0.996</v>
      </c>
      <c r="G38" s="20">
        <f>表2_36716262930389121314152324252627282930[[#This Row],[累计净值]]/$B$21-1</f>
        <v>-4.9950049950049369E-3</v>
      </c>
    </row>
    <row r="39" spans="1:7">
      <c r="A39" s="15">
        <v>44098</v>
      </c>
      <c r="B39" s="112">
        <v>0.98899999999999999</v>
      </c>
      <c r="C39" s="108">
        <f t="shared" ref="C39:C44" si="5">IFERROR(B39-B38,0)</f>
        <v>-7.0000000000000062E-3</v>
      </c>
      <c r="D39" s="109">
        <f t="shared" si="4"/>
        <v>-7.0000000000000062E-3</v>
      </c>
      <c r="E39" s="109">
        <f ca="1">IF(表2_36716262930389121314152324252627282930[[#This Row],[累计净值]]/MAX(INDIRECT("B21:B" &amp; ROW()))-1&lt;E38,表2_36716262930389121314152324252627282930[[#This Row],[累计净值]]/MAX(INDIRECT("B21:B" &amp; ROW()))-1,E38)</f>
        <v>-4.0737148399611955E-2</v>
      </c>
      <c r="F39" s="110">
        <f>表2_36716262930389121314152324252627282930[[#This Row],[累计净值]]</f>
        <v>0.98899999999999999</v>
      </c>
      <c r="G39" s="20">
        <f>表2_36716262930389121314152324252627282930[[#This Row],[累计净值]]/$B$21-1</f>
        <v>-1.1988011988011915E-2</v>
      </c>
    </row>
    <row r="40" spans="1:7">
      <c r="A40" s="15">
        <v>44099</v>
      </c>
      <c r="B40" s="112">
        <v>0.98499999999999999</v>
      </c>
      <c r="C40" s="108">
        <f t="shared" si="5"/>
        <v>-4.0000000000000036E-3</v>
      </c>
      <c r="D40" s="109">
        <f t="shared" ref="D40:D45" si="6">IF(C40&lt;0,C40,"/")</f>
        <v>-4.0000000000000036E-3</v>
      </c>
      <c r="E40" s="109">
        <f ca="1">IF(表2_36716262930389121314152324252627282930[[#This Row],[累计净值]]/MAX(INDIRECT("B21:B" &amp; ROW()))-1&lt;E39,表2_36716262930389121314152324252627282930[[#This Row],[累计净值]]/MAX(INDIRECT("B21:B" &amp; ROW()))-1,E39)</f>
        <v>-4.4616876818622586E-2</v>
      </c>
      <c r="F40" s="110">
        <f>表2_36716262930389121314152324252627282930[[#This Row],[累计净值]]</f>
        <v>0.98499999999999999</v>
      </c>
      <c r="G40" s="20">
        <f>表2_36716262930389121314152324252627282930[[#This Row],[累计净值]]/$B$21-1</f>
        <v>-1.5984015984015887E-2</v>
      </c>
    </row>
    <row r="41" spans="1:7">
      <c r="A41" s="15">
        <v>44102</v>
      </c>
      <c r="B41" s="112">
        <v>0.98399999999999999</v>
      </c>
      <c r="C41" s="108">
        <f t="shared" si="5"/>
        <v>-1.0000000000000009E-3</v>
      </c>
      <c r="D41" s="109">
        <f t="shared" si="6"/>
        <v>-1.0000000000000009E-3</v>
      </c>
      <c r="E41" s="109">
        <f ca="1">IF(表2_36716262930389121314152324252627282930[[#This Row],[累计净值]]/MAX(INDIRECT("B21:B" &amp; ROW()))-1&lt;E40,表2_36716262930389121314152324252627282930[[#This Row],[累计净值]]/MAX(INDIRECT("B21:B" &amp; ROW()))-1,E40)</f>
        <v>-4.5586808923375299E-2</v>
      </c>
      <c r="F41" s="110">
        <f>表2_36716262930389121314152324252627282930[[#This Row],[累计净值]]</f>
        <v>0.98399999999999999</v>
      </c>
      <c r="G41" s="20">
        <f>表2_36716262930389121314152324252627282930[[#This Row],[累计净值]]/$B$21-1</f>
        <v>-1.6983016983016852E-2</v>
      </c>
    </row>
    <row r="42" spans="1:7">
      <c r="A42" s="15">
        <v>44103</v>
      </c>
      <c r="B42" s="112">
        <v>0.99299999999999999</v>
      </c>
      <c r="C42" s="108">
        <f t="shared" si="5"/>
        <v>9.000000000000008E-3</v>
      </c>
      <c r="D42" s="109" t="str">
        <f t="shared" si="6"/>
        <v>/</v>
      </c>
      <c r="E42" s="109">
        <f ca="1">IF(表2_36716262930389121314152324252627282930[[#This Row],[累计净值]]/MAX(INDIRECT("B21:B" &amp; ROW()))-1&lt;E41,表2_36716262930389121314152324252627282930[[#This Row],[累计净值]]/MAX(INDIRECT("B21:B" &amp; ROW()))-1,E41)</f>
        <v>-4.5586808923375299E-2</v>
      </c>
      <c r="F42" s="110">
        <f>表2_36716262930389121314152324252627282930[[#This Row],[累计净值]]</f>
        <v>0.99299999999999999</v>
      </c>
      <c r="G42" s="20">
        <f>表2_36716262930389121314152324252627282930[[#This Row],[累计净值]]/$B$21-1</f>
        <v>-7.9920079920079434E-3</v>
      </c>
    </row>
    <row r="43" spans="1:7">
      <c r="A43" s="15">
        <v>44104</v>
      </c>
      <c r="B43" s="112">
        <v>0.98599999999999999</v>
      </c>
      <c r="C43" s="108">
        <f t="shared" si="5"/>
        <v>-7.0000000000000062E-3</v>
      </c>
      <c r="D43" s="109">
        <f t="shared" si="6"/>
        <v>-7.0000000000000062E-3</v>
      </c>
      <c r="E43" s="109">
        <f ca="1">IF(表2_36716262930389121314152324252627282930[[#This Row],[累计净值]]/MAX(INDIRECT("B21:B" &amp; ROW()))-1&lt;E42,表2_36716262930389121314152324252627282930[[#This Row],[累计净值]]/MAX(INDIRECT("B21:B" &amp; ROW()))-1,E42)</f>
        <v>-4.5586808923375299E-2</v>
      </c>
      <c r="F43" s="110">
        <f>表2_36716262930389121314152324252627282930[[#This Row],[累计净值]]</f>
        <v>0.98599999999999999</v>
      </c>
      <c r="G43" s="20">
        <f>表2_36716262930389121314152324252627282930[[#This Row],[累计净值]]/$B$21-1</f>
        <v>-1.4985014985014922E-2</v>
      </c>
    </row>
    <row r="44" spans="1:7">
      <c r="A44" s="15">
        <v>44113</v>
      </c>
      <c r="B44" s="112">
        <v>0.98199999999999998</v>
      </c>
      <c r="C44" s="108">
        <f t="shared" si="5"/>
        <v>-4.0000000000000036E-3</v>
      </c>
      <c r="D44" s="109">
        <f t="shared" si="6"/>
        <v>-4.0000000000000036E-3</v>
      </c>
      <c r="E44" s="109">
        <f ca="1">IF(表2_36716262930389121314152324252627282930[[#This Row],[累计净值]]/MAX(INDIRECT("B21:B" &amp; ROW()))-1&lt;E43,表2_36716262930389121314152324252627282930[[#This Row],[累计净值]]/MAX(INDIRECT("B21:B" &amp; ROW()))-1,E43)</f>
        <v>-4.7526673132880615E-2</v>
      </c>
      <c r="F44" s="110">
        <f>表2_36716262930389121314152324252627282930[[#This Row],[累计净值]]</f>
        <v>0.98199999999999998</v>
      </c>
      <c r="G44" s="20">
        <f>表2_36716262930389121314152324252627282930[[#This Row],[累计净值]]/$B$21-1</f>
        <v>-1.8981018981018893E-2</v>
      </c>
    </row>
    <row r="45" spans="1:7">
      <c r="A45" s="15">
        <v>44116</v>
      </c>
      <c r="B45" s="112">
        <v>0.96099999999999997</v>
      </c>
      <c r="C45" s="108">
        <f t="shared" ref="C45:C50" si="7">IFERROR(B45-B44,0)</f>
        <v>-2.1000000000000019E-2</v>
      </c>
      <c r="D45" s="109">
        <f t="shared" si="6"/>
        <v>-2.1000000000000019E-2</v>
      </c>
      <c r="E45" s="109">
        <f ca="1">IF(表2_36716262930389121314152324252627282930[[#This Row],[累计净值]]/MAX(INDIRECT("B21:B" &amp; ROW()))-1&lt;E44,表2_36716262930389121314152324252627282930[[#This Row],[累计净值]]/MAX(INDIRECT("B21:B" &amp; ROW()))-1,E44)</f>
        <v>-6.7895247332686703E-2</v>
      </c>
      <c r="F45" s="110">
        <f>表2_36716262930389121314152324252627282930[[#This Row],[累计净值]]</f>
        <v>0.96099999999999997</v>
      </c>
      <c r="G45" s="20">
        <f>表2_36716262930389121314152324252627282930[[#This Row],[累计净值]]/$B$21-1</f>
        <v>-3.9960039960039939E-2</v>
      </c>
    </row>
    <row r="46" spans="1:7">
      <c r="A46" s="15">
        <v>44117</v>
      </c>
      <c r="B46" s="112">
        <v>0.96899999999999997</v>
      </c>
      <c r="C46" s="108">
        <f t="shared" si="7"/>
        <v>8.0000000000000071E-3</v>
      </c>
      <c r="D46" s="109" t="str">
        <f t="shared" ref="D46:D51" si="8">IF(C46&lt;0,C46,"/")</f>
        <v>/</v>
      </c>
      <c r="E46" s="109">
        <f ca="1">IF(表2_36716262930389121314152324252627282930[[#This Row],[累计净值]]/MAX(INDIRECT("B21:B" &amp; ROW()))-1&lt;E45,表2_36716262930389121314152324252627282930[[#This Row],[累计净值]]/MAX(INDIRECT("B21:B" &amp; ROW()))-1,E45)</f>
        <v>-6.7895247332686703E-2</v>
      </c>
      <c r="F46" s="110">
        <f>表2_36716262930389121314152324252627282930[[#This Row],[累计净值]]</f>
        <v>0.96899999999999997</v>
      </c>
      <c r="G46" s="20">
        <f>表2_36716262930389121314152324252627282930[[#This Row],[累计净值]]/$B$21-1</f>
        <v>-3.1968031968031885E-2</v>
      </c>
    </row>
    <row r="47" spans="1:7">
      <c r="A47" s="15">
        <v>44118</v>
      </c>
      <c r="B47" s="112">
        <v>0.96799999999999997</v>
      </c>
      <c r="C47" s="108">
        <f t="shared" si="7"/>
        <v>-1.0000000000000009E-3</v>
      </c>
      <c r="D47" s="109">
        <f t="shared" si="8"/>
        <v>-1.0000000000000009E-3</v>
      </c>
      <c r="E47" s="109">
        <f ca="1">IF(表2_36716262930389121314152324252627282930[[#This Row],[累计净值]]/MAX(INDIRECT("B21:B" &amp; ROW()))-1&lt;E46,表2_36716262930389121314152324252627282930[[#This Row],[累计净值]]/MAX(INDIRECT("B21:B" &amp; ROW()))-1,E46)</f>
        <v>-6.7895247332686703E-2</v>
      </c>
      <c r="F47" s="110">
        <f>表2_36716262930389121314152324252627282930[[#This Row],[累计净值]]</f>
        <v>0.96799999999999997</v>
      </c>
      <c r="G47" s="20">
        <f>表2_36716262930389121314152324252627282930[[#This Row],[累计净值]]/$B$21-1</f>
        <v>-3.296703296703285E-2</v>
      </c>
    </row>
    <row r="48" spans="1:7">
      <c r="A48" s="15">
        <v>44119</v>
      </c>
      <c r="B48" s="112">
        <v>0.97199999999999998</v>
      </c>
      <c r="C48" s="108">
        <f t="shared" si="7"/>
        <v>4.0000000000000036E-3</v>
      </c>
      <c r="D48" s="109" t="str">
        <f t="shared" si="8"/>
        <v>/</v>
      </c>
      <c r="E48" s="109">
        <f ca="1">IF(表2_36716262930389121314152324252627282930[[#This Row],[累计净值]]/MAX(INDIRECT("B21:B" &amp; ROW()))-1&lt;E47,表2_36716262930389121314152324252627282930[[#This Row],[累计净值]]/MAX(INDIRECT("B21:B" &amp; ROW()))-1,E47)</f>
        <v>-6.7895247332686703E-2</v>
      </c>
      <c r="F48" s="110">
        <f>表2_36716262930389121314152324252627282930[[#This Row],[累计净值]]</f>
        <v>0.97199999999999998</v>
      </c>
      <c r="G48" s="20">
        <f>表2_36716262930389121314152324252627282930[[#This Row],[累计净值]]/$B$21-1</f>
        <v>-2.8971028971028878E-2</v>
      </c>
    </row>
    <row r="49" spans="1:7">
      <c r="A49" s="15">
        <v>44120</v>
      </c>
      <c r="B49" s="112">
        <v>0.97</v>
      </c>
      <c r="C49" s="108">
        <f t="shared" si="7"/>
        <v>-2.0000000000000018E-3</v>
      </c>
      <c r="D49" s="109">
        <f t="shared" si="8"/>
        <v>-2.0000000000000018E-3</v>
      </c>
      <c r="E49" s="109">
        <f ca="1">IF(表2_36716262930389121314152324252627282930[[#This Row],[累计净值]]/MAX(INDIRECT("B21:B" &amp; ROW()))-1&lt;E48,表2_36716262930389121314152324252627282930[[#This Row],[累计净值]]/MAX(INDIRECT("B21:B" &amp; ROW()))-1,E48)</f>
        <v>-6.7895247332686703E-2</v>
      </c>
      <c r="F49" s="110">
        <f>表2_36716262930389121314152324252627282930[[#This Row],[累计净值]]</f>
        <v>0.97</v>
      </c>
      <c r="G49" s="20">
        <f>表2_36716262930389121314152324252627282930[[#This Row],[累计净值]]/$B$21-1</f>
        <v>-3.096903096903092E-2</v>
      </c>
    </row>
    <row r="50" spans="1:7">
      <c r="A50" s="15">
        <v>44123</v>
      </c>
      <c r="B50" s="112">
        <v>0.96699999999999997</v>
      </c>
      <c r="C50" s="108">
        <f t="shared" si="7"/>
        <v>-3.0000000000000027E-3</v>
      </c>
      <c r="D50" s="109">
        <f t="shared" si="8"/>
        <v>-3.0000000000000027E-3</v>
      </c>
      <c r="E50" s="109">
        <f ca="1">IF(表2_36716262930389121314152324252627282930[[#This Row],[累计净值]]/MAX(INDIRECT("B21:B" &amp; ROW()))-1&lt;E49,表2_36716262930389121314152324252627282930[[#This Row],[累计净值]]/MAX(INDIRECT("B21:B" &amp; ROW()))-1,E49)</f>
        <v>-6.7895247332686703E-2</v>
      </c>
      <c r="F50" s="110">
        <f>表2_36716262930389121314152324252627282930[[#This Row],[累计净值]]</f>
        <v>0.96699999999999997</v>
      </c>
      <c r="G50" s="20">
        <f>表2_36716262930389121314152324252627282930[[#This Row],[累计净值]]/$B$21-1</f>
        <v>-3.3966033966033926E-2</v>
      </c>
    </row>
    <row r="51" spans="1:7">
      <c r="A51" s="15">
        <v>44124</v>
      </c>
      <c r="B51" s="112">
        <v>0.97699999999999998</v>
      </c>
      <c r="C51" s="108">
        <f t="shared" ref="C51:C56" si="9">IFERROR(B51-B50,0)</f>
        <v>1.0000000000000009E-2</v>
      </c>
      <c r="D51" s="109" t="str">
        <f t="shared" si="8"/>
        <v>/</v>
      </c>
      <c r="E51" s="109">
        <f ca="1">IF(表2_36716262930389121314152324252627282930[[#This Row],[累计净值]]/MAX(INDIRECT("B21:B" &amp; ROW()))-1&lt;E50,表2_36716262930389121314152324252627282930[[#This Row],[累计净值]]/MAX(INDIRECT("B21:B" &amp; ROW()))-1,E50)</f>
        <v>-6.7895247332686703E-2</v>
      </c>
      <c r="F51" s="110">
        <f>表2_36716262930389121314152324252627282930[[#This Row],[累计净值]]</f>
        <v>0.97699999999999998</v>
      </c>
      <c r="G51" s="20">
        <f>表2_36716262930389121314152324252627282930[[#This Row],[累计净值]]/$B$21-1</f>
        <v>-2.3976023976023941E-2</v>
      </c>
    </row>
    <row r="52" spans="1:7">
      <c r="A52" s="15">
        <v>44125</v>
      </c>
      <c r="B52" s="112">
        <v>0.97199999999999998</v>
      </c>
      <c r="C52" s="108">
        <f t="shared" si="9"/>
        <v>-5.0000000000000044E-3</v>
      </c>
      <c r="D52" s="109">
        <f t="shared" ref="D52:D57" si="10">IF(C52&lt;0,C52,"/")</f>
        <v>-5.0000000000000044E-3</v>
      </c>
      <c r="E52" s="109">
        <f ca="1">IF(表2_36716262930389121314152324252627282930[[#This Row],[累计净值]]/MAX(INDIRECT("B21:B" &amp; ROW()))-1&lt;E51,表2_36716262930389121314152324252627282930[[#This Row],[累计净值]]/MAX(INDIRECT("B21:B" &amp; ROW()))-1,E51)</f>
        <v>-6.7895247332686703E-2</v>
      </c>
      <c r="F52" s="110">
        <f>表2_36716262930389121314152324252627282930[[#This Row],[累计净值]]</f>
        <v>0.97199999999999998</v>
      </c>
      <c r="G52" s="20">
        <f>表2_36716262930389121314152324252627282930[[#This Row],[累计净值]]/$B$21-1</f>
        <v>-2.8971028971028878E-2</v>
      </c>
    </row>
    <row r="53" spans="1:7">
      <c r="A53" s="15">
        <v>44126</v>
      </c>
      <c r="B53" s="112">
        <v>0.96799999999999997</v>
      </c>
      <c r="C53" s="108">
        <f t="shared" si="9"/>
        <v>-4.0000000000000036E-3</v>
      </c>
      <c r="D53" s="109">
        <f t="shared" si="10"/>
        <v>-4.0000000000000036E-3</v>
      </c>
      <c r="E53" s="109">
        <f ca="1">IF(表2_36716262930389121314152324252627282930[[#This Row],[累计净值]]/MAX(INDIRECT("B21:B" &amp; ROW()))-1&lt;E52,表2_36716262930389121314152324252627282930[[#This Row],[累计净值]]/MAX(INDIRECT("B21:B" &amp; ROW()))-1,E52)</f>
        <v>-6.7895247332686703E-2</v>
      </c>
      <c r="F53" s="110">
        <f>表2_36716262930389121314152324252627282930[[#This Row],[累计净值]]</f>
        <v>0.96799999999999997</v>
      </c>
      <c r="G53" s="20">
        <f>表2_36716262930389121314152324252627282930[[#This Row],[累计净值]]/$B$21-1</f>
        <v>-3.296703296703285E-2</v>
      </c>
    </row>
    <row r="54" spans="1:7">
      <c r="A54" s="15">
        <v>44127</v>
      </c>
      <c r="B54" s="112">
        <v>0.95699999999999996</v>
      </c>
      <c r="C54" s="108">
        <f t="shared" si="9"/>
        <v>-1.100000000000001E-2</v>
      </c>
      <c r="D54" s="109">
        <f t="shared" si="10"/>
        <v>-1.100000000000001E-2</v>
      </c>
      <c r="E54" s="109">
        <f ca="1">IF(表2_36716262930389121314152324252627282930[[#This Row],[累计净值]]/MAX(INDIRECT("B21:B" &amp; ROW()))-1&lt;E53,表2_36716262930389121314152324252627282930[[#This Row],[累计净值]]/MAX(INDIRECT("B21:B" &amp; ROW()))-1,E53)</f>
        <v>-7.1774975751697334E-2</v>
      </c>
      <c r="F54" s="110">
        <f>表2_36716262930389121314152324252627282930[[#This Row],[累计净值]]</f>
        <v>0.95699999999999996</v>
      </c>
      <c r="G54" s="20">
        <f>表2_36716262930389121314152324252627282930[[#This Row],[累计净值]]/$B$21-1</f>
        <v>-4.3956043956043911E-2</v>
      </c>
    </row>
    <row r="55" spans="1:7">
      <c r="A55" s="15">
        <v>44130</v>
      </c>
      <c r="B55" s="112">
        <v>0.94099999999999995</v>
      </c>
      <c r="C55" s="108">
        <f t="shared" si="9"/>
        <v>-1.6000000000000014E-2</v>
      </c>
      <c r="D55" s="109">
        <f t="shared" si="10"/>
        <v>-1.6000000000000014E-2</v>
      </c>
      <c r="E55" s="109">
        <f ca="1">IF(表2_36716262930389121314152324252627282930[[#This Row],[累计净值]]/MAX(INDIRECT("B21:B" &amp; ROW()))-1&lt;E54,表2_36716262930389121314152324252627282930[[#This Row],[累计净值]]/MAX(INDIRECT("B21:B" &amp; ROW()))-1,E54)</f>
        <v>-8.7293889427740079E-2</v>
      </c>
      <c r="F55" s="110">
        <f>表2_36716262930389121314152324252627282930[[#This Row],[累计净值]]</f>
        <v>0.94099999999999995</v>
      </c>
      <c r="G55" s="20">
        <f>表2_36716262930389121314152324252627282930[[#This Row],[累计净值]]/$B$21-1</f>
        <v>-5.9940059940059909E-2</v>
      </c>
    </row>
    <row r="56" spans="1:7">
      <c r="A56" s="15">
        <v>44131</v>
      </c>
      <c r="B56" s="112">
        <v>0.94599999999999995</v>
      </c>
      <c r="C56" s="108">
        <f t="shared" si="9"/>
        <v>5.0000000000000044E-3</v>
      </c>
      <c r="D56" s="109" t="str">
        <f t="shared" si="10"/>
        <v>/</v>
      </c>
      <c r="E56" s="109">
        <f ca="1">IF(表2_36716262930389121314152324252627282930[[#This Row],[累计净值]]/MAX(INDIRECT("B21:B" &amp; ROW()))-1&lt;E55,表2_36716262930389121314152324252627282930[[#This Row],[累计净值]]/MAX(INDIRECT("B21:B" &amp; ROW()))-1,E55)</f>
        <v>-8.7293889427740079E-2</v>
      </c>
      <c r="F56" s="110">
        <f>表2_36716262930389121314152324252627282930[[#This Row],[累计净值]]</f>
        <v>0.94599999999999995</v>
      </c>
      <c r="G56" s="20">
        <f>表2_36716262930389121314152324252627282930[[#This Row],[累计净值]]/$B$21-1</f>
        <v>-5.4945054945054861E-2</v>
      </c>
    </row>
    <row r="57" spans="1:7">
      <c r="A57" s="15">
        <v>44132</v>
      </c>
      <c r="B57" s="112">
        <v>0.94899999999999995</v>
      </c>
      <c r="C57" s="108">
        <f t="shared" ref="C57:C62" si="11">IFERROR(B57-B56,0)</f>
        <v>3.0000000000000027E-3</v>
      </c>
      <c r="D57" s="109" t="str">
        <f t="shared" si="10"/>
        <v>/</v>
      </c>
      <c r="E57" s="109">
        <f ca="1">IF(表2_36716262930389121314152324252627282930[[#This Row],[累计净值]]/MAX(INDIRECT("B21:B" &amp; ROW()))-1&lt;E56,表2_36716262930389121314152324252627282930[[#This Row],[累计净值]]/MAX(INDIRECT("B21:B" &amp; ROW()))-1,E56)</f>
        <v>-8.7293889427740079E-2</v>
      </c>
      <c r="F57" s="110">
        <f>表2_36716262930389121314152324252627282930[[#This Row],[累计净值]]</f>
        <v>0.94899999999999995</v>
      </c>
      <c r="G57" s="20">
        <f>表2_36716262930389121314152324252627282930[[#This Row],[累计净值]]/$B$21-1</f>
        <v>-5.1948051948051854E-2</v>
      </c>
    </row>
    <row r="58" spans="1:7">
      <c r="A58" s="15">
        <v>44133</v>
      </c>
      <c r="B58" s="112">
        <v>0.96</v>
      </c>
      <c r="C58" s="108">
        <f t="shared" si="11"/>
        <v>1.100000000000001E-2</v>
      </c>
      <c r="D58" s="109" t="str">
        <f t="shared" ref="D58:D63" si="12">IF(C58&lt;0,C58,"/")</f>
        <v>/</v>
      </c>
      <c r="E58" s="109">
        <f ca="1">IF(表2_36716262930389121314152324252627282930[[#This Row],[累计净值]]/MAX(INDIRECT("B21:B" &amp; ROW()))-1&lt;E57,表2_36716262930389121314152324252627282930[[#This Row],[累计净值]]/MAX(INDIRECT("B21:B" &amp; ROW()))-1,E57)</f>
        <v>-8.7293889427740079E-2</v>
      </c>
      <c r="F58" s="110">
        <f>表2_36716262930389121314152324252627282930[[#This Row],[累计净值]]</f>
        <v>0.96</v>
      </c>
      <c r="G58" s="20">
        <f>表2_36716262930389121314152324252627282930[[#This Row],[累计净值]]/$B$21-1</f>
        <v>-4.0959040959040904E-2</v>
      </c>
    </row>
    <row r="59" spans="1:7">
      <c r="A59" s="15">
        <v>44134</v>
      </c>
      <c r="B59" s="112">
        <v>0.95199999999999996</v>
      </c>
      <c r="C59" s="108">
        <f t="shared" si="11"/>
        <v>-8.0000000000000071E-3</v>
      </c>
      <c r="D59" s="109">
        <f t="shared" si="12"/>
        <v>-8.0000000000000071E-3</v>
      </c>
      <c r="E59" s="109">
        <f ca="1">IF(表2_36716262930389121314152324252627282930[[#This Row],[累计净值]]/MAX(INDIRECT("B21:B" &amp; ROW()))-1&lt;E58,表2_36716262930389121314152324252627282930[[#This Row],[累计净值]]/MAX(INDIRECT("B21:B" &amp; ROW()))-1,E58)</f>
        <v>-8.7293889427740079E-2</v>
      </c>
      <c r="F59" s="110">
        <f>表2_36716262930389121314152324252627282930[[#This Row],[累计净值]]</f>
        <v>0.95199999999999996</v>
      </c>
      <c r="G59" s="20">
        <f>表2_36716262930389121314152324252627282930[[#This Row],[累计净值]]/$B$21-1</f>
        <v>-4.8951048951048848E-2</v>
      </c>
    </row>
    <row r="60" spans="1:7">
      <c r="A60" s="15">
        <v>44137</v>
      </c>
      <c r="B60" s="112">
        <v>0.96099999999999997</v>
      </c>
      <c r="C60" s="108">
        <f t="shared" si="11"/>
        <v>9.000000000000008E-3</v>
      </c>
      <c r="D60" s="109" t="str">
        <f t="shared" si="12"/>
        <v>/</v>
      </c>
      <c r="E60" s="109">
        <f ca="1">IF(表2_36716262930389121314152324252627282930[[#This Row],[累计净值]]/MAX(INDIRECT("B21:B" &amp; ROW()))-1&lt;E59,表2_36716262930389121314152324252627282930[[#This Row],[累计净值]]/MAX(INDIRECT("B21:B" &amp; ROW()))-1,E59)</f>
        <v>-8.7293889427740079E-2</v>
      </c>
      <c r="F60" s="110">
        <f>表2_36716262930389121314152324252627282930[[#This Row],[累计净值]]</f>
        <v>0.96099999999999997</v>
      </c>
      <c r="G60" s="20">
        <f>表2_36716262930389121314152324252627282930[[#This Row],[累计净值]]/$B$21-1</f>
        <v>-3.9960039960039939E-2</v>
      </c>
    </row>
    <row r="61" spans="1:7">
      <c r="A61" s="15">
        <v>44138</v>
      </c>
      <c r="B61" s="112">
        <v>0.96499999999999997</v>
      </c>
      <c r="C61" s="108">
        <f t="shared" si="11"/>
        <v>4.0000000000000036E-3</v>
      </c>
      <c r="D61" s="109" t="str">
        <f t="shared" si="12"/>
        <v>/</v>
      </c>
      <c r="E61" s="109">
        <f ca="1">IF(表2_36716262930389121314152324252627282930[[#This Row],[累计净值]]/MAX(INDIRECT("B21:B" &amp; ROW()))-1&lt;E60,表2_36716262930389121314152324252627282930[[#This Row],[累计净值]]/MAX(INDIRECT("B21:B" &amp; ROW()))-1,E60)</f>
        <v>-8.7293889427740079E-2</v>
      </c>
      <c r="F61" s="110">
        <f>表2_36716262930389121314152324252627282930[[#This Row],[累计净值]]</f>
        <v>0.96499999999999997</v>
      </c>
      <c r="G61" s="20">
        <f>表2_36716262930389121314152324252627282930[[#This Row],[累计净值]]/$B$21-1</f>
        <v>-3.5964035964035856E-2</v>
      </c>
    </row>
    <row r="62" spans="1:7">
      <c r="A62" s="15">
        <v>44139</v>
      </c>
      <c r="B62" s="112">
        <v>0.96899999999999997</v>
      </c>
      <c r="C62" s="108">
        <f t="shared" si="11"/>
        <v>4.0000000000000036E-3</v>
      </c>
      <c r="D62" s="109" t="str">
        <f t="shared" si="12"/>
        <v>/</v>
      </c>
      <c r="E62" s="109">
        <f ca="1">IF(表2_36716262930389121314152324252627282930[[#This Row],[累计净值]]/MAX(INDIRECT("B21:B" &amp; ROW()))-1&lt;E61,表2_36716262930389121314152324252627282930[[#This Row],[累计净值]]/MAX(INDIRECT("B21:B" &amp; ROW()))-1,E61)</f>
        <v>-8.7293889427740079E-2</v>
      </c>
      <c r="F62" s="110">
        <f>表2_36716262930389121314152324252627282930[[#This Row],[累计净值]]</f>
        <v>0.96899999999999997</v>
      </c>
      <c r="G62" s="20">
        <f>表2_36716262930389121314152324252627282930[[#This Row],[累计净值]]/$B$21-1</f>
        <v>-3.1968031968031885E-2</v>
      </c>
    </row>
    <row r="63" spans="1:7">
      <c r="A63" s="15">
        <v>44140</v>
      </c>
      <c r="B63" s="112">
        <v>0.96299999999999997</v>
      </c>
      <c r="C63" s="108">
        <f t="shared" ref="C63:C68" si="13">IFERROR(B63-B62,0)</f>
        <v>-6.0000000000000053E-3</v>
      </c>
      <c r="D63" s="109">
        <f t="shared" si="12"/>
        <v>-6.0000000000000053E-3</v>
      </c>
      <c r="E63" s="109">
        <f ca="1">IF(表2_36716262930389121314152324252627282930[[#This Row],[累计净值]]/MAX(INDIRECT("B21:B" &amp; ROW()))-1&lt;E62,表2_36716262930389121314152324252627282930[[#This Row],[累计净值]]/MAX(INDIRECT("B21:B" &amp; ROW()))-1,E62)</f>
        <v>-8.7293889427740079E-2</v>
      </c>
      <c r="F63" s="110">
        <f>表2_36716262930389121314152324252627282930[[#This Row],[累计净值]]</f>
        <v>0.96299999999999997</v>
      </c>
      <c r="G63" s="20">
        <f>表2_36716262930389121314152324252627282930[[#This Row],[累计净值]]/$B$21-1</f>
        <v>-3.7962037962037898E-2</v>
      </c>
    </row>
    <row r="64" spans="1:7">
      <c r="A64" s="15">
        <v>44141</v>
      </c>
      <c r="B64" s="112">
        <v>0.97</v>
      </c>
      <c r="C64" s="108">
        <f t="shared" si="13"/>
        <v>7.0000000000000062E-3</v>
      </c>
      <c r="D64" s="109" t="str">
        <f t="shared" ref="D64:D70" si="14">IF(C64&lt;0,C64,"/")</f>
        <v>/</v>
      </c>
      <c r="E64" s="109">
        <f ca="1">IF(表2_36716262930389121314152324252627282930[[#This Row],[累计净值]]/MAX(INDIRECT("B21:B" &amp; ROW()))-1&lt;E63,表2_36716262930389121314152324252627282930[[#This Row],[累计净值]]/MAX(INDIRECT("B21:B" &amp; ROW()))-1,E63)</f>
        <v>-8.7293889427740079E-2</v>
      </c>
      <c r="F64" s="110">
        <f>表2_36716262930389121314152324252627282930[[#This Row],[累计净值]]</f>
        <v>0.97</v>
      </c>
      <c r="G64" s="20">
        <f>表2_36716262930389121314152324252627282930[[#This Row],[累计净值]]/$B$21-1</f>
        <v>-3.096903096903092E-2</v>
      </c>
    </row>
    <row r="65" spans="1:7">
      <c r="A65" s="15">
        <v>44144</v>
      </c>
      <c r="B65" s="112">
        <v>0.97199999999999998</v>
      </c>
      <c r="C65" s="108">
        <f t="shared" si="13"/>
        <v>2.0000000000000018E-3</v>
      </c>
      <c r="D65" s="109" t="str">
        <f t="shared" si="14"/>
        <v>/</v>
      </c>
      <c r="E65" s="109">
        <f ca="1">IF(表2_36716262930389121314152324252627282930[[#This Row],[累计净值]]/MAX(INDIRECT("B21:B" &amp; ROW()))-1&lt;E64,表2_36716262930389121314152324252627282930[[#This Row],[累计净值]]/MAX(INDIRECT("B21:B" &amp; ROW()))-1,E64)</f>
        <v>-8.7293889427740079E-2</v>
      </c>
      <c r="F65" s="110">
        <f>表2_36716262930389121314152324252627282930[[#This Row],[累计净值]]</f>
        <v>0.97199999999999998</v>
      </c>
      <c r="G65" s="20">
        <f>表2_36716262930389121314152324252627282930[[#This Row],[累计净值]]/$B$21-1</f>
        <v>-2.8971028971028878E-2</v>
      </c>
    </row>
    <row r="66" spans="1:7">
      <c r="A66" s="15">
        <v>44145</v>
      </c>
      <c r="B66" s="112">
        <v>0.95899999999999996</v>
      </c>
      <c r="C66" s="108">
        <f t="shared" si="13"/>
        <v>-1.3000000000000012E-2</v>
      </c>
      <c r="D66" s="109">
        <f t="shared" si="14"/>
        <v>-1.3000000000000012E-2</v>
      </c>
      <c r="E66" s="109">
        <f ca="1">IF(表2_36716262930389121314152324252627282930[[#This Row],[累计净值]]/MAX(INDIRECT("B21:B" &amp; ROW()))-1&lt;E65,表2_36716262930389121314152324252627282930[[#This Row],[累计净值]]/MAX(INDIRECT("B21:B" &amp; ROW()))-1,E65)</f>
        <v>-8.7293889427740079E-2</v>
      </c>
      <c r="F66" s="110">
        <f>表2_36716262930389121314152324252627282930[[#This Row],[累计净值]]</f>
        <v>0.95899999999999996</v>
      </c>
      <c r="G66" s="20">
        <f>表2_36716262930389121314152324252627282930[[#This Row],[累计净值]]/$B$21-1</f>
        <v>-4.195804195804187E-2</v>
      </c>
    </row>
    <row r="67" spans="1:7">
      <c r="A67" s="15">
        <v>44146</v>
      </c>
      <c r="B67" s="112">
        <v>0.95799999999999996</v>
      </c>
      <c r="C67" s="108">
        <f t="shared" si="13"/>
        <v>-1.0000000000000009E-3</v>
      </c>
      <c r="D67" s="109">
        <f t="shared" si="14"/>
        <v>-1.0000000000000009E-3</v>
      </c>
      <c r="E67" s="109">
        <f ca="1">IF(表2_36716262930389121314152324252627282930[[#This Row],[累计净值]]/MAX(INDIRECT("B21:B" &amp; ROW()))-1&lt;E66,表2_36716262930389121314152324252627282930[[#This Row],[累计净值]]/MAX(INDIRECT("B21:B" &amp; ROW()))-1,E66)</f>
        <v>-8.7293889427740079E-2</v>
      </c>
      <c r="F67" s="110">
        <f>表2_36716262930389121314152324252627282930[[#This Row],[累计净值]]</f>
        <v>0.95799999999999996</v>
      </c>
      <c r="G67" s="20">
        <f>表2_36716262930389121314152324252627282930[[#This Row],[累计净值]]/$B$21-1</f>
        <v>-4.2957042957042835E-2</v>
      </c>
    </row>
    <row r="68" spans="1:7">
      <c r="A68" s="15">
        <v>44147</v>
      </c>
      <c r="B68" s="112">
        <v>0.95499999999999996</v>
      </c>
      <c r="C68" s="108">
        <f t="shared" si="13"/>
        <v>-3.0000000000000027E-3</v>
      </c>
      <c r="D68" s="109">
        <f t="shared" si="14"/>
        <v>-3.0000000000000027E-3</v>
      </c>
      <c r="E68" s="109">
        <f ca="1">IF(表2_36716262930389121314152324252627282930[[#This Row],[累计净值]]/MAX(INDIRECT("B21:B" &amp; ROW()))-1&lt;E67,表2_36716262930389121314152324252627282930[[#This Row],[累计净值]]/MAX(INDIRECT("B21:B" &amp; ROW()))-1,E67)</f>
        <v>-8.7293889427740079E-2</v>
      </c>
      <c r="F68" s="110">
        <f>表2_36716262930389121314152324252627282930[[#This Row],[累计净值]]</f>
        <v>0.95499999999999996</v>
      </c>
      <c r="G68" s="20">
        <f>表2_36716262930389121314152324252627282930[[#This Row],[累计净值]]/$B$21-1</f>
        <v>-4.5954045954045841E-2</v>
      </c>
    </row>
    <row r="69" spans="1:7">
      <c r="A69" s="15">
        <v>44148</v>
      </c>
      <c r="B69" s="112">
        <v>0.96599999999999997</v>
      </c>
      <c r="C69" s="108">
        <f t="shared" ref="C69:C74" si="15">IFERROR(B69-B68,0)</f>
        <v>1.100000000000001E-2</v>
      </c>
      <c r="D69" s="109" t="str">
        <f t="shared" si="14"/>
        <v>/</v>
      </c>
      <c r="E69" s="109">
        <f ca="1">IF(表2_36716262930389121314152324252627282930[[#This Row],[累计净值]]/MAX(INDIRECT("B21:B" &amp; ROW()))-1&lt;E68,表2_36716262930389121314152324252627282930[[#This Row],[累计净值]]/MAX(INDIRECT("B21:B" &amp; ROW()))-1,E68)</f>
        <v>-8.7293889427740079E-2</v>
      </c>
      <c r="F69" s="110">
        <f>表2_36716262930389121314152324252627282930[[#This Row],[累计净值]]</f>
        <v>0.96599999999999997</v>
      </c>
      <c r="G69" s="20">
        <f>表2_36716262930389121314152324252627282930[[#This Row],[累计净值]]/$B$21-1</f>
        <v>-3.4965034965034891E-2</v>
      </c>
    </row>
    <row r="70" spans="1:7">
      <c r="A70" s="15">
        <v>44151</v>
      </c>
      <c r="B70" s="112">
        <v>0.96499999999999997</v>
      </c>
      <c r="C70" s="108">
        <f t="shared" si="15"/>
        <v>-1.0000000000000009E-3</v>
      </c>
      <c r="D70" s="109">
        <f t="shared" si="14"/>
        <v>-1.0000000000000009E-3</v>
      </c>
      <c r="E70" s="109">
        <f ca="1">IF(表2_36716262930389121314152324252627282930[[#This Row],[累计净值]]/MAX(INDIRECT("B21:B" &amp; ROW()))-1&lt;E69,表2_36716262930389121314152324252627282930[[#This Row],[累计净值]]/MAX(INDIRECT("B21:B" &amp; ROW()))-1,E69)</f>
        <v>-8.7293889427740079E-2</v>
      </c>
      <c r="F70" s="110">
        <f>表2_36716262930389121314152324252627282930[[#This Row],[累计净值]]</f>
        <v>0.96499999999999997</v>
      </c>
      <c r="G70" s="20">
        <f>表2_36716262930389121314152324252627282930[[#This Row],[累计净值]]/$B$21-1</f>
        <v>-3.5964035964035856E-2</v>
      </c>
    </row>
    <row r="71" spans="1:7">
      <c r="A71" s="15">
        <v>44152</v>
      </c>
      <c r="B71" s="112">
        <v>0.96499999999999997</v>
      </c>
      <c r="C71" s="108">
        <f t="shared" si="15"/>
        <v>0</v>
      </c>
      <c r="D71" s="109" t="str">
        <f t="shared" ref="D71:D76" si="16">IF(C71&lt;0,C71,"/")</f>
        <v>/</v>
      </c>
      <c r="E71" s="109">
        <f ca="1">IF(表2_36716262930389121314152324252627282930[[#This Row],[累计净值]]/MAX(INDIRECT("B21:B" &amp; ROW()))-1&lt;E70,表2_36716262930389121314152324252627282930[[#This Row],[累计净值]]/MAX(INDIRECT("B21:B" &amp; ROW()))-1,E70)</f>
        <v>-8.7293889427740079E-2</v>
      </c>
      <c r="F71" s="110">
        <f>表2_36716262930389121314152324252627282930[[#This Row],[累计净值]]</f>
        <v>0.96499999999999997</v>
      </c>
      <c r="G71" s="20">
        <f>表2_36716262930389121314152324252627282930[[#This Row],[累计净值]]/$B$21-1</f>
        <v>-3.5964035964035856E-2</v>
      </c>
    </row>
    <row r="72" spans="1:7">
      <c r="A72" s="15">
        <v>44153</v>
      </c>
      <c r="B72" s="112">
        <v>0.96799999999999997</v>
      </c>
      <c r="C72" s="108">
        <f t="shared" si="15"/>
        <v>3.0000000000000027E-3</v>
      </c>
      <c r="D72" s="109" t="str">
        <f t="shared" si="16"/>
        <v>/</v>
      </c>
      <c r="E72" s="109">
        <f ca="1">IF(表2_36716262930389121314152324252627282930[[#This Row],[累计净值]]/MAX(INDIRECT("B21:B" &amp; ROW()))-1&lt;E71,表2_36716262930389121314152324252627282930[[#This Row],[累计净值]]/MAX(INDIRECT("B21:B" &amp; ROW()))-1,E71)</f>
        <v>-8.7293889427740079E-2</v>
      </c>
      <c r="F72" s="110">
        <f>表2_36716262930389121314152324252627282930[[#This Row],[累计净值]]</f>
        <v>0.96799999999999997</v>
      </c>
      <c r="G72" s="20">
        <f>表2_36716262930389121314152324252627282930[[#This Row],[累计净值]]/$B$21-1</f>
        <v>-3.296703296703285E-2</v>
      </c>
    </row>
    <row r="73" spans="1:7">
      <c r="A73" s="15">
        <v>44154</v>
      </c>
      <c r="B73" s="112">
        <v>0.98199999999999998</v>
      </c>
      <c r="C73" s="108">
        <f t="shared" si="15"/>
        <v>1.4000000000000012E-2</v>
      </c>
      <c r="D73" s="109" t="str">
        <f t="shared" si="16"/>
        <v>/</v>
      </c>
      <c r="E73" s="109">
        <f ca="1">IF(表2_36716262930389121314152324252627282930[[#This Row],[累计净值]]/MAX(INDIRECT("B21:B" &amp; ROW()))-1&lt;E72,表2_36716262930389121314152324252627282930[[#This Row],[累计净值]]/MAX(INDIRECT("B21:B" &amp; ROW()))-1,E72)</f>
        <v>-8.7293889427740079E-2</v>
      </c>
      <c r="F73" s="110">
        <f>表2_36716262930389121314152324252627282930[[#This Row],[累计净值]]</f>
        <v>0.98199999999999998</v>
      </c>
      <c r="G73" s="20">
        <f>表2_36716262930389121314152324252627282930[[#This Row],[累计净值]]/$B$21-1</f>
        <v>-1.8981018981018893E-2</v>
      </c>
    </row>
    <row r="74" spans="1:7">
      <c r="A74" s="15">
        <v>44155</v>
      </c>
      <c r="B74" s="112">
        <v>0.97499999999999998</v>
      </c>
      <c r="C74" s="108">
        <f t="shared" si="15"/>
        <v>-7.0000000000000062E-3</v>
      </c>
      <c r="D74" s="109">
        <f t="shared" si="16"/>
        <v>-7.0000000000000062E-3</v>
      </c>
      <c r="E74" s="109">
        <f ca="1">IF(表2_36716262930389121314152324252627282930[[#This Row],[累计净值]]/MAX(INDIRECT("B21:B" &amp; ROW()))-1&lt;E73,表2_36716262930389121314152324252627282930[[#This Row],[累计净值]]/MAX(INDIRECT("B21:B" &amp; ROW()))-1,E73)</f>
        <v>-8.7293889427740079E-2</v>
      </c>
      <c r="F74" s="110">
        <f>表2_36716262930389121314152324252627282930[[#This Row],[累计净值]]</f>
        <v>0.97499999999999998</v>
      </c>
      <c r="G74" s="20">
        <f>表2_36716262930389121314152324252627282930[[#This Row],[累计净值]]/$B$21-1</f>
        <v>-2.5974025974025872E-2</v>
      </c>
    </row>
    <row r="75" spans="1:7">
      <c r="A75" s="15">
        <v>44158</v>
      </c>
      <c r="B75" s="112">
        <v>0.95099999999999996</v>
      </c>
      <c r="C75" s="108">
        <f t="shared" ref="C75:C80" si="17">IFERROR(B75-B74,0)</f>
        <v>-2.4000000000000021E-2</v>
      </c>
      <c r="D75" s="109">
        <f t="shared" si="16"/>
        <v>-2.4000000000000021E-2</v>
      </c>
      <c r="E75" s="109">
        <f ca="1">IF(表2_36716262930389121314152324252627282930[[#This Row],[累计净值]]/MAX(INDIRECT("B21:B" &amp; ROW()))-1&lt;E74,表2_36716262930389121314152324252627282930[[#This Row],[累计净值]]/MAX(INDIRECT("B21:B" &amp; ROW()))-1,E74)</f>
        <v>-8.7293889427740079E-2</v>
      </c>
      <c r="F75" s="110">
        <f>表2_36716262930389121314152324252627282930[[#This Row],[累计净值]]</f>
        <v>0.95099999999999996</v>
      </c>
      <c r="G75" s="20">
        <f>表2_36716262930389121314152324252627282930[[#This Row],[累计净值]]/$B$21-1</f>
        <v>-4.9950049950049924E-2</v>
      </c>
    </row>
    <row r="76" spans="1:7">
      <c r="A76" s="15">
        <v>44159</v>
      </c>
      <c r="B76" s="112">
        <v>0.94499999999999995</v>
      </c>
      <c r="C76" s="108">
        <f t="shared" si="17"/>
        <v>-6.0000000000000053E-3</v>
      </c>
      <c r="D76" s="109">
        <f t="shared" si="16"/>
        <v>-6.0000000000000053E-3</v>
      </c>
      <c r="E76" s="109">
        <f ca="1">IF(表2_36716262930389121314152324252627282930[[#This Row],[累计净值]]/MAX(INDIRECT("B21:B" &amp; ROW()))-1&lt;E75,表2_36716262930389121314152324252627282930[[#This Row],[累计净值]]/MAX(INDIRECT("B21:B" &amp; ROW()))-1,E75)</f>
        <v>-8.7293889427740079E-2</v>
      </c>
      <c r="F76" s="110">
        <f>表2_36716262930389121314152324252627282930[[#This Row],[累计净值]]</f>
        <v>0.94499999999999995</v>
      </c>
      <c r="G76" s="20">
        <f>表2_36716262930389121314152324252627282930[[#This Row],[累计净值]]/$B$21-1</f>
        <v>-5.5944055944055937E-2</v>
      </c>
    </row>
    <row r="77" spans="1:7">
      <c r="A77" s="15">
        <v>44160</v>
      </c>
      <c r="B77" s="112">
        <v>0.95599999999999996</v>
      </c>
      <c r="C77" s="108">
        <f t="shared" si="17"/>
        <v>1.100000000000001E-2</v>
      </c>
      <c r="D77" s="109" t="str">
        <f t="shared" ref="D77:D82" si="18">IF(C77&lt;0,C77,"/")</f>
        <v>/</v>
      </c>
      <c r="E77" s="109">
        <f ca="1">IF(表2_36716262930389121314152324252627282930[[#This Row],[累计净值]]/MAX(INDIRECT("B21:B" &amp; ROW()))-1&lt;E76,表2_36716262930389121314152324252627282930[[#This Row],[累计净值]]/MAX(INDIRECT("B21:B" &amp; ROW()))-1,E76)</f>
        <v>-8.7293889427740079E-2</v>
      </c>
      <c r="F77" s="110">
        <f>表2_36716262930389121314152324252627282930[[#This Row],[累计净值]]</f>
        <v>0.95599999999999996</v>
      </c>
      <c r="G77" s="20">
        <f>表2_36716262930389121314152324252627282930[[#This Row],[累计净值]]/$B$21-1</f>
        <v>-4.4955044955044876E-2</v>
      </c>
    </row>
    <row r="78" spans="1:7">
      <c r="A78" s="15">
        <v>44161</v>
      </c>
      <c r="B78" s="112">
        <v>0.95599999999999996</v>
      </c>
      <c r="C78" s="108">
        <f t="shared" si="17"/>
        <v>0</v>
      </c>
      <c r="D78" s="109" t="str">
        <f t="shared" si="18"/>
        <v>/</v>
      </c>
      <c r="E78" s="109">
        <f ca="1">IF(表2_36716262930389121314152324252627282930[[#This Row],[累计净值]]/MAX(INDIRECT("B21:B" &amp; ROW()))-1&lt;E77,表2_36716262930389121314152324252627282930[[#This Row],[累计净值]]/MAX(INDIRECT("B21:B" &amp; ROW()))-1,E77)</f>
        <v>-8.7293889427740079E-2</v>
      </c>
      <c r="F78" s="110">
        <f>表2_36716262930389121314152324252627282930[[#This Row],[累计净值]]</f>
        <v>0.95599999999999996</v>
      </c>
      <c r="G78" s="20">
        <f>表2_36716262930389121314152324252627282930[[#This Row],[累计净值]]/$B$21-1</f>
        <v>-4.4955044955044876E-2</v>
      </c>
    </row>
    <row r="79" spans="1:7">
      <c r="A79" s="15">
        <v>44162</v>
      </c>
      <c r="B79" s="112">
        <v>0.94899999999999995</v>
      </c>
      <c r="C79" s="108">
        <f t="shared" si="17"/>
        <v>-7.0000000000000062E-3</v>
      </c>
      <c r="D79" s="109">
        <f t="shared" si="18"/>
        <v>-7.0000000000000062E-3</v>
      </c>
      <c r="E79" s="109">
        <f ca="1">IF(表2_36716262930389121314152324252627282930[[#This Row],[累计净值]]/MAX(INDIRECT("B21:B" &amp; ROW()))-1&lt;E78,表2_36716262930389121314152324252627282930[[#This Row],[累计净值]]/MAX(INDIRECT("B21:B" &amp; ROW()))-1,E78)</f>
        <v>-8.7293889427740079E-2</v>
      </c>
      <c r="F79" s="110">
        <f>表2_36716262930389121314152324252627282930[[#This Row],[累计净值]]</f>
        <v>0.94899999999999995</v>
      </c>
      <c r="G79" s="20">
        <f>表2_36716262930389121314152324252627282930[[#This Row],[累计净值]]/$B$21-1</f>
        <v>-5.1948051948051854E-2</v>
      </c>
    </row>
    <row r="80" spans="1:7">
      <c r="A80" s="15">
        <v>44165</v>
      </c>
      <c r="B80" s="112">
        <v>0.93700000000000006</v>
      </c>
      <c r="C80" s="108">
        <f t="shared" si="17"/>
        <v>-1.19999999999999E-2</v>
      </c>
      <c r="D80" s="109">
        <f t="shared" si="18"/>
        <v>-1.19999999999999E-2</v>
      </c>
      <c r="E80" s="109">
        <f ca="1">IF(表2_36716262930389121314152324252627282930[[#This Row],[累计净值]]/MAX(INDIRECT("B21:B" &amp; ROW()))-1&lt;E79,表2_36716262930389121314152324252627282930[[#This Row],[累计净值]]/MAX(INDIRECT("B21:B" &amp; ROW()))-1,E79)</f>
        <v>-9.1173617846750599E-2</v>
      </c>
      <c r="F80" s="110">
        <f>表2_36716262930389121314152324252627282930[[#This Row],[累计净值]]</f>
        <v>0.93700000000000006</v>
      </c>
      <c r="G80" s="20">
        <f>表2_36716262930389121314152324252627282930[[#This Row],[累计净值]]/$B$21-1</f>
        <v>-6.3936063936063769E-2</v>
      </c>
    </row>
    <row r="81" spans="1:7">
      <c r="A81" s="15">
        <v>44166</v>
      </c>
      <c r="B81" s="112">
        <v>0.96199999999999997</v>
      </c>
      <c r="C81" s="108">
        <f t="shared" ref="C81:C86" si="19">IFERROR(B81-B80,0)</f>
        <v>2.4999999999999911E-2</v>
      </c>
      <c r="D81" s="109" t="str">
        <f t="shared" si="18"/>
        <v>/</v>
      </c>
      <c r="E81" s="109">
        <f ca="1">IF(表2_36716262930389121314152324252627282930[[#This Row],[累计净值]]/MAX(INDIRECT("B21:B" &amp; ROW()))-1&lt;E80,表2_36716262930389121314152324252627282930[[#This Row],[累计净值]]/MAX(INDIRECT("B21:B" &amp; ROW()))-1,E80)</f>
        <v>-9.1173617846750599E-2</v>
      </c>
      <c r="F81" s="110">
        <f>表2_36716262930389121314152324252627282930[[#This Row],[累计净值]]</f>
        <v>0.96199999999999997</v>
      </c>
      <c r="G81" s="20">
        <f>表2_36716262930389121314152324252627282930[[#This Row],[累计净值]]/$B$21-1</f>
        <v>-3.8961038961038863E-2</v>
      </c>
    </row>
    <row r="82" spans="1:7">
      <c r="A82" s="15">
        <v>44167</v>
      </c>
      <c r="B82" s="112">
        <v>0.96099999999999997</v>
      </c>
      <c r="C82" s="108">
        <f t="shared" si="19"/>
        <v>-1.0000000000000009E-3</v>
      </c>
      <c r="D82" s="109">
        <f t="shared" si="18"/>
        <v>-1.0000000000000009E-3</v>
      </c>
      <c r="E82" s="109">
        <f ca="1">IF(表2_36716262930389121314152324252627282930[[#This Row],[累计净值]]/MAX(INDIRECT("B21:B" &amp; ROW()))-1&lt;E81,表2_36716262930389121314152324252627282930[[#This Row],[累计净值]]/MAX(INDIRECT("B21:B" &amp; ROW()))-1,E81)</f>
        <v>-9.1173617846750599E-2</v>
      </c>
      <c r="F82" s="110">
        <f>表2_36716262930389121314152324252627282930[[#This Row],[累计净值]]</f>
        <v>0.96099999999999997</v>
      </c>
      <c r="G82" s="20">
        <f>表2_36716262930389121314152324252627282930[[#This Row],[累计净值]]/$B$21-1</f>
        <v>-3.9960039960039939E-2</v>
      </c>
    </row>
    <row r="83" spans="1:7">
      <c r="A83" s="15">
        <v>44168</v>
      </c>
      <c r="B83" s="112">
        <v>0.95299999999999996</v>
      </c>
      <c r="C83" s="108">
        <f t="shared" si="19"/>
        <v>-8.0000000000000071E-3</v>
      </c>
      <c r="D83" s="109">
        <f t="shared" ref="D83:D88" si="20">IF(C83&lt;0,C83,"/")</f>
        <v>-8.0000000000000071E-3</v>
      </c>
      <c r="E83" s="109">
        <f ca="1">IF(表2_36716262930389121314152324252627282930[[#This Row],[累计净值]]/MAX(INDIRECT("B21:B" &amp; ROW()))-1&lt;E82,表2_36716262930389121314152324252627282930[[#This Row],[累计净值]]/MAX(INDIRECT("B21:B" &amp; ROW()))-1,E82)</f>
        <v>-9.1173617846750599E-2</v>
      </c>
      <c r="F83" s="110">
        <f>表2_36716262930389121314152324252627282930[[#This Row],[累计净值]]</f>
        <v>0.95299999999999996</v>
      </c>
      <c r="G83" s="20">
        <f>表2_36716262930389121314152324252627282930[[#This Row],[累计净值]]/$B$21-1</f>
        <v>-4.7952047952047883E-2</v>
      </c>
    </row>
    <row r="84" spans="1:7">
      <c r="A84" s="15">
        <v>44169</v>
      </c>
      <c r="B84" s="112">
        <v>0.95199999999999996</v>
      </c>
      <c r="C84" s="108">
        <f t="shared" si="19"/>
        <v>-1.0000000000000009E-3</v>
      </c>
      <c r="D84" s="109">
        <f t="shared" si="20"/>
        <v>-1.0000000000000009E-3</v>
      </c>
      <c r="E84" s="109">
        <f ca="1">IF(表2_36716262930389121314152324252627282930[[#This Row],[累计净值]]/MAX(INDIRECT("B21:B" &amp; ROW()))-1&lt;E83,表2_36716262930389121314152324252627282930[[#This Row],[累计净值]]/MAX(INDIRECT("B21:B" &amp; ROW()))-1,E83)</f>
        <v>-9.1173617846750599E-2</v>
      </c>
      <c r="F84" s="110">
        <f>表2_36716262930389121314152324252627282930[[#This Row],[累计净值]]</f>
        <v>0.95199999999999996</v>
      </c>
      <c r="G84" s="20">
        <f>表2_36716262930389121314152324252627282930[[#This Row],[累计净值]]/$B$21-1</f>
        <v>-4.8951048951048848E-2</v>
      </c>
    </row>
    <row r="85" spans="1:7">
      <c r="A85" s="15">
        <v>44172</v>
      </c>
      <c r="B85" s="112">
        <v>0.95899999999999996</v>
      </c>
      <c r="C85" s="108">
        <f t="shared" si="19"/>
        <v>7.0000000000000062E-3</v>
      </c>
      <c r="D85" s="109" t="str">
        <f t="shared" si="20"/>
        <v>/</v>
      </c>
      <c r="E85" s="109">
        <f ca="1">IF(表2_36716262930389121314152324252627282930[[#This Row],[累计净值]]/MAX(INDIRECT("B21:B" &amp; ROW()))-1&lt;E84,表2_36716262930389121314152324252627282930[[#This Row],[累计净值]]/MAX(INDIRECT("B21:B" &amp; ROW()))-1,E84)</f>
        <v>-9.1173617846750599E-2</v>
      </c>
      <c r="F85" s="110">
        <f>表2_36716262930389121314152324252627282930[[#This Row],[累计净值]]</f>
        <v>0.95899999999999996</v>
      </c>
      <c r="G85" s="20">
        <f>表2_36716262930389121314152324252627282930[[#This Row],[累计净值]]/$B$21-1</f>
        <v>-4.195804195804187E-2</v>
      </c>
    </row>
    <row r="86" spans="1:7">
      <c r="A86" s="15">
        <v>44173</v>
      </c>
      <c r="B86" s="112">
        <v>0.95599999999999996</v>
      </c>
      <c r="C86" s="108">
        <f t="shared" si="19"/>
        <v>-3.0000000000000027E-3</v>
      </c>
      <c r="D86" s="109">
        <f t="shared" si="20"/>
        <v>-3.0000000000000027E-3</v>
      </c>
      <c r="E86" s="109">
        <f ca="1">IF(表2_36716262930389121314152324252627282930[[#This Row],[累计净值]]/MAX(INDIRECT("B21:B" &amp; ROW()))-1&lt;E85,表2_36716262930389121314152324252627282930[[#This Row],[累计净值]]/MAX(INDIRECT("B21:B" &amp; ROW()))-1,E85)</f>
        <v>-9.1173617846750599E-2</v>
      </c>
      <c r="F86" s="110">
        <f>表2_36716262930389121314152324252627282930[[#This Row],[累计净值]]</f>
        <v>0.95599999999999996</v>
      </c>
      <c r="G86" s="20">
        <f>表2_36716262930389121314152324252627282930[[#This Row],[累计净值]]/$B$21-1</f>
        <v>-4.4955044955044876E-2</v>
      </c>
    </row>
    <row r="87" spans="1:7">
      <c r="A87" s="15">
        <v>44174</v>
      </c>
      <c r="B87" s="112">
        <v>0.94899999999999995</v>
      </c>
      <c r="C87" s="108">
        <f>IFERROR(B87-B86,0)</f>
        <v>-7.0000000000000062E-3</v>
      </c>
      <c r="D87" s="109">
        <f t="shared" si="20"/>
        <v>-7.0000000000000062E-3</v>
      </c>
      <c r="E87" s="109">
        <f ca="1">IF(表2_36716262930389121314152324252627282930[[#This Row],[累计净值]]/MAX(INDIRECT("B21:B" &amp; ROW()))-1&lt;E86,表2_36716262930389121314152324252627282930[[#This Row],[累计净值]]/MAX(INDIRECT("B21:B" &amp; ROW()))-1,E86)</f>
        <v>-9.1173617846750599E-2</v>
      </c>
      <c r="F87" s="110">
        <f>表2_36716262930389121314152324252627282930[[#This Row],[累计净值]]</f>
        <v>0.94899999999999995</v>
      </c>
      <c r="G87" s="20">
        <f>表2_36716262930389121314152324252627282930[[#This Row],[累计净值]]/$B$21-1</f>
        <v>-5.1948051948051854E-2</v>
      </c>
    </row>
    <row r="88" spans="1:7">
      <c r="A88" s="15">
        <v>44175</v>
      </c>
      <c r="B88" s="112">
        <v>0.94899999999999995</v>
      </c>
      <c r="C88" s="108">
        <f>IFERROR(B88-B87,0)</f>
        <v>0</v>
      </c>
      <c r="D88" s="109" t="str">
        <f t="shared" si="20"/>
        <v>/</v>
      </c>
      <c r="E88" s="109">
        <f ca="1">IF(表2_36716262930389121314152324252627282930[[#This Row],[累计净值]]/MAX(INDIRECT("B21:B" &amp; ROW()))-1&lt;E87,表2_36716262930389121314152324252627282930[[#This Row],[累计净值]]/MAX(INDIRECT("B21:B" &amp; ROW()))-1,E87)</f>
        <v>-9.1173617846750599E-2</v>
      </c>
      <c r="F88" s="110">
        <f>表2_36716262930389121314152324252627282930[[#This Row],[累计净值]]</f>
        <v>0.94899999999999995</v>
      </c>
      <c r="G88" s="20">
        <f>表2_36716262930389121314152324252627282930[[#This Row],[累计净值]]/$B$21-1</f>
        <v>-5.1948051948051854E-2</v>
      </c>
    </row>
    <row r="89" spans="1:7">
      <c r="A89" s="15">
        <v>44176</v>
      </c>
      <c r="B89" s="112">
        <v>0.95599999999999996</v>
      </c>
      <c r="C89" s="108">
        <f>IFERROR(B89-B88,0)</f>
        <v>7.0000000000000062E-3</v>
      </c>
      <c r="D89" s="109" t="str">
        <f>IF(C89&lt;0,C89,"/")</f>
        <v>/</v>
      </c>
      <c r="E89" s="109">
        <f ca="1">IF(表2_36716262930389121314152324252627282930[[#This Row],[累计净值]]/MAX(INDIRECT("B21:B" &amp; ROW()))-1&lt;E88,表2_36716262930389121314152324252627282930[[#This Row],[累计净值]]/MAX(INDIRECT("B21:B" &amp; ROW()))-1,E88)</f>
        <v>-9.1173617846750599E-2</v>
      </c>
      <c r="F89" s="110">
        <f>表2_36716262930389121314152324252627282930[[#This Row],[累计净值]]</f>
        <v>0.95599999999999996</v>
      </c>
      <c r="G89" s="20">
        <f>表2_36716262930389121314152324252627282930[[#This Row],[累计净值]]/$B$21-1</f>
        <v>-4.4955044955044876E-2</v>
      </c>
    </row>
    <row r="90" spans="1:7">
      <c r="A90" s="15">
        <v>44179</v>
      </c>
      <c r="B90" s="112">
        <v>0.93400000000000005</v>
      </c>
      <c r="C90" s="108">
        <f t="shared" ref="C90:C91" si="21">IFERROR(B90-B89,0)</f>
        <v>-2.1999999999999909E-2</v>
      </c>
      <c r="D90" s="109">
        <f t="shared" ref="D90:D91" si="22">IF(C90&lt;0,C90,"/")</f>
        <v>-2.1999999999999909E-2</v>
      </c>
      <c r="E90" s="109">
        <f ca="1">IF(表2_36716262930389121314152324252627282930[[#This Row],[累计净值]]/MAX(INDIRECT("B21:B" &amp; ROW()))-1&lt;E89,表2_36716262930389121314152324252627282930[[#This Row],[累计净值]]/MAX(INDIRECT("B21:B" &amp; ROW()))-1,E89)</f>
        <v>-9.4083414161008627E-2</v>
      </c>
      <c r="F90" s="110">
        <f>表2_36716262930389121314152324252627282930[[#This Row],[累计净值]]</f>
        <v>0.93400000000000005</v>
      </c>
      <c r="G90" s="20">
        <f>表2_36716262930389121314152324252627282930[[#This Row],[累计净值]]/$B$21-1</f>
        <v>-6.6933066933066776E-2</v>
      </c>
    </row>
    <row r="91" spans="1:7">
      <c r="A91" s="15">
        <v>44180</v>
      </c>
      <c r="B91" s="112">
        <v>0.94299999999999995</v>
      </c>
      <c r="C91" s="108">
        <f t="shared" si="21"/>
        <v>8.999999999999897E-3</v>
      </c>
      <c r="D91" s="109" t="str">
        <f t="shared" si="22"/>
        <v>/</v>
      </c>
      <c r="E91" s="109">
        <f ca="1">IF(表2_36716262930389121314152324252627282930[[#This Row],[累计净值]]/MAX(INDIRECT("B21:B" &amp; ROW()))-1&lt;E90,表2_36716262930389121314152324252627282930[[#This Row],[累计净值]]/MAX(INDIRECT("B21:B" &amp; ROW()))-1,E90)</f>
        <v>-9.4083414161008627E-2</v>
      </c>
      <c r="F91" s="110">
        <f>表2_36716262930389121314152324252627282930[[#This Row],[累计净值]]</f>
        <v>0.94299999999999995</v>
      </c>
      <c r="G91" s="20">
        <f>表2_36716262930389121314152324252627282930[[#This Row],[累计净值]]/$B$21-1</f>
        <v>-5.7942057942057867E-2</v>
      </c>
    </row>
    <row r="92" spans="1:7">
      <c r="A92" s="15">
        <v>44181</v>
      </c>
      <c r="B92" s="112">
        <v>0.95</v>
      </c>
      <c r="C92" s="108">
        <f t="shared" ref="C92:C97" si="23">IFERROR(B92-B91,0)</f>
        <v>7.0000000000000062E-3</v>
      </c>
      <c r="D92" s="109" t="str">
        <f t="shared" ref="D92:D97" si="24">IF(C92&lt;0,C92,"/")</f>
        <v>/</v>
      </c>
      <c r="E92" s="109">
        <f ca="1">IF(表2_36716262930389121314152324252627282930[[#This Row],[累计净值]]/MAX(INDIRECT("B21:B" &amp; ROW()))-1&lt;E91,表2_36716262930389121314152324252627282930[[#This Row],[累计净值]]/MAX(INDIRECT("B21:B" &amp; ROW()))-1,E91)</f>
        <v>-9.4083414161008627E-2</v>
      </c>
      <c r="F92" s="110">
        <f>表2_36716262930389121314152324252627282930[[#This Row],[累计净值]]</f>
        <v>0.95</v>
      </c>
      <c r="G92" s="20">
        <f>表2_36716262930389121314152324252627282930[[#This Row],[累计净值]]/$B$21-1</f>
        <v>-5.0949050949050889E-2</v>
      </c>
    </row>
    <row r="93" spans="1:7">
      <c r="A93" s="15">
        <v>44182</v>
      </c>
      <c r="B93" s="112">
        <v>0.96199999999999997</v>
      </c>
      <c r="C93" s="108">
        <f t="shared" si="23"/>
        <v>1.2000000000000011E-2</v>
      </c>
      <c r="D93" s="109" t="str">
        <f t="shared" si="24"/>
        <v>/</v>
      </c>
      <c r="E93" s="109">
        <f ca="1">IF(表2_36716262930389121314152324252627282930[[#This Row],[累计净值]]/MAX(INDIRECT("B21:B" &amp; ROW()))-1&lt;E92,表2_36716262930389121314152324252627282930[[#This Row],[累计净值]]/MAX(INDIRECT("B21:B" &amp; ROW()))-1,E92)</f>
        <v>-9.4083414161008627E-2</v>
      </c>
      <c r="F93" s="110">
        <f>表2_36716262930389121314152324252627282930[[#This Row],[累计净值]]</f>
        <v>0.96199999999999997</v>
      </c>
      <c r="G93" s="20">
        <f>表2_36716262930389121314152324252627282930[[#This Row],[累计净值]]/$B$21-1</f>
        <v>-3.8961038961038863E-2</v>
      </c>
    </row>
    <row r="94" spans="1:7">
      <c r="A94" s="15">
        <v>44183</v>
      </c>
      <c r="B94" s="112">
        <v>0.96099999999999997</v>
      </c>
      <c r="C94" s="108">
        <f t="shared" si="23"/>
        <v>-1.0000000000000009E-3</v>
      </c>
      <c r="D94" s="109">
        <f t="shared" si="24"/>
        <v>-1.0000000000000009E-3</v>
      </c>
      <c r="E94" s="109">
        <f ca="1">IF(表2_36716262930389121314152324252627282930[[#This Row],[累计净值]]/MAX(INDIRECT("B21:B" &amp; ROW()))-1&lt;E93,表2_36716262930389121314152324252627282930[[#This Row],[累计净值]]/MAX(INDIRECT("B21:B" &amp; ROW()))-1,E93)</f>
        <v>-9.4083414161008627E-2</v>
      </c>
      <c r="F94" s="110">
        <f>表2_36716262930389121314152324252627282930[[#This Row],[累计净值]]</f>
        <v>0.96099999999999997</v>
      </c>
      <c r="G94" s="20">
        <f>表2_36716262930389121314152324252627282930[[#This Row],[累计净值]]/$B$21-1</f>
        <v>-3.9960039960039939E-2</v>
      </c>
    </row>
    <row r="95" spans="1:7">
      <c r="A95" s="15">
        <v>44186</v>
      </c>
      <c r="B95" s="112">
        <v>0.97499999999999998</v>
      </c>
      <c r="C95" s="108">
        <f t="shared" si="23"/>
        <v>1.4000000000000012E-2</v>
      </c>
      <c r="D95" s="109" t="str">
        <f t="shared" si="24"/>
        <v>/</v>
      </c>
      <c r="E95" s="109">
        <f ca="1">IF(表2_36716262930389121314152324252627282930[[#This Row],[累计净值]]/MAX(INDIRECT("B21:B" &amp; ROW()))-1&lt;E94,表2_36716262930389121314152324252627282930[[#This Row],[累计净值]]/MAX(INDIRECT("B21:B" &amp; ROW()))-1,E94)</f>
        <v>-9.4083414161008627E-2</v>
      </c>
      <c r="F95" s="110">
        <f>表2_36716262930389121314152324252627282930[[#This Row],[累计净值]]</f>
        <v>0.97499999999999998</v>
      </c>
      <c r="G95" s="20">
        <f>表2_36716262930389121314152324252627282930[[#This Row],[累计净值]]/$B$21-1</f>
        <v>-2.5974025974025872E-2</v>
      </c>
    </row>
    <row r="96" spans="1:7">
      <c r="A96" s="15">
        <v>44187</v>
      </c>
      <c r="B96" s="112">
        <v>0.97399999999999998</v>
      </c>
      <c r="C96" s="108">
        <f t="shared" si="23"/>
        <v>-1.0000000000000009E-3</v>
      </c>
      <c r="D96" s="109">
        <f t="shared" si="24"/>
        <v>-1.0000000000000009E-3</v>
      </c>
      <c r="E96" s="109">
        <f ca="1">IF(表2_36716262930389121314152324252627282930[[#This Row],[累计净值]]/MAX(INDIRECT("B21:B" &amp; ROW()))-1&lt;E95,表2_36716262930389121314152324252627282930[[#This Row],[累计净值]]/MAX(INDIRECT("B21:B" &amp; ROW()))-1,E95)</f>
        <v>-9.4083414161008627E-2</v>
      </c>
      <c r="F96" s="110">
        <f>表2_36716262930389121314152324252627282930[[#This Row],[累计净值]]</f>
        <v>0.97399999999999998</v>
      </c>
      <c r="G96" s="20">
        <f>表2_36716262930389121314152324252627282930[[#This Row],[累计净值]]/$B$21-1</f>
        <v>-2.6973026973026837E-2</v>
      </c>
    </row>
    <row r="97" spans="1:7">
      <c r="A97" s="15">
        <v>44188</v>
      </c>
      <c r="B97" s="112">
        <v>0.97299999999999998</v>
      </c>
      <c r="C97" s="108">
        <f t="shared" si="23"/>
        <v>-1.0000000000000009E-3</v>
      </c>
      <c r="D97" s="109">
        <f t="shared" si="24"/>
        <v>-1.0000000000000009E-3</v>
      </c>
      <c r="E97" s="109">
        <f ca="1">IF(表2_36716262930389121314152324252627282930[[#This Row],[累计净值]]/MAX(INDIRECT("B21:B" &amp; ROW()))-1&lt;E96,表2_36716262930389121314152324252627282930[[#This Row],[累计净值]]/MAX(INDIRECT("B21:B" &amp; ROW()))-1,E96)</f>
        <v>-9.4083414161008627E-2</v>
      </c>
      <c r="F97" s="110">
        <f>表2_36716262930389121314152324252627282930[[#This Row],[累计净值]]</f>
        <v>0.97299999999999998</v>
      </c>
      <c r="G97" s="20">
        <f>表2_36716262930389121314152324252627282930[[#This Row],[累计净值]]/$B$21-1</f>
        <v>-2.7972027972027913E-2</v>
      </c>
    </row>
    <row r="98" spans="1:7">
      <c r="A98" s="15">
        <v>44189</v>
      </c>
      <c r="B98" s="112">
        <v>0.96</v>
      </c>
      <c r="C98" s="108">
        <f t="shared" ref="C98:C103" si="25">IFERROR(B98-B97,0)</f>
        <v>-1.3000000000000012E-2</v>
      </c>
      <c r="D98" s="109">
        <f t="shared" ref="D98:D103" si="26">IF(C98&lt;0,C98,"/")</f>
        <v>-1.3000000000000012E-2</v>
      </c>
      <c r="E98" s="109">
        <f ca="1">IF(表2_36716262930389121314152324252627282930[[#This Row],[累计净值]]/MAX(INDIRECT("B21:B" &amp; ROW()))-1&lt;E97,表2_36716262930389121314152324252627282930[[#This Row],[累计净值]]/MAX(INDIRECT("B21:B" &amp; ROW()))-1,E97)</f>
        <v>-9.4083414161008627E-2</v>
      </c>
      <c r="F98" s="110">
        <f>表2_36716262930389121314152324252627282930[[#This Row],[累计净值]]</f>
        <v>0.96</v>
      </c>
      <c r="G98" s="20">
        <f>表2_36716262930389121314152324252627282930[[#This Row],[累计净值]]/$B$21-1</f>
        <v>-4.0959040959040904E-2</v>
      </c>
    </row>
    <row r="99" spans="1:7">
      <c r="A99" s="15">
        <v>44190</v>
      </c>
      <c r="B99" s="112">
        <v>0.96399999999999997</v>
      </c>
      <c r="C99" s="108">
        <f t="shared" si="25"/>
        <v>4.0000000000000036E-3</v>
      </c>
      <c r="D99" s="109" t="str">
        <f t="shared" si="26"/>
        <v>/</v>
      </c>
      <c r="E99" s="109">
        <f ca="1">IF(表2_36716262930389121314152324252627282930[[#This Row],[累计净值]]/MAX(INDIRECT("B21:B" &amp; ROW()))-1&lt;E98,表2_36716262930389121314152324252627282930[[#This Row],[累计净值]]/MAX(INDIRECT("B21:B" &amp; ROW()))-1,E98)</f>
        <v>-9.4083414161008627E-2</v>
      </c>
      <c r="F99" s="110">
        <f>表2_36716262930389121314152324252627282930[[#This Row],[累计净值]]</f>
        <v>0.96399999999999997</v>
      </c>
      <c r="G99" s="20">
        <f>表2_36716262930389121314152324252627282930[[#This Row],[累计净值]]/$B$21-1</f>
        <v>-3.6963036963036933E-2</v>
      </c>
    </row>
    <row r="100" spans="1:7">
      <c r="A100" s="15">
        <v>44193</v>
      </c>
      <c r="B100" s="112">
        <v>0.96</v>
      </c>
      <c r="C100" s="108">
        <f t="shared" si="25"/>
        <v>-4.0000000000000036E-3</v>
      </c>
      <c r="D100" s="109">
        <f t="shared" si="26"/>
        <v>-4.0000000000000036E-3</v>
      </c>
      <c r="E100" s="109">
        <f ca="1">IF(表2_36716262930389121314152324252627282930[[#This Row],[累计净值]]/MAX(INDIRECT("B21:B" &amp; ROW()))-1&lt;E99,表2_36716262930389121314152324252627282930[[#This Row],[累计净值]]/MAX(INDIRECT("B21:B" &amp; ROW()))-1,E99)</f>
        <v>-9.4083414161008627E-2</v>
      </c>
      <c r="F100" s="110">
        <f>表2_36716262930389121314152324252627282930[[#This Row],[累计净值]]</f>
        <v>0.96</v>
      </c>
      <c r="G100" s="20">
        <f>表2_36716262930389121314152324252627282930[[#This Row],[累计净值]]/$B$21-1</f>
        <v>-4.0959040959040904E-2</v>
      </c>
    </row>
    <row r="101" spans="1:7">
      <c r="A101" s="15">
        <v>44194</v>
      </c>
      <c r="B101" s="112">
        <v>0.95699999999999996</v>
      </c>
      <c r="C101" s="108">
        <f t="shared" si="25"/>
        <v>-3.0000000000000027E-3</v>
      </c>
      <c r="D101" s="109">
        <f t="shared" si="26"/>
        <v>-3.0000000000000027E-3</v>
      </c>
      <c r="E101" s="109">
        <f ca="1">IF(表2_36716262930389121314152324252627282930[[#This Row],[累计净值]]/MAX(INDIRECT("B21:B" &amp; ROW()))-1&lt;E100,表2_36716262930389121314152324252627282930[[#This Row],[累计净值]]/MAX(INDIRECT("B21:B" &amp; ROW()))-1,E100)</f>
        <v>-9.4083414161008627E-2</v>
      </c>
      <c r="F101" s="110">
        <f>表2_36716262930389121314152324252627282930[[#This Row],[累计净值]]</f>
        <v>0.95699999999999996</v>
      </c>
      <c r="G101" s="20">
        <f>表2_36716262930389121314152324252627282930[[#This Row],[累计净值]]/$B$21-1</f>
        <v>-4.3956043956043911E-2</v>
      </c>
    </row>
    <row r="102" spans="1:7">
      <c r="A102" s="15">
        <v>44195</v>
      </c>
      <c r="B102" s="112">
        <v>0.96599999999999997</v>
      </c>
      <c r="C102" s="108">
        <f t="shared" si="25"/>
        <v>9.000000000000008E-3</v>
      </c>
      <c r="D102" s="109" t="str">
        <f t="shared" si="26"/>
        <v>/</v>
      </c>
      <c r="E102" s="109">
        <f ca="1">IF(表2_36716262930389121314152324252627282930[[#This Row],[累计净值]]/MAX(INDIRECT("B21:B" &amp; ROW()))-1&lt;E101,表2_36716262930389121314152324252627282930[[#This Row],[累计净值]]/MAX(INDIRECT("B21:B" &amp; ROW()))-1,E101)</f>
        <v>-9.4083414161008627E-2</v>
      </c>
      <c r="F102" s="110">
        <f>表2_36716262930389121314152324252627282930[[#This Row],[累计净值]]</f>
        <v>0.96599999999999997</v>
      </c>
      <c r="G102" s="20">
        <f>表2_36716262930389121314152324252627282930[[#This Row],[累计净值]]/$B$21-1</f>
        <v>-3.4965034965034891E-2</v>
      </c>
    </row>
    <row r="103" spans="1:7">
      <c r="A103" s="15">
        <v>44196</v>
      </c>
      <c r="B103" s="112">
        <v>0.98299999999999998</v>
      </c>
      <c r="C103" s="108">
        <f t="shared" si="25"/>
        <v>1.7000000000000015E-2</v>
      </c>
      <c r="D103" s="109" t="str">
        <f t="shared" si="26"/>
        <v>/</v>
      </c>
      <c r="E103" s="109">
        <f ca="1">IF(表2_36716262930389121314152324252627282930[[#This Row],[累计净值]]/MAX(INDIRECT("B21:B" &amp; ROW()))-1&lt;E102,表2_36716262930389121314152324252627282930[[#This Row],[累计净值]]/MAX(INDIRECT("B21:B" &amp; ROW()))-1,E102)</f>
        <v>-9.4083414161008627E-2</v>
      </c>
      <c r="F103" s="110">
        <f>表2_36716262930389121314152324252627282930[[#This Row],[累计净值]]</f>
        <v>0.98299999999999998</v>
      </c>
      <c r="G103" s="20">
        <f>表2_36716262930389121314152324252627282930[[#This Row],[累计净值]]/$B$21-1</f>
        <v>-1.7982017982017928E-2</v>
      </c>
    </row>
    <row r="104" spans="1:7">
      <c r="A104" s="15">
        <v>44200</v>
      </c>
      <c r="B104" s="112">
        <v>0.998</v>
      </c>
      <c r="C104" s="108">
        <f>IFERROR(B104-B103,0)</f>
        <v>1.5000000000000013E-2</v>
      </c>
      <c r="D104" s="109" t="str">
        <f>IF(C104&lt;0,C104,"/")</f>
        <v>/</v>
      </c>
      <c r="E104" s="109">
        <f ca="1">IF(表2_36716262930389121314152324252627282930[[#This Row],[累计净值]]/MAX(INDIRECT("B21:B" &amp; ROW()))-1&lt;E103,表2_36716262930389121314152324252627282930[[#This Row],[累计净值]]/MAX(INDIRECT("B21:B" &amp; ROW()))-1,E103)</f>
        <v>-9.4083414161008627E-2</v>
      </c>
      <c r="F104" s="110">
        <f>表2_36716262930389121314152324252627282930[[#This Row],[累计净值]]</f>
        <v>0.998</v>
      </c>
      <c r="G104" s="20">
        <f>表2_36716262930389121314152324252627282930[[#This Row],[累计净值]]/$B$21-1</f>
        <v>-2.9970029970028955E-3</v>
      </c>
    </row>
    <row r="105" spans="1:7">
      <c r="A105" s="15">
        <v>44201</v>
      </c>
      <c r="B105" s="112">
        <v>1.0109999999999999</v>
      </c>
      <c r="C105" s="108">
        <f>IFERROR(B105-B104,0)</f>
        <v>1.2999999999999901E-2</v>
      </c>
      <c r="D105" s="109" t="str">
        <f>IF(C105&lt;0,C105,"/")</f>
        <v>/</v>
      </c>
      <c r="E105" s="109">
        <f ca="1">IF(表2_36716262930389121314152324252627282930[[#This Row],[累计净值]]/MAX(INDIRECT("B21:B" &amp; ROW()))-1&lt;E104,表2_36716262930389121314152324252627282930[[#This Row],[累计净值]]/MAX(INDIRECT("B21:B" &amp; ROW()))-1,E104)</f>
        <v>-9.4083414161008627E-2</v>
      </c>
      <c r="F105" s="110">
        <f>表2_36716262930389121314152324252627282930[[#This Row],[累计净值]]</f>
        <v>1.0109999999999999</v>
      </c>
      <c r="G105" s="20">
        <f>表2_36716262930389121314152324252627282930[[#This Row],[累计净值]]/$B$21-1</f>
        <v>9.9900099900100958E-3</v>
      </c>
    </row>
    <row r="106" spans="1:7">
      <c r="A106" s="15">
        <v>44202</v>
      </c>
      <c r="B106" s="112">
        <v>1.016</v>
      </c>
      <c r="C106" s="108">
        <f>IFERROR(B106-B105,0)</f>
        <v>5.0000000000001155E-3</v>
      </c>
      <c r="D106" s="109" t="str">
        <f>IF(C106&lt;0,C106,"/")</f>
        <v>/</v>
      </c>
      <c r="E106" s="109">
        <f ca="1">IF(表2_36716262930389121314152324252627282930[[#This Row],[累计净值]]/MAX(INDIRECT("B21:B" &amp; ROW()))-1&lt;E105,表2_36716262930389121314152324252627282930[[#This Row],[累计净值]]/MAX(INDIRECT("B21:B" &amp; ROW()))-1,E105)</f>
        <v>-9.4083414161008627E-2</v>
      </c>
      <c r="F106" s="110">
        <f>表2_36716262930389121314152324252627282930[[#This Row],[累计净值]]</f>
        <v>1.016</v>
      </c>
      <c r="G106" s="20">
        <f>表2_36716262930389121314152324252627282930[[#This Row],[累计净值]]/$B$21-1</f>
        <v>1.4985014985015033E-2</v>
      </c>
    </row>
    <row r="107" spans="1:7">
      <c r="A107" s="15">
        <v>44203</v>
      </c>
      <c r="B107" s="112">
        <v>1.0329999999999999</v>
      </c>
      <c r="C107" s="108">
        <f t="shared" ref="C107:C108" si="27">IFERROR(B107-B106,0)</f>
        <v>1.6999999999999904E-2</v>
      </c>
      <c r="D107" s="109" t="str">
        <f t="shared" ref="D107:D108" si="28">IF(C107&lt;0,C107,"/")</f>
        <v>/</v>
      </c>
      <c r="E107" s="109">
        <f ca="1">IF(表2_36716262930389121314152324252627282930[[#This Row],[累计净值]]/MAX(INDIRECT("B21:B" &amp; ROW()))-1&lt;E106,表2_36716262930389121314152324252627282930[[#This Row],[累计净值]]/MAX(INDIRECT("B21:B" &amp; ROW()))-1,E106)</f>
        <v>-9.4083414161008627E-2</v>
      </c>
      <c r="F107" s="110">
        <f>表2_36716262930389121314152324252627282930[[#This Row],[累计净值]]</f>
        <v>1.0329999999999999</v>
      </c>
      <c r="G107" s="20">
        <f>表2_36716262930389121314152324252627282930[[#This Row],[累计净值]]/$B$21-1</f>
        <v>3.1968031968031996E-2</v>
      </c>
    </row>
    <row r="108" spans="1:7">
      <c r="A108" s="15">
        <v>44204</v>
      </c>
      <c r="B108" s="112">
        <v>1.028</v>
      </c>
      <c r="C108" s="108">
        <f t="shared" si="27"/>
        <v>-4.9999999999998934E-3</v>
      </c>
      <c r="D108" s="109">
        <f t="shared" si="28"/>
        <v>-4.9999999999998934E-3</v>
      </c>
      <c r="E108" s="109">
        <f ca="1">IF(表2_36716262930389121314152324252627282930[[#This Row],[累计净值]]/MAX(INDIRECT("B21:B" &amp; ROW()))-1&lt;E107,表2_36716262930389121314152324252627282930[[#This Row],[累计净值]]/MAX(INDIRECT("B21:B" &amp; ROW()))-1,E107)</f>
        <v>-9.4083414161008627E-2</v>
      </c>
      <c r="F108" s="110">
        <f>表2_36716262930389121314152324252627282930[[#This Row],[累计净值]]</f>
        <v>1.028</v>
      </c>
      <c r="G108" s="20">
        <f>表2_36716262930389121314152324252627282930[[#This Row],[累计净值]]/$B$21-1</f>
        <v>2.6973026973027059E-2</v>
      </c>
    </row>
    <row r="109" spans="1:7">
      <c r="A109" s="15">
        <v>44207</v>
      </c>
      <c r="B109" s="112">
        <v>1.034</v>
      </c>
      <c r="C109" s="108">
        <f t="shared" ref="C109:C115" si="29">IFERROR(B109-B108,0)</f>
        <v>6.0000000000000053E-3</v>
      </c>
      <c r="D109" s="109" t="str">
        <f t="shared" ref="D109:D115" si="30">IF(C109&lt;0,C109,"/")</f>
        <v>/</v>
      </c>
      <c r="E109" s="109">
        <f ca="1">IF(表2_36716262930389121314152324252627282930[[#This Row],[累计净值]]/MAX(INDIRECT("B21:B" &amp; ROW()))-1&lt;E108,表2_36716262930389121314152324252627282930[[#This Row],[累计净值]]/MAX(INDIRECT("B21:B" &amp; ROW()))-1,E108)</f>
        <v>-9.4083414161008627E-2</v>
      </c>
      <c r="F109" s="110">
        <f>表2_36716262930389121314152324252627282930[[#This Row],[累计净值]]</f>
        <v>1.034</v>
      </c>
      <c r="G109" s="20">
        <f>表2_36716262930389121314152324252627282930[[#This Row],[累计净值]]/$B$21-1</f>
        <v>3.2967032967033072E-2</v>
      </c>
    </row>
    <row r="110" spans="1:7">
      <c r="A110" s="15">
        <v>44208</v>
      </c>
      <c r="B110" s="112">
        <v>1.077</v>
      </c>
      <c r="C110" s="108">
        <f t="shared" si="29"/>
        <v>4.2999999999999927E-2</v>
      </c>
      <c r="D110" s="109" t="str">
        <f t="shared" si="30"/>
        <v>/</v>
      </c>
      <c r="E110" s="109">
        <f ca="1">IF(表2_36716262930389121314152324252627282930[[#This Row],[累计净值]]/MAX(INDIRECT("B21:B" &amp; ROW()))-1&lt;E109,表2_36716262930389121314152324252627282930[[#This Row],[累计净值]]/MAX(INDIRECT("B21:B" &amp; ROW()))-1,E109)</f>
        <v>-9.4083414161008627E-2</v>
      </c>
      <c r="F110" s="110">
        <f>表2_36716262930389121314152324252627282930[[#This Row],[累计净值]]</f>
        <v>1.077</v>
      </c>
      <c r="G110" s="20">
        <f>表2_36716262930389121314152324252627282930[[#This Row],[累计净值]]/$B$21-1</f>
        <v>7.5924075924076018E-2</v>
      </c>
    </row>
    <row r="111" spans="1:7">
      <c r="A111" s="15">
        <v>44209</v>
      </c>
      <c r="B111" s="112">
        <v>1.08</v>
      </c>
      <c r="C111" s="108">
        <f t="shared" si="29"/>
        <v>3.0000000000001137E-3</v>
      </c>
      <c r="D111" s="109" t="str">
        <f t="shared" si="30"/>
        <v>/</v>
      </c>
      <c r="E111" s="109">
        <f ca="1">IF(表2_36716262930389121314152324252627282930[[#This Row],[累计净值]]/MAX(INDIRECT("B21:B" &amp; ROW()))-1&lt;E110,表2_36716262930389121314152324252627282930[[#This Row],[累计净值]]/MAX(INDIRECT("B21:B" &amp; ROW()))-1,E110)</f>
        <v>-9.4083414161008627E-2</v>
      </c>
      <c r="F111" s="110">
        <f>表2_36716262930389121314152324252627282930[[#This Row],[累计净值]]</f>
        <v>1.08</v>
      </c>
      <c r="G111" s="20">
        <f>表2_36716262930389121314152324252627282930[[#This Row],[累计净值]]/$B$21-1</f>
        <v>7.8921078921079024E-2</v>
      </c>
    </row>
    <row r="112" spans="1:7">
      <c r="A112" s="15">
        <v>44210</v>
      </c>
      <c r="B112" s="112">
        <v>1.07</v>
      </c>
      <c r="C112" s="108">
        <f t="shared" si="29"/>
        <v>-1.0000000000000009E-2</v>
      </c>
      <c r="D112" s="109">
        <f t="shared" si="30"/>
        <v>-1.0000000000000009E-2</v>
      </c>
      <c r="E112" s="109">
        <f ca="1">IF(表2_36716262930389121314152324252627282930[[#This Row],[累计净值]]/MAX(INDIRECT("B21:B" &amp; ROW()))-1&lt;E111,表2_36716262930389121314152324252627282930[[#This Row],[累计净值]]/MAX(INDIRECT("B21:B" &amp; ROW()))-1,E111)</f>
        <v>-9.4083414161008627E-2</v>
      </c>
      <c r="F112" s="110">
        <f>表2_36716262930389121314152324252627282930[[#This Row],[累计净值]]</f>
        <v>1.07</v>
      </c>
      <c r="G112" s="20">
        <f>表2_36716262930389121314152324252627282930[[#This Row],[累计净值]]/$B$21-1</f>
        <v>6.893106893106915E-2</v>
      </c>
    </row>
    <row r="113" spans="1:7">
      <c r="A113" s="15">
        <v>44211</v>
      </c>
      <c r="B113" s="112">
        <v>1.0680000000000001</v>
      </c>
      <c r="C113" s="108">
        <f t="shared" si="29"/>
        <v>-2.0000000000000018E-3</v>
      </c>
      <c r="D113" s="109">
        <f t="shared" si="30"/>
        <v>-2.0000000000000018E-3</v>
      </c>
      <c r="E113" s="109">
        <f ca="1">IF(表2_36716262930389121314152324252627282930[[#This Row],[累计净值]]/MAX(INDIRECT("B21:B" &amp; ROW()))-1&lt;E112,表2_36716262930389121314152324252627282930[[#This Row],[累计净值]]/MAX(INDIRECT("B21:B" &amp; ROW()))-1,E112)</f>
        <v>-9.4083414161008627E-2</v>
      </c>
      <c r="F113" s="110">
        <f>表2_36716262930389121314152324252627282930[[#This Row],[累计净值]]</f>
        <v>1.0680000000000001</v>
      </c>
      <c r="G113" s="20">
        <f>表2_36716262930389121314152324252627282930[[#This Row],[累计净值]]/$B$21-1</f>
        <v>6.693306693306722E-2</v>
      </c>
    </row>
    <row r="114" spans="1:7">
      <c r="A114" s="15">
        <v>44214</v>
      </c>
      <c r="B114" s="112">
        <v>1.071</v>
      </c>
      <c r="C114" s="108">
        <f t="shared" si="29"/>
        <v>2.9999999999998916E-3</v>
      </c>
      <c r="D114" s="109" t="str">
        <f t="shared" si="30"/>
        <v>/</v>
      </c>
      <c r="E114" s="109">
        <f ca="1">IF(表2_36716262930389121314152324252627282930[[#This Row],[累计净值]]/MAX(INDIRECT("B21:B" &amp; ROW()))-1&lt;E113,表2_36716262930389121314152324252627282930[[#This Row],[累计净值]]/MAX(INDIRECT("B21:B" &amp; ROW()))-1,E113)</f>
        <v>-9.4083414161008627E-2</v>
      </c>
      <c r="F114" s="110">
        <f>表2_36716262930389121314152324252627282930[[#This Row],[累计净值]]</f>
        <v>1.071</v>
      </c>
      <c r="G114" s="20">
        <f>表2_36716262930389121314152324252627282930[[#This Row],[累计净值]]/$B$21-1</f>
        <v>6.9930069930070005E-2</v>
      </c>
    </row>
    <row r="115" spans="1:7">
      <c r="A115" s="15">
        <v>44215</v>
      </c>
      <c r="B115" s="112">
        <v>1.0660000000000001</v>
      </c>
      <c r="C115" s="108">
        <f t="shared" si="29"/>
        <v>-4.9999999999998934E-3</v>
      </c>
      <c r="D115" s="109">
        <f t="shared" si="30"/>
        <v>-4.9999999999998934E-3</v>
      </c>
      <c r="E115" s="109">
        <f ca="1">IF(表2_36716262930389121314152324252627282930[[#This Row],[累计净值]]/MAX(INDIRECT("B21:B" &amp; ROW()))-1&lt;E114,表2_36716262930389121314152324252627282930[[#This Row],[累计净值]]/MAX(INDIRECT("B21:B" &amp; ROW()))-1,E114)</f>
        <v>-9.4083414161008627E-2</v>
      </c>
      <c r="F115" s="110">
        <f>表2_36716262930389121314152324252627282930[[#This Row],[累计净值]]</f>
        <v>1.0660000000000001</v>
      </c>
      <c r="G115" s="20">
        <f>表2_36716262930389121314152324252627282930[[#This Row],[累计净值]]/$B$21-1</f>
        <v>6.4935064935065068E-2</v>
      </c>
    </row>
    <row r="116" spans="1:7">
      <c r="A116" s="15">
        <v>44216</v>
      </c>
      <c r="B116" s="112">
        <v>1.0660000000000001</v>
      </c>
      <c r="C116" s="108">
        <f t="shared" ref="C116:C121" si="31">IFERROR(B116-B115,0)</f>
        <v>0</v>
      </c>
      <c r="D116" s="109" t="str">
        <f t="shared" ref="D116:D121" si="32">IF(C116&lt;0,C116,"/")</f>
        <v>/</v>
      </c>
      <c r="E116" s="109">
        <f ca="1">IF(表2_36716262930389121314152324252627282930[[#This Row],[累计净值]]/MAX(INDIRECT("B21:B" &amp; ROW()))-1&lt;E115,表2_36716262930389121314152324252627282930[[#This Row],[累计净值]]/MAX(INDIRECT("B21:B" &amp; ROW()))-1,E115)</f>
        <v>-9.4083414161008627E-2</v>
      </c>
      <c r="F116" s="110">
        <f>表2_36716262930389121314152324252627282930[[#This Row],[累计净值]]</f>
        <v>1.0660000000000001</v>
      </c>
      <c r="G116" s="20">
        <f>表2_36716262930389121314152324252627282930[[#This Row],[累计净值]]/$B$21-1</f>
        <v>6.4935064935065068E-2</v>
      </c>
    </row>
    <row r="117" spans="1:7">
      <c r="A117" s="15">
        <v>44217</v>
      </c>
      <c r="B117" s="112">
        <v>1.06</v>
      </c>
      <c r="C117" s="108">
        <f t="shared" si="31"/>
        <v>-6.0000000000000053E-3</v>
      </c>
      <c r="D117" s="109">
        <f t="shared" si="32"/>
        <v>-6.0000000000000053E-3</v>
      </c>
      <c r="E117" s="109">
        <f ca="1">IF(表2_36716262930389121314152324252627282930[[#This Row],[累计净值]]/MAX(INDIRECT("B21:B" &amp; ROW()))-1&lt;E116,表2_36716262930389121314152324252627282930[[#This Row],[累计净值]]/MAX(INDIRECT("B21:B" &amp; ROW()))-1,E116)</f>
        <v>-9.4083414161008627E-2</v>
      </c>
      <c r="F117" s="110">
        <f>表2_36716262930389121314152324252627282930[[#This Row],[累计净值]]</f>
        <v>1.06</v>
      </c>
      <c r="G117" s="20">
        <f>表2_36716262930389121314152324252627282930[[#This Row],[累计净值]]/$B$21-1</f>
        <v>5.8941058941059055E-2</v>
      </c>
    </row>
    <row r="118" spans="1:7">
      <c r="A118" s="15">
        <v>44218</v>
      </c>
      <c r="B118" s="112">
        <v>1.0589999999999999</v>
      </c>
      <c r="C118" s="108">
        <f t="shared" si="31"/>
        <v>-1.0000000000001119E-3</v>
      </c>
      <c r="D118" s="109">
        <f t="shared" si="32"/>
        <v>-1.0000000000001119E-3</v>
      </c>
      <c r="E118" s="109">
        <f ca="1">IF(表2_36716262930389121314152324252627282930[[#This Row],[累计净值]]/MAX(INDIRECT("B21:B" &amp; ROW()))-1&lt;E117,表2_36716262930389121314152324252627282930[[#This Row],[累计净值]]/MAX(INDIRECT("B21:B" &amp; ROW()))-1,E117)</f>
        <v>-9.4083414161008627E-2</v>
      </c>
      <c r="F118" s="110">
        <f>表2_36716262930389121314152324252627282930[[#This Row],[累计净值]]</f>
        <v>1.0589999999999999</v>
      </c>
      <c r="G118" s="20">
        <f>表2_36716262930389121314152324252627282930[[#This Row],[累计净值]]/$B$21-1</f>
        <v>5.7942057942057978E-2</v>
      </c>
    </row>
    <row r="119" spans="1:7">
      <c r="A119" s="15">
        <v>44221</v>
      </c>
      <c r="B119" s="112">
        <v>1.0529999999999999</v>
      </c>
      <c r="C119" s="108">
        <f t="shared" si="31"/>
        <v>-6.0000000000000053E-3</v>
      </c>
      <c r="D119" s="109">
        <f t="shared" si="32"/>
        <v>-6.0000000000000053E-3</v>
      </c>
      <c r="E119" s="109">
        <f ca="1">IF(表2_36716262930389121314152324252627282930[[#This Row],[累计净值]]/MAX(INDIRECT("B21:B" &amp; ROW()))-1&lt;E118,表2_36716262930389121314152324252627282930[[#This Row],[累计净值]]/MAX(INDIRECT("B21:B" &amp; ROW()))-1,E118)</f>
        <v>-9.4083414161008627E-2</v>
      </c>
      <c r="F119" s="110">
        <f>表2_36716262930389121314152324252627282930[[#This Row],[累计净值]]</f>
        <v>1.0529999999999999</v>
      </c>
      <c r="G119" s="20">
        <f>表2_36716262930389121314152324252627282930[[#This Row],[累计净值]]/$B$21-1</f>
        <v>5.1948051948051965E-2</v>
      </c>
    </row>
    <row r="120" spans="1:7">
      <c r="A120" s="15">
        <v>44222</v>
      </c>
      <c r="B120" s="112">
        <v>1.0469999999999999</v>
      </c>
      <c r="C120" s="108">
        <f t="shared" si="31"/>
        <v>-6.0000000000000053E-3</v>
      </c>
      <c r="D120" s="109">
        <f t="shared" si="32"/>
        <v>-6.0000000000000053E-3</v>
      </c>
      <c r="E120" s="109">
        <f ca="1">IF(表2_36716262930389121314152324252627282930[[#This Row],[累计净值]]/MAX(INDIRECT("B21:B" &amp; ROW()))-1&lt;E119,表2_36716262930389121314152324252627282930[[#This Row],[累计净值]]/MAX(INDIRECT("B21:B" &amp; ROW()))-1,E119)</f>
        <v>-9.4083414161008627E-2</v>
      </c>
      <c r="F120" s="110">
        <f>表2_36716262930389121314152324252627282930[[#This Row],[累计净值]]</f>
        <v>1.0469999999999999</v>
      </c>
      <c r="G120" s="20">
        <f>表2_36716262930389121314152324252627282930[[#This Row],[累计净值]]/$B$21-1</f>
        <v>4.5954045954045952E-2</v>
      </c>
    </row>
    <row r="121" spans="1:7">
      <c r="A121" s="15">
        <v>44223</v>
      </c>
      <c r="B121" s="112">
        <v>1.0449999999999999</v>
      </c>
      <c r="C121" s="108">
        <f t="shared" si="31"/>
        <v>-2.0000000000000018E-3</v>
      </c>
      <c r="D121" s="109">
        <f t="shared" si="32"/>
        <v>-2.0000000000000018E-3</v>
      </c>
      <c r="E121" s="109">
        <f ca="1">IF(表2_36716262930389121314152324252627282930[[#This Row],[累计净值]]/MAX(INDIRECT("B21:B" &amp; ROW()))-1&lt;E120,表2_36716262930389121314152324252627282930[[#This Row],[累计净值]]/MAX(INDIRECT("B21:B" &amp; ROW()))-1,E120)</f>
        <v>-9.4083414161008627E-2</v>
      </c>
      <c r="F121" s="110">
        <f>表2_36716262930389121314152324252627282930[[#This Row],[累计净值]]</f>
        <v>1.0449999999999999</v>
      </c>
      <c r="G121" s="20">
        <f>表2_36716262930389121314152324252627282930[[#This Row],[累计净值]]/$B$21-1</f>
        <v>4.3956043956044022E-2</v>
      </c>
    </row>
    <row r="122" spans="1:7">
      <c r="A122" s="15">
        <v>44224</v>
      </c>
      <c r="B122" s="112">
        <v>1.0589999999999999</v>
      </c>
      <c r="C122" s="108">
        <f t="shared" ref="C122:C127" si="33">IFERROR(B122-B121,0)</f>
        <v>1.4000000000000012E-2</v>
      </c>
      <c r="D122" s="109" t="str">
        <f t="shared" ref="D122:D127" si="34">IF(C122&lt;0,C122,"/")</f>
        <v>/</v>
      </c>
      <c r="E122" s="109">
        <f ca="1">IF(表2_36716262930389121314152324252627282930[[#This Row],[累计净值]]/MAX(INDIRECT("B21:B" &amp; ROW()))-1&lt;E121,表2_36716262930389121314152324252627282930[[#This Row],[累计净值]]/MAX(INDIRECT("B21:B" &amp; ROW()))-1,E121)</f>
        <v>-9.4083414161008627E-2</v>
      </c>
      <c r="F122" s="110">
        <f>表2_36716262930389121314152324252627282930[[#This Row],[累计净值]]</f>
        <v>1.0589999999999999</v>
      </c>
      <c r="G122" s="20">
        <f>表2_36716262930389121314152324252627282930[[#This Row],[累计净值]]/$B$21-1</f>
        <v>5.7942057942057978E-2</v>
      </c>
    </row>
    <row r="123" spans="1:7">
      <c r="A123" s="15">
        <v>44225</v>
      </c>
      <c r="B123" s="112">
        <v>1.052</v>
      </c>
      <c r="C123" s="108">
        <f t="shared" si="33"/>
        <v>-6.9999999999998952E-3</v>
      </c>
      <c r="D123" s="109">
        <f t="shared" si="34"/>
        <v>-6.9999999999998952E-3</v>
      </c>
      <c r="E123" s="109">
        <f ca="1">IF(表2_36716262930389121314152324252627282930[[#This Row],[累计净值]]/MAX(INDIRECT("B21:B" &amp; ROW()))-1&lt;E122,表2_36716262930389121314152324252627282930[[#This Row],[累计净值]]/MAX(INDIRECT("B21:B" &amp; ROW()))-1,E122)</f>
        <v>-9.4083414161008627E-2</v>
      </c>
      <c r="F123" s="110">
        <f>表2_36716262930389121314152324252627282930[[#This Row],[累计净值]]</f>
        <v>1.052</v>
      </c>
      <c r="G123" s="20">
        <f>表2_36716262930389121314152324252627282930[[#This Row],[累计净值]]/$B$21-1</f>
        <v>5.0949050949051111E-2</v>
      </c>
    </row>
    <row r="124" spans="1:7">
      <c r="A124" s="15">
        <v>44228</v>
      </c>
      <c r="B124" s="112">
        <v>1.0469999999999999</v>
      </c>
      <c r="C124" s="108">
        <f t="shared" si="33"/>
        <v>-5.0000000000001155E-3</v>
      </c>
      <c r="D124" s="109">
        <f t="shared" si="34"/>
        <v>-5.0000000000001155E-3</v>
      </c>
      <c r="E124" s="109">
        <f ca="1">IF(表2_36716262930389121314152324252627282930[[#This Row],[累计净值]]/MAX(INDIRECT("B21:B" &amp; ROW()))-1&lt;E123,表2_36716262930389121314152324252627282930[[#This Row],[累计净值]]/MAX(INDIRECT("B21:B" &amp; ROW()))-1,E123)</f>
        <v>-9.4083414161008627E-2</v>
      </c>
      <c r="F124" s="110">
        <f>表2_36716262930389121314152324252627282930[[#This Row],[累计净值]]</f>
        <v>1.0469999999999999</v>
      </c>
      <c r="G124" s="20">
        <f>表2_36716262930389121314152324252627282930[[#This Row],[累计净值]]/$B$21-1</f>
        <v>4.5954045954045952E-2</v>
      </c>
    </row>
    <row r="125" spans="1:7">
      <c r="A125" s="15">
        <v>44229</v>
      </c>
      <c r="B125" s="112">
        <v>1.054</v>
      </c>
      <c r="C125" s="108">
        <f t="shared" si="33"/>
        <v>7.0000000000001172E-3</v>
      </c>
      <c r="D125" s="109" t="str">
        <f t="shared" si="34"/>
        <v>/</v>
      </c>
      <c r="E125" s="109">
        <f ca="1">IF(表2_36716262930389121314152324252627282930[[#This Row],[累计净值]]/MAX(INDIRECT("B21:B" &amp; ROW()))-1&lt;E124,表2_36716262930389121314152324252627282930[[#This Row],[累计净值]]/MAX(INDIRECT("B21:B" &amp; ROW()))-1,E124)</f>
        <v>-9.4083414161008627E-2</v>
      </c>
      <c r="F125" s="110">
        <f>表2_36716262930389121314152324252627282930[[#This Row],[累计净值]]</f>
        <v>1.054</v>
      </c>
      <c r="G125" s="20">
        <f>表2_36716262930389121314152324252627282930[[#This Row],[累计净值]]/$B$21-1</f>
        <v>5.2947052947053042E-2</v>
      </c>
    </row>
    <row r="126" spans="1:7">
      <c r="A126" s="15">
        <v>44230</v>
      </c>
      <c r="B126" s="112">
        <v>1.0640000000000001</v>
      </c>
      <c r="C126" s="108">
        <f t="shared" si="33"/>
        <v>1.0000000000000009E-2</v>
      </c>
      <c r="D126" s="109" t="str">
        <f t="shared" si="34"/>
        <v>/</v>
      </c>
      <c r="E126" s="109">
        <f ca="1">IF(表2_36716262930389121314152324252627282930[[#This Row],[累计净值]]/MAX(INDIRECT("B21:B" &amp; ROW()))-1&lt;E125,表2_36716262930389121314152324252627282930[[#This Row],[累计净值]]/MAX(INDIRECT("B21:B" &amp; ROW()))-1,E125)</f>
        <v>-9.4083414161008627E-2</v>
      </c>
      <c r="F126" s="110">
        <f>表2_36716262930389121314152324252627282930[[#This Row],[累计净值]]</f>
        <v>1.0640000000000001</v>
      </c>
      <c r="G126" s="20">
        <f>表2_36716262930389121314152324252627282930[[#This Row],[累计净值]]/$B$21-1</f>
        <v>6.2937062937063137E-2</v>
      </c>
    </row>
    <row r="127" spans="1:7">
      <c r="A127" s="15">
        <v>44231</v>
      </c>
      <c r="B127" s="112">
        <v>1.0569999999999999</v>
      </c>
      <c r="C127" s="108">
        <f t="shared" si="33"/>
        <v>-7.0000000000001172E-3</v>
      </c>
      <c r="D127" s="109">
        <f t="shared" si="34"/>
        <v>-7.0000000000001172E-3</v>
      </c>
      <c r="E127" s="109">
        <f ca="1">IF(表2_36716262930389121314152324252627282930[[#This Row],[累计净值]]/MAX(INDIRECT("B21:B" &amp; ROW()))-1&lt;E126,表2_36716262930389121314152324252627282930[[#This Row],[累计净值]]/MAX(INDIRECT("B21:B" &amp; ROW()))-1,E126)</f>
        <v>-9.4083414161008627E-2</v>
      </c>
      <c r="F127" s="110">
        <f>表2_36716262930389121314152324252627282930[[#This Row],[累计净值]]</f>
        <v>1.0569999999999999</v>
      </c>
      <c r="G127" s="20">
        <f>表2_36716262930389121314152324252627282930[[#This Row],[累计净值]]/$B$21-1</f>
        <v>5.5944055944056048E-2</v>
      </c>
    </row>
    <row r="128" spans="1:7">
      <c r="A128" s="15">
        <v>44232</v>
      </c>
      <c r="B128" s="112">
        <v>1.0549999999999999</v>
      </c>
      <c r="C128" s="108">
        <f>IFERROR(B128-B127,0)</f>
        <v>-2.0000000000000018E-3</v>
      </c>
      <c r="D128" s="109">
        <f>IF(C128&lt;0,C128,"/")</f>
        <v>-2.0000000000000018E-3</v>
      </c>
      <c r="E128" s="109">
        <f ca="1">IF(表2_36716262930389121314152324252627282930[[#This Row],[累计净值]]/MAX(INDIRECT("B21:B" &amp; ROW()))-1&lt;E127,表2_36716262930389121314152324252627282930[[#This Row],[累计净值]]/MAX(INDIRECT("B21:B" &amp; ROW()))-1,E127)</f>
        <v>-9.4083414161008627E-2</v>
      </c>
      <c r="F128" s="110">
        <f>表2_36716262930389121314152324252627282930[[#This Row],[累计净值]]</f>
        <v>1.0549999999999999</v>
      </c>
      <c r="G128" s="20">
        <f>表2_36716262930389121314152324252627282930[[#This Row],[累计净值]]/$B$21-1</f>
        <v>5.3946053946053896E-2</v>
      </c>
    </row>
    <row r="129" spans="1:7">
      <c r="A129" s="15">
        <v>44235</v>
      </c>
      <c r="B129" s="112">
        <v>1.071</v>
      </c>
      <c r="C129" s="108">
        <f>IFERROR(B129-B128,0)</f>
        <v>1.6000000000000014E-2</v>
      </c>
      <c r="D129" s="109" t="str">
        <f>IF(C129&lt;0,C129,"/")</f>
        <v>/</v>
      </c>
      <c r="E129" s="109">
        <f ca="1">IF(表2_36716262930389121314152324252627282930[[#This Row],[累计净值]]/MAX(INDIRECT("B21:B" &amp; ROW()))-1&lt;E128,表2_36716262930389121314152324252627282930[[#This Row],[累计净值]]/MAX(INDIRECT("B21:B" &amp; ROW()))-1,E128)</f>
        <v>-9.4083414161008627E-2</v>
      </c>
      <c r="F129" s="110">
        <f>表2_36716262930389121314152324252627282930[[#This Row],[累计净值]]</f>
        <v>1.071</v>
      </c>
      <c r="G129" s="20">
        <f>表2_36716262930389121314152324252627282930[[#This Row],[累计净值]]/$B$21-1</f>
        <v>6.9930069930070005E-2</v>
      </c>
    </row>
    <row r="130" spans="1:7">
      <c r="A130" s="15">
        <v>44236</v>
      </c>
      <c r="B130" s="112">
        <v>1.0740000000000001</v>
      </c>
      <c r="C130" s="108">
        <f>IFERROR(B130-B129,0)</f>
        <v>3.0000000000001137E-3</v>
      </c>
      <c r="D130" s="109" t="str">
        <f>IF(C130&lt;0,C130,"/")</f>
        <v>/</v>
      </c>
      <c r="E130" s="109">
        <f ca="1">IF(表2_36716262930389121314152324252627282930[[#This Row],[累计净值]]/MAX(INDIRECT("B21:B" &amp; ROW()))-1&lt;E129,表2_36716262930389121314152324252627282930[[#This Row],[累计净值]]/MAX(INDIRECT("B21:B" &amp; ROW()))-1,E129)</f>
        <v>-9.4083414161008627E-2</v>
      </c>
      <c r="F130" s="110">
        <f>表2_36716262930389121314152324252627282930[[#This Row],[累计净值]]</f>
        <v>1.0740000000000001</v>
      </c>
      <c r="G130" s="20">
        <f>表2_36716262930389121314152324252627282930[[#This Row],[累计净值]]/$B$21-1</f>
        <v>7.2927072927073011E-2</v>
      </c>
    </row>
    <row r="131" spans="1:7">
      <c r="A131" s="15">
        <v>44237</v>
      </c>
      <c r="B131" s="112">
        <v>1.06</v>
      </c>
      <c r="C131" s="108">
        <f t="shared" ref="C131:C132" si="35">IFERROR(B131-B130,0)</f>
        <v>-1.4000000000000012E-2</v>
      </c>
      <c r="D131" s="109">
        <f t="shared" ref="D131:D132" si="36">IF(C131&lt;0,C131,"/")</f>
        <v>-1.4000000000000012E-2</v>
      </c>
      <c r="E131" s="109">
        <f ca="1">IF(表2_36716262930389121314152324252627282930[[#This Row],[累计净值]]/MAX(INDIRECT("B21:B" &amp; ROW()))-1&lt;E130,表2_36716262930389121314152324252627282930[[#This Row],[累计净值]]/MAX(INDIRECT("B21:B" &amp; ROW()))-1,E130)</f>
        <v>-9.4083414161008627E-2</v>
      </c>
      <c r="F131" s="110">
        <f>表2_36716262930389121314152324252627282930[[#This Row],[累计净值]]</f>
        <v>1.06</v>
      </c>
      <c r="G131" s="20">
        <f>表2_36716262930389121314152324252627282930[[#This Row],[累计净值]]/$B$21-1</f>
        <v>5.8941058941059055E-2</v>
      </c>
    </row>
    <row r="132" spans="1:7">
      <c r="A132" s="15">
        <v>44245</v>
      </c>
      <c r="B132" s="112">
        <v>1.0389999999999999</v>
      </c>
      <c r="C132" s="108">
        <f t="shared" si="35"/>
        <v>-2.100000000000013E-2</v>
      </c>
      <c r="D132" s="109">
        <f t="shared" si="36"/>
        <v>-2.100000000000013E-2</v>
      </c>
      <c r="E132" s="109">
        <f ca="1">IF(表2_36716262930389121314152324252627282930[[#This Row],[累计净值]]/MAX(INDIRECT("B21:B" &amp; ROW()))-1&lt;E131,表2_36716262930389121314152324252627282930[[#This Row],[累计净值]]/MAX(INDIRECT("B21:B" &amp; ROW()))-1,E131)</f>
        <v>-9.4083414161008627E-2</v>
      </c>
      <c r="F132" s="110">
        <f>表2_36716262930389121314152324252627282930[[#This Row],[累计净值]]</f>
        <v>1.0389999999999999</v>
      </c>
      <c r="G132" s="20">
        <f>表2_36716262930389121314152324252627282930[[#This Row],[累计净值]]/$B$21-1</f>
        <v>3.7962037962038009E-2</v>
      </c>
    </row>
    <row r="133" spans="1:7">
      <c r="A133" s="15">
        <v>44246</v>
      </c>
      <c r="B133" s="112">
        <v>1.0389999999999999</v>
      </c>
      <c r="C133" s="108">
        <f>IFERROR(B133-B132,0)</f>
        <v>0</v>
      </c>
      <c r="D133" s="109" t="str">
        <f>IF(C133&lt;0,C133,"/")</f>
        <v>/</v>
      </c>
      <c r="E133" s="109">
        <f ca="1">IF(表2_36716262930389121314152324252627282930[[#This Row],[累计净值]]/MAX(INDIRECT("B21:B" &amp; ROW()))-1&lt;E132,表2_36716262930389121314152324252627282930[[#This Row],[累计净值]]/MAX(INDIRECT("B21:B" &amp; ROW()))-1,E132)</f>
        <v>-9.4083414161008627E-2</v>
      </c>
      <c r="F133" s="110">
        <f>表2_36716262930389121314152324252627282930[[#This Row],[累计净值]]</f>
        <v>1.0389999999999999</v>
      </c>
      <c r="G133" s="20">
        <f>表2_36716262930389121314152324252627282930[[#This Row],[累计净值]]/$B$21-1</f>
        <v>3.7962037962038009E-2</v>
      </c>
    </row>
    <row r="134" spans="1:7">
      <c r="A134" s="15">
        <v>44249</v>
      </c>
      <c r="B134" s="112">
        <v>1.04</v>
      </c>
      <c r="C134" s="108">
        <f>IFERROR(B134-B133,0)</f>
        <v>1.0000000000001119E-3</v>
      </c>
      <c r="D134" s="109" t="str">
        <f>IF(C134&lt;0,C134,"/")</f>
        <v>/</v>
      </c>
      <c r="E134" s="109">
        <f ca="1">IF(表2_36716262930389121314152324252627282930[[#This Row],[累计净值]]/MAX(INDIRECT("B21:B" &amp; ROW()))-1&lt;E133,表2_36716262930389121314152324252627282930[[#This Row],[累计净值]]/MAX(INDIRECT("B21:B" &amp; ROW()))-1,E133)</f>
        <v>-9.4083414161008627E-2</v>
      </c>
      <c r="F134" s="110">
        <f>表2_36716262930389121314152324252627282930[[#This Row],[累计净值]]</f>
        <v>1.04</v>
      </c>
      <c r="G134" s="20">
        <f>表2_36716262930389121314152324252627282930[[#This Row],[累计净值]]/$B$21-1</f>
        <v>3.8961038961039085E-2</v>
      </c>
    </row>
    <row r="135" spans="1:7">
      <c r="A135" s="15">
        <v>44250</v>
      </c>
      <c r="B135" s="112">
        <v>1.0369999999999999</v>
      </c>
      <c r="C135" s="108">
        <f t="shared" ref="C135:C137" si="37">IFERROR(B135-B134,0)</f>
        <v>-3.0000000000001137E-3</v>
      </c>
      <c r="D135" s="109">
        <f t="shared" ref="D135:D137" si="38">IF(C135&lt;0,C135,"/")</f>
        <v>-3.0000000000001137E-3</v>
      </c>
      <c r="E135" s="109">
        <f ca="1">IF(表2_36716262930389121314152324252627282930[[#This Row],[累计净值]]/MAX(INDIRECT("B21:B" &amp; ROW()))-1&lt;E134,表2_36716262930389121314152324252627282930[[#This Row],[累计净值]]/MAX(INDIRECT("B21:B" &amp; ROW()))-1,E134)</f>
        <v>-9.4083414161008627E-2</v>
      </c>
      <c r="F135" s="110">
        <f>表2_36716262930389121314152324252627282930[[#This Row],[累计净值]]</f>
        <v>1.0369999999999999</v>
      </c>
      <c r="G135" s="20">
        <f>表2_36716262930389121314152324252627282930[[#This Row],[累计净值]]/$B$21-1</f>
        <v>3.5964035964036078E-2</v>
      </c>
    </row>
    <row r="136" spans="1:7">
      <c r="A136" s="15">
        <v>44251</v>
      </c>
      <c r="B136" s="112">
        <v>1.024</v>
      </c>
      <c r="C136" s="108">
        <f t="shared" si="37"/>
        <v>-1.2999999999999901E-2</v>
      </c>
      <c r="D136" s="109">
        <f t="shared" si="38"/>
        <v>-1.2999999999999901E-2</v>
      </c>
      <c r="E136" s="109">
        <f ca="1">IF(表2_36716262930389121314152324252627282930[[#This Row],[累计净值]]/MAX(INDIRECT("B21:B" &amp; ROW()))-1&lt;E135,表2_36716262930389121314152324252627282930[[#This Row],[累计净值]]/MAX(INDIRECT("B21:B" &amp; ROW()))-1,E135)</f>
        <v>-9.4083414161008627E-2</v>
      </c>
      <c r="F136" s="110">
        <f>表2_36716262930389121314152324252627282930[[#This Row],[累计净值]]</f>
        <v>1.024</v>
      </c>
      <c r="G136" s="20">
        <f>表2_36716262930389121314152324252627282930[[#This Row],[累计净值]]/$B$21-1</f>
        <v>2.2977022977023198E-2</v>
      </c>
    </row>
    <row r="137" spans="1:7">
      <c r="A137" s="15">
        <v>44252</v>
      </c>
      <c r="B137" s="112">
        <v>1.024</v>
      </c>
      <c r="C137" s="108">
        <f t="shared" si="37"/>
        <v>0</v>
      </c>
      <c r="D137" s="109" t="str">
        <f t="shared" si="38"/>
        <v>/</v>
      </c>
      <c r="E137" s="109">
        <f ca="1">IF(表2_36716262930389121314152324252627282930[[#This Row],[累计净值]]/MAX(INDIRECT("B21:B" &amp; ROW()))-1&lt;E136,表2_36716262930389121314152324252627282930[[#This Row],[累计净值]]/MAX(INDIRECT("B21:B" &amp; ROW()))-1,E136)</f>
        <v>-9.4083414161008627E-2</v>
      </c>
      <c r="F137" s="110">
        <f>表2_36716262930389121314152324252627282930[[#This Row],[累计净值]]</f>
        <v>1.024</v>
      </c>
      <c r="G137" s="20">
        <f>表2_36716262930389121314152324252627282930[[#This Row],[累计净值]]/$B$21-1</f>
        <v>2.2977022977023198E-2</v>
      </c>
    </row>
    <row r="138" spans="1:7">
      <c r="A138" s="15">
        <v>44253</v>
      </c>
      <c r="B138" s="112">
        <v>1.0149999999999999</v>
      </c>
      <c r="C138" s="108">
        <f t="shared" ref="C138:C140" si="39">IFERROR(B138-B137,0)</f>
        <v>-9.000000000000119E-3</v>
      </c>
      <c r="D138" s="109">
        <f t="shared" ref="D138:D140" si="40">IF(C138&lt;0,C138,"/")</f>
        <v>-9.000000000000119E-3</v>
      </c>
      <c r="E138" s="109">
        <f ca="1">IF(表2_36716262930389121314152324252627282930[[#This Row],[累计净值]]/MAX(INDIRECT("B21:B" &amp; ROW()))-1&lt;E137,表2_36716262930389121314152324252627282930[[#This Row],[累计净值]]/MAX(INDIRECT("B21:B" &amp; ROW()))-1,E137)</f>
        <v>-9.4083414161008627E-2</v>
      </c>
      <c r="F138" s="110">
        <f>表2_36716262930389121314152324252627282930[[#This Row],[累计净值]]</f>
        <v>1.0149999999999999</v>
      </c>
      <c r="G138" s="20">
        <f>表2_36716262930389121314152324252627282930[[#This Row],[累计净值]]/$B$21-1</f>
        <v>1.3986013986013957E-2</v>
      </c>
    </row>
    <row r="139" spans="1:7">
      <c r="A139" s="15">
        <v>44256</v>
      </c>
      <c r="B139" s="112">
        <v>1.016</v>
      </c>
      <c r="C139" s="108">
        <f t="shared" si="39"/>
        <v>1.0000000000001119E-3</v>
      </c>
      <c r="D139" s="109" t="str">
        <f t="shared" si="40"/>
        <v>/</v>
      </c>
      <c r="E139" s="109">
        <f ca="1">IF(表2_36716262930389121314152324252627282930[[#This Row],[累计净值]]/MAX(INDIRECT("B21:B" &amp; ROW()))-1&lt;E138,表2_36716262930389121314152324252627282930[[#This Row],[累计净值]]/MAX(INDIRECT("B21:B" &amp; ROW()))-1,E138)</f>
        <v>-9.4083414161008627E-2</v>
      </c>
      <c r="F139" s="110">
        <f>表2_36716262930389121314152324252627282930[[#This Row],[累计净值]]</f>
        <v>1.016</v>
      </c>
      <c r="G139" s="20">
        <f>表2_36716262930389121314152324252627282930[[#This Row],[累计净值]]/$B$21-1</f>
        <v>1.4985014985015033E-2</v>
      </c>
    </row>
    <row r="140" spans="1:7">
      <c r="A140" s="15">
        <v>44257</v>
      </c>
      <c r="B140" s="112">
        <v>1.0189999999999999</v>
      </c>
      <c r="C140" s="108">
        <f t="shared" si="39"/>
        <v>2.9999999999998916E-3</v>
      </c>
      <c r="D140" s="109" t="str">
        <f t="shared" si="40"/>
        <v>/</v>
      </c>
      <c r="E140" s="109">
        <f ca="1">IF(表2_36716262930389121314152324252627282930[[#This Row],[累计净值]]/MAX(INDIRECT("B21:B" &amp; ROW()))-1&lt;E139,表2_36716262930389121314152324252627282930[[#This Row],[累计净值]]/MAX(INDIRECT("B21:B" &amp; ROW()))-1,E139)</f>
        <v>-9.4083414161008627E-2</v>
      </c>
      <c r="F140" s="110">
        <f>表2_36716262930389121314152324252627282930[[#This Row],[累计净值]]</f>
        <v>1.0189999999999999</v>
      </c>
      <c r="G140" s="20">
        <f>表2_36716262930389121314152324252627282930[[#This Row],[累计净值]]/$B$21-1</f>
        <v>1.7982017982018039E-2</v>
      </c>
    </row>
    <row r="141" spans="1:7">
      <c r="A141" s="15">
        <v>44258</v>
      </c>
      <c r="B141" s="112">
        <v>1.0089999999999999</v>
      </c>
      <c r="C141" s="108">
        <f t="shared" ref="C141" si="41">IFERROR(B141-B140,0)</f>
        <v>-1.0000000000000009E-2</v>
      </c>
      <c r="D141" s="109">
        <f t="shared" ref="D141" si="42">IF(C141&lt;0,C141,"/")</f>
        <v>-1.0000000000000009E-2</v>
      </c>
      <c r="E141" s="109">
        <f ca="1">IF(表2_36716262930389121314152324252627282930[[#This Row],[累计净值]]/MAX(INDIRECT("B21:B" &amp; ROW()))-1&lt;E140,表2_36716262930389121314152324252627282930[[#This Row],[累计净值]]/MAX(INDIRECT("B21:B" &amp; ROW()))-1,E140)</f>
        <v>-9.4083414161008627E-2</v>
      </c>
      <c r="F141" s="110">
        <f>表2_36716262930389121314152324252627282930[[#This Row],[累计净值]]</f>
        <v>1.0089999999999999</v>
      </c>
      <c r="G141" s="20">
        <f>表2_36716262930389121314152324252627282930[[#This Row],[累计净值]]/$B$21-1</f>
        <v>7.9920079920079434E-3</v>
      </c>
    </row>
    <row r="142" spans="1:7">
      <c r="A142" s="15">
        <v>44259</v>
      </c>
      <c r="B142" s="112">
        <v>1.012</v>
      </c>
      <c r="C142" s="108">
        <f t="shared" ref="C142:C148" si="43">IFERROR(B142-B141,0)</f>
        <v>3.0000000000001137E-3</v>
      </c>
      <c r="D142" s="109" t="str">
        <f t="shared" ref="D142:D148" si="44">IF(C142&lt;0,C142,"/")</f>
        <v>/</v>
      </c>
      <c r="E142" s="109">
        <f ca="1">IF(表2_36716262930389121314152324252627282930[[#This Row],[累计净值]]/MAX(INDIRECT("B21:B" &amp; ROW()))-1&lt;E141,表2_36716262930389121314152324252627282930[[#This Row],[累计净值]]/MAX(INDIRECT("B21:B" &amp; ROW()))-1,E141)</f>
        <v>-9.4083414161008627E-2</v>
      </c>
      <c r="F142" s="110">
        <f>表2_36716262930389121314152324252627282930[[#This Row],[累计净值]]</f>
        <v>1.012</v>
      </c>
      <c r="G142" s="20">
        <f>表2_36716262930389121314152324252627282930[[#This Row],[累计净值]]/$B$21-1</f>
        <v>1.0989010989011172E-2</v>
      </c>
    </row>
    <row r="143" spans="1:7">
      <c r="A143" s="15">
        <v>44260</v>
      </c>
      <c r="B143" s="112">
        <v>1.01</v>
      </c>
      <c r="C143" s="108">
        <f t="shared" si="43"/>
        <v>-2.0000000000000018E-3</v>
      </c>
      <c r="D143" s="109">
        <f t="shared" si="44"/>
        <v>-2.0000000000000018E-3</v>
      </c>
      <c r="E143" s="109">
        <f ca="1">IF(表2_36716262930389121314152324252627282930[[#This Row],[累计净值]]/MAX(INDIRECT("B21:B" &amp; ROW()))-1&lt;E142,表2_36716262930389121314152324252627282930[[#This Row],[累计净值]]/MAX(INDIRECT("B21:B" &amp; ROW()))-1,E142)</f>
        <v>-9.4083414161008627E-2</v>
      </c>
      <c r="F143" s="110">
        <f>表2_36716262930389121314152324252627282930[[#This Row],[累计净值]]</f>
        <v>1.01</v>
      </c>
      <c r="G143" s="20">
        <f>表2_36716262930389121314152324252627282930[[#This Row],[累计净值]]/$B$21-1</f>
        <v>8.9910089910090196E-3</v>
      </c>
    </row>
    <row r="144" spans="1:7">
      <c r="A144" s="15">
        <v>44263</v>
      </c>
      <c r="B144" s="112">
        <v>1.0289999999999999</v>
      </c>
      <c r="C144" s="108">
        <f t="shared" si="43"/>
        <v>1.8999999999999906E-2</v>
      </c>
      <c r="D144" s="109" t="str">
        <f t="shared" si="44"/>
        <v>/</v>
      </c>
      <c r="E144" s="109">
        <f ca="1">IF(表2_36716262930389121314152324252627282930[[#This Row],[累计净值]]/MAX(INDIRECT("B21:B" &amp; ROW()))-1&lt;E143,表2_36716262930389121314152324252627282930[[#This Row],[累计净值]]/MAX(INDIRECT("B21:B" &amp; ROW()))-1,E143)</f>
        <v>-9.4083414161008627E-2</v>
      </c>
      <c r="F144" s="110">
        <f>表2_36716262930389121314152324252627282930[[#This Row],[累计净值]]</f>
        <v>1.0289999999999999</v>
      </c>
      <c r="G144" s="20">
        <f>表2_36716262930389121314152324252627282930[[#This Row],[累计净值]]/$B$21-1</f>
        <v>2.7972027972027913E-2</v>
      </c>
    </row>
    <row r="145" spans="1:7">
      <c r="A145" s="15">
        <v>44264</v>
      </c>
      <c r="B145" s="112">
        <v>1.0229999999999999</v>
      </c>
      <c r="C145" s="108">
        <f t="shared" si="43"/>
        <v>-6.0000000000000053E-3</v>
      </c>
      <c r="D145" s="109">
        <f t="shared" si="44"/>
        <v>-6.0000000000000053E-3</v>
      </c>
      <c r="E145" s="109">
        <f ca="1">IF(表2_36716262930389121314152324252627282930[[#This Row],[累计净值]]/MAX(INDIRECT("B21:B" &amp; ROW()))-1&lt;E144,表2_36716262930389121314152324252627282930[[#This Row],[累计净值]]/MAX(INDIRECT("B21:B" &amp; ROW()))-1,E144)</f>
        <v>-9.4083414161008627E-2</v>
      </c>
      <c r="F145" s="110">
        <f>表2_36716262930389121314152324252627282930[[#This Row],[累计净值]]</f>
        <v>1.0229999999999999</v>
      </c>
      <c r="G145" s="20">
        <f>表2_36716262930389121314152324252627282930[[#This Row],[累计净值]]/$B$21-1</f>
        <v>2.19780219780219E-2</v>
      </c>
    </row>
    <row r="146" spans="1:7">
      <c r="A146" s="15">
        <v>44265</v>
      </c>
      <c r="B146" s="112">
        <v>1.0169999999999999</v>
      </c>
      <c r="C146" s="108">
        <f t="shared" si="43"/>
        <v>-6.0000000000000053E-3</v>
      </c>
      <c r="D146" s="109">
        <f t="shared" si="44"/>
        <v>-6.0000000000000053E-3</v>
      </c>
      <c r="E146" s="109">
        <f ca="1">IF(表2_36716262930389121314152324252627282930[[#This Row],[累计净值]]/MAX(INDIRECT("B21:B" &amp; ROW()))-1&lt;E145,表2_36716262930389121314152324252627282930[[#This Row],[累计净值]]/MAX(INDIRECT("B21:B" &amp; ROW()))-1,E145)</f>
        <v>-9.4083414161008627E-2</v>
      </c>
      <c r="F146" s="110">
        <f>表2_36716262930389121314152324252627282930[[#This Row],[累计净值]]</f>
        <v>1.0169999999999999</v>
      </c>
      <c r="G146" s="20">
        <f>表2_36716262930389121314152324252627282930[[#This Row],[累计净值]]/$B$21-1</f>
        <v>1.5984015984016109E-2</v>
      </c>
    </row>
    <row r="147" spans="1:7">
      <c r="A147" s="15">
        <v>44266</v>
      </c>
      <c r="B147" s="112">
        <v>1.0329999999999999</v>
      </c>
      <c r="C147" s="108">
        <f t="shared" si="43"/>
        <v>1.6000000000000014E-2</v>
      </c>
      <c r="D147" s="109" t="str">
        <f t="shared" si="44"/>
        <v>/</v>
      </c>
      <c r="E147" s="109">
        <f ca="1">IF(表2_36716262930389121314152324252627282930[[#This Row],[累计净值]]/MAX(INDIRECT("B21:B" &amp; ROW()))-1&lt;E146,表2_36716262930389121314152324252627282930[[#This Row],[累计净值]]/MAX(INDIRECT("B21:B" &amp; ROW()))-1,E146)</f>
        <v>-9.4083414161008627E-2</v>
      </c>
      <c r="F147" s="110">
        <f>表2_36716262930389121314152324252627282930[[#This Row],[累计净值]]</f>
        <v>1.0329999999999999</v>
      </c>
      <c r="G147" s="20">
        <f>表2_36716262930389121314152324252627282930[[#This Row],[累计净值]]/$B$21-1</f>
        <v>3.1968031968031996E-2</v>
      </c>
    </row>
    <row r="148" spans="1:7">
      <c r="A148" s="15">
        <v>44267</v>
      </c>
      <c r="B148" s="112">
        <v>1.0409999999999999</v>
      </c>
      <c r="C148" s="108">
        <f t="shared" si="43"/>
        <v>8.0000000000000071E-3</v>
      </c>
      <c r="D148" s="109" t="str">
        <f t="shared" si="44"/>
        <v>/</v>
      </c>
      <c r="E148" s="109">
        <f ca="1">IF(表2_36716262930389121314152324252627282930[[#This Row],[累计净值]]/MAX(INDIRECT("B21:B" &amp; ROW()))-1&lt;E147,表2_36716262930389121314152324252627282930[[#This Row],[累计净值]]/MAX(INDIRECT("B21:B" &amp; ROW()))-1,E147)</f>
        <v>-9.4083414161008627E-2</v>
      </c>
      <c r="F148" s="110">
        <f>表2_36716262930389121314152324252627282930[[#This Row],[累计净值]]</f>
        <v>1.0409999999999999</v>
      </c>
      <c r="G148" s="20">
        <f>表2_36716262930389121314152324252627282930[[#This Row],[累计净值]]/$B$21-1</f>
        <v>3.9960039960039939E-2</v>
      </c>
    </row>
    <row r="149" spans="1:7">
      <c r="A149" s="15">
        <v>44270</v>
      </c>
      <c r="B149" s="112">
        <v>1.046</v>
      </c>
      <c r="C149" s="108">
        <f t="shared" ref="C149:C154" si="45">IFERROR(B149-B148,0)</f>
        <v>5.0000000000001155E-3</v>
      </c>
      <c r="D149" s="109" t="str">
        <f t="shared" ref="D149:D154" si="46">IF(C149&lt;0,C149,"/")</f>
        <v>/</v>
      </c>
      <c r="E149" s="109">
        <f ca="1">IF(表2_36716262930389121314152324252627282930[[#This Row],[累计净值]]/MAX(INDIRECT("B21:B" &amp; ROW()))-1&lt;E148,表2_36716262930389121314152324252627282930[[#This Row],[累计净值]]/MAX(INDIRECT("B21:B" &amp; ROW()))-1,E148)</f>
        <v>-9.4083414161008627E-2</v>
      </c>
      <c r="F149" s="110">
        <f>表2_36716262930389121314152324252627282930[[#This Row],[累计净值]]</f>
        <v>1.046</v>
      </c>
      <c r="G149" s="20">
        <f>表2_36716262930389121314152324252627282930[[#This Row],[累计净值]]/$B$21-1</f>
        <v>4.4955044955045098E-2</v>
      </c>
    </row>
    <row r="150" spans="1:7">
      <c r="A150" s="15">
        <v>44271</v>
      </c>
      <c r="B150" s="112">
        <v>1.0429999999999999</v>
      </c>
      <c r="C150" s="108">
        <f t="shared" si="45"/>
        <v>-3.0000000000001137E-3</v>
      </c>
      <c r="D150" s="109">
        <f t="shared" si="46"/>
        <v>-3.0000000000001137E-3</v>
      </c>
      <c r="E150" s="109">
        <f ca="1">IF(表2_36716262930389121314152324252627282930[[#This Row],[累计净值]]/MAX(INDIRECT("B21:B" &amp; ROW()))-1&lt;E149,表2_36716262930389121314152324252627282930[[#This Row],[累计净值]]/MAX(INDIRECT("B21:B" &amp; ROW()))-1,E149)</f>
        <v>-9.4083414161008627E-2</v>
      </c>
      <c r="F150" s="110">
        <f>表2_36716262930389121314152324252627282930[[#This Row],[累计净值]]</f>
        <v>1.0429999999999999</v>
      </c>
      <c r="G150" s="20">
        <f>表2_36716262930389121314152324252627282930[[#This Row],[累计净值]]/$B$21-1</f>
        <v>4.1958041958042092E-2</v>
      </c>
    </row>
    <row r="151" spans="1:7">
      <c r="A151" s="15">
        <v>44272</v>
      </c>
      <c r="B151" s="112">
        <v>1.0449999999999999</v>
      </c>
      <c r="C151" s="108">
        <f t="shared" si="45"/>
        <v>2.0000000000000018E-3</v>
      </c>
      <c r="D151" s="109" t="str">
        <f t="shared" si="46"/>
        <v>/</v>
      </c>
      <c r="E151" s="109">
        <f ca="1">IF(表2_36716262930389121314152324252627282930[[#This Row],[累计净值]]/MAX(INDIRECT("B21:B" &amp; ROW()))-1&lt;E150,表2_36716262930389121314152324252627282930[[#This Row],[累计净值]]/MAX(INDIRECT("B21:B" &amp; ROW()))-1,E150)</f>
        <v>-9.4083414161008627E-2</v>
      </c>
      <c r="F151" s="110">
        <f>表2_36716262930389121314152324252627282930[[#This Row],[累计净值]]</f>
        <v>1.0449999999999999</v>
      </c>
      <c r="G151" s="20">
        <f>表2_36716262930389121314152324252627282930[[#This Row],[累计净值]]/$B$21-1</f>
        <v>4.3956043956044022E-2</v>
      </c>
    </row>
    <row r="152" spans="1:7">
      <c r="A152" s="15">
        <v>44273</v>
      </c>
      <c r="B152" s="112">
        <v>1.044</v>
      </c>
      <c r="C152" s="108">
        <f t="shared" si="45"/>
        <v>-9.9999999999988987E-4</v>
      </c>
      <c r="D152" s="109">
        <f t="shared" si="46"/>
        <v>-9.9999999999988987E-4</v>
      </c>
      <c r="E152" s="109">
        <f ca="1">IF(表2_36716262930389121314152324252627282930[[#This Row],[累计净值]]/MAX(INDIRECT("B21:B" &amp; ROW()))-1&lt;E151,表2_36716262930389121314152324252627282930[[#This Row],[累计净值]]/MAX(INDIRECT("B21:B" &amp; ROW()))-1,E151)</f>
        <v>-9.4083414161008627E-2</v>
      </c>
      <c r="F152" s="110">
        <f>表2_36716262930389121314152324252627282930[[#This Row],[累计净值]]</f>
        <v>1.044</v>
      </c>
      <c r="G152" s="20">
        <f>表2_36716262930389121314152324252627282930[[#This Row],[累计净值]]/$B$21-1</f>
        <v>4.2957042957043168E-2</v>
      </c>
    </row>
    <row r="153" spans="1:7">
      <c r="A153" s="15">
        <v>44274</v>
      </c>
      <c r="B153" s="112">
        <v>1.0349999999999999</v>
      </c>
      <c r="C153" s="108">
        <f t="shared" si="45"/>
        <v>-9.000000000000119E-3</v>
      </c>
      <c r="D153" s="109">
        <f t="shared" si="46"/>
        <v>-9.000000000000119E-3</v>
      </c>
      <c r="E153" s="109">
        <f ca="1">IF(表2_36716262930389121314152324252627282930[[#This Row],[累计净值]]/MAX(INDIRECT("B21:B" &amp; ROW()))-1&lt;E152,表2_36716262930389121314152324252627282930[[#This Row],[累计净值]]/MAX(INDIRECT("B21:B" &amp; ROW()))-1,E152)</f>
        <v>-9.4083414161008627E-2</v>
      </c>
      <c r="F153" s="110">
        <f>表2_36716262930389121314152324252627282930[[#This Row],[累计净值]]</f>
        <v>1.0349999999999999</v>
      </c>
      <c r="G153" s="20">
        <f>表2_36716262930389121314152324252627282930[[#This Row],[累计净值]]/$B$21-1</f>
        <v>3.3966033966033926E-2</v>
      </c>
    </row>
    <row r="154" spans="1:7">
      <c r="A154" s="15">
        <v>44277</v>
      </c>
      <c r="B154" s="112">
        <v>1.032</v>
      </c>
      <c r="C154" s="108">
        <f t="shared" si="45"/>
        <v>-2.9999999999998916E-3</v>
      </c>
      <c r="D154" s="109">
        <f t="shared" si="46"/>
        <v>-2.9999999999998916E-3</v>
      </c>
      <c r="E154" s="109">
        <f ca="1">IF(表2_36716262930389121314152324252627282930[[#This Row],[累计净值]]/MAX(INDIRECT("B21:B" &amp; ROW()))-1&lt;E153,表2_36716262930389121314152324252627282930[[#This Row],[累计净值]]/MAX(INDIRECT("B21:B" &amp; ROW()))-1,E153)</f>
        <v>-9.4083414161008627E-2</v>
      </c>
      <c r="F154" s="110">
        <f>表2_36716262930389121314152324252627282930[[#This Row],[累计净值]]</f>
        <v>1.032</v>
      </c>
      <c r="G154" s="20">
        <f>表2_36716262930389121314152324252627282930[[#This Row],[累计净值]]/$B$21-1</f>
        <v>3.0969030969031142E-2</v>
      </c>
    </row>
    <row r="155" spans="1:7">
      <c r="A155" s="15">
        <v>44278</v>
      </c>
      <c r="B155" s="112">
        <v>1.0329999999999999</v>
      </c>
      <c r="C155" s="108">
        <f t="shared" ref="C155:C158" si="47">IFERROR(B155-B154,0)</f>
        <v>9.9999999999988987E-4</v>
      </c>
      <c r="D155" s="109" t="str">
        <f t="shared" ref="D155:D158" si="48">IF(C155&lt;0,C155,"/")</f>
        <v>/</v>
      </c>
      <c r="E155" s="109">
        <f ca="1">IF(表2_36716262930389121314152324252627282930[[#This Row],[累计净值]]/MAX(INDIRECT("B21:B" &amp; ROW()))-1&lt;E154,表2_36716262930389121314152324252627282930[[#This Row],[累计净值]]/MAX(INDIRECT("B21:B" &amp; ROW()))-1,E154)</f>
        <v>-9.4083414161008627E-2</v>
      </c>
      <c r="F155" s="110">
        <f>表2_36716262930389121314152324252627282930[[#This Row],[累计净值]]</f>
        <v>1.0329999999999999</v>
      </c>
      <c r="G155" s="20">
        <f>表2_36716262930389121314152324252627282930[[#This Row],[累计净值]]/$B$21-1</f>
        <v>3.1968031968031996E-2</v>
      </c>
    </row>
    <row r="156" spans="1:7">
      <c r="A156" s="15">
        <v>44279</v>
      </c>
      <c r="B156" s="112">
        <v>1.0289999999999999</v>
      </c>
      <c r="C156" s="108">
        <f t="shared" si="47"/>
        <v>-4.0000000000000036E-3</v>
      </c>
      <c r="D156" s="109">
        <f t="shared" si="48"/>
        <v>-4.0000000000000036E-3</v>
      </c>
      <c r="E156" s="109">
        <f ca="1">IF(表2_36716262930389121314152324252627282930[[#This Row],[累计净值]]/MAX(INDIRECT("B21:B" &amp; ROW()))-1&lt;E155,表2_36716262930389121314152324252627282930[[#This Row],[累计净值]]/MAX(INDIRECT("B21:B" &amp; ROW()))-1,E155)</f>
        <v>-9.4083414161008627E-2</v>
      </c>
      <c r="F156" s="110">
        <f>表2_36716262930389121314152324252627282930[[#This Row],[累计净值]]</f>
        <v>1.0289999999999999</v>
      </c>
      <c r="G156" s="20">
        <f>表2_36716262930389121314152324252627282930[[#This Row],[累计净值]]/$B$21-1</f>
        <v>2.7972027972027913E-2</v>
      </c>
    </row>
    <row r="157" spans="1:7">
      <c r="A157" s="15">
        <v>44280</v>
      </c>
      <c r="B157" s="112">
        <v>1.0309999999999999</v>
      </c>
      <c r="C157" s="108">
        <f t="shared" si="47"/>
        <v>2.0000000000000018E-3</v>
      </c>
      <c r="D157" s="109" t="str">
        <f t="shared" si="48"/>
        <v>/</v>
      </c>
      <c r="E157" s="109">
        <f ca="1">IF(表2_36716262930389121314152324252627282930[[#This Row],[累计净值]]/MAX(INDIRECT("B21:B" &amp; ROW()))-1&lt;E156,表2_36716262930389121314152324252627282930[[#This Row],[累计净值]]/MAX(INDIRECT("B21:B" &amp; ROW()))-1,E156)</f>
        <v>-9.4083414161008627E-2</v>
      </c>
      <c r="F157" s="110">
        <f>表2_36716262930389121314152324252627282930[[#This Row],[累计净值]]</f>
        <v>1.0309999999999999</v>
      </c>
      <c r="G157" s="20">
        <f>表2_36716262930389121314152324252627282930[[#This Row],[累计净值]]/$B$21-1</f>
        <v>2.9970029970030065E-2</v>
      </c>
    </row>
    <row r="158" spans="1:7">
      <c r="A158" s="15">
        <v>44281</v>
      </c>
      <c r="B158" s="112">
        <v>1.0580000000000001</v>
      </c>
      <c r="C158" s="108">
        <f t="shared" si="47"/>
        <v>2.7000000000000135E-2</v>
      </c>
      <c r="D158" s="109" t="str">
        <f t="shared" si="48"/>
        <v>/</v>
      </c>
      <c r="E158" s="109">
        <f ca="1">IF(表2_36716262930389121314152324252627282930[[#This Row],[累计净值]]/MAX(INDIRECT("B21:B" &amp; ROW()))-1&lt;E157,表2_36716262930389121314152324252627282930[[#This Row],[累计净值]]/MAX(INDIRECT("B21:B" &amp; ROW()))-1,E157)</f>
        <v>-9.4083414161008627E-2</v>
      </c>
      <c r="F158" s="110">
        <f>表2_36716262930389121314152324252627282930[[#This Row],[累计净值]]</f>
        <v>1.0580000000000001</v>
      </c>
      <c r="G158" s="20">
        <f>表2_36716262930389121314152324252627282930[[#This Row],[累计净值]]/$B$21-1</f>
        <v>5.6943056943057124E-2</v>
      </c>
    </row>
    <row r="159" spans="1:7">
      <c r="A159" s="15">
        <v>44284</v>
      </c>
      <c r="B159" s="112">
        <v>1.054</v>
      </c>
      <c r="C159" s="108">
        <f t="shared" ref="C159:C164" si="49">IFERROR(B159-B158,0)</f>
        <v>-4.0000000000000036E-3</v>
      </c>
      <c r="D159" s="109">
        <f t="shared" ref="D159:D164" si="50">IF(C159&lt;0,C159,"/")</f>
        <v>-4.0000000000000036E-3</v>
      </c>
      <c r="E159" s="109">
        <f ca="1">IF(表2_36716262930389121314152324252627282930[[#This Row],[累计净值]]/MAX(INDIRECT("B21:B" &amp; ROW()))-1&lt;E158,表2_36716262930389121314152324252627282930[[#This Row],[累计净值]]/MAX(INDIRECT("B21:B" &amp; ROW()))-1,E158)</f>
        <v>-9.4083414161008627E-2</v>
      </c>
      <c r="F159" s="110">
        <f>表2_36716262930389121314152324252627282930[[#This Row],[累计净值]]</f>
        <v>1.054</v>
      </c>
      <c r="G159" s="20">
        <f>表2_36716262930389121314152324252627282930[[#This Row],[累计净值]]/$B$21-1</f>
        <v>5.2947052947053042E-2</v>
      </c>
    </row>
    <row r="160" spans="1:7">
      <c r="A160" s="15">
        <v>44285</v>
      </c>
      <c r="B160" s="112">
        <v>1.0569999999999999</v>
      </c>
      <c r="C160" s="108">
        <f t="shared" si="49"/>
        <v>2.9999999999998916E-3</v>
      </c>
      <c r="D160" s="109" t="str">
        <f t="shared" si="50"/>
        <v>/</v>
      </c>
      <c r="E160" s="109">
        <f ca="1">IF(表2_36716262930389121314152324252627282930[[#This Row],[累计净值]]/MAX(INDIRECT("B21:B" &amp; ROW()))-1&lt;E159,表2_36716262930389121314152324252627282930[[#This Row],[累计净值]]/MAX(INDIRECT("B21:B" &amp; ROW()))-1,E159)</f>
        <v>-9.4083414161008627E-2</v>
      </c>
      <c r="F160" s="110">
        <f>表2_36716262930389121314152324252627282930[[#This Row],[累计净值]]</f>
        <v>1.0569999999999999</v>
      </c>
      <c r="G160" s="20">
        <f>表2_36716262930389121314152324252627282930[[#This Row],[累计净值]]/$B$21-1</f>
        <v>5.5944055944056048E-2</v>
      </c>
    </row>
    <row r="161" spans="1:7">
      <c r="A161" s="15">
        <v>44286</v>
      </c>
      <c r="B161" s="112">
        <v>1.0580000000000001</v>
      </c>
      <c r="C161" s="108">
        <f t="shared" si="49"/>
        <v>1.0000000000001119E-3</v>
      </c>
      <c r="D161" s="109" t="str">
        <f t="shared" si="50"/>
        <v>/</v>
      </c>
      <c r="E161" s="109">
        <f ca="1">IF(表2_36716262930389121314152324252627282930[[#This Row],[累计净值]]/MAX(INDIRECT("B21:B" &amp; ROW()))-1&lt;E160,表2_36716262930389121314152324252627282930[[#This Row],[累计净值]]/MAX(INDIRECT("B21:B" &amp; ROW()))-1,E160)</f>
        <v>-9.4083414161008627E-2</v>
      </c>
      <c r="F161" s="110">
        <f>表2_36716262930389121314152324252627282930[[#This Row],[累计净值]]</f>
        <v>1.0580000000000001</v>
      </c>
      <c r="G161" s="20">
        <f>表2_36716262930389121314152324252627282930[[#This Row],[累计净值]]/$B$21-1</f>
        <v>5.6943056943057124E-2</v>
      </c>
    </row>
    <row r="162" spans="1:7">
      <c r="A162" s="15">
        <v>44287</v>
      </c>
      <c r="B162" s="112">
        <v>1.0569999999999999</v>
      </c>
      <c r="C162" s="108">
        <f t="shared" si="49"/>
        <v>-1.0000000000001119E-3</v>
      </c>
      <c r="D162" s="109">
        <f t="shared" si="50"/>
        <v>-1.0000000000001119E-3</v>
      </c>
      <c r="E162" s="109">
        <f ca="1">IF(表2_36716262930389121314152324252627282930[[#This Row],[累计净值]]/MAX(INDIRECT("B21:B" &amp; ROW()))-1&lt;E161,表2_36716262930389121314152324252627282930[[#This Row],[累计净值]]/MAX(INDIRECT("B21:B" &amp; ROW()))-1,E161)</f>
        <v>-9.4083414161008627E-2</v>
      </c>
      <c r="F162" s="110">
        <f>表2_36716262930389121314152324252627282930[[#This Row],[累计净值]]</f>
        <v>1.0569999999999999</v>
      </c>
      <c r="G162" s="20">
        <f>表2_36716262930389121314152324252627282930[[#This Row],[累计净值]]/$B$21-1</f>
        <v>5.5944055944056048E-2</v>
      </c>
    </row>
    <row r="163" spans="1:7">
      <c r="A163" s="15">
        <v>44288</v>
      </c>
      <c r="B163" s="112">
        <v>1.048</v>
      </c>
      <c r="C163" s="108">
        <f t="shared" si="49"/>
        <v>-8.999999999999897E-3</v>
      </c>
      <c r="D163" s="109">
        <f t="shared" si="50"/>
        <v>-8.999999999999897E-3</v>
      </c>
      <c r="E163" s="109">
        <f ca="1">IF(表2_36716262930389121314152324252627282930[[#This Row],[累计净值]]/MAX(INDIRECT("B21:B" &amp; ROW()))-1&lt;E162,表2_36716262930389121314152324252627282930[[#This Row],[累计净值]]/MAX(INDIRECT("B21:B" &amp; ROW()))-1,E162)</f>
        <v>-9.4083414161008627E-2</v>
      </c>
      <c r="F163" s="110">
        <f>表2_36716262930389121314152324252627282930[[#This Row],[累计净值]]</f>
        <v>1.048</v>
      </c>
      <c r="G163" s="20">
        <f>表2_36716262930389121314152324252627282930[[#This Row],[累计净值]]/$B$21-1</f>
        <v>4.6953046953047028E-2</v>
      </c>
    </row>
    <row r="164" spans="1:7">
      <c r="A164" s="15">
        <v>44292</v>
      </c>
      <c r="B164" s="112">
        <v>1.0449999999999999</v>
      </c>
      <c r="C164" s="108">
        <f t="shared" si="49"/>
        <v>-3.0000000000001137E-3</v>
      </c>
      <c r="D164" s="109">
        <f t="shared" si="50"/>
        <v>-3.0000000000001137E-3</v>
      </c>
      <c r="E164" s="109">
        <f ca="1">IF(表2_36716262930389121314152324252627282930[[#This Row],[累计净值]]/MAX(INDIRECT("B21:B" &amp; ROW()))-1&lt;E163,表2_36716262930389121314152324252627282930[[#This Row],[累计净值]]/MAX(INDIRECT("B21:B" &amp; ROW()))-1,E163)</f>
        <v>-9.4083414161008627E-2</v>
      </c>
      <c r="F164" s="110">
        <f>表2_36716262930389121314152324252627282930[[#This Row],[累计净值]]</f>
        <v>1.0449999999999999</v>
      </c>
      <c r="G164" s="20">
        <f>表2_36716262930389121314152324252627282930[[#This Row],[累计净值]]/$B$21-1</f>
        <v>4.3956043956044022E-2</v>
      </c>
    </row>
    <row r="165" spans="1:7">
      <c r="A165" s="15">
        <v>44293</v>
      </c>
      <c r="B165" s="112">
        <v>1.0509999999999999</v>
      </c>
      <c r="C165" s="108">
        <f t="shared" ref="C165:C170" si="51">IFERROR(B165-B164,0)</f>
        <v>6.0000000000000053E-3</v>
      </c>
      <c r="D165" s="109" t="str">
        <f t="shared" ref="D165:D170" si="52">IF(C165&lt;0,C165,"/")</f>
        <v>/</v>
      </c>
      <c r="E165" s="109">
        <f ca="1">IF(表2_36716262930389121314152324252627282930[[#This Row],[累计净值]]/MAX(INDIRECT("B21:B" &amp; ROW()))-1&lt;E164,表2_36716262930389121314152324252627282930[[#This Row],[累计净值]]/MAX(INDIRECT("B21:B" &amp; ROW()))-1,E164)</f>
        <v>-9.4083414161008627E-2</v>
      </c>
      <c r="F165" s="110">
        <f>表2_36716262930389121314152324252627282930[[#This Row],[累计净值]]</f>
        <v>1.0509999999999999</v>
      </c>
      <c r="G165" s="20">
        <f>表2_36716262930389121314152324252627282930[[#This Row],[累计净值]]/$B$21-1</f>
        <v>4.9950049950050035E-2</v>
      </c>
    </row>
    <row r="166" spans="1:7">
      <c r="A166" s="15">
        <v>44294</v>
      </c>
      <c r="B166" s="112">
        <v>1.046</v>
      </c>
      <c r="C166" s="108">
        <f t="shared" si="51"/>
        <v>-4.9999999999998934E-3</v>
      </c>
      <c r="D166" s="109">
        <f t="shared" si="52"/>
        <v>-4.9999999999998934E-3</v>
      </c>
      <c r="E166" s="109">
        <f ca="1">IF(表2_36716262930389121314152324252627282930[[#This Row],[累计净值]]/MAX(INDIRECT("B21:B" &amp; ROW()))-1&lt;E165,表2_36716262930389121314152324252627282930[[#This Row],[累计净值]]/MAX(INDIRECT("B21:B" &amp; ROW()))-1,E165)</f>
        <v>-9.4083414161008627E-2</v>
      </c>
      <c r="F166" s="110">
        <f>表2_36716262930389121314152324252627282930[[#This Row],[累计净值]]</f>
        <v>1.046</v>
      </c>
      <c r="G166" s="20">
        <f>表2_36716262930389121314152324252627282930[[#This Row],[累计净值]]/$B$21-1</f>
        <v>4.4955044955045098E-2</v>
      </c>
    </row>
    <row r="167" spans="1:7">
      <c r="A167" s="15">
        <v>44295</v>
      </c>
      <c r="B167" s="112">
        <v>1.0529999999999999</v>
      </c>
      <c r="C167" s="108">
        <f t="shared" si="51"/>
        <v>6.9999999999998952E-3</v>
      </c>
      <c r="D167" s="109" t="str">
        <f t="shared" si="52"/>
        <v>/</v>
      </c>
      <c r="E167" s="109">
        <f ca="1">IF(表2_36716262930389121314152324252627282930[[#This Row],[累计净值]]/MAX(INDIRECT("B21:B" &amp; ROW()))-1&lt;E166,表2_36716262930389121314152324252627282930[[#This Row],[累计净值]]/MAX(INDIRECT("B21:B" &amp; ROW()))-1,E166)</f>
        <v>-9.4083414161008627E-2</v>
      </c>
      <c r="F167" s="110">
        <f>表2_36716262930389121314152324252627282930[[#This Row],[累计净值]]</f>
        <v>1.0529999999999999</v>
      </c>
      <c r="G167" s="20">
        <f>表2_36716262930389121314152324252627282930[[#This Row],[累计净值]]/$B$21-1</f>
        <v>5.1948051948051965E-2</v>
      </c>
    </row>
    <row r="168" spans="1:7">
      <c r="A168" s="15">
        <v>44298</v>
      </c>
      <c r="B168" s="112">
        <v>1.0549999999999999</v>
      </c>
      <c r="C168" s="108">
        <f t="shared" si="51"/>
        <v>2.0000000000000018E-3</v>
      </c>
      <c r="D168" s="109" t="str">
        <f t="shared" si="52"/>
        <v>/</v>
      </c>
      <c r="E168" s="109">
        <f ca="1">IF(表2_36716262930389121314152324252627282930[[#This Row],[累计净值]]/MAX(INDIRECT("B21:B" &amp; ROW()))-1&lt;E167,表2_36716262930389121314152324252627282930[[#This Row],[累计净值]]/MAX(INDIRECT("B21:B" &amp; ROW()))-1,E167)</f>
        <v>-9.4083414161008627E-2</v>
      </c>
      <c r="F168" s="110">
        <f>表2_36716262930389121314152324252627282930[[#This Row],[累计净值]]</f>
        <v>1.0549999999999999</v>
      </c>
      <c r="G168" s="20">
        <f>表2_36716262930389121314152324252627282930[[#This Row],[累计净值]]/$B$21-1</f>
        <v>5.3946053946053896E-2</v>
      </c>
    </row>
    <row r="169" spans="1:7">
      <c r="A169" s="15">
        <v>44299</v>
      </c>
      <c r="B169" s="112">
        <v>1.0509999999999999</v>
      </c>
      <c r="C169" s="108">
        <f t="shared" si="51"/>
        <v>-4.0000000000000036E-3</v>
      </c>
      <c r="D169" s="109">
        <f t="shared" si="52"/>
        <v>-4.0000000000000036E-3</v>
      </c>
      <c r="E169" s="109">
        <f ca="1">IF(表2_36716262930389121314152324252627282930[[#This Row],[累计净值]]/MAX(INDIRECT("B21:B" &amp; ROW()))-1&lt;E168,表2_36716262930389121314152324252627282930[[#This Row],[累计净值]]/MAX(INDIRECT("B21:B" &amp; ROW()))-1,E168)</f>
        <v>-9.4083414161008627E-2</v>
      </c>
      <c r="F169" s="110">
        <f>表2_36716262930389121314152324252627282930[[#This Row],[累计净值]]</f>
        <v>1.0509999999999999</v>
      </c>
      <c r="G169" s="20">
        <f>表2_36716262930389121314152324252627282930[[#This Row],[累计净值]]/$B$21-1</f>
        <v>4.9950049950050035E-2</v>
      </c>
    </row>
    <row r="170" spans="1:7">
      <c r="A170" s="15">
        <v>44300</v>
      </c>
      <c r="B170" s="112">
        <v>1.0489999999999999</v>
      </c>
      <c r="C170" s="108">
        <f t="shared" si="51"/>
        <v>-2.0000000000000018E-3</v>
      </c>
      <c r="D170" s="109">
        <f t="shared" si="52"/>
        <v>-2.0000000000000018E-3</v>
      </c>
      <c r="E170" s="109">
        <f ca="1">IF(表2_36716262930389121314152324252627282930[[#This Row],[累计净值]]/MAX(INDIRECT("B21:B" &amp; ROW()))-1&lt;E169,表2_36716262930389121314152324252627282930[[#This Row],[累计净值]]/MAX(INDIRECT("B21:B" &amp; ROW()))-1,E169)</f>
        <v>-9.4083414161008627E-2</v>
      </c>
      <c r="F170" s="110">
        <f>表2_36716262930389121314152324252627282930[[#This Row],[累计净值]]</f>
        <v>1.0489999999999999</v>
      </c>
      <c r="G170" s="20">
        <f>表2_36716262930389121314152324252627282930[[#This Row],[累计净值]]/$B$21-1</f>
        <v>4.7952047952048105E-2</v>
      </c>
    </row>
    <row r="171" spans="1:7">
      <c r="A171" s="15">
        <v>44301</v>
      </c>
      <c r="B171" s="112">
        <v>1.044</v>
      </c>
      <c r="C171" s="108">
        <f t="shared" ref="C171:C176" si="53">IFERROR(B171-B170,0)</f>
        <v>-4.9999999999998934E-3</v>
      </c>
      <c r="D171" s="109">
        <f t="shared" ref="D171:D176" si="54">IF(C171&lt;0,C171,"/")</f>
        <v>-4.9999999999998934E-3</v>
      </c>
      <c r="E171" s="109">
        <f ca="1">IF(表2_36716262930389121314152324252627282930[[#This Row],[累计净值]]/MAX(INDIRECT("B21:B" &amp; ROW()))-1&lt;E170,表2_36716262930389121314152324252627282930[[#This Row],[累计净值]]/MAX(INDIRECT("B21:B" &amp; ROW()))-1,E170)</f>
        <v>-9.4083414161008627E-2</v>
      </c>
      <c r="F171" s="110">
        <f>表2_36716262930389121314152324252627282930[[#This Row],[累计净值]]</f>
        <v>1.044</v>
      </c>
      <c r="G171" s="20">
        <f>表2_36716262930389121314152324252627282930[[#This Row],[累计净值]]/$B$21-1</f>
        <v>4.2957042957043168E-2</v>
      </c>
    </row>
    <row r="172" spans="1:7">
      <c r="A172" s="15">
        <v>44302</v>
      </c>
      <c r="B172" s="112">
        <v>1.0409999999999999</v>
      </c>
      <c r="C172" s="108">
        <f t="shared" si="53"/>
        <v>-3.0000000000001137E-3</v>
      </c>
      <c r="D172" s="109">
        <f t="shared" si="54"/>
        <v>-3.0000000000001137E-3</v>
      </c>
      <c r="E172" s="109">
        <f ca="1">IF(表2_36716262930389121314152324252627282930[[#This Row],[累计净值]]/MAX(INDIRECT("B21:B" &amp; ROW()))-1&lt;E171,表2_36716262930389121314152324252627282930[[#This Row],[累计净值]]/MAX(INDIRECT("B21:B" &amp; ROW()))-1,E171)</f>
        <v>-9.4083414161008627E-2</v>
      </c>
      <c r="F172" s="110">
        <f>表2_36716262930389121314152324252627282930[[#This Row],[累计净值]]</f>
        <v>1.0409999999999999</v>
      </c>
      <c r="G172" s="20">
        <f>表2_36716262930389121314152324252627282930[[#This Row],[累计净值]]/$B$21-1</f>
        <v>3.9960039960039939E-2</v>
      </c>
    </row>
    <row r="173" spans="1:7">
      <c r="A173" s="15">
        <v>44305</v>
      </c>
      <c r="B173" s="112">
        <v>1.0409999999999999</v>
      </c>
      <c r="C173" s="108">
        <f t="shared" si="53"/>
        <v>0</v>
      </c>
      <c r="D173" s="109" t="str">
        <f t="shared" si="54"/>
        <v>/</v>
      </c>
      <c r="E173" s="109">
        <f ca="1">IF(表2_36716262930389121314152324252627282930[[#This Row],[累计净值]]/MAX(INDIRECT("B21:B" &amp; ROW()))-1&lt;E172,表2_36716262930389121314152324252627282930[[#This Row],[累计净值]]/MAX(INDIRECT("B21:B" &amp; ROW()))-1,E172)</f>
        <v>-9.4083414161008627E-2</v>
      </c>
      <c r="F173" s="110">
        <f>表2_36716262930389121314152324252627282930[[#This Row],[累计净值]]</f>
        <v>1.0409999999999999</v>
      </c>
      <c r="G173" s="20">
        <f>表2_36716262930389121314152324252627282930[[#This Row],[累计净值]]/$B$21-1</f>
        <v>3.9960039960039939E-2</v>
      </c>
    </row>
    <row r="174" spans="1:7">
      <c r="A174" s="15">
        <v>44306</v>
      </c>
      <c r="B174" s="112">
        <v>1.046</v>
      </c>
      <c r="C174" s="108">
        <f t="shared" si="53"/>
        <v>5.0000000000001155E-3</v>
      </c>
      <c r="D174" s="109" t="str">
        <f t="shared" si="54"/>
        <v>/</v>
      </c>
      <c r="E174" s="109">
        <f ca="1">IF(表2_36716262930389121314152324252627282930[[#This Row],[累计净值]]/MAX(INDIRECT("B21:B" &amp; ROW()))-1&lt;E173,表2_36716262930389121314152324252627282930[[#This Row],[累计净值]]/MAX(INDIRECT("B21:B" &amp; ROW()))-1,E173)</f>
        <v>-9.4083414161008627E-2</v>
      </c>
      <c r="F174" s="110">
        <f>表2_36716262930389121314152324252627282930[[#This Row],[累计净值]]</f>
        <v>1.046</v>
      </c>
      <c r="G174" s="20">
        <f>表2_36716262930389121314152324252627282930[[#This Row],[累计净值]]/$B$21-1</f>
        <v>4.4955044955045098E-2</v>
      </c>
    </row>
    <row r="175" spans="1:7">
      <c r="A175" s="15">
        <v>44307</v>
      </c>
      <c r="B175" s="112">
        <v>1.0409999999999999</v>
      </c>
      <c r="C175" s="108">
        <f t="shared" si="53"/>
        <v>-5.0000000000001155E-3</v>
      </c>
      <c r="D175" s="109">
        <f t="shared" si="54"/>
        <v>-5.0000000000001155E-3</v>
      </c>
      <c r="E175" s="109">
        <f ca="1">IF(表2_36716262930389121314152324252627282930[[#This Row],[累计净值]]/MAX(INDIRECT("B21:B" &amp; ROW()))-1&lt;E174,表2_36716262930389121314152324252627282930[[#This Row],[累计净值]]/MAX(INDIRECT("B21:B" &amp; ROW()))-1,E174)</f>
        <v>-9.4083414161008627E-2</v>
      </c>
      <c r="F175" s="110">
        <f>表2_36716262930389121314152324252627282930[[#This Row],[累计净值]]</f>
        <v>1.0409999999999999</v>
      </c>
      <c r="G175" s="20">
        <f>表2_36716262930389121314152324252627282930[[#This Row],[累计净值]]/$B$21-1</f>
        <v>3.9960039960039939E-2</v>
      </c>
    </row>
    <row r="176" spans="1:7">
      <c r="A176" s="15">
        <v>44308</v>
      </c>
      <c r="B176" s="112">
        <v>1.0369999999999999</v>
      </c>
      <c r="C176" s="108">
        <f t="shared" si="53"/>
        <v>-4.0000000000000036E-3</v>
      </c>
      <c r="D176" s="109">
        <f t="shared" si="54"/>
        <v>-4.0000000000000036E-3</v>
      </c>
      <c r="E176" s="109">
        <f ca="1">IF(表2_36716262930389121314152324252627282930[[#This Row],[累计净值]]/MAX(INDIRECT("B21:B" &amp; ROW()))-1&lt;E175,表2_36716262930389121314152324252627282930[[#This Row],[累计净值]]/MAX(INDIRECT("B21:B" &amp; ROW()))-1,E175)</f>
        <v>-9.4083414161008627E-2</v>
      </c>
      <c r="F176" s="110">
        <f>表2_36716262930389121314152324252627282930[[#This Row],[累计净值]]</f>
        <v>1.0369999999999999</v>
      </c>
      <c r="G176" s="20">
        <f>表2_36716262930389121314152324252627282930[[#This Row],[累计净值]]/$B$21-1</f>
        <v>3.5964035964036078E-2</v>
      </c>
    </row>
    <row r="177" spans="1:7">
      <c r="A177" s="15">
        <v>44309</v>
      </c>
      <c r="B177" s="112">
        <v>1.0329999999999999</v>
      </c>
      <c r="C177" s="108">
        <f>IFERROR(B177-B176,0)</f>
        <v>-4.0000000000000036E-3</v>
      </c>
      <c r="D177" s="109">
        <f>IF(C177&lt;0,C177,"/")</f>
        <v>-4.0000000000000036E-3</v>
      </c>
      <c r="E177" s="109">
        <f ca="1">IF(表2_36716262930389121314152324252627282930[[#This Row],[累计净值]]/MAX(INDIRECT("B21:B" &amp; ROW()))-1&lt;E176,表2_36716262930389121314152324252627282930[[#This Row],[累计净值]]/MAX(INDIRECT("B21:B" &amp; ROW()))-1,E176)</f>
        <v>-9.4083414161008627E-2</v>
      </c>
      <c r="F177" s="110">
        <f>表2_36716262930389121314152324252627282930[[#This Row],[累计净值]]</f>
        <v>1.0329999999999999</v>
      </c>
      <c r="G177" s="20">
        <f>表2_36716262930389121314152324252627282930[[#This Row],[累计净值]]/$B$21-1</f>
        <v>3.1968031968031996E-2</v>
      </c>
    </row>
    <row r="178" spans="1:7">
      <c r="A178" s="15">
        <v>44312</v>
      </c>
      <c r="B178" s="112">
        <v>1.0269999999999999</v>
      </c>
      <c r="C178" s="108">
        <f>IFERROR(B178-B177,0)</f>
        <v>-6.0000000000000053E-3</v>
      </c>
      <c r="D178" s="109">
        <f>IF(C178&lt;0,C178,"/")</f>
        <v>-6.0000000000000053E-3</v>
      </c>
      <c r="E178" s="109">
        <f ca="1">IF(表2_36716262930389121314152324252627282930[[#This Row],[累计净值]]/MAX(INDIRECT("B21:B" &amp; ROW()))-1&lt;E177,表2_36716262930389121314152324252627282930[[#This Row],[累计净值]]/MAX(INDIRECT("B21:B" &amp; ROW()))-1,E177)</f>
        <v>-9.4083414161008627E-2</v>
      </c>
      <c r="F178" s="110">
        <f>表2_36716262930389121314152324252627282930[[#This Row],[累计净值]]</f>
        <v>1.0269999999999999</v>
      </c>
      <c r="G178" s="20">
        <f>表2_36716262930389121314152324252627282930[[#This Row],[累计净值]]/$B$21-1</f>
        <v>2.5974025974025983E-2</v>
      </c>
    </row>
    <row r="179" spans="1:7">
      <c r="A179" s="15">
        <v>44313</v>
      </c>
      <c r="B179" s="112">
        <v>1.024</v>
      </c>
      <c r="C179" s="108">
        <f t="shared" ref="C179:C180" si="55">IFERROR(B179-B178,0)</f>
        <v>-2.9999999999998916E-3</v>
      </c>
      <c r="D179" s="109">
        <f t="shared" ref="D179:D180" si="56">IF(C179&lt;0,C179,"/")</f>
        <v>-2.9999999999998916E-3</v>
      </c>
      <c r="E179" s="109">
        <f ca="1">IF(表2_36716262930389121314152324252627282930[[#This Row],[累计净值]]/MAX(INDIRECT("B21:B" &amp; ROW()))-1&lt;E178,表2_36716262930389121314152324252627282930[[#This Row],[累计净值]]/MAX(INDIRECT("B21:B" &amp; ROW()))-1,E178)</f>
        <v>-9.4083414161008627E-2</v>
      </c>
      <c r="F179" s="110">
        <f>表2_36716262930389121314152324252627282930[[#This Row],[累计净值]]</f>
        <v>1.024</v>
      </c>
      <c r="G179" s="20">
        <f>表2_36716262930389121314152324252627282930[[#This Row],[累计净值]]/$B$21-1</f>
        <v>2.2977022977023198E-2</v>
      </c>
    </row>
    <row r="180" spans="1:7">
      <c r="A180" s="15">
        <v>44314</v>
      </c>
      <c r="B180" s="112">
        <v>1.0229999999999999</v>
      </c>
      <c r="C180" s="108">
        <f t="shared" si="55"/>
        <v>-1.0000000000001119E-3</v>
      </c>
      <c r="D180" s="109">
        <f t="shared" si="56"/>
        <v>-1.0000000000001119E-3</v>
      </c>
      <c r="E180" s="109">
        <f ca="1">IF(表2_36716262930389121314152324252627282930[[#This Row],[累计净值]]/MAX(INDIRECT("B21:B" &amp; ROW()))-1&lt;E179,表2_36716262930389121314152324252627282930[[#This Row],[累计净值]]/MAX(INDIRECT("B21:B" &amp; ROW()))-1,E179)</f>
        <v>-9.4083414161008627E-2</v>
      </c>
      <c r="F180" s="110">
        <f>表2_36716262930389121314152324252627282930[[#This Row],[累计净值]]</f>
        <v>1.0229999999999999</v>
      </c>
      <c r="G180" s="20">
        <f>表2_36716262930389121314152324252627282930[[#This Row],[累计净值]]/$B$21-1</f>
        <v>2.19780219780219E-2</v>
      </c>
    </row>
    <row r="181" spans="1:7">
      <c r="A181" s="15">
        <v>44315</v>
      </c>
      <c r="B181" s="112">
        <v>1.0249999999999999</v>
      </c>
      <c r="C181" s="108">
        <f>IFERROR(B181-B180,0)</f>
        <v>2.0000000000000018E-3</v>
      </c>
      <c r="D181" s="109" t="str">
        <f>IF(C181&lt;0,C181,"/")</f>
        <v>/</v>
      </c>
      <c r="E181" s="109">
        <f ca="1">IF(表2_36716262930389121314152324252627282930[[#This Row],[累计净值]]/MAX(INDIRECT("B21:B" &amp; ROW()))-1&lt;E180,表2_36716262930389121314152324252627282930[[#This Row],[累计净值]]/MAX(INDIRECT("B21:B" &amp; ROW()))-1,E180)</f>
        <v>-9.4083414161008627E-2</v>
      </c>
      <c r="F181" s="110">
        <f>表2_36716262930389121314152324252627282930[[#This Row],[累计净值]]</f>
        <v>1.0249999999999999</v>
      </c>
      <c r="G181" s="20">
        <f>表2_36716262930389121314152324252627282930[[#This Row],[累计净值]]/$B$21-1</f>
        <v>2.3976023976024052E-2</v>
      </c>
    </row>
    <row r="182" spans="1:7">
      <c r="A182" s="15">
        <v>44316</v>
      </c>
      <c r="B182" s="112">
        <v>1.02</v>
      </c>
      <c r="C182" s="108">
        <f t="shared" ref="C182:C183" si="57">IFERROR(B182-B181,0)</f>
        <v>-4.9999999999998934E-3</v>
      </c>
      <c r="D182" s="109">
        <f t="shared" ref="D182:D183" si="58">IF(C182&lt;0,C182,"/")</f>
        <v>-4.9999999999998934E-3</v>
      </c>
      <c r="E182" s="109">
        <f ca="1">IF(表2_36716262930389121314152324252627282930[[#This Row],[累计净值]]/MAX(INDIRECT("B21:B" &amp; ROW()))-1&lt;E181,表2_36716262930389121314152324252627282930[[#This Row],[累计净值]]/MAX(INDIRECT("B21:B" &amp; ROW()))-1,E181)</f>
        <v>-9.4083414161008627E-2</v>
      </c>
      <c r="F182" s="110">
        <f>表2_36716262930389121314152324252627282930[[#This Row],[累计净值]]</f>
        <v>1.02</v>
      </c>
      <c r="G182" s="20">
        <f>表2_36716262930389121314152324252627282930[[#This Row],[累计净值]]/$B$21-1</f>
        <v>1.8981018981019115E-2</v>
      </c>
    </row>
    <row r="183" spans="1:7">
      <c r="A183" s="15">
        <v>44322</v>
      </c>
      <c r="B183" s="112">
        <v>1.0169999999999999</v>
      </c>
      <c r="C183" s="108">
        <f t="shared" si="57"/>
        <v>-3.0000000000001137E-3</v>
      </c>
      <c r="D183" s="109">
        <f t="shared" si="58"/>
        <v>-3.0000000000001137E-3</v>
      </c>
      <c r="E183" s="109">
        <f ca="1">IF(表2_36716262930389121314152324252627282930[[#This Row],[累计净值]]/MAX(INDIRECT("B21:B" &amp; ROW()))-1&lt;E182,表2_36716262930389121314152324252627282930[[#This Row],[累计净值]]/MAX(INDIRECT("B21:B" &amp; ROW()))-1,E182)</f>
        <v>-9.4083414161008627E-2</v>
      </c>
      <c r="F183" s="110">
        <f>表2_36716262930389121314152324252627282930[[#This Row],[累计净值]]</f>
        <v>1.0169999999999999</v>
      </c>
      <c r="G183" s="20">
        <f>表2_36716262930389121314152324252627282930[[#This Row],[累计净值]]/$B$21-1</f>
        <v>1.5984015984016109E-2</v>
      </c>
    </row>
    <row r="184" spans="1:7">
      <c r="A184" s="15">
        <v>44323</v>
      </c>
      <c r="B184" s="112">
        <v>1.016</v>
      </c>
      <c r="C184" s="108">
        <f t="shared" ref="C184:C189" si="59">IFERROR(B184-B183,0)</f>
        <v>-9.9999999999988987E-4</v>
      </c>
      <c r="D184" s="109">
        <f t="shared" ref="D184:D189" si="60">IF(C184&lt;0,C184,"/")</f>
        <v>-9.9999999999988987E-4</v>
      </c>
      <c r="E184" s="109">
        <f ca="1">IF(表2_36716262930389121314152324252627282930[[#This Row],[累计净值]]/MAX(INDIRECT("B21:B" &amp; ROW()))-1&lt;E183,表2_36716262930389121314152324252627282930[[#This Row],[累计净值]]/MAX(INDIRECT("B21:B" &amp; ROW()))-1,E183)</f>
        <v>-9.4083414161008627E-2</v>
      </c>
      <c r="F184" s="110">
        <f>表2_36716262930389121314152324252627282930[[#This Row],[累计净值]]</f>
        <v>1.016</v>
      </c>
      <c r="G184" s="20">
        <f>表2_36716262930389121314152324252627282930[[#This Row],[累计净值]]/$B$21-1</f>
        <v>1.4985014985015033E-2</v>
      </c>
    </row>
    <row r="185" spans="1:7">
      <c r="A185" s="15">
        <v>44326</v>
      </c>
      <c r="B185" s="112">
        <v>1.022</v>
      </c>
      <c r="C185" s="108">
        <f t="shared" si="59"/>
        <v>6.0000000000000053E-3</v>
      </c>
      <c r="D185" s="109" t="str">
        <f t="shared" si="60"/>
        <v>/</v>
      </c>
      <c r="E185" s="109">
        <f ca="1">IF(表2_36716262930389121314152324252627282930[[#This Row],[累计净值]]/MAX(INDIRECT("B21:B" &amp; ROW()))-1&lt;E184,表2_36716262930389121314152324252627282930[[#This Row],[累计净值]]/MAX(INDIRECT("B21:B" &amp; ROW()))-1,E184)</f>
        <v>-9.4083414161008627E-2</v>
      </c>
      <c r="F185" s="110">
        <f>表2_36716262930389121314152324252627282930[[#This Row],[累计净值]]</f>
        <v>1.022</v>
      </c>
      <c r="G185" s="20">
        <f>表2_36716262930389121314152324252627282930[[#This Row],[累计净值]]/$B$21-1</f>
        <v>2.0979020979021046E-2</v>
      </c>
    </row>
    <row r="186" spans="1:7">
      <c r="A186" s="15">
        <v>44327</v>
      </c>
      <c r="B186" s="112">
        <v>1.02</v>
      </c>
      <c r="C186" s="108">
        <f t="shared" si="59"/>
        <v>-2.0000000000000018E-3</v>
      </c>
      <c r="D186" s="109">
        <f t="shared" si="60"/>
        <v>-2.0000000000000018E-3</v>
      </c>
      <c r="E186" s="109">
        <f ca="1">IF(表2_36716262930389121314152324252627282930[[#This Row],[累计净值]]/MAX(INDIRECT("B21:B" &amp; ROW()))-1&lt;E185,表2_36716262930389121314152324252627282930[[#This Row],[累计净值]]/MAX(INDIRECT("B21:B" &amp; ROW()))-1,E185)</f>
        <v>-9.4083414161008627E-2</v>
      </c>
      <c r="F186" s="110">
        <f>表2_36716262930389121314152324252627282930[[#This Row],[累计净值]]</f>
        <v>1.02</v>
      </c>
      <c r="G186" s="20">
        <f>表2_36716262930389121314152324252627282930[[#This Row],[累计净值]]/$B$21-1</f>
        <v>1.8981018981019115E-2</v>
      </c>
    </row>
    <row r="187" spans="1:7">
      <c r="A187" s="15">
        <v>44328</v>
      </c>
      <c r="B187" s="112">
        <v>1.0269999999999999</v>
      </c>
      <c r="C187" s="108">
        <f t="shared" si="59"/>
        <v>6.9999999999998952E-3</v>
      </c>
      <c r="D187" s="109" t="str">
        <f t="shared" si="60"/>
        <v>/</v>
      </c>
      <c r="E187" s="109">
        <f ca="1">IF(表2_36716262930389121314152324252627282930[[#This Row],[累计净值]]/MAX(INDIRECT("B21:B" &amp; ROW()))-1&lt;E186,表2_36716262930389121314152324252627282930[[#This Row],[累计净值]]/MAX(INDIRECT("B21:B" &amp; ROW()))-1,E186)</f>
        <v>-9.4083414161008627E-2</v>
      </c>
      <c r="F187" s="110">
        <f>表2_36716262930389121314152324252627282930[[#This Row],[累计净值]]</f>
        <v>1.0269999999999999</v>
      </c>
      <c r="G187" s="20">
        <f>表2_36716262930389121314152324252627282930[[#This Row],[累计净值]]/$B$21-1</f>
        <v>2.5974025974025983E-2</v>
      </c>
    </row>
    <row r="188" spans="1:7">
      <c r="A188" s="15">
        <v>44329</v>
      </c>
      <c r="B188" s="112">
        <v>1.024</v>
      </c>
      <c r="C188" s="108">
        <f t="shared" si="59"/>
        <v>-2.9999999999998916E-3</v>
      </c>
      <c r="D188" s="109">
        <f t="shared" si="60"/>
        <v>-2.9999999999998916E-3</v>
      </c>
      <c r="E188" s="109">
        <f ca="1">IF(表2_36716262930389121314152324252627282930[[#This Row],[累计净值]]/MAX(INDIRECT("B21:B" &amp; ROW()))-1&lt;E187,表2_36716262930389121314152324252627282930[[#This Row],[累计净值]]/MAX(INDIRECT("B21:B" &amp; ROW()))-1,E187)</f>
        <v>-9.4083414161008627E-2</v>
      </c>
      <c r="F188" s="110">
        <f>表2_36716262930389121314152324252627282930[[#This Row],[累计净值]]</f>
        <v>1.024</v>
      </c>
      <c r="G188" s="20">
        <f>表2_36716262930389121314152324252627282930[[#This Row],[累计净值]]/$B$21-1</f>
        <v>2.2977022977023198E-2</v>
      </c>
    </row>
    <row r="189" spans="1:7">
      <c r="A189" s="15">
        <v>44330</v>
      </c>
      <c r="B189" s="112">
        <v>1.028</v>
      </c>
      <c r="C189" s="108">
        <f t="shared" si="59"/>
        <v>4.0000000000000036E-3</v>
      </c>
      <c r="D189" s="109" t="str">
        <f t="shared" si="60"/>
        <v>/</v>
      </c>
      <c r="E189" s="109">
        <f ca="1">IF(表2_36716262930389121314152324252627282930[[#This Row],[累计净值]]/MAX(INDIRECT("B21:B" &amp; ROW()))-1&lt;E188,表2_36716262930389121314152324252627282930[[#This Row],[累计净值]]/MAX(INDIRECT("B21:B" &amp; ROW()))-1,E188)</f>
        <v>-9.4083414161008627E-2</v>
      </c>
      <c r="F189" s="110">
        <f>表2_36716262930389121314152324252627282930[[#This Row],[累计净值]]</f>
        <v>1.028</v>
      </c>
      <c r="G189" s="20">
        <f>表2_36716262930389121314152324252627282930[[#This Row],[累计净值]]/$B$21-1</f>
        <v>2.6973026973027059E-2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436"/>
  <sheetViews>
    <sheetView workbookViewId="0">
      <pane xSplit="1" ySplit="20" topLeftCell="B428" activePane="bottomRight" state="frozen"/>
      <selection pane="topRight" activeCell="B1" sqref="B1"/>
      <selection pane="bottomLeft" activeCell="A21" sqref="A21"/>
      <selection pane="bottomRight" activeCell="I434" sqref="I434"/>
    </sheetView>
  </sheetViews>
  <sheetFormatPr baseColWidth="10" defaultColWidth="9" defaultRowHeight="15"/>
  <cols>
    <col min="1" max="1" width="11.6640625" style="1" bestFit="1" customWidth="1"/>
    <col min="2" max="2" width="13" style="1" customWidth="1"/>
    <col min="3" max="4" width="13.5" style="1" bestFit="1" customWidth="1"/>
    <col min="5" max="5" width="10.1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COUNT(表2_3671626293034567[每日盈亏])</f>
        <v>416</v>
      </c>
      <c r="C2" s="27"/>
      <c r="D2" s="3" t="s">
        <v>1</v>
      </c>
      <c r="E2" s="28"/>
      <c r="F2" s="35" t="s">
        <v>2</v>
      </c>
      <c r="G2" s="400" t="s">
        <v>3</v>
      </c>
    </row>
    <row r="3" spans="1:7">
      <c r="A3" s="25" t="s">
        <v>4</v>
      </c>
      <c r="B3" s="26">
        <f>COUNTIF(表2_3671626293034567[每日盈亏],"&gt;0")</f>
        <v>231</v>
      </c>
      <c r="C3" s="29"/>
      <c r="D3" s="30" t="s">
        <v>5</v>
      </c>
      <c r="E3" s="31">
        <f>245^0.5*(B10-0.025/365)/E10</f>
        <v>1.8485420860634179</v>
      </c>
      <c r="F3" s="35"/>
      <c r="G3" s="400"/>
    </row>
    <row r="4" spans="1:7">
      <c r="A4" s="25" t="s">
        <v>6</v>
      </c>
      <c r="B4" s="26">
        <f>COUNTIF(表2_3671626293034567[每日盈亏],"&lt;0")</f>
        <v>180</v>
      </c>
      <c r="C4" s="29"/>
      <c r="D4" s="32" t="s">
        <v>7</v>
      </c>
      <c r="E4" s="31">
        <f ca="1">-B9/E8</f>
        <v>3.7089098570137646</v>
      </c>
      <c r="F4" s="35"/>
      <c r="G4" s="2">
        <f>LOOKUP(999^10,表2_3671626293034567[累计净值])</f>
        <v>1.2158</v>
      </c>
    </row>
    <row r="5" spans="1:7">
      <c r="A5" s="25" t="s">
        <v>8</v>
      </c>
      <c r="B5" s="26">
        <f>B2-B3-B4</f>
        <v>5</v>
      </c>
      <c r="C5" s="29"/>
      <c r="D5" s="33" t="s">
        <v>9</v>
      </c>
      <c r="E5" s="4">
        <f>245^0.5*(B10-0.025/365)/E9</f>
        <v>2.9322655983311727</v>
      </c>
      <c r="F5" s="35"/>
    </row>
    <row r="6" spans="1:7" ht="16" thickBot="1">
      <c r="A6" s="34"/>
      <c r="B6" s="35"/>
      <c r="C6" s="35"/>
      <c r="D6" s="35"/>
      <c r="E6" s="36"/>
      <c r="F6" s="35"/>
    </row>
    <row r="7" spans="1:7" ht="16" thickBot="1">
      <c r="A7" s="5" t="s">
        <v>10</v>
      </c>
      <c r="B7" s="35"/>
      <c r="C7" s="35"/>
      <c r="D7" s="3" t="s">
        <v>11</v>
      </c>
      <c r="E7" s="37"/>
      <c r="F7" s="35"/>
    </row>
    <row r="8" spans="1:7">
      <c r="A8" s="38" t="s">
        <v>12</v>
      </c>
      <c r="B8" s="39">
        <f>LOOKUP(999^10,表2_3671626293034567[累计净值])/$B$22-1</f>
        <v>0.2079483358171883</v>
      </c>
      <c r="C8" s="40"/>
      <c r="D8" s="30" t="s">
        <v>13</v>
      </c>
      <c r="E8" s="41">
        <f ca="1">MIN(表2_3671626293034567[最大回撤])</f>
        <v>-3.3020369191597565E-2</v>
      </c>
      <c r="F8" s="35"/>
    </row>
    <row r="9" spans="1:7">
      <c r="A9" s="25" t="s">
        <v>14</v>
      </c>
      <c r="B9" s="32">
        <f>B8*245/B2</f>
        <v>0.12246957277694984</v>
      </c>
      <c r="C9" s="40"/>
      <c r="D9" s="33" t="s">
        <v>15</v>
      </c>
      <c r="E9" s="6">
        <f>STDEV(表2_3671626293034567[下跌幅度])</f>
        <v>2.320071048699125E-3</v>
      </c>
      <c r="F9" s="35"/>
    </row>
    <row r="10" spans="1:7">
      <c r="A10" s="42" t="s">
        <v>16</v>
      </c>
      <c r="B10" s="43">
        <f>AVERAGE(表2_3671626293034567[每日盈亏])</f>
        <v>5.031250000000001E-4</v>
      </c>
      <c r="C10" s="44"/>
      <c r="D10" s="33" t="s">
        <v>17</v>
      </c>
      <c r="E10" s="6">
        <f>STDEV(表2_3671626293034567[每日盈亏])</f>
        <v>3.6802324237432478E-3</v>
      </c>
      <c r="F10" s="35"/>
    </row>
    <row r="11" spans="1:7">
      <c r="A11" s="7" t="s">
        <v>18</v>
      </c>
      <c r="B11" s="32">
        <f>B3/B2</f>
        <v>0.55528846153846156</v>
      </c>
      <c r="C11" s="40"/>
      <c r="D11" s="32" t="s">
        <v>19</v>
      </c>
      <c r="E11" s="41">
        <f>245^0.5*E10</f>
        <v>5.7604749107420992E-2</v>
      </c>
      <c r="F11" s="35"/>
    </row>
    <row r="12" spans="1:7" ht="16" thickBot="1">
      <c r="A12" s="45" t="s">
        <v>20</v>
      </c>
      <c r="B12" s="46">
        <f>-(SUMIF(表2_3671626293034567[每日盈亏],"&gt;=0")/B3)/(SUMIF(表2_3671626293034567[每日盈亏],"&lt;0")/B4)</f>
        <v>1.1144538914323086</v>
      </c>
      <c r="C12" s="47"/>
      <c r="D12" s="48"/>
      <c r="E12" s="49"/>
      <c r="F12" s="35"/>
    </row>
    <row r="13" spans="1:7">
      <c r="A13" s="35"/>
      <c r="B13" s="35"/>
      <c r="C13" s="35"/>
      <c r="D13" s="35"/>
      <c r="E13" s="35"/>
      <c r="F13" s="35"/>
    </row>
    <row r="14" spans="1:7" ht="32">
      <c r="A14" s="202" t="s">
        <v>21</v>
      </c>
      <c r="B14" s="202" t="s">
        <v>14</v>
      </c>
      <c r="C14" s="203" t="s">
        <v>19</v>
      </c>
      <c r="D14" s="203" t="s">
        <v>13</v>
      </c>
      <c r="E14" s="203" t="s">
        <v>5</v>
      </c>
      <c r="F14" s="203" t="s">
        <v>7</v>
      </c>
    </row>
    <row r="15" spans="1:7">
      <c r="A15" s="52">
        <f>B2</f>
        <v>416</v>
      </c>
      <c r="B15" s="53">
        <f>B9</f>
        <v>0.12246957277694984</v>
      </c>
      <c r="C15" s="53">
        <f>E11</f>
        <v>5.7604749107420992E-2</v>
      </c>
      <c r="D15" s="53">
        <f ca="1">E8</f>
        <v>-3.3020369191597565E-2</v>
      </c>
      <c r="E15" s="54">
        <f>E3</f>
        <v>1.8485420860634179</v>
      </c>
      <c r="F15" s="54">
        <f ca="1">E4</f>
        <v>3.7089098570137646</v>
      </c>
    </row>
    <row r="19" spans="1:7">
      <c r="A19" s="8"/>
      <c r="B19" s="1" t="s">
        <v>22</v>
      </c>
    </row>
    <row r="20" spans="1:7" ht="16">
      <c r="A20" s="22" t="s">
        <v>23</v>
      </c>
      <c r="B20" s="22" t="s">
        <v>24</v>
      </c>
      <c r="C20" s="22" t="s">
        <v>25</v>
      </c>
      <c r="D20" s="22" t="s">
        <v>26</v>
      </c>
      <c r="E20" s="22" t="s">
        <v>27</v>
      </c>
      <c r="F20" s="22" t="s">
        <v>28</v>
      </c>
      <c r="G20" s="22" t="s">
        <v>29</v>
      </c>
    </row>
    <row r="21" spans="1:7">
      <c r="A21" s="55">
        <v>43703</v>
      </c>
      <c r="B21" s="56">
        <v>1.0053000000000001</v>
      </c>
      <c r="C21" s="57">
        <f>IFERROR(B21-B20,0)</f>
        <v>0</v>
      </c>
      <c r="D21" s="58" t="str">
        <f>IF(C21&lt;0,C21,"/")</f>
        <v>/</v>
      </c>
      <c r="E21" s="58">
        <f ca="1">IF(表2_3671626293034567[[#This Row],[累计净值]]/MAX(INDIRECT("B21:B" &amp; ROW()))-1&lt;E20,表2_3671626293034567[[#This Row],[累计净值]]/MAX(INDIRECT("B21:B" &amp; ROW()))-1,E20)</f>
        <v>0</v>
      </c>
      <c r="F21" s="21">
        <f>表2_3671626293034567[[#This Row],[累计净值]]</f>
        <v>1.0053000000000001</v>
      </c>
      <c r="G21" s="20"/>
    </row>
    <row r="22" spans="1:7">
      <c r="A22" s="9">
        <v>43704</v>
      </c>
      <c r="B22" s="10">
        <v>1.0065</v>
      </c>
      <c r="C22" s="11">
        <f>IFERROR(B22-B20,0)</f>
        <v>0</v>
      </c>
      <c r="D22" s="12" t="str">
        <f>IF(C22&lt;0,C22,"/")</f>
        <v>/</v>
      </c>
      <c r="E22" s="12">
        <f ca="1">IF(表2_3671626293034567[[#This Row],[累计净值]]/MAX(INDIRECT("B21:B" &amp; ROW()))-1&lt;E20,表2_3671626293034567[[#This Row],[累计净值]]/MAX(INDIRECT("B21:B" &amp; ROW()))-1,E20)</f>
        <v>0</v>
      </c>
      <c r="F22" s="13">
        <f>表2_3671626293034567[[#This Row],[累计净值]]</f>
        <v>1.0065</v>
      </c>
      <c r="G22" s="14" t="s">
        <v>30</v>
      </c>
    </row>
    <row r="23" spans="1:7">
      <c r="A23" s="55">
        <v>43705</v>
      </c>
      <c r="B23" s="56">
        <v>1.0037</v>
      </c>
      <c r="C23" s="57">
        <f>IFERROR(B23-B22,0)</f>
        <v>-2.7999999999999137E-3</v>
      </c>
      <c r="D23" s="58">
        <f>IF(C23&lt;0,C23,"/")</f>
        <v>-2.7999999999999137E-3</v>
      </c>
      <c r="E23" s="58">
        <f ca="1">IF(表2_3671626293034567[[#This Row],[累计净值]]/MAX(INDIRECT("B21:B" &amp; ROW()))-1&lt;E22,表2_3671626293034567[[#This Row],[累计净值]]/MAX(INDIRECT("B21:B" &amp; ROW()))-1,E22)</f>
        <v>-2.7819175360158654E-3</v>
      </c>
      <c r="F23" s="21">
        <f>表2_3671626293034567[[#This Row],[累计净值]]</f>
        <v>1.0037</v>
      </c>
      <c r="G23" s="20">
        <f>表2_3671626293034567[[#This Row],[累计净值]]/$B$22-1</f>
        <v>-2.7819175360158654E-3</v>
      </c>
    </row>
    <row r="24" spans="1:7">
      <c r="A24" s="55">
        <v>43706</v>
      </c>
      <c r="B24" s="16">
        <v>1.0051000000000001</v>
      </c>
      <c r="C24" s="17">
        <f>IFERROR(B24-B23,0)</f>
        <v>1.4000000000000679E-3</v>
      </c>
      <c r="D24" s="18" t="str">
        <f>IF(C24&lt;0,C24,"/")</f>
        <v>/</v>
      </c>
      <c r="E24" s="18">
        <f ca="1">IF(表2_3671626293034567[[#This Row],[累计净值]]/MAX(INDIRECT("B21:B" &amp; ROW()))-1&lt;E23,表2_3671626293034567[[#This Row],[累计净值]]/MAX(INDIRECT("B21:B" &amp; ROW()))-1,E23)</f>
        <v>-2.7819175360158654E-3</v>
      </c>
      <c r="F24" s="19">
        <f>表2_3671626293034567[[#This Row],[累计净值]]</f>
        <v>1.0051000000000001</v>
      </c>
      <c r="G24" s="20">
        <f>表2_3671626293034567[[#This Row],[累计净值]]/$B$22-1</f>
        <v>-1.3909587680077662E-3</v>
      </c>
    </row>
    <row r="25" spans="1:7">
      <c r="A25" s="55">
        <v>43707</v>
      </c>
      <c r="B25" s="16">
        <v>1.0065999999999999</v>
      </c>
      <c r="C25" s="17">
        <f>IFERROR(B25-B24,0)</f>
        <v>1.4999999999998348E-3</v>
      </c>
      <c r="D25" s="18" t="str">
        <f>IF(C25&lt;0,C25,"/")</f>
        <v>/</v>
      </c>
      <c r="E25" s="18">
        <f ca="1">IF(表2_3671626293034567[[#This Row],[累计净值]]/MAX(INDIRECT("B21:B" &amp; ROW()))-1&lt;E24,表2_3671626293034567[[#This Row],[累计净值]]/MAX(INDIRECT("B21:B" &amp; ROW()))-1,E24)</f>
        <v>-2.7819175360158654E-3</v>
      </c>
      <c r="F25" s="19">
        <f>表2_3671626293034567[[#This Row],[累计净值]]</f>
        <v>1.0065999999999999</v>
      </c>
      <c r="G25" s="20">
        <f>表2_3671626293034567[[#This Row],[累计净值]]/$B$22-1</f>
        <v>9.9354197714784931E-5</v>
      </c>
    </row>
    <row r="26" spans="1:7">
      <c r="A26" s="55">
        <v>43710</v>
      </c>
      <c r="B26" s="16">
        <v>1.0025999999999999</v>
      </c>
      <c r="C26" s="61">
        <f t="shared" ref="C26:C31" si="0">IFERROR(B26-B25,0)</f>
        <v>-4.0000000000000036E-3</v>
      </c>
      <c r="D26" s="18">
        <f t="shared" ref="D26:D31" si="1">IF(C26&lt;0,C26,"/")</f>
        <v>-4.0000000000000036E-3</v>
      </c>
      <c r="E26" s="18">
        <f ca="1">IF(表2_3671626293034567[[#This Row],[累计净值]]/MAX(INDIRECT("B21:B" &amp; ROW()))-1&lt;E25,表2_3671626293034567[[#This Row],[累计净值]]/MAX(INDIRECT("B21:B" &amp; ROW()))-1,E25)</f>
        <v>-3.9737730975560881E-3</v>
      </c>
      <c r="F26" s="19">
        <f>表2_3671626293034567[[#This Row],[累计净值]]</f>
        <v>1.0025999999999999</v>
      </c>
      <c r="G26" s="20">
        <f>表2_3671626293034567[[#This Row],[累计净值]]/$B$22-1</f>
        <v>-3.8748137108792768E-3</v>
      </c>
    </row>
    <row r="27" spans="1:7">
      <c r="A27" s="55">
        <v>43711</v>
      </c>
      <c r="B27" s="16">
        <v>1.0043</v>
      </c>
      <c r="C27" s="61">
        <f t="shared" si="0"/>
        <v>1.7000000000000348E-3</v>
      </c>
      <c r="D27" s="18" t="str">
        <f t="shared" si="1"/>
        <v>/</v>
      </c>
      <c r="E27" s="18">
        <f ca="1">IF(表2_3671626293034567[[#This Row],[累计净值]]/MAX(INDIRECT("B21:B" &amp; ROW()))-1&lt;E26,表2_3671626293034567[[#This Row],[累计净值]]/MAX(INDIRECT("B21:B" &amp; ROW()))-1,E26)</f>
        <v>-3.9737730975560881E-3</v>
      </c>
      <c r="F27" s="19">
        <f>表2_3671626293034567[[#This Row],[累计净值]]</f>
        <v>1.0043</v>
      </c>
      <c r="G27" s="20">
        <f>表2_3671626293034567[[#This Row],[累计净值]]/$B$22-1</f>
        <v>-2.1857923497267118E-3</v>
      </c>
    </row>
    <row r="28" spans="1:7">
      <c r="A28" s="55">
        <v>43712</v>
      </c>
      <c r="B28" s="16">
        <v>1.0016</v>
      </c>
      <c r="C28" s="61">
        <f t="shared" si="0"/>
        <v>-2.6999999999999247E-3</v>
      </c>
      <c r="D28" s="18">
        <f t="shared" si="1"/>
        <v>-2.6999999999999247E-3</v>
      </c>
      <c r="E28" s="18">
        <f ca="1">IF(表2_3671626293034567[[#This Row],[累计净值]]/MAX(INDIRECT("B21:B" &amp; ROW()))-1&lt;E27,表2_3671626293034567[[#This Row],[累计净值]]/MAX(INDIRECT("B21:B" &amp; ROW()))-1,E27)</f>
        <v>-4.9672163719450824E-3</v>
      </c>
      <c r="F28" s="19">
        <f>表2_3671626293034567[[#This Row],[累计净值]]</f>
        <v>1.0016</v>
      </c>
      <c r="G28" s="20">
        <f>表2_3671626293034567[[#This Row],[累计净值]]/$B$22-1</f>
        <v>-4.8683556880276813E-3</v>
      </c>
    </row>
    <row r="29" spans="1:7">
      <c r="A29" s="55">
        <v>43713</v>
      </c>
      <c r="B29" s="16">
        <v>0.99309999999999998</v>
      </c>
      <c r="C29" s="61">
        <f t="shared" si="0"/>
        <v>-8.5000000000000631E-3</v>
      </c>
      <c r="D29" s="18">
        <f t="shared" si="1"/>
        <v>-8.5000000000000631E-3</v>
      </c>
      <c r="E29" s="18">
        <f ca="1">IF(表2_3671626293034567[[#This Row],[累计净值]]/MAX(INDIRECT("B21:B" &amp; ROW()))-1&lt;E28,表2_3671626293034567[[#This Row],[累计净值]]/MAX(INDIRECT("B21:B" &amp; ROW()))-1,E28)</f>
        <v>-1.3411484204251867E-2</v>
      </c>
      <c r="F29" s="19">
        <f>表2_3671626293034567[[#This Row],[累计净值]]</f>
        <v>0.99309999999999998</v>
      </c>
      <c r="G29" s="20">
        <f>表2_3671626293034567[[#This Row],[累计净值]]/$B$22-1</f>
        <v>-1.3313462493790285E-2</v>
      </c>
    </row>
    <row r="30" spans="1:7">
      <c r="A30" s="55">
        <v>43714</v>
      </c>
      <c r="B30" s="16">
        <v>0.99639999999999995</v>
      </c>
      <c r="C30" s="61">
        <f t="shared" si="0"/>
        <v>3.2999999999999696E-3</v>
      </c>
      <c r="D30" s="18" t="str">
        <f t="shared" si="1"/>
        <v>/</v>
      </c>
      <c r="E30" s="18">
        <f ca="1">IF(表2_3671626293034567[[#This Row],[累计净值]]/MAX(INDIRECT("B21:B" &amp; ROW()))-1&lt;E29,表2_3671626293034567[[#This Row],[累计净值]]/MAX(INDIRECT("B21:B" &amp; ROW()))-1,E29)</f>
        <v>-1.3411484204251867E-2</v>
      </c>
      <c r="F30" s="19">
        <f>表2_3671626293034567[[#This Row],[累计净值]]</f>
        <v>0.99639999999999995</v>
      </c>
      <c r="G30" s="20">
        <f>表2_3671626293034567[[#This Row],[累计净值]]/$B$22-1</f>
        <v>-1.0034773969200161E-2</v>
      </c>
    </row>
    <row r="31" spans="1:7">
      <c r="A31" s="55">
        <v>43717</v>
      </c>
      <c r="B31" s="16">
        <v>0.99829999999999997</v>
      </c>
      <c r="C31" s="61">
        <f t="shared" si="0"/>
        <v>1.9000000000000128E-3</v>
      </c>
      <c r="D31" s="18" t="str">
        <f t="shared" si="1"/>
        <v>/</v>
      </c>
      <c r="E31" s="18">
        <f ca="1">IF(表2_3671626293034567[[#This Row],[累计净值]]/MAX(INDIRECT("B21:B" &amp; ROW()))-1&lt;E30,表2_3671626293034567[[#This Row],[累计净值]]/MAX(INDIRECT("B21:B" &amp; ROW()))-1,E30)</f>
        <v>-1.3411484204251867E-2</v>
      </c>
      <c r="F31" s="62">
        <f>表2_3671626293034567[[#This Row],[累计净值]]</f>
        <v>0.99829999999999997</v>
      </c>
      <c r="G31" s="20">
        <f>表2_3671626293034567[[#This Row],[累计净值]]/$B$22-1</f>
        <v>-8.1470442126179154E-3</v>
      </c>
    </row>
    <row r="32" spans="1:7">
      <c r="A32" s="55">
        <v>43718</v>
      </c>
      <c r="B32" s="16">
        <v>0.99890000000000001</v>
      </c>
      <c r="C32" s="61">
        <f t="shared" ref="C32:C39" si="2">IFERROR(B32-B31,0)</f>
        <v>6.0000000000004494E-4</v>
      </c>
      <c r="D32" s="18" t="str">
        <f t="shared" ref="D32:D39" si="3">IF(C32&lt;0,C32,"/")</f>
        <v>/</v>
      </c>
      <c r="E32" s="18">
        <f ca="1">IF(表2_3671626293034567[[#This Row],[累计净值]]/MAX(INDIRECT("B21:B" &amp; ROW()))-1&lt;E31,表2_3671626293034567[[#This Row],[累计净值]]/MAX(INDIRECT("B21:B" &amp; ROW()))-1,E31)</f>
        <v>-1.3411484204251867E-2</v>
      </c>
      <c r="F32" s="62">
        <f>表2_3671626293034567[[#This Row],[累计净值]]</f>
        <v>0.99890000000000001</v>
      </c>
      <c r="G32" s="20">
        <f>表2_3671626293034567[[#This Row],[累计净值]]/$B$22-1</f>
        <v>-7.5509190263287618E-3</v>
      </c>
    </row>
    <row r="33" spans="1:7">
      <c r="A33" s="55">
        <v>43719</v>
      </c>
      <c r="B33" s="16">
        <v>0.99550000000000005</v>
      </c>
      <c r="C33" s="61">
        <f t="shared" si="2"/>
        <v>-3.3999999999999586E-3</v>
      </c>
      <c r="D33" s="18">
        <f t="shared" si="3"/>
        <v>-3.3999999999999586E-3</v>
      </c>
      <c r="E33" s="18">
        <f ca="1">IF(表2_3671626293034567[[#This Row],[累计净值]]/MAX(INDIRECT("B21:B" &amp; ROW()))-1&lt;E32,表2_3671626293034567[[#This Row],[累计净值]]/MAX(INDIRECT("B21:B" &amp; ROW()))-1,E32)</f>
        <v>-1.3411484204251867E-2</v>
      </c>
      <c r="F33" s="62">
        <f>表2_3671626293034567[[#This Row],[累计净值]]</f>
        <v>0.99550000000000005</v>
      </c>
      <c r="G33" s="20">
        <f>表2_3671626293034567[[#This Row],[累计净值]]/$B$22-1</f>
        <v>-1.0928961748633781E-2</v>
      </c>
    </row>
    <row r="34" spans="1:7">
      <c r="A34" s="55">
        <v>43720</v>
      </c>
      <c r="B34" s="16">
        <v>0.99560000000000004</v>
      </c>
      <c r="C34" s="61">
        <f t="shared" si="2"/>
        <v>9.9999999999988987E-5</v>
      </c>
      <c r="D34" s="18" t="str">
        <f t="shared" si="3"/>
        <v>/</v>
      </c>
      <c r="E34" s="18">
        <f ca="1">IF(表2_3671626293034567[[#This Row],[累计净值]]/MAX(INDIRECT("B21:B" &amp; ROW()))-1&lt;E33,表2_3671626293034567[[#This Row],[累计净值]]/MAX(INDIRECT("B21:B" &amp; ROW()))-1,E33)</f>
        <v>-1.3411484204251867E-2</v>
      </c>
      <c r="F34" s="62">
        <f>表2_3671626293034567[[#This Row],[累计净值]]</f>
        <v>0.99560000000000004</v>
      </c>
      <c r="G34" s="20">
        <f>表2_3671626293034567[[#This Row],[累计净值]]/$B$22-1</f>
        <v>-1.0829607550918885E-2</v>
      </c>
    </row>
    <row r="35" spans="1:7">
      <c r="A35" s="55">
        <v>43724</v>
      </c>
      <c r="B35" s="16">
        <v>1.0016</v>
      </c>
      <c r="C35" s="61">
        <f t="shared" si="2"/>
        <v>6.0000000000000053E-3</v>
      </c>
      <c r="D35" s="18" t="str">
        <f t="shared" si="3"/>
        <v>/</v>
      </c>
      <c r="E35" s="18">
        <f ca="1">IF(表2_3671626293034567[[#This Row],[累计净值]]/MAX(INDIRECT("B21:B" &amp; ROW()))-1&lt;E34,表2_3671626293034567[[#This Row],[累计净值]]/MAX(INDIRECT("B21:B" &amp; ROW()))-1,E34)</f>
        <v>-1.3411484204251867E-2</v>
      </c>
      <c r="F35" s="62">
        <f>表2_3671626293034567[[#This Row],[累计净值]]</f>
        <v>1.0016</v>
      </c>
      <c r="G35" s="20">
        <f>表2_3671626293034567[[#This Row],[累计净值]]/$B$22-1</f>
        <v>-4.8683556880276813E-3</v>
      </c>
    </row>
    <row r="36" spans="1:7">
      <c r="A36" s="55">
        <v>43725</v>
      </c>
      <c r="B36" s="16">
        <v>1.0027999999999999</v>
      </c>
      <c r="C36" s="61">
        <f t="shared" si="2"/>
        <v>1.1999999999998678E-3</v>
      </c>
      <c r="D36" s="18" t="str">
        <f t="shared" si="3"/>
        <v>/</v>
      </c>
      <c r="E36" s="18">
        <f ca="1">IF(表2_3671626293034567[[#This Row],[累计净值]]/MAX(INDIRECT("B21:B" &amp; ROW()))-1&lt;E35,表2_3671626293034567[[#This Row],[累计净值]]/MAX(INDIRECT("B21:B" &amp; ROW()))-1,E35)</f>
        <v>-1.3411484204251867E-2</v>
      </c>
      <c r="F36" s="62">
        <f>表2_3671626293034567[[#This Row],[累计净值]]</f>
        <v>1.0027999999999999</v>
      </c>
      <c r="G36" s="20">
        <f>表2_3671626293034567[[#This Row],[累计净值]]/$B$22-1</f>
        <v>-3.676105315449596E-3</v>
      </c>
    </row>
    <row r="37" spans="1:7">
      <c r="A37" s="55">
        <v>43726</v>
      </c>
      <c r="B37" s="16">
        <v>1.0038</v>
      </c>
      <c r="C37" s="61">
        <f t="shared" si="2"/>
        <v>1.0000000000001119E-3</v>
      </c>
      <c r="D37" s="18" t="str">
        <f t="shared" si="3"/>
        <v>/</v>
      </c>
      <c r="E37" s="18">
        <f ca="1">IF(表2_3671626293034567[[#This Row],[累计净值]]/MAX(INDIRECT("B21:B" &amp; ROW()))-1&lt;E36,表2_3671626293034567[[#This Row],[累计净值]]/MAX(INDIRECT("B21:B" &amp; ROW()))-1,E36)</f>
        <v>-1.3411484204251867E-2</v>
      </c>
      <c r="F37" s="62">
        <f>表2_3671626293034567[[#This Row],[累计净值]]</f>
        <v>1.0038</v>
      </c>
      <c r="G37" s="20">
        <f>表2_3671626293034567[[#This Row],[累计净值]]/$B$22-1</f>
        <v>-2.6825633383009695E-3</v>
      </c>
    </row>
    <row r="38" spans="1:7">
      <c r="A38" s="55">
        <v>43727</v>
      </c>
      <c r="B38" s="16">
        <v>1.0085999999999999</v>
      </c>
      <c r="C38" s="61">
        <f t="shared" si="2"/>
        <v>4.7999999999999154E-3</v>
      </c>
      <c r="D38" s="18" t="str">
        <f t="shared" si="3"/>
        <v>/</v>
      </c>
      <c r="E38" s="18">
        <f ca="1">IF(表2_3671626293034567[[#This Row],[累计净值]]/MAX(INDIRECT("B21:B" &amp; ROW()))-1&lt;E37,表2_3671626293034567[[#This Row],[累计净值]]/MAX(INDIRECT("B21:B" &amp; ROW()))-1,E37)</f>
        <v>-1.3411484204251867E-2</v>
      </c>
      <c r="F38" s="62">
        <f>表2_3671626293034567[[#This Row],[累计净值]]</f>
        <v>1.0085999999999999</v>
      </c>
      <c r="G38" s="20">
        <f>表2_3671626293034567[[#This Row],[累计净值]]/$B$22-1</f>
        <v>2.0864381520118158E-3</v>
      </c>
    </row>
    <row r="39" spans="1:7">
      <c r="A39" s="55">
        <v>43728</v>
      </c>
      <c r="B39" s="16">
        <v>1.0072000000000001</v>
      </c>
      <c r="C39" s="61">
        <f t="shared" si="2"/>
        <v>-1.3999999999998458E-3</v>
      </c>
      <c r="D39" s="18">
        <f t="shared" si="3"/>
        <v>-1.3999999999998458E-3</v>
      </c>
      <c r="E39" s="18">
        <f ca="1">IF(表2_3671626293034567[[#This Row],[累计净值]]/MAX(INDIRECT("B21:B" &amp; ROW()))-1&lt;E38,表2_3671626293034567[[#This Row],[累计净值]]/MAX(INDIRECT("B21:B" &amp; ROW()))-1,E38)</f>
        <v>-1.3411484204251867E-2</v>
      </c>
      <c r="F39" s="62">
        <f>表2_3671626293034567[[#This Row],[累计净值]]</f>
        <v>1.0072000000000001</v>
      </c>
      <c r="G39" s="20">
        <f>表2_3671626293034567[[#This Row],[累计净值]]/$B$22-1</f>
        <v>6.9547938400416065E-4</v>
      </c>
    </row>
    <row r="40" spans="1:7">
      <c r="A40" s="55">
        <v>43731</v>
      </c>
      <c r="B40" s="16">
        <v>1.0055000000000001</v>
      </c>
      <c r="C40" s="61">
        <f t="shared" ref="C40:C45" si="4">IFERROR(B40-B39,0)</f>
        <v>-1.7000000000000348E-3</v>
      </c>
      <c r="D40" s="18">
        <f t="shared" ref="D40:D45" si="5">IF(C40&lt;0,C40,"/")</f>
        <v>-1.7000000000000348E-3</v>
      </c>
      <c r="E40" s="18">
        <f ca="1">IF(表2_3671626293034567[[#This Row],[累计净值]]/MAX(INDIRECT("B21:B" &amp; ROW()))-1&lt;E39,表2_3671626293034567[[#This Row],[累计净值]]/MAX(INDIRECT("B21:B" &amp; ROW()))-1,E39)</f>
        <v>-1.3411484204251867E-2</v>
      </c>
      <c r="F40" s="62">
        <f>表2_3671626293034567[[#This Row],[累计净值]]</f>
        <v>1.0055000000000001</v>
      </c>
      <c r="G40" s="20">
        <f>表2_3671626293034567[[#This Row],[累计净值]]/$B$22-1</f>
        <v>-9.9354197714840442E-4</v>
      </c>
    </row>
    <row r="41" spans="1:7">
      <c r="A41" s="55">
        <v>43732</v>
      </c>
      <c r="B41" s="16">
        <v>1.0046999999999999</v>
      </c>
      <c r="C41" s="61">
        <f t="shared" si="4"/>
        <v>-8.0000000000013394E-4</v>
      </c>
      <c r="D41" s="18">
        <f t="shared" si="5"/>
        <v>-8.0000000000013394E-4</v>
      </c>
      <c r="E41" s="18">
        <f ca="1">IF(表2_3671626293034567[[#This Row],[累计净值]]/MAX(INDIRECT("B21:B" &amp; ROW()))-1&lt;E40,表2_3671626293034567[[#This Row],[累计净值]]/MAX(INDIRECT("B21:B" &amp; ROW()))-1,E40)</f>
        <v>-1.3411484204251867E-2</v>
      </c>
      <c r="F41" s="62">
        <f>表2_3671626293034567[[#This Row],[累计净值]]</f>
        <v>1.0046999999999999</v>
      </c>
      <c r="G41" s="20">
        <f>表2_3671626293034567[[#This Row],[累计净值]]/$B$22-1</f>
        <v>-1.78837555886735E-3</v>
      </c>
    </row>
    <row r="42" spans="1:7">
      <c r="A42" s="55">
        <v>43733</v>
      </c>
      <c r="B42" s="16">
        <v>1.0024999999999999</v>
      </c>
      <c r="C42" s="61">
        <f t="shared" si="4"/>
        <v>-2.1999999999999797E-3</v>
      </c>
      <c r="D42" s="18">
        <f t="shared" si="5"/>
        <v>-2.1999999999999797E-3</v>
      </c>
      <c r="E42" s="18">
        <f ca="1">IF(表2_3671626293034567[[#This Row],[累计净值]]/MAX(INDIRECT("B21:B" &amp; ROW()))-1&lt;E41,表2_3671626293034567[[#This Row],[累计净值]]/MAX(INDIRECT("B21:B" &amp; ROW()))-1,E41)</f>
        <v>-1.3411484204251867E-2</v>
      </c>
      <c r="F42" s="62">
        <f>表2_3671626293034567[[#This Row],[累计净值]]</f>
        <v>1.0024999999999999</v>
      </c>
      <c r="G42" s="20">
        <f>表2_3671626293034567[[#This Row],[累计净值]]/$B$22-1</f>
        <v>-3.9741679085941728E-3</v>
      </c>
    </row>
    <row r="43" spans="1:7">
      <c r="A43" s="55">
        <v>43734</v>
      </c>
      <c r="B43" s="16">
        <v>1.0007999999999999</v>
      </c>
      <c r="C43" s="61">
        <f t="shared" si="4"/>
        <v>-1.7000000000000348E-3</v>
      </c>
      <c r="D43" s="18">
        <f t="shared" si="5"/>
        <v>-1.7000000000000348E-3</v>
      </c>
      <c r="E43" s="18">
        <f ca="1">IF(表2_3671626293034567[[#This Row],[累计净值]]/MAX(INDIRECT("B21:B" &amp; ROW()))-1&lt;E42,表2_3671626293034567[[#This Row],[累计净值]]/MAX(INDIRECT("B21:B" &amp; ROW()))-1,E42)</f>
        <v>-1.3411484204251867E-2</v>
      </c>
      <c r="F43" s="62">
        <f>表2_3671626293034567[[#This Row],[累计净值]]</f>
        <v>1.0007999999999999</v>
      </c>
      <c r="G43" s="20">
        <f>表2_3671626293034567[[#This Row],[累计净值]]/$B$22-1</f>
        <v>-5.6631892697467379E-3</v>
      </c>
    </row>
    <row r="44" spans="1:7">
      <c r="A44" s="55">
        <v>43735</v>
      </c>
      <c r="B44" s="16">
        <v>1.0048999999999999</v>
      </c>
      <c r="C44" s="61">
        <f t="shared" si="4"/>
        <v>4.0999999999999925E-3</v>
      </c>
      <c r="D44" s="18" t="str">
        <f t="shared" si="5"/>
        <v>/</v>
      </c>
      <c r="E44" s="18">
        <f ca="1">IF(表2_3671626293034567[[#This Row],[累计净值]]/MAX(INDIRECT("B21:B" &amp; ROW()))-1&lt;E43,表2_3671626293034567[[#This Row],[累计净值]]/MAX(INDIRECT("B21:B" &amp; ROW()))-1,E43)</f>
        <v>-1.3411484204251867E-2</v>
      </c>
      <c r="F44" s="62">
        <f>表2_3671626293034567[[#This Row],[累计净值]]</f>
        <v>1.0048999999999999</v>
      </c>
      <c r="G44" s="20">
        <f>表2_3671626293034567[[#This Row],[累计净值]]/$B$22-1</f>
        <v>-1.5896671634376691E-3</v>
      </c>
    </row>
    <row r="45" spans="1:7">
      <c r="A45" s="55">
        <v>43738</v>
      </c>
      <c r="B45" s="16">
        <v>1.0058</v>
      </c>
      <c r="C45" s="61">
        <f t="shared" si="4"/>
        <v>9.0000000000012292E-4</v>
      </c>
      <c r="D45" s="18" t="str">
        <f t="shared" si="5"/>
        <v>/</v>
      </c>
      <c r="E45" s="18">
        <f ca="1">IF(表2_3671626293034567[[#This Row],[累计净值]]/MAX(INDIRECT("B21:B" &amp; ROW()))-1&lt;E44,表2_3671626293034567[[#This Row],[累计净值]]/MAX(INDIRECT("B21:B" &amp; ROW()))-1,E44)</f>
        <v>-1.3411484204251867E-2</v>
      </c>
      <c r="F45" s="62">
        <f>表2_3671626293034567[[#This Row],[累计净值]]</f>
        <v>1.0058</v>
      </c>
      <c r="G45" s="20">
        <f>表2_3671626293034567[[#This Row],[累计净值]]/$B$22-1</f>
        <v>-6.9547938400393861E-4</v>
      </c>
    </row>
    <row r="46" spans="1:7">
      <c r="A46" s="55">
        <v>43746</v>
      </c>
      <c r="B46" s="16">
        <v>1.0081</v>
      </c>
      <c r="C46" s="61">
        <f>IFERROR(B46-B45,0)</f>
        <v>2.2999999999999687E-3</v>
      </c>
      <c r="D46" s="18" t="str">
        <f>IF(C46&lt;0,C46,"/")</f>
        <v>/</v>
      </c>
      <c r="E46" s="18">
        <f ca="1">IF(表2_3671626293034567[[#This Row],[累计净值]]/MAX(INDIRECT("B21:B" &amp; ROW()))-1&lt;E45,表2_3671626293034567[[#This Row],[累计净值]]/MAX(INDIRECT("B21:B" &amp; ROW()))-1,E45)</f>
        <v>-1.3411484204251867E-2</v>
      </c>
      <c r="F46" s="62">
        <f>表2_3671626293034567[[#This Row],[累计净值]]</f>
        <v>1.0081</v>
      </c>
      <c r="G46" s="20">
        <f>表2_3671626293034567[[#This Row],[累计净值]]/$B$22-1</f>
        <v>1.5896671634376691E-3</v>
      </c>
    </row>
    <row r="47" spans="1:7">
      <c r="A47" s="55">
        <v>43747</v>
      </c>
      <c r="B47" s="16">
        <v>1.0112000000000001</v>
      </c>
      <c r="C47" s="61">
        <f>IFERROR(B47-B46,0)</f>
        <v>3.1000000000001027E-3</v>
      </c>
      <c r="D47" s="18" t="str">
        <f>IF(C47&lt;0,C47,"/")</f>
        <v>/</v>
      </c>
      <c r="E47" s="18">
        <f ca="1">IF(表2_3671626293034567[[#This Row],[累计净值]]/MAX(INDIRECT("B21:B" &amp; ROW()))-1&lt;E46,表2_3671626293034567[[#This Row],[累计净值]]/MAX(INDIRECT("B21:B" &amp; ROW()))-1,E46)</f>
        <v>-1.3411484204251867E-2</v>
      </c>
      <c r="F47" s="62">
        <f>表2_3671626293034567[[#This Row],[累计净值]]</f>
        <v>1.0112000000000001</v>
      </c>
      <c r="G47" s="20">
        <f>表2_3671626293034567[[#This Row],[累计净值]]/$B$22-1</f>
        <v>4.6696472925982224E-3</v>
      </c>
    </row>
    <row r="48" spans="1:7">
      <c r="A48" s="55">
        <v>43748</v>
      </c>
      <c r="B48" s="16">
        <v>1.0142</v>
      </c>
      <c r="C48" s="61">
        <f>IFERROR(B48-B47,0)</f>
        <v>2.9999999999998916E-3</v>
      </c>
      <c r="D48" s="18" t="str">
        <f>IF(C48&lt;0,C48,"/")</f>
        <v>/</v>
      </c>
      <c r="E48" s="18">
        <f ca="1">IF(表2_3671626293034567[[#This Row],[累计净值]]/MAX(INDIRECT("B21:B" &amp; ROW()))-1&lt;E47,表2_3671626293034567[[#This Row],[累计净值]]/MAX(INDIRECT("B21:B" &amp; ROW()))-1,E47)</f>
        <v>-1.3411484204251867E-2</v>
      </c>
      <c r="F48" s="62">
        <f>表2_3671626293034567[[#This Row],[累计净值]]</f>
        <v>1.0142</v>
      </c>
      <c r="G48" s="20">
        <f>表2_3671626293034567[[#This Row],[累计净值]]/$B$22-1</f>
        <v>7.6502732240437687E-3</v>
      </c>
    </row>
    <row r="49" spans="1:7">
      <c r="A49" s="55">
        <v>43749</v>
      </c>
      <c r="B49" s="16">
        <v>1.0105999999999999</v>
      </c>
      <c r="C49" s="61">
        <f>IFERROR(B49-B48,0)</f>
        <v>-3.6000000000000476E-3</v>
      </c>
      <c r="D49" s="18">
        <f>IF(C49&lt;0,C49,"/")</f>
        <v>-3.6000000000000476E-3</v>
      </c>
      <c r="E49" s="18">
        <f ca="1">IF(表2_3671626293034567[[#This Row],[累计净值]]/MAX(INDIRECT("B21:B" &amp; ROW()))-1&lt;E48,表2_3671626293034567[[#This Row],[累计净值]]/MAX(INDIRECT("B21:B" &amp; ROW()))-1,E48)</f>
        <v>-1.3411484204251867E-2</v>
      </c>
      <c r="F49" s="62">
        <f>表2_3671626293034567[[#This Row],[累计净值]]</f>
        <v>1.0105999999999999</v>
      </c>
      <c r="G49" s="20">
        <f>表2_3671626293034567[[#This Row],[累计净值]]/$B$22-1</f>
        <v>4.0735221063090687E-3</v>
      </c>
    </row>
    <row r="50" spans="1:7">
      <c r="A50" s="55">
        <v>43752</v>
      </c>
      <c r="B50" s="16">
        <v>1.0111000000000001</v>
      </c>
      <c r="C50" s="61">
        <f t="shared" ref="C50:C55" si="6">IFERROR(B50-B49,0)</f>
        <v>5.0000000000016698E-4</v>
      </c>
      <c r="D50" s="18" t="str">
        <f t="shared" ref="D50:D55" si="7">IF(C50&lt;0,C50,"/")</f>
        <v>/</v>
      </c>
      <c r="E50" s="18">
        <f ca="1">IF(表2_3671626293034567[[#This Row],[累计净值]]/MAX(INDIRECT("B21:B" &amp; ROW()))-1&lt;E49,表2_3671626293034567[[#This Row],[累计净值]]/MAX(INDIRECT("B21:B" &amp; ROW()))-1,E49)</f>
        <v>-1.3411484204251867E-2</v>
      </c>
      <c r="F50" s="62">
        <f>表2_3671626293034567[[#This Row],[累计净值]]</f>
        <v>1.0111000000000001</v>
      </c>
      <c r="G50" s="20">
        <f>表2_3671626293034567[[#This Row],[累计净值]]/$B$22-1</f>
        <v>4.5702930948834375E-3</v>
      </c>
    </row>
    <row r="51" spans="1:7">
      <c r="A51" s="55">
        <v>43753</v>
      </c>
      <c r="B51" s="16">
        <v>1.0093000000000001</v>
      </c>
      <c r="C51" s="61">
        <f t="shared" si="6"/>
        <v>-1.8000000000000238E-3</v>
      </c>
      <c r="D51" s="18">
        <f t="shared" si="7"/>
        <v>-1.8000000000000238E-3</v>
      </c>
      <c r="E51" s="18">
        <f ca="1">IF(表2_3671626293034567[[#This Row],[累计净值]]/MAX(INDIRECT("B21:B" &amp; ROW()))-1&lt;E50,表2_3671626293034567[[#This Row],[累计净值]]/MAX(INDIRECT("B21:B" &amp; ROW()))-1,E50)</f>
        <v>-1.3411484204251867E-2</v>
      </c>
      <c r="F51" s="62">
        <f>表2_3671626293034567[[#This Row],[累计净值]]</f>
        <v>1.0093000000000001</v>
      </c>
      <c r="G51" s="20">
        <f>表2_3671626293034567[[#This Row],[累计净值]]/$B$22-1</f>
        <v>2.7819175360159765E-3</v>
      </c>
    </row>
    <row r="52" spans="1:7">
      <c r="A52" s="55">
        <v>43754</v>
      </c>
      <c r="B52" s="16">
        <v>1.0119</v>
      </c>
      <c r="C52" s="61">
        <f t="shared" si="6"/>
        <v>2.5999999999999357E-3</v>
      </c>
      <c r="D52" s="18" t="str">
        <f t="shared" si="7"/>
        <v>/</v>
      </c>
      <c r="E52" s="18">
        <f ca="1">IF(表2_3671626293034567[[#This Row],[累计净值]]/MAX(INDIRECT("B21:B" &amp; ROW()))-1&lt;E51,表2_3671626293034567[[#This Row],[累计净值]]/MAX(INDIRECT("B21:B" &amp; ROW()))-1,E51)</f>
        <v>-1.3411484204251867E-2</v>
      </c>
      <c r="F52" s="62">
        <f>表2_3671626293034567[[#This Row],[累计净值]]</f>
        <v>1.0119</v>
      </c>
      <c r="G52" s="20">
        <f>表2_3671626293034567[[#This Row],[累计净值]]/$B$22-1</f>
        <v>5.365126676602161E-3</v>
      </c>
    </row>
    <row r="53" spans="1:7">
      <c r="A53" s="55">
        <v>43755</v>
      </c>
      <c r="B53" s="16">
        <v>1.0135000000000001</v>
      </c>
      <c r="C53" s="61">
        <f t="shared" si="6"/>
        <v>1.6000000000000458E-3</v>
      </c>
      <c r="D53" s="18" t="str">
        <f t="shared" si="7"/>
        <v>/</v>
      </c>
      <c r="E53" s="18">
        <f ca="1">IF(表2_3671626293034567[[#This Row],[累计净值]]/MAX(INDIRECT("B21:B" &amp; ROW()))-1&lt;E52,表2_3671626293034567[[#This Row],[累计净值]]/MAX(INDIRECT("B21:B" &amp; ROW()))-1,E52)</f>
        <v>-1.3411484204251867E-2</v>
      </c>
      <c r="F53" s="62">
        <f>表2_3671626293034567[[#This Row],[累计净值]]</f>
        <v>1.0135000000000001</v>
      </c>
      <c r="G53" s="20">
        <f>表2_3671626293034567[[#This Row],[累计净值]]/$B$22-1</f>
        <v>6.9547938400398301E-3</v>
      </c>
    </row>
    <row r="54" spans="1:7">
      <c r="A54" s="55">
        <v>43756</v>
      </c>
      <c r="B54" s="16">
        <v>1.016</v>
      </c>
      <c r="C54" s="61">
        <f t="shared" si="6"/>
        <v>2.4999999999999467E-3</v>
      </c>
      <c r="D54" s="18" t="str">
        <f t="shared" si="7"/>
        <v>/</v>
      </c>
      <c r="E54" s="18">
        <f ca="1">IF(表2_3671626293034567[[#This Row],[累计净值]]/MAX(INDIRECT("B21:B" &amp; ROW()))-1&lt;E53,表2_3671626293034567[[#This Row],[累计净值]]/MAX(INDIRECT("B21:B" &amp; ROW()))-1,E53)</f>
        <v>-1.3411484204251867E-2</v>
      </c>
      <c r="F54" s="62">
        <f>表2_3671626293034567[[#This Row],[累计净值]]</f>
        <v>1.016</v>
      </c>
      <c r="G54" s="20">
        <f>表2_3671626293034567[[#This Row],[累计净值]]/$B$22-1</f>
        <v>9.4386487829112298E-3</v>
      </c>
    </row>
    <row r="55" spans="1:7">
      <c r="A55" s="77">
        <v>43759</v>
      </c>
      <c r="B55" s="76">
        <v>1.0174000000000001</v>
      </c>
      <c r="C55" s="73">
        <f t="shared" si="6"/>
        <v>1.4000000000000679E-3</v>
      </c>
      <c r="D55" s="18" t="str">
        <f t="shared" si="7"/>
        <v>/</v>
      </c>
      <c r="E55" s="18">
        <f ca="1">IF(表2_3671626293034567[[#This Row],[累计净值]]/MAX(INDIRECT("B21:B" &amp; ROW()))-1&lt;E54,表2_3671626293034567[[#This Row],[累计净值]]/MAX(INDIRECT("B21:B" &amp; ROW()))-1,E54)</f>
        <v>-1.3411484204251867E-2</v>
      </c>
      <c r="F55" s="62">
        <f>表2_3671626293034567[[#This Row],[累计净值]]</f>
        <v>1.0174000000000001</v>
      </c>
      <c r="G55" s="20">
        <f>表2_3671626293034567[[#This Row],[累计净值]]/$B$22-1</f>
        <v>1.0829607550919107E-2</v>
      </c>
    </row>
    <row r="56" spans="1:7">
      <c r="A56" s="55">
        <v>43760</v>
      </c>
      <c r="B56" s="16">
        <v>1.0167999999999999</v>
      </c>
      <c r="C56" s="73">
        <f t="shared" ref="C56:C62" si="8">IFERROR(B56-B55,0)</f>
        <v>-6.0000000000015596E-4</v>
      </c>
      <c r="D56" s="18">
        <f t="shared" ref="D56:D62" si="9">IF(C56&lt;0,C56,"/")</f>
        <v>-6.0000000000015596E-4</v>
      </c>
      <c r="E56" s="18">
        <f ca="1">IF(表2_3671626293034567[[#This Row],[累计净值]]/MAX(INDIRECT("B21:B" &amp; ROW()))-1&lt;E55,表2_3671626293034567[[#This Row],[累计净值]]/MAX(INDIRECT("B21:B" &amp; ROW()))-1,E55)</f>
        <v>-1.3411484204251867E-2</v>
      </c>
      <c r="F56" s="62">
        <f>表2_3671626293034567[[#This Row],[累计净值]]</f>
        <v>1.0167999999999999</v>
      </c>
      <c r="G56" s="20">
        <f>表2_3671626293034567[[#This Row],[累计净值]]/$B$22-1</f>
        <v>1.0233482364629953E-2</v>
      </c>
    </row>
    <row r="57" spans="1:7">
      <c r="A57" s="55">
        <v>43761</v>
      </c>
      <c r="B57" s="16">
        <v>1.0165</v>
      </c>
      <c r="C57" s="73">
        <f t="shared" si="8"/>
        <v>-2.9999999999996696E-4</v>
      </c>
      <c r="D57" s="18">
        <f t="shared" si="9"/>
        <v>-2.9999999999996696E-4</v>
      </c>
      <c r="E57" s="18">
        <f ca="1">IF(表2_3671626293034567[[#This Row],[累计净值]]/MAX(INDIRECT("B21:B" &amp; ROW()))-1&lt;E56,表2_3671626293034567[[#This Row],[累计净值]]/MAX(INDIRECT("B21:B" &amp; ROW()))-1,E56)</f>
        <v>-1.3411484204251867E-2</v>
      </c>
      <c r="F57" s="62">
        <f>表2_3671626293034567[[#This Row],[累计净值]]</f>
        <v>1.0165</v>
      </c>
      <c r="G57" s="20">
        <f>表2_3671626293034567[[#This Row],[累计净值]]/$B$22-1</f>
        <v>9.9354197714853765E-3</v>
      </c>
    </row>
    <row r="58" spans="1:7">
      <c r="A58" s="55">
        <v>43762</v>
      </c>
      <c r="B58" s="16">
        <v>1.0153000000000001</v>
      </c>
      <c r="C58" s="73">
        <f t="shared" si="8"/>
        <v>-1.1999999999998678E-3</v>
      </c>
      <c r="D58" s="18">
        <f t="shared" si="9"/>
        <v>-1.1999999999998678E-3</v>
      </c>
      <c r="E58" s="18">
        <f ca="1">IF(表2_3671626293034567[[#This Row],[累计净值]]/MAX(INDIRECT("B21:B" &amp; ROW()))-1&lt;E57,表2_3671626293034567[[#This Row],[累计净值]]/MAX(INDIRECT("B21:B" &amp; ROW()))-1,E57)</f>
        <v>-1.3411484204251867E-2</v>
      </c>
      <c r="F58" s="62">
        <f>表2_3671626293034567[[#This Row],[累计净值]]</f>
        <v>1.0153000000000001</v>
      </c>
      <c r="G58" s="20">
        <f>表2_3671626293034567[[#This Row],[累计净值]]/$B$22-1</f>
        <v>8.7431693989072912E-3</v>
      </c>
    </row>
    <row r="59" spans="1:7">
      <c r="A59" s="55">
        <v>43763</v>
      </c>
      <c r="B59" s="16">
        <v>1.0161</v>
      </c>
      <c r="C59" s="73">
        <f t="shared" si="8"/>
        <v>7.9999999999991189E-4</v>
      </c>
      <c r="D59" s="18" t="str">
        <f t="shared" si="9"/>
        <v>/</v>
      </c>
      <c r="E59" s="18">
        <f ca="1">IF(表2_3671626293034567[[#This Row],[累计净值]]/MAX(INDIRECT("B21:B" &amp; ROW()))-1&lt;E58,表2_3671626293034567[[#This Row],[累计净值]]/MAX(INDIRECT("B21:B" &amp; ROW()))-1,E58)</f>
        <v>-1.3411484204251867E-2</v>
      </c>
      <c r="F59" s="62">
        <f>表2_3671626293034567[[#This Row],[累计净值]]</f>
        <v>1.0161</v>
      </c>
      <c r="G59" s="20">
        <f>表2_3671626293034567[[#This Row],[累计净值]]/$B$22-1</f>
        <v>9.5380029806260147E-3</v>
      </c>
    </row>
    <row r="60" spans="1:7">
      <c r="A60" s="55">
        <v>43766</v>
      </c>
      <c r="B60" s="76">
        <v>1.0190999999999999</v>
      </c>
      <c r="C60" s="73">
        <f t="shared" si="8"/>
        <v>2.9999999999998916E-3</v>
      </c>
      <c r="D60" s="18" t="str">
        <f t="shared" si="9"/>
        <v>/</v>
      </c>
      <c r="E60" s="18">
        <f ca="1">IF(表2_3671626293034567[[#This Row],[累计净值]]/MAX(INDIRECT("B21:B" &amp; ROW()))-1&lt;E59,表2_3671626293034567[[#This Row],[累计净值]]/MAX(INDIRECT("B21:B" &amp; ROW()))-1,E59)</f>
        <v>-1.3411484204251867E-2</v>
      </c>
      <c r="F60" s="62">
        <f>表2_3671626293034567[[#This Row],[累计净值]]</f>
        <v>1.0190999999999999</v>
      </c>
      <c r="G60" s="20">
        <f>表2_3671626293034567[[#This Row],[累计净值]]/$B$22-1</f>
        <v>1.2518628912071561E-2</v>
      </c>
    </row>
    <row r="61" spans="1:7">
      <c r="A61" s="55">
        <v>43767</v>
      </c>
      <c r="B61" s="16">
        <v>1.0178</v>
      </c>
      <c r="C61" s="73">
        <f t="shared" si="8"/>
        <v>-1.2999999999998568E-3</v>
      </c>
      <c r="D61" s="18">
        <f t="shared" si="9"/>
        <v>-1.2999999999998568E-3</v>
      </c>
      <c r="E61" s="18">
        <f ca="1">IF(表2_3671626293034567[[#This Row],[累计净值]]/MAX(INDIRECT("B21:B" &amp; ROW()))-1&lt;E60,表2_3671626293034567[[#This Row],[累计净值]]/MAX(INDIRECT("B21:B" &amp; ROW()))-1,E60)</f>
        <v>-1.3411484204251867E-2</v>
      </c>
      <c r="F61" s="62">
        <f>表2_3671626293034567[[#This Row],[累计净值]]</f>
        <v>1.0178</v>
      </c>
      <c r="G61" s="20">
        <f>表2_3671626293034567[[#This Row],[累计净值]]/$B$22-1</f>
        <v>1.1227024341778469E-2</v>
      </c>
    </row>
    <row r="62" spans="1:7">
      <c r="A62" s="55">
        <v>43768</v>
      </c>
      <c r="B62" s="16">
        <v>1.0201</v>
      </c>
      <c r="C62" s="73">
        <f t="shared" si="8"/>
        <v>2.2999999999999687E-3</v>
      </c>
      <c r="D62" s="18" t="str">
        <f t="shared" si="9"/>
        <v>/</v>
      </c>
      <c r="E62" s="18">
        <f ca="1">IF(表2_3671626293034567[[#This Row],[累计净值]]/MAX(INDIRECT("B21:B" &amp; ROW()))-1&lt;E61,表2_3671626293034567[[#This Row],[累计净值]]/MAX(INDIRECT("B21:B" &amp; ROW()))-1,E61)</f>
        <v>-1.3411484204251867E-2</v>
      </c>
      <c r="F62" s="62">
        <f>表2_3671626293034567[[#This Row],[累计净值]]</f>
        <v>1.0201</v>
      </c>
      <c r="G62" s="20">
        <f>表2_3671626293034567[[#This Row],[累计净值]]/$B$22-1</f>
        <v>1.3512170889220076E-2</v>
      </c>
    </row>
    <row r="63" spans="1:7">
      <c r="A63" s="55">
        <v>43769</v>
      </c>
      <c r="B63" s="16">
        <v>1.0185</v>
      </c>
      <c r="C63" s="73">
        <f t="shared" ref="C63:C68" si="10">IFERROR(B63-B62,0)</f>
        <v>-1.6000000000000458E-3</v>
      </c>
      <c r="D63" s="18">
        <f t="shared" ref="D63:D68" si="11">IF(C63&lt;0,C63,"/")</f>
        <v>-1.6000000000000458E-3</v>
      </c>
      <c r="E63" s="18">
        <f ca="1">IF(表2_3671626293034567[[#This Row],[累计净值]]/MAX(INDIRECT("B21:B" &amp; ROW()))-1&lt;E62,表2_3671626293034567[[#This Row],[累计净值]]/MAX(INDIRECT("B21:B" &amp; ROW()))-1,E62)</f>
        <v>-1.3411484204251867E-2</v>
      </c>
      <c r="F63" s="62">
        <f>表2_3671626293034567[[#This Row],[累计净值]]</f>
        <v>1.0185</v>
      </c>
      <c r="G63" s="20">
        <f>表2_3671626293034567[[#This Row],[累计净值]]/$B$22-1</f>
        <v>1.1922503725782407E-2</v>
      </c>
    </row>
    <row r="64" spans="1:7">
      <c r="A64" s="55">
        <v>43770</v>
      </c>
      <c r="B64" s="16">
        <v>1.0217000000000001</v>
      </c>
      <c r="C64" s="73">
        <f t="shared" si="10"/>
        <v>3.2000000000000917E-3</v>
      </c>
      <c r="D64" s="18" t="str">
        <f t="shared" si="11"/>
        <v>/</v>
      </c>
      <c r="E64" s="18">
        <f ca="1">IF(表2_3671626293034567[[#This Row],[累计净值]]/MAX(INDIRECT("B21:B" &amp; ROW()))-1&lt;E63,表2_3671626293034567[[#This Row],[累计净值]]/MAX(INDIRECT("B21:B" &amp; ROW()))-1,E63)</f>
        <v>-1.3411484204251867E-2</v>
      </c>
      <c r="F64" s="62">
        <f>表2_3671626293034567[[#This Row],[累计净值]]</f>
        <v>1.0217000000000001</v>
      </c>
      <c r="G64" s="20">
        <f>表2_3671626293034567[[#This Row],[累计净值]]/$B$22-1</f>
        <v>1.5101838052657746E-2</v>
      </c>
    </row>
    <row r="65" spans="1:7">
      <c r="A65" s="55">
        <v>43773</v>
      </c>
      <c r="B65" s="16">
        <v>1.0241</v>
      </c>
      <c r="C65" s="73">
        <f t="shared" si="10"/>
        <v>2.3999999999999577E-3</v>
      </c>
      <c r="D65" s="18" t="str">
        <f t="shared" si="11"/>
        <v>/</v>
      </c>
      <c r="E65" s="18">
        <f ca="1">IF(表2_3671626293034567[[#This Row],[累计净值]]/MAX(INDIRECT("B21:B" &amp; ROW()))-1&lt;E64,表2_3671626293034567[[#This Row],[累计净值]]/MAX(INDIRECT("B21:B" &amp; ROW()))-1,E64)</f>
        <v>-1.3411484204251867E-2</v>
      </c>
      <c r="F65" s="62">
        <f>表2_3671626293034567[[#This Row],[累计净值]]</f>
        <v>1.0241</v>
      </c>
      <c r="G65" s="20">
        <f>表2_3671626293034567[[#This Row],[累计净值]]/$B$22-1</f>
        <v>1.748633879781436E-2</v>
      </c>
    </row>
    <row r="66" spans="1:7">
      <c r="A66" s="55">
        <v>43774</v>
      </c>
      <c r="B66" s="16">
        <v>1.0221</v>
      </c>
      <c r="C66" s="73">
        <f t="shared" si="10"/>
        <v>-2.0000000000000018E-3</v>
      </c>
      <c r="D66" s="18">
        <f t="shared" si="11"/>
        <v>-2.0000000000000018E-3</v>
      </c>
      <c r="E66" s="18">
        <f ca="1">IF(表2_3671626293034567[[#This Row],[累计净值]]/MAX(INDIRECT("B21:B" &amp; ROW()))-1&lt;E65,表2_3671626293034567[[#This Row],[累计净值]]/MAX(INDIRECT("B21:B" &amp; ROW()))-1,E65)</f>
        <v>-1.3411484204251867E-2</v>
      </c>
      <c r="F66" s="62">
        <f>表2_3671626293034567[[#This Row],[累计净值]]</f>
        <v>1.0221</v>
      </c>
      <c r="G66" s="20">
        <f>表2_3671626293034567[[#This Row],[累计净值]]/$B$22-1</f>
        <v>1.5499254843517107E-2</v>
      </c>
    </row>
    <row r="67" spans="1:7">
      <c r="A67" s="55">
        <v>43775</v>
      </c>
      <c r="B67" s="16">
        <v>1.0262</v>
      </c>
      <c r="C67" s="73">
        <f t="shared" si="10"/>
        <v>4.0999999999999925E-3</v>
      </c>
      <c r="D67" s="18" t="str">
        <f t="shared" si="11"/>
        <v>/</v>
      </c>
      <c r="E67" s="18">
        <f ca="1">IF(表2_3671626293034567[[#This Row],[累计净值]]/MAX(INDIRECT("B21:B" &amp; ROW()))-1&lt;E66,表2_3671626293034567[[#This Row],[累计净值]]/MAX(INDIRECT("B21:B" &amp; ROW()))-1,E66)</f>
        <v>-1.3411484204251867E-2</v>
      </c>
      <c r="F67" s="62">
        <f>表2_3671626293034567[[#This Row],[累计净值]]</f>
        <v>1.0262</v>
      </c>
      <c r="G67" s="20">
        <f>表2_3671626293034567[[#This Row],[累计净值]]/$B$22-1</f>
        <v>1.9572776949826176E-2</v>
      </c>
    </row>
    <row r="68" spans="1:7">
      <c r="A68" s="55">
        <v>43776</v>
      </c>
      <c r="B68" s="16">
        <v>1.0274000000000001</v>
      </c>
      <c r="C68" s="73">
        <f t="shared" si="10"/>
        <v>1.2000000000000899E-3</v>
      </c>
      <c r="D68" s="18" t="str">
        <f t="shared" si="11"/>
        <v>/</v>
      </c>
      <c r="E68" s="18">
        <f ca="1">IF(表2_3671626293034567[[#This Row],[累计净值]]/MAX(INDIRECT("B21:B" &amp; ROW()))-1&lt;E67,表2_3671626293034567[[#This Row],[累计净值]]/MAX(INDIRECT("B21:B" &amp; ROW()))-1,E67)</f>
        <v>-1.3411484204251867E-2</v>
      </c>
      <c r="F68" s="62">
        <f>表2_3671626293034567[[#This Row],[累计净值]]</f>
        <v>1.0274000000000001</v>
      </c>
      <c r="G68" s="20">
        <f>表2_3671626293034567[[#This Row],[累计净值]]/$B$22-1</f>
        <v>2.0765027322404483E-2</v>
      </c>
    </row>
    <row r="69" spans="1:7">
      <c r="A69" s="55">
        <v>43777</v>
      </c>
      <c r="B69" s="16">
        <v>1.0263</v>
      </c>
      <c r="C69" s="73">
        <f t="shared" ref="C69:C74" si="12">IFERROR(B69-B68,0)</f>
        <v>-1.1000000000001009E-3</v>
      </c>
      <c r="D69" s="18">
        <f t="shared" ref="D69:D74" si="13">IF(C69&lt;0,C69,"/")</f>
        <v>-1.1000000000001009E-3</v>
      </c>
      <c r="E69" s="18">
        <f ca="1">IF(表2_3671626293034567[[#This Row],[累计净值]]/MAX(INDIRECT("B21:B" &amp; ROW()))-1&lt;E68,表2_3671626293034567[[#This Row],[累计净值]]/MAX(INDIRECT("B21:B" &amp; ROW()))-1,E68)</f>
        <v>-1.3411484204251867E-2</v>
      </c>
      <c r="F69" s="62">
        <f>表2_3671626293034567[[#This Row],[累计净值]]</f>
        <v>1.0263</v>
      </c>
      <c r="G69" s="20">
        <f>表2_3671626293034567[[#This Row],[累计净值]]/$B$22-1</f>
        <v>1.9672131147540961E-2</v>
      </c>
    </row>
    <row r="70" spans="1:7">
      <c r="A70" s="55">
        <v>43780</v>
      </c>
      <c r="B70" s="16">
        <v>1.0264</v>
      </c>
      <c r="C70" s="73">
        <f t="shared" si="12"/>
        <v>9.9999999999988987E-5</v>
      </c>
      <c r="D70" s="18" t="str">
        <f t="shared" si="13"/>
        <v>/</v>
      </c>
      <c r="E70" s="18">
        <f ca="1">IF(表2_3671626293034567[[#This Row],[累计净值]]/MAX(INDIRECT("B21:B" &amp; ROW()))-1&lt;E69,表2_3671626293034567[[#This Row],[累计净值]]/MAX(INDIRECT("B21:B" &amp; ROW()))-1,E69)</f>
        <v>-1.3411484204251867E-2</v>
      </c>
      <c r="F70" s="62">
        <f>表2_3671626293034567[[#This Row],[累计净值]]</f>
        <v>1.0264</v>
      </c>
      <c r="G70" s="20">
        <f>表2_3671626293034567[[#This Row],[累计净值]]/$B$22-1</f>
        <v>1.9771485345255968E-2</v>
      </c>
    </row>
    <row r="71" spans="1:7">
      <c r="A71" s="55">
        <v>43781</v>
      </c>
      <c r="B71" s="76">
        <v>1.0316000000000001</v>
      </c>
      <c r="C71" s="73">
        <f t="shared" si="12"/>
        <v>5.2000000000000934E-3</v>
      </c>
      <c r="D71" s="18" t="str">
        <f t="shared" si="13"/>
        <v>/</v>
      </c>
      <c r="E71" s="18">
        <f ca="1">IF(表2_3671626293034567[[#This Row],[累计净值]]/MAX(INDIRECT("B21:B" &amp; ROW()))-1&lt;E70,表2_3671626293034567[[#This Row],[累计净值]]/MAX(INDIRECT("B21:B" &amp; ROW()))-1,E70)</f>
        <v>-1.3411484204251867E-2</v>
      </c>
      <c r="F71" s="62">
        <f>表2_3671626293034567[[#This Row],[累计净值]]</f>
        <v>1.0316000000000001</v>
      </c>
      <c r="G71" s="20">
        <f>表2_3671626293034567[[#This Row],[累计净值]]/$B$22-1</f>
        <v>2.4937903626428337E-2</v>
      </c>
    </row>
    <row r="72" spans="1:7">
      <c r="A72" s="55">
        <v>43782</v>
      </c>
      <c r="B72" s="16">
        <v>1.0290999999999999</v>
      </c>
      <c r="C72" s="73">
        <f t="shared" si="12"/>
        <v>-2.5000000000001688E-3</v>
      </c>
      <c r="D72" s="18">
        <f t="shared" si="13"/>
        <v>-2.5000000000001688E-3</v>
      </c>
      <c r="E72" s="18">
        <f ca="1">IF(表2_3671626293034567[[#This Row],[累计净值]]/MAX(INDIRECT("B21:B" &amp; ROW()))-1&lt;E71,表2_3671626293034567[[#This Row],[累计净值]]/MAX(INDIRECT("B21:B" &amp; ROW()))-1,E71)</f>
        <v>-1.3411484204251867E-2</v>
      </c>
      <c r="F72" s="62">
        <f>表2_3671626293034567[[#This Row],[累计净值]]</f>
        <v>1.0290999999999999</v>
      </c>
      <c r="G72" s="20">
        <f>表2_3671626293034567[[#This Row],[累计净值]]/$B$22-1</f>
        <v>2.2454048683556938E-2</v>
      </c>
    </row>
    <row r="73" spans="1:7">
      <c r="A73" s="55">
        <v>43783</v>
      </c>
      <c r="B73" s="16">
        <v>1.0301</v>
      </c>
      <c r="C73" s="73">
        <f t="shared" si="12"/>
        <v>1.0000000000001119E-3</v>
      </c>
      <c r="D73" s="18" t="str">
        <f t="shared" si="13"/>
        <v>/</v>
      </c>
      <c r="E73" s="18">
        <f ca="1">IF(表2_3671626293034567[[#This Row],[累计净值]]/MAX(INDIRECT("B21:B" &amp; ROW()))-1&lt;E72,表2_3671626293034567[[#This Row],[累计净值]]/MAX(INDIRECT("B21:B" &amp; ROW()))-1,E72)</f>
        <v>-1.3411484204251867E-2</v>
      </c>
      <c r="F73" s="62">
        <f>表2_3671626293034567[[#This Row],[累计净值]]</f>
        <v>1.0301</v>
      </c>
      <c r="G73" s="20">
        <f>表2_3671626293034567[[#This Row],[累计净值]]/$B$22-1</f>
        <v>2.3447590660705453E-2</v>
      </c>
    </row>
    <row r="74" spans="1:7">
      <c r="A74" s="55">
        <v>43784</v>
      </c>
      <c r="B74" s="16">
        <v>1.0254000000000001</v>
      </c>
      <c r="C74" s="73">
        <f t="shared" si="12"/>
        <v>-4.6999999999999265E-3</v>
      </c>
      <c r="D74" s="18">
        <f t="shared" si="13"/>
        <v>-4.6999999999999265E-3</v>
      </c>
      <c r="E74" s="18">
        <f ca="1">IF(表2_3671626293034567[[#This Row],[累计净值]]/MAX(INDIRECT("B21:B" &amp; ROW()))-1&lt;E73,表2_3671626293034567[[#This Row],[累计净值]]/MAX(INDIRECT("B21:B" &amp; ROW()))-1,E73)</f>
        <v>-1.3411484204251867E-2</v>
      </c>
      <c r="F74" s="62">
        <f>表2_3671626293034567[[#This Row],[累计净值]]</f>
        <v>1.0254000000000001</v>
      </c>
      <c r="G74" s="20">
        <f>表2_3671626293034567[[#This Row],[累计净值]]/$B$22-1</f>
        <v>1.8777943368107453E-2</v>
      </c>
    </row>
    <row r="75" spans="1:7">
      <c r="A75" s="55">
        <v>43787</v>
      </c>
      <c r="B75" s="16">
        <v>1.0297000000000001</v>
      </c>
      <c r="C75" s="73">
        <f t="shared" ref="C75:C84" si="14">IFERROR(B75-B74,0)</f>
        <v>4.2999999999999705E-3</v>
      </c>
      <c r="D75" s="18" t="str">
        <f t="shared" ref="D75:D84" si="15">IF(C75&lt;0,C75,"/")</f>
        <v>/</v>
      </c>
      <c r="E75" s="18">
        <f ca="1">IF(表2_3671626293034567[[#This Row],[累计净值]]/MAX(INDIRECT("B21:B" &amp; ROW()))-1&lt;E74,表2_3671626293034567[[#This Row],[累计净值]]/MAX(INDIRECT("B21:B" &amp; ROW()))-1,E74)</f>
        <v>-1.3411484204251867E-2</v>
      </c>
      <c r="F75" s="62">
        <f>表2_3671626293034567[[#This Row],[累计净值]]</f>
        <v>1.0297000000000001</v>
      </c>
      <c r="G75" s="20">
        <f>表2_3671626293034567[[#This Row],[累计净值]]/$B$22-1</f>
        <v>2.3050173869846091E-2</v>
      </c>
    </row>
    <row r="76" spans="1:7">
      <c r="A76" s="55">
        <v>43788</v>
      </c>
      <c r="B76" s="16">
        <v>1.0311999999999999</v>
      </c>
      <c r="C76" s="73">
        <f t="shared" si="14"/>
        <v>1.4999999999998348E-3</v>
      </c>
      <c r="D76" s="18" t="str">
        <f t="shared" si="15"/>
        <v>/</v>
      </c>
      <c r="E76" s="18">
        <f ca="1">IF(表2_3671626293034567[[#This Row],[累计净值]]/MAX(INDIRECT("B21:B" &amp; ROW()))-1&lt;E75,表2_3671626293034567[[#This Row],[累计净值]]/MAX(INDIRECT("B21:B" &amp; ROW()))-1,E75)</f>
        <v>-1.3411484204251867E-2</v>
      </c>
      <c r="F76" s="62">
        <f>表2_3671626293034567[[#This Row],[累计净值]]</f>
        <v>1.0311999999999999</v>
      </c>
      <c r="G76" s="20">
        <f>表2_3671626293034567[[#This Row],[累计净值]]/$B$22-1</f>
        <v>2.4540486835568753E-2</v>
      </c>
    </row>
    <row r="77" spans="1:7">
      <c r="A77" s="55">
        <v>43789</v>
      </c>
      <c r="B77" s="16">
        <v>1.0303</v>
      </c>
      <c r="C77" s="73">
        <f t="shared" si="14"/>
        <v>-8.9999999999990088E-4</v>
      </c>
      <c r="D77" s="18">
        <f t="shared" si="15"/>
        <v>-8.9999999999990088E-4</v>
      </c>
      <c r="E77" s="18">
        <f ca="1">IF(表2_3671626293034567[[#This Row],[累计净值]]/MAX(INDIRECT("B21:B" &amp; ROW()))-1&lt;E76,表2_3671626293034567[[#This Row],[累计净值]]/MAX(INDIRECT("B21:B" &amp; ROW()))-1,E76)</f>
        <v>-1.3411484204251867E-2</v>
      </c>
      <c r="F77" s="62">
        <f>表2_3671626293034567[[#This Row],[累计净值]]</f>
        <v>1.0303</v>
      </c>
      <c r="G77" s="20">
        <f>表2_3671626293034567[[#This Row],[累计净值]]/$B$22-1</f>
        <v>2.3646299056135245E-2</v>
      </c>
    </row>
    <row r="78" spans="1:7">
      <c r="A78" s="55">
        <v>43790</v>
      </c>
      <c r="B78" s="16">
        <v>1.03</v>
      </c>
      <c r="C78" s="73">
        <f t="shared" si="14"/>
        <v>-2.9999999999996696E-4</v>
      </c>
      <c r="D78" s="18">
        <f t="shared" si="15"/>
        <v>-2.9999999999996696E-4</v>
      </c>
      <c r="E78" s="18">
        <f ca="1">IF(表2_3671626293034567[[#This Row],[累计净值]]/MAX(INDIRECT("B21:B" &amp; ROW()))-1&lt;E77,表2_3671626293034567[[#This Row],[累计净值]]/MAX(INDIRECT("B21:B" &amp; ROW()))-1,E77)</f>
        <v>-1.3411484204251867E-2</v>
      </c>
      <c r="F78" s="62">
        <f>表2_3671626293034567[[#This Row],[累计净值]]</f>
        <v>1.03</v>
      </c>
      <c r="G78" s="20">
        <f>表2_3671626293034567[[#This Row],[累计净值]]/$B$22-1</f>
        <v>2.3348236462990668E-2</v>
      </c>
    </row>
    <row r="79" spans="1:7">
      <c r="A79" s="55">
        <v>43791</v>
      </c>
      <c r="B79" s="16">
        <v>1.0279</v>
      </c>
      <c r="C79" s="73">
        <f t="shared" si="14"/>
        <v>-2.0999999999999908E-3</v>
      </c>
      <c r="D79" s="18">
        <f t="shared" si="15"/>
        <v>-2.0999999999999908E-3</v>
      </c>
      <c r="E79" s="18">
        <f ca="1">IF(表2_3671626293034567[[#This Row],[累计净值]]/MAX(INDIRECT("B21:B" &amp; ROW()))-1&lt;E78,表2_3671626293034567[[#This Row],[累计净值]]/MAX(INDIRECT("B21:B" &amp; ROW()))-1,E78)</f>
        <v>-1.3411484204251867E-2</v>
      </c>
      <c r="F79" s="62">
        <f>表2_3671626293034567[[#This Row],[累计净值]]</f>
        <v>1.0279</v>
      </c>
      <c r="G79" s="20">
        <f>表2_3671626293034567[[#This Row],[累计净值]]/$B$22-1</f>
        <v>2.126179831097863E-2</v>
      </c>
    </row>
    <row r="80" spans="1:7">
      <c r="A80" s="55">
        <v>43794</v>
      </c>
      <c r="B80" s="16">
        <v>1.0264</v>
      </c>
      <c r="C80" s="73">
        <f t="shared" si="14"/>
        <v>-1.5000000000000568E-3</v>
      </c>
      <c r="D80" s="18">
        <f t="shared" si="15"/>
        <v>-1.5000000000000568E-3</v>
      </c>
      <c r="E80" s="18">
        <f ca="1">IF(表2_3671626293034567[[#This Row],[累计净值]]/MAX(INDIRECT("B21:B" &amp; ROW()))-1&lt;E79,表2_3671626293034567[[#This Row],[累计净值]]/MAX(INDIRECT("B21:B" &amp; ROW()))-1,E79)</f>
        <v>-1.3411484204251867E-2</v>
      </c>
      <c r="F80" s="62">
        <f>表2_3671626293034567[[#This Row],[累计净值]]</f>
        <v>1.0264</v>
      </c>
      <c r="G80" s="20">
        <f>表2_3671626293034567[[#This Row],[累计净值]]/$B$22-1</f>
        <v>1.9771485345255968E-2</v>
      </c>
    </row>
    <row r="81" spans="1:7">
      <c r="A81" s="55">
        <v>43795</v>
      </c>
      <c r="B81" s="16">
        <v>1.0271999999999999</v>
      </c>
      <c r="C81" s="73">
        <f t="shared" si="14"/>
        <v>7.9999999999991189E-4</v>
      </c>
      <c r="D81" s="18" t="str">
        <f t="shared" si="15"/>
        <v>/</v>
      </c>
      <c r="E81" s="18">
        <f ca="1">IF(表2_3671626293034567[[#This Row],[累计净值]]/MAX(INDIRECT("B21:B" &amp; ROW()))-1&lt;E80,表2_3671626293034567[[#This Row],[累计净值]]/MAX(INDIRECT("B21:B" &amp; ROW()))-1,E80)</f>
        <v>-1.3411484204251867E-2</v>
      </c>
      <c r="F81" s="62">
        <f>表2_3671626293034567[[#This Row],[累计净值]]</f>
        <v>1.0271999999999999</v>
      </c>
      <c r="G81" s="20">
        <f>表2_3671626293034567[[#This Row],[累计净值]]/$B$22-1</f>
        <v>2.0566318926974692E-2</v>
      </c>
    </row>
    <row r="82" spans="1:7">
      <c r="A82" s="55">
        <v>43796</v>
      </c>
      <c r="B82" s="16">
        <v>1.0267999999999999</v>
      </c>
      <c r="C82" s="73">
        <f t="shared" si="14"/>
        <v>-3.9999999999995595E-4</v>
      </c>
      <c r="D82" s="18">
        <f t="shared" si="15"/>
        <v>-3.9999999999995595E-4</v>
      </c>
      <c r="E82" s="18">
        <f ca="1">IF(表2_3671626293034567[[#This Row],[累计净值]]/MAX(INDIRECT("B21:B" &amp; ROW()))-1&lt;E81,表2_3671626293034567[[#This Row],[累计净值]]/MAX(INDIRECT("B21:B" &amp; ROW()))-1,E81)</f>
        <v>-1.3411484204251867E-2</v>
      </c>
      <c r="F82" s="62">
        <f>表2_3671626293034567[[#This Row],[累计净值]]</f>
        <v>1.0267999999999999</v>
      </c>
      <c r="G82" s="20">
        <f>表2_3671626293034567[[#This Row],[累计净值]]/$B$22-1</f>
        <v>2.016890213611533E-2</v>
      </c>
    </row>
    <row r="83" spans="1:7">
      <c r="A83" s="55">
        <v>43797</v>
      </c>
      <c r="B83" s="16">
        <v>1.0246999999999999</v>
      </c>
      <c r="C83" s="73">
        <f t="shared" si="14"/>
        <v>-2.0999999999999908E-3</v>
      </c>
      <c r="D83" s="18">
        <f t="shared" si="15"/>
        <v>-2.0999999999999908E-3</v>
      </c>
      <c r="E83" s="18">
        <f ca="1">IF(表2_3671626293034567[[#This Row],[累计净值]]/MAX(INDIRECT("B21:B" &amp; ROW()))-1&lt;E82,表2_3671626293034567[[#This Row],[累计净值]]/MAX(INDIRECT("B21:B" &amp; ROW()))-1,E82)</f>
        <v>-1.3411484204251867E-2</v>
      </c>
      <c r="F83" s="62">
        <f>表2_3671626293034567[[#This Row],[累计净值]]</f>
        <v>1.0246999999999999</v>
      </c>
      <c r="G83" s="20">
        <f>表2_3671626293034567[[#This Row],[累计净值]]/$B$22-1</f>
        <v>1.8082463984103292E-2</v>
      </c>
    </row>
    <row r="84" spans="1:7">
      <c r="A84" s="55">
        <v>43798</v>
      </c>
      <c r="B84" s="16">
        <v>1.0232000000000001</v>
      </c>
      <c r="C84" s="73">
        <f t="shared" si="14"/>
        <v>-1.4999999999998348E-3</v>
      </c>
      <c r="D84" s="18">
        <f t="shared" si="15"/>
        <v>-1.4999999999998348E-3</v>
      </c>
      <c r="E84" s="18">
        <f ca="1">IF(表2_3671626293034567[[#This Row],[累计净值]]/MAX(INDIRECT("B21:B" &amp; ROW()))-1&lt;E83,表2_3671626293034567[[#This Row],[累计净值]]/MAX(INDIRECT("B21:B" &amp; ROW()))-1,E83)</f>
        <v>-1.3411484204251867E-2</v>
      </c>
      <c r="F84" s="62">
        <f>表2_3671626293034567[[#This Row],[累计净值]]</f>
        <v>1.0232000000000001</v>
      </c>
      <c r="G84" s="20">
        <f>表2_3671626293034567[[#This Row],[累计净值]]/$B$22-1</f>
        <v>1.659215101838063E-2</v>
      </c>
    </row>
    <row r="85" spans="1:7">
      <c r="A85" s="55">
        <v>43801</v>
      </c>
      <c r="B85" s="16">
        <v>1.0221</v>
      </c>
      <c r="C85" s="73">
        <f t="shared" ref="C85:C91" si="16">IFERROR(B85-B84,0)</f>
        <v>-1.1000000000001009E-3</v>
      </c>
      <c r="D85" s="18">
        <f t="shared" ref="D85:D91" si="17">IF(C85&lt;0,C85,"/")</f>
        <v>-1.1000000000001009E-3</v>
      </c>
      <c r="E85" s="18">
        <f ca="1">IF(表2_3671626293034567[[#This Row],[累计净值]]/MAX(INDIRECT("B21:B" &amp; ROW()))-1&lt;E84,表2_3671626293034567[[#This Row],[累计净值]]/MAX(INDIRECT("B21:B" &amp; ROW()))-1,E84)</f>
        <v>-1.3411484204251867E-2</v>
      </c>
      <c r="F85" s="62">
        <f>表2_3671626293034567[[#This Row],[累计净值]]</f>
        <v>1.0221</v>
      </c>
      <c r="G85" s="20">
        <f>表2_3671626293034567[[#This Row],[累计净值]]/$B$22-1</f>
        <v>1.5499254843517107E-2</v>
      </c>
    </row>
    <row r="86" spans="1:7">
      <c r="A86" s="55">
        <v>43802</v>
      </c>
      <c r="B86" s="16">
        <v>1.0227999999999999</v>
      </c>
      <c r="C86" s="73">
        <f t="shared" si="16"/>
        <v>6.9999999999992291E-4</v>
      </c>
      <c r="D86" s="18" t="str">
        <f t="shared" si="17"/>
        <v>/</v>
      </c>
      <c r="E86" s="18">
        <f ca="1">IF(表2_3671626293034567[[#This Row],[累计净值]]/MAX(INDIRECT("B21:B" &amp; ROW()))-1&lt;E85,表2_3671626293034567[[#This Row],[累计净值]]/MAX(INDIRECT("B21:B" &amp; ROW()))-1,E85)</f>
        <v>-1.3411484204251867E-2</v>
      </c>
      <c r="F86" s="62">
        <f>表2_3671626293034567[[#This Row],[累计净值]]</f>
        <v>1.0227999999999999</v>
      </c>
      <c r="G86" s="20">
        <f>表2_3671626293034567[[#This Row],[累计净值]]/$B$22-1</f>
        <v>1.6194734227521046E-2</v>
      </c>
    </row>
    <row r="87" spans="1:7">
      <c r="A87" s="55">
        <v>43803</v>
      </c>
      <c r="B87" s="16">
        <v>1.0234000000000001</v>
      </c>
      <c r="C87" s="73">
        <f t="shared" si="16"/>
        <v>6.0000000000015596E-4</v>
      </c>
      <c r="D87" s="18" t="str">
        <f t="shared" si="17"/>
        <v>/</v>
      </c>
      <c r="E87" s="18">
        <f ca="1">IF(表2_3671626293034567[[#This Row],[累计净值]]/MAX(INDIRECT("B21:B" &amp; ROW()))-1&lt;E86,表2_3671626293034567[[#This Row],[累计净值]]/MAX(INDIRECT("B21:B" &amp; ROW()))-1,E86)</f>
        <v>-1.3411484204251867E-2</v>
      </c>
      <c r="F87" s="62">
        <f>表2_3671626293034567[[#This Row],[累计净值]]</f>
        <v>1.0234000000000001</v>
      </c>
      <c r="G87" s="20">
        <f>表2_3671626293034567[[#This Row],[累计净值]]/$B$22-1</f>
        <v>1.6790859413810422E-2</v>
      </c>
    </row>
    <row r="88" spans="1:7">
      <c r="A88" s="55">
        <v>43804</v>
      </c>
      <c r="B88" s="16">
        <v>1.0226999999999999</v>
      </c>
      <c r="C88" s="73">
        <f t="shared" si="16"/>
        <v>-7.0000000000014495E-4</v>
      </c>
      <c r="D88" s="18">
        <f t="shared" si="17"/>
        <v>-7.0000000000014495E-4</v>
      </c>
      <c r="E88" s="18">
        <f ca="1">IF(表2_3671626293034567[[#This Row],[累计净值]]/MAX(INDIRECT("B21:B" &amp; ROW()))-1&lt;E87,表2_3671626293034567[[#This Row],[累计净值]]/MAX(INDIRECT("B21:B" &amp; ROW()))-1,E87)</f>
        <v>-1.3411484204251867E-2</v>
      </c>
      <c r="F88" s="62">
        <f>表2_3671626293034567[[#This Row],[累计净值]]</f>
        <v>1.0226999999999999</v>
      </c>
      <c r="G88" s="20">
        <f>表2_3671626293034567[[#This Row],[累计净值]]/$B$22-1</f>
        <v>1.6095380029806261E-2</v>
      </c>
    </row>
    <row r="89" spans="1:7">
      <c r="A89" s="55">
        <v>43805</v>
      </c>
      <c r="B89" s="16">
        <v>1.0237000000000001</v>
      </c>
      <c r="C89" s="73">
        <f t="shared" si="16"/>
        <v>1.0000000000001119E-3</v>
      </c>
      <c r="D89" s="18" t="str">
        <f t="shared" si="17"/>
        <v>/</v>
      </c>
      <c r="E89" s="18">
        <f ca="1">IF(表2_3671626293034567[[#This Row],[累计净值]]/MAX(INDIRECT("B21:B" &amp; ROW()))-1&lt;E88,表2_3671626293034567[[#This Row],[累计净值]]/MAX(INDIRECT("B21:B" &amp; ROW()))-1,E88)</f>
        <v>-1.3411484204251867E-2</v>
      </c>
      <c r="F89" s="62">
        <f>表2_3671626293034567[[#This Row],[累计净值]]</f>
        <v>1.0237000000000001</v>
      </c>
      <c r="G89" s="20">
        <f>表2_3671626293034567[[#This Row],[累计净值]]/$B$22-1</f>
        <v>1.7088922006954999E-2</v>
      </c>
    </row>
    <row r="90" spans="1:7">
      <c r="A90" s="55">
        <v>43808</v>
      </c>
      <c r="B90" s="16">
        <v>1.0195000000000001</v>
      </c>
      <c r="C90" s="73">
        <f t="shared" si="16"/>
        <v>-4.1999999999999815E-3</v>
      </c>
      <c r="D90" s="18">
        <f t="shared" si="17"/>
        <v>-4.1999999999999815E-3</v>
      </c>
      <c r="E90" s="18">
        <f ca="1">IF(表2_3671626293034567[[#This Row],[累计净值]]/MAX(INDIRECT("B21:B" &amp; ROW()))-1&lt;E89,表2_3671626293034567[[#This Row],[累计净值]]/MAX(INDIRECT("B21:B" &amp; ROW()))-1,E89)</f>
        <v>-1.3411484204251867E-2</v>
      </c>
      <c r="F90" s="62">
        <f>表2_3671626293034567[[#This Row],[累计净值]]</f>
        <v>1.0195000000000001</v>
      </c>
      <c r="G90" s="20">
        <f>表2_3671626293034567[[#This Row],[累计净值]]/$B$22-1</f>
        <v>1.2916045702931145E-2</v>
      </c>
    </row>
    <row r="91" spans="1:7">
      <c r="A91" s="55">
        <v>43809</v>
      </c>
      <c r="B91" s="16">
        <v>1.0147999999999999</v>
      </c>
      <c r="C91" s="73">
        <f t="shared" si="16"/>
        <v>-4.7000000000001485E-3</v>
      </c>
      <c r="D91" s="18">
        <f t="shared" si="17"/>
        <v>-4.7000000000001485E-3</v>
      </c>
      <c r="E91" s="18">
        <f ca="1">IF(表2_3671626293034567[[#This Row],[累计净值]]/MAX(INDIRECT("B21:B" &amp; ROW()))-1&lt;E90,表2_3671626293034567[[#This Row],[累计净值]]/MAX(INDIRECT("B21:B" &amp; ROW()))-1,E90)</f>
        <v>-1.6285381930981169E-2</v>
      </c>
      <c r="F91" s="62">
        <f>表2_3671626293034567[[#This Row],[累计净值]]</f>
        <v>1.0147999999999999</v>
      </c>
      <c r="G91" s="20">
        <f>表2_3671626293034567[[#This Row],[累计净值]]/$B$22-1</f>
        <v>8.2463984103327004E-3</v>
      </c>
    </row>
    <row r="92" spans="1:7">
      <c r="A92" s="55">
        <v>43810</v>
      </c>
      <c r="B92" s="16">
        <v>1.0158</v>
      </c>
      <c r="C92" s="73">
        <f t="shared" ref="C92:C99" si="18">IFERROR(B92-B91,0)</f>
        <v>1.0000000000001119E-3</v>
      </c>
      <c r="D92" s="18" t="str">
        <f t="shared" ref="D92:D99" si="19">IF(C92&lt;0,C92,"/")</f>
        <v>/</v>
      </c>
      <c r="E92" s="18">
        <f ca="1">IF(表2_3671626293034567[[#This Row],[累计净值]]/MAX(INDIRECT("B21:B" &amp; ROW()))-1&lt;E91,表2_3671626293034567[[#This Row],[累计净值]]/MAX(INDIRECT("B21:B" &amp; ROW()))-1,E91)</f>
        <v>-1.6285381930981169E-2</v>
      </c>
      <c r="F92" s="62">
        <f>表2_3671626293034567[[#This Row],[累计净值]]</f>
        <v>1.0158</v>
      </c>
      <c r="G92" s="20">
        <f>表2_3671626293034567[[#This Row],[累计净值]]/$B$22-1</f>
        <v>9.2399403874814379E-3</v>
      </c>
    </row>
    <row r="93" spans="1:7">
      <c r="A93" s="55">
        <v>43811</v>
      </c>
      <c r="B93" s="16">
        <v>1.016</v>
      </c>
      <c r="C93" s="73">
        <f t="shared" si="18"/>
        <v>1.9999999999997797E-4</v>
      </c>
      <c r="D93" s="18" t="str">
        <f t="shared" si="19"/>
        <v>/</v>
      </c>
      <c r="E93" s="18">
        <f ca="1">IF(表2_3671626293034567[[#This Row],[累计净值]]/MAX(INDIRECT("B21:B" &amp; ROW()))-1&lt;E92,表2_3671626293034567[[#This Row],[累计净值]]/MAX(INDIRECT("B21:B" &amp; ROW()))-1,E92)</f>
        <v>-1.6285381930981169E-2</v>
      </c>
      <c r="F93" s="62">
        <f>表2_3671626293034567[[#This Row],[累计净值]]</f>
        <v>1.016</v>
      </c>
      <c r="G93" s="20">
        <f>表2_3671626293034567[[#This Row],[累计净值]]/$B$22-1</f>
        <v>9.4386487829112298E-3</v>
      </c>
    </row>
    <row r="94" spans="1:7">
      <c r="A94" s="55">
        <v>43812</v>
      </c>
      <c r="B94" s="16">
        <v>1.0187999999999999</v>
      </c>
      <c r="C94" s="73">
        <f t="shared" si="18"/>
        <v>2.7999999999999137E-3</v>
      </c>
      <c r="D94" s="18" t="str">
        <f t="shared" si="19"/>
        <v>/</v>
      </c>
      <c r="E94" s="18">
        <f ca="1">IF(表2_3671626293034567[[#This Row],[累计净值]]/MAX(INDIRECT("B21:B" &amp; ROW()))-1&lt;E93,表2_3671626293034567[[#This Row],[累计净值]]/MAX(INDIRECT("B21:B" &amp; ROW()))-1,E93)</f>
        <v>-1.6285381930981169E-2</v>
      </c>
      <c r="F94" s="62">
        <f>表2_3671626293034567[[#This Row],[累计净值]]</f>
        <v>1.0187999999999999</v>
      </c>
      <c r="G94" s="20">
        <f>表2_3671626293034567[[#This Row],[累计净值]]/$B$22-1</f>
        <v>1.2220566318926984E-2</v>
      </c>
    </row>
    <row r="95" spans="1:7">
      <c r="A95" s="55">
        <v>43815</v>
      </c>
      <c r="B95" s="16">
        <v>1.0221</v>
      </c>
      <c r="C95" s="73">
        <f t="shared" si="18"/>
        <v>3.3000000000000806E-3</v>
      </c>
      <c r="D95" s="18" t="str">
        <f t="shared" si="19"/>
        <v>/</v>
      </c>
      <c r="E95" s="18">
        <f ca="1">IF(表2_3671626293034567[[#This Row],[累计净值]]/MAX(INDIRECT("B21:B" &amp; ROW()))-1&lt;E94,表2_3671626293034567[[#This Row],[累计净值]]/MAX(INDIRECT("B21:B" &amp; ROW()))-1,E94)</f>
        <v>-1.6285381930981169E-2</v>
      </c>
      <c r="F95" s="62">
        <f>表2_3671626293034567[[#This Row],[累计净值]]</f>
        <v>1.0221</v>
      </c>
      <c r="G95" s="20">
        <f>表2_3671626293034567[[#This Row],[累计净值]]/$B$22-1</f>
        <v>1.5499254843517107E-2</v>
      </c>
    </row>
    <row r="96" spans="1:7">
      <c r="A96" s="55">
        <v>43816</v>
      </c>
      <c r="B96" s="16">
        <v>1.0132000000000001</v>
      </c>
      <c r="C96" s="73">
        <f t="shared" si="18"/>
        <v>-8.899999999999908E-3</v>
      </c>
      <c r="D96" s="18">
        <f t="shared" si="19"/>
        <v>-8.899999999999908E-3</v>
      </c>
      <c r="E96" s="18">
        <f ca="1">IF(表2_3671626293034567[[#This Row],[累计净值]]/MAX(INDIRECT("B21:B" &amp; ROW()))-1&lt;E95,表2_3671626293034567[[#This Row],[累计净值]]/MAX(INDIRECT("B21:B" &amp; ROW()))-1,E95)</f>
        <v>-1.7836370686312497E-2</v>
      </c>
      <c r="F96" s="62">
        <f>表2_3671626293034567[[#This Row],[累计净值]]</f>
        <v>1.0132000000000001</v>
      </c>
      <c r="G96" s="20">
        <f>表2_3671626293034567[[#This Row],[累计净值]]/$B$22-1</f>
        <v>6.6567312468952533E-3</v>
      </c>
    </row>
    <row r="97" spans="1:7">
      <c r="A97" s="55">
        <v>43817</v>
      </c>
      <c r="B97" s="16">
        <v>1.0130999999999999</v>
      </c>
      <c r="C97" s="73">
        <f t="shared" si="18"/>
        <v>-1.0000000000021103E-4</v>
      </c>
      <c r="D97" s="18">
        <f t="shared" si="19"/>
        <v>-1.0000000000021103E-4</v>
      </c>
      <c r="E97" s="18">
        <f ca="1">IF(表2_3671626293034567[[#This Row],[累计净值]]/MAX(INDIRECT("B21:B" &amp; ROW()))-1&lt;E96,表2_3671626293034567[[#This Row],[累计净值]]/MAX(INDIRECT("B21:B" &amp; ROW()))-1,E96)</f>
        <v>-1.7933307483520955E-2</v>
      </c>
      <c r="F97" s="62">
        <f>表2_3671626293034567[[#This Row],[累计净值]]</f>
        <v>1.0130999999999999</v>
      </c>
      <c r="G97" s="20">
        <f>表2_3671626293034567[[#This Row],[累计净值]]/$B$22-1</f>
        <v>6.5573770491802463E-3</v>
      </c>
    </row>
    <row r="98" spans="1:7">
      <c r="A98" s="55">
        <v>43818</v>
      </c>
      <c r="B98" s="16">
        <v>1.0124</v>
      </c>
      <c r="C98" s="73">
        <f t="shared" si="18"/>
        <v>-6.9999999999992291E-4</v>
      </c>
      <c r="D98" s="18">
        <f t="shared" si="19"/>
        <v>-6.9999999999992291E-4</v>
      </c>
      <c r="E98" s="18">
        <f ca="1">IF(表2_3671626293034567[[#This Row],[累计净值]]/MAX(INDIRECT("B21:B" &amp; ROW()))-1&lt;E97,表2_3671626293034567[[#This Row],[累计净值]]/MAX(INDIRECT("B21:B" &amp; ROW()))-1,E97)</f>
        <v>-1.8611865063978383E-2</v>
      </c>
      <c r="F98" s="62">
        <f>表2_3671626293034567[[#This Row],[累计净值]]</f>
        <v>1.0124</v>
      </c>
      <c r="G98" s="20">
        <f>表2_3671626293034567[[#This Row],[累计净值]]/$B$22-1</f>
        <v>5.8618976651763077E-3</v>
      </c>
    </row>
    <row r="99" spans="1:7">
      <c r="A99" s="55">
        <v>43819</v>
      </c>
      <c r="B99" s="16">
        <v>1.0056</v>
      </c>
      <c r="C99" s="73">
        <f t="shared" si="18"/>
        <v>-6.7999999999999172E-3</v>
      </c>
      <c r="D99" s="18">
        <f t="shared" si="19"/>
        <v>-6.7999999999999172E-3</v>
      </c>
      <c r="E99" s="18">
        <f ca="1">IF(表2_3671626293034567[[#This Row],[累计净值]]/MAX(INDIRECT("B21:B" &amp; ROW()))-1&lt;E98,表2_3671626293034567[[#This Row],[累计净值]]/MAX(INDIRECT("B21:B" &amp; ROW()))-1,E98)</f>
        <v>-2.5203567274137306E-2</v>
      </c>
      <c r="F99" s="62">
        <f>表2_3671626293034567[[#This Row],[累计净值]]</f>
        <v>1.0056</v>
      </c>
      <c r="G99" s="20">
        <f>表2_3671626293034567[[#This Row],[累计净值]]/$B$22-1</f>
        <v>-8.9418777943361949E-4</v>
      </c>
    </row>
    <row r="100" spans="1:7">
      <c r="A100" s="55">
        <v>43822</v>
      </c>
      <c r="B100" s="16">
        <v>1.0165999999999999</v>
      </c>
      <c r="C100" s="73">
        <f t="shared" ref="C100:C105" si="20">IFERROR(B100-B99,0)</f>
        <v>1.0999999999999899E-2</v>
      </c>
      <c r="D100" s="18" t="str">
        <f t="shared" ref="D100:D105" si="21">IF(C100&lt;0,C100,"/")</f>
        <v>/</v>
      </c>
      <c r="E100" s="18">
        <f ca="1">IF(表2_3671626293034567[[#This Row],[累计净值]]/MAX(INDIRECT("B21:B" &amp; ROW()))-1&lt;E99,表2_3671626293034567[[#This Row],[累计净值]]/MAX(INDIRECT("B21:B" &amp; ROW()))-1,E99)</f>
        <v>-2.5203567274137306E-2</v>
      </c>
      <c r="F100" s="62">
        <f>表2_3671626293034567[[#This Row],[累计净值]]</f>
        <v>1.0165999999999999</v>
      </c>
      <c r="G100" s="20">
        <f>表2_3671626293034567[[#This Row],[累计净值]]/$B$22-1</f>
        <v>1.0034773969200161E-2</v>
      </c>
    </row>
    <row r="101" spans="1:7">
      <c r="A101" s="55">
        <v>43823</v>
      </c>
      <c r="B101" s="16">
        <v>1.0204</v>
      </c>
      <c r="C101" s="73">
        <f t="shared" si="20"/>
        <v>3.8000000000000256E-3</v>
      </c>
      <c r="D101" s="18" t="str">
        <f t="shared" si="21"/>
        <v>/</v>
      </c>
      <c r="E101" s="18">
        <f ca="1">IF(表2_3671626293034567[[#This Row],[累计净值]]/MAX(INDIRECT("B21:B" &amp; ROW()))-1&lt;E100,表2_3671626293034567[[#This Row],[累计净值]]/MAX(INDIRECT("B21:B" &amp; ROW()))-1,E100)</f>
        <v>-2.5203567274137306E-2</v>
      </c>
      <c r="F101" s="62">
        <f>表2_3671626293034567[[#This Row],[累计净值]]</f>
        <v>1.0204</v>
      </c>
      <c r="G101" s="20">
        <f>表2_3671626293034567[[#This Row],[累计净值]]/$B$22-1</f>
        <v>1.3810233482364653E-2</v>
      </c>
    </row>
    <row r="102" spans="1:7">
      <c r="A102" s="55">
        <v>43824</v>
      </c>
      <c r="B102" s="16">
        <v>1.0243</v>
      </c>
      <c r="C102" s="73">
        <f t="shared" si="20"/>
        <v>3.9000000000000146E-3</v>
      </c>
      <c r="D102" s="18" t="str">
        <f t="shared" si="21"/>
        <v>/</v>
      </c>
      <c r="E102" s="18">
        <f ca="1">IF(表2_3671626293034567[[#This Row],[累计净值]]/MAX(INDIRECT("B21:B" &amp; ROW()))-1&lt;E101,表2_3671626293034567[[#This Row],[累计净值]]/MAX(INDIRECT("B21:B" &amp; ROW()))-1,E101)</f>
        <v>-2.5203567274137306E-2</v>
      </c>
      <c r="F102" s="62">
        <f>表2_3671626293034567[[#This Row],[累计净值]]</f>
        <v>1.0243</v>
      </c>
      <c r="G102" s="20">
        <f>表2_3671626293034567[[#This Row],[累计净值]]/$B$22-1</f>
        <v>1.768504719324393E-2</v>
      </c>
    </row>
    <row r="103" spans="1:7">
      <c r="A103" s="55">
        <v>43825</v>
      </c>
      <c r="B103" s="16">
        <v>1.0244</v>
      </c>
      <c r="C103" s="73">
        <f t="shared" si="20"/>
        <v>9.9999999999988987E-5</v>
      </c>
      <c r="D103" s="18" t="str">
        <f t="shared" si="21"/>
        <v>/</v>
      </c>
      <c r="E103" s="18">
        <f ca="1">IF(表2_3671626293034567[[#This Row],[累计净值]]/MAX(INDIRECT("B21:B" &amp; ROW()))-1&lt;E102,表2_3671626293034567[[#This Row],[累计净值]]/MAX(INDIRECT("B21:B" &amp; ROW()))-1,E102)</f>
        <v>-2.5203567274137306E-2</v>
      </c>
      <c r="F103" s="62">
        <f>表2_3671626293034567[[#This Row],[累计净值]]</f>
        <v>1.0244</v>
      </c>
      <c r="G103" s="20">
        <f>表2_3671626293034567[[#This Row],[累计净值]]/$B$22-1</f>
        <v>1.7784401390958715E-2</v>
      </c>
    </row>
    <row r="104" spans="1:7">
      <c r="A104" s="55">
        <v>43826</v>
      </c>
      <c r="B104" s="16">
        <v>1.0206</v>
      </c>
      <c r="C104" s="73">
        <f t="shared" si="20"/>
        <v>-3.8000000000000256E-3</v>
      </c>
      <c r="D104" s="18">
        <f t="shared" si="21"/>
        <v>-3.8000000000000256E-3</v>
      </c>
      <c r="E104" s="18">
        <f ca="1">IF(表2_3671626293034567[[#This Row],[累计净值]]/MAX(INDIRECT("B21:B" &amp; ROW()))-1&lt;E103,表2_3671626293034567[[#This Row],[累计净值]]/MAX(INDIRECT("B21:B" &amp; ROW()))-1,E103)</f>
        <v>-2.5203567274137306E-2</v>
      </c>
      <c r="F104" s="62">
        <f>表2_3671626293034567[[#This Row],[累计净值]]</f>
        <v>1.0206</v>
      </c>
      <c r="G104" s="20">
        <f>表2_3671626293034567[[#This Row],[累计净值]]/$B$22-1</f>
        <v>1.4008941877794445E-2</v>
      </c>
    </row>
    <row r="105" spans="1:7">
      <c r="A105" s="55">
        <v>43829</v>
      </c>
      <c r="B105" s="16">
        <v>1.0166999999999999</v>
      </c>
      <c r="C105" s="73">
        <f t="shared" si="20"/>
        <v>-3.9000000000000146E-3</v>
      </c>
      <c r="D105" s="18">
        <f t="shared" si="21"/>
        <v>-3.9000000000000146E-3</v>
      </c>
      <c r="E105" s="18">
        <f ca="1">IF(表2_3671626293034567[[#This Row],[累计净值]]/MAX(INDIRECT("B21:B" &amp; ROW()))-1&lt;E104,表2_3671626293034567[[#This Row],[累计净值]]/MAX(INDIRECT("B21:B" &amp; ROW()))-1,E104)</f>
        <v>-2.5203567274137306E-2</v>
      </c>
      <c r="F105" s="62">
        <f>表2_3671626293034567[[#This Row],[累计净值]]</f>
        <v>1.0166999999999999</v>
      </c>
      <c r="G105" s="20">
        <f>表2_3671626293034567[[#This Row],[累计净值]]/$B$22-1</f>
        <v>1.0134128166914946E-2</v>
      </c>
    </row>
    <row r="106" spans="1:7">
      <c r="A106" s="55">
        <v>43830</v>
      </c>
      <c r="B106" s="16">
        <v>1.0186999999999999</v>
      </c>
      <c r="C106" s="73">
        <f t="shared" ref="C106:C111" si="22">IFERROR(B106-B105,0)</f>
        <v>2.0000000000000018E-3</v>
      </c>
      <c r="D106" s="18" t="str">
        <f t="shared" ref="D106:D111" si="23">IF(C106&lt;0,C106,"/")</f>
        <v>/</v>
      </c>
      <c r="E106" s="18">
        <f ca="1">IF(表2_3671626293034567[[#This Row],[累计净值]]/MAX(INDIRECT("B21:B" &amp; ROW()))-1&lt;E105,表2_3671626293034567[[#This Row],[累计净值]]/MAX(INDIRECT("B21:B" &amp; ROW()))-1,E105)</f>
        <v>-2.5203567274137306E-2</v>
      </c>
      <c r="F106" s="62">
        <f>表2_3671626293034567[[#This Row],[累计净值]]</f>
        <v>1.0186999999999999</v>
      </c>
      <c r="G106" s="20">
        <f>表2_3671626293034567[[#This Row],[累计净值]]/$B$22-1</f>
        <v>1.2121212121212199E-2</v>
      </c>
    </row>
    <row r="107" spans="1:7">
      <c r="A107" s="55">
        <v>43832</v>
      </c>
      <c r="B107" s="16">
        <v>1.0189999999999999</v>
      </c>
      <c r="C107" s="73">
        <f t="shared" si="22"/>
        <v>2.9999999999996696E-4</v>
      </c>
      <c r="D107" s="18" t="str">
        <f t="shared" si="23"/>
        <v>/</v>
      </c>
      <c r="E107" s="18">
        <f ca="1">IF(表2_3671626293034567[[#This Row],[累计净值]]/MAX(INDIRECT("B21:B" &amp; ROW()))-1&lt;E106,表2_3671626293034567[[#This Row],[累计净值]]/MAX(INDIRECT("B21:B" &amp; ROW()))-1,E106)</f>
        <v>-2.5203567274137306E-2</v>
      </c>
      <c r="F107" s="62">
        <f>表2_3671626293034567[[#This Row],[累计净值]]</f>
        <v>1.0189999999999999</v>
      </c>
      <c r="G107" s="20">
        <f>表2_3671626293034567[[#This Row],[累计净值]]/$B$22-1</f>
        <v>1.2419274714356554E-2</v>
      </c>
    </row>
    <row r="108" spans="1:7">
      <c r="A108" s="55">
        <v>43833</v>
      </c>
      <c r="B108" s="16">
        <v>1.0201</v>
      </c>
      <c r="C108" s="73">
        <f t="shared" si="22"/>
        <v>1.1000000000001009E-3</v>
      </c>
      <c r="D108" s="18" t="str">
        <f t="shared" si="23"/>
        <v>/</v>
      </c>
      <c r="E108" s="18">
        <f ca="1">IF(表2_3671626293034567[[#This Row],[累计净值]]/MAX(INDIRECT("B21:B" &amp; ROW()))-1&lt;E107,表2_3671626293034567[[#This Row],[累计净值]]/MAX(INDIRECT("B21:B" &amp; ROW()))-1,E107)</f>
        <v>-2.5203567274137306E-2</v>
      </c>
      <c r="F108" s="62">
        <f>表2_3671626293034567[[#This Row],[累计净值]]</f>
        <v>1.0201</v>
      </c>
      <c r="G108" s="20">
        <f>表2_3671626293034567[[#This Row],[累计净值]]/$B$22-1</f>
        <v>1.3512170889220076E-2</v>
      </c>
    </row>
    <row r="109" spans="1:7">
      <c r="A109" s="55">
        <v>43836</v>
      </c>
      <c r="B109" s="16">
        <v>1.0230999999999999</v>
      </c>
      <c r="C109" s="73">
        <f t="shared" si="22"/>
        <v>2.9999999999998916E-3</v>
      </c>
      <c r="D109" s="18" t="str">
        <f t="shared" si="23"/>
        <v>/</v>
      </c>
      <c r="E109" s="18">
        <f ca="1">IF(表2_3671626293034567[[#This Row],[累计净值]]/MAX(INDIRECT("B21:B" &amp; ROW()))-1&lt;E108,表2_3671626293034567[[#This Row],[累计净值]]/MAX(INDIRECT("B21:B" &amp; ROW()))-1,E108)</f>
        <v>-2.5203567274137306E-2</v>
      </c>
      <c r="F109" s="62">
        <f>表2_3671626293034567[[#This Row],[累计净值]]</f>
        <v>1.0230999999999999</v>
      </c>
      <c r="G109" s="20">
        <f>表2_3671626293034567[[#This Row],[累计净值]]/$B$22-1</f>
        <v>1.6492796820665623E-2</v>
      </c>
    </row>
    <row r="110" spans="1:7">
      <c r="A110" s="55">
        <v>43837</v>
      </c>
      <c r="B110" s="16">
        <v>1.0214000000000001</v>
      </c>
      <c r="C110" s="73">
        <f t="shared" si="22"/>
        <v>-1.6999999999998128E-3</v>
      </c>
      <c r="D110" s="18">
        <f t="shared" si="23"/>
        <v>-1.6999999999998128E-3</v>
      </c>
      <c r="E110" s="18">
        <f ca="1">IF(表2_3671626293034567[[#This Row],[累计净值]]/MAX(INDIRECT("B21:B" &amp; ROW()))-1&lt;E109,表2_3671626293034567[[#This Row],[累计净值]]/MAX(INDIRECT("B21:B" &amp; ROW()))-1,E109)</f>
        <v>-2.5203567274137306E-2</v>
      </c>
      <c r="F110" s="62">
        <f>表2_3671626293034567[[#This Row],[累计净值]]</f>
        <v>1.0214000000000001</v>
      </c>
      <c r="G110" s="20">
        <f>表2_3671626293034567[[#This Row],[累计净值]]/$B$22-1</f>
        <v>1.4803775459513391E-2</v>
      </c>
    </row>
    <row r="111" spans="1:7">
      <c r="A111" s="55">
        <v>43838</v>
      </c>
      <c r="B111" s="16">
        <v>1.0198</v>
      </c>
      <c r="C111" s="73">
        <f t="shared" si="22"/>
        <v>-1.6000000000000458E-3</v>
      </c>
      <c r="D111" s="18">
        <f t="shared" si="23"/>
        <v>-1.6000000000000458E-3</v>
      </c>
      <c r="E111" s="18">
        <f ca="1">IF(表2_3671626293034567[[#This Row],[累计净值]]/MAX(INDIRECT("B21:B" &amp; ROW()))-1&lt;E110,表2_3671626293034567[[#This Row],[累计净值]]/MAX(INDIRECT("B21:B" &amp; ROW()))-1,E110)</f>
        <v>-2.5203567274137306E-2</v>
      </c>
      <c r="F111" s="62">
        <f>表2_3671626293034567[[#This Row],[累计净值]]</f>
        <v>1.0198</v>
      </c>
      <c r="G111" s="20">
        <f>表2_3671626293034567[[#This Row],[累计净值]]/$B$22-1</f>
        <v>1.32141082960755E-2</v>
      </c>
    </row>
    <row r="112" spans="1:7">
      <c r="A112" s="55">
        <v>43839</v>
      </c>
      <c r="B112" s="16">
        <v>1.028</v>
      </c>
      <c r="C112" s="73">
        <f t="shared" ref="C112:C117" si="24">IFERROR(B112-B111,0)</f>
        <v>8.1999999999999851E-3</v>
      </c>
      <c r="D112" s="18" t="str">
        <f t="shared" ref="D112:D117" si="25">IF(C112&lt;0,C112,"/")</f>
        <v>/</v>
      </c>
      <c r="E112" s="18">
        <f ca="1">IF(表2_3671626293034567[[#This Row],[累计净值]]/MAX(INDIRECT("B21:B" &amp; ROW()))-1&lt;E111,表2_3671626293034567[[#This Row],[累计净值]]/MAX(INDIRECT("B21:B" &amp; ROW()))-1,E111)</f>
        <v>-2.5203567274137306E-2</v>
      </c>
      <c r="F112" s="62">
        <f>表2_3671626293034567[[#This Row],[累计净值]]</f>
        <v>1.028</v>
      </c>
      <c r="G112" s="20">
        <f>表2_3671626293034567[[#This Row],[累计净值]]/$B$22-1</f>
        <v>2.1361152508693637E-2</v>
      </c>
    </row>
    <row r="113" spans="1:7">
      <c r="A113" s="55">
        <v>43840</v>
      </c>
      <c r="B113" s="16">
        <v>1.0291999999999999</v>
      </c>
      <c r="C113" s="73">
        <f t="shared" si="24"/>
        <v>1.1999999999998678E-3</v>
      </c>
      <c r="D113" s="18" t="str">
        <f t="shared" si="25"/>
        <v>/</v>
      </c>
      <c r="E113" s="18">
        <f ca="1">IF(表2_3671626293034567[[#This Row],[累计净值]]/MAX(INDIRECT("B21:B" &amp; ROW()))-1&lt;E112,表2_3671626293034567[[#This Row],[累计净值]]/MAX(INDIRECT("B21:B" &amp; ROW()))-1,E112)</f>
        <v>-2.5203567274137306E-2</v>
      </c>
      <c r="F113" s="62">
        <f>表2_3671626293034567[[#This Row],[累计净值]]</f>
        <v>1.0291999999999999</v>
      </c>
      <c r="G113" s="20">
        <f>表2_3671626293034567[[#This Row],[累计净值]]/$B$22-1</f>
        <v>2.2553402881271722E-2</v>
      </c>
    </row>
    <row r="114" spans="1:7">
      <c r="A114" s="55">
        <v>43843</v>
      </c>
      <c r="B114" s="76">
        <v>1.0337000000000001</v>
      </c>
      <c r="C114" s="73">
        <f t="shared" si="24"/>
        <v>4.5000000000001705E-3</v>
      </c>
      <c r="D114" s="18" t="str">
        <f t="shared" si="25"/>
        <v>/</v>
      </c>
      <c r="E114" s="18">
        <f ca="1">IF(表2_3671626293034567[[#This Row],[累计净值]]/MAX(INDIRECT("B21:B" &amp; ROW()))-1&lt;E113,表2_3671626293034567[[#This Row],[累计净值]]/MAX(INDIRECT("B21:B" &amp; ROW()))-1,E113)</f>
        <v>-2.5203567274137306E-2</v>
      </c>
      <c r="F114" s="62">
        <f>表2_3671626293034567[[#This Row],[累计净值]]</f>
        <v>1.0337000000000001</v>
      </c>
      <c r="G114" s="20">
        <f>表2_3671626293034567[[#This Row],[累计净值]]/$B$22-1</f>
        <v>2.7024341778440153E-2</v>
      </c>
    </row>
    <row r="115" spans="1:7">
      <c r="A115" s="55">
        <v>43844</v>
      </c>
      <c r="B115" s="16">
        <v>1.0284</v>
      </c>
      <c r="C115" s="73">
        <f t="shared" si="24"/>
        <v>-5.3000000000000824E-3</v>
      </c>
      <c r="D115" s="18">
        <f t="shared" si="25"/>
        <v>-5.3000000000000824E-3</v>
      </c>
      <c r="E115" s="18">
        <f ca="1">IF(表2_3671626293034567[[#This Row],[累计净值]]/MAX(INDIRECT("B21:B" &amp; ROW()))-1&lt;E114,表2_3671626293034567[[#This Row],[累计净值]]/MAX(INDIRECT("B21:B" &amp; ROW()))-1,E114)</f>
        <v>-2.5203567274137306E-2</v>
      </c>
      <c r="F115" s="62">
        <f>表2_3671626293034567[[#This Row],[累计净值]]</f>
        <v>1.0284</v>
      </c>
      <c r="G115" s="20">
        <f>表2_3671626293034567[[#This Row],[累计净值]]/$B$22-1</f>
        <v>2.1758569299552999E-2</v>
      </c>
    </row>
    <row r="116" spans="1:7">
      <c r="A116" s="55">
        <v>43845</v>
      </c>
      <c r="B116" s="16">
        <v>1.0289999999999999</v>
      </c>
      <c r="C116" s="73">
        <f t="shared" si="24"/>
        <v>5.9999999999993392E-4</v>
      </c>
      <c r="D116" s="18" t="str">
        <f t="shared" si="25"/>
        <v>/</v>
      </c>
      <c r="E116" s="18">
        <f ca="1">IF(表2_3671626293034567[[#This Row],[累计净值]]/MAX(INDIRECT("B21:B" &amp; ROW()))-1&lt;E115,表2_3671626293034567[[#This Row],[累计净值]]/MAX(INDIRECT("B21:B" &amp; ROW()))-1,E115)</f>
        <v>-2.5203567274137306E-2</v>
      </c>
      <c r="F116" s="62">
        <f>表2_3671626293034567[[#This Row],[累计净值]]</f>
        <v>1.0289999999999999</v>
      </c>
      <c r="G116" s="20">
        <f>表2_3671626293034567[[#This Row],[累计净值]]/$B$22-1</f>
        <v>2.2354694485841931E-2</v>
      </c>
    </row>
    <row r="117" spans="1:7">
      <c r="A117" s="55">
        <v>43846</v>
      </c>
      <c r="B117" s="16">
        <v>1.0293000000000001</v>
      </c>
      <c r="C117" s="73">
        <f t="shared" si="24"/>
        <v>3.00000000000189E-4</v>
      </c>
      <c r="D117" s="18" t="str">
        <f t="shared" si="25"/>
        <v>/</v>
      </c>
      <c r="E117" s="18">
        <f ca="1">IF(表2_3671626293034567[[#This Row],[累计净值]]/MAX(INDIRECT("B21:B" &amp; ROW()))-1&lt;E116,表2_3671626293034567[[#This Row],[累计净值]]/MAX(INDIRECT("B21:B" &amp; ROW()))-1,E116)</f>
        <v>-2.5203567274137306E-2</v>
      </c>
      <c r="F117" s="62">
        <f>表2_3671626293034567[[#This Row],[累计净值]]</f>
        <v>1.0293000000000001</v>
      </c>
      <c r="G117" s="20">
        <f>表2_3671626293034567[[#This Row],[累计净值]]/$B$22-1</f>
        <v>2.2652757078986729E-2</v>
      </c>
    </row>
    <row r="118" spans="1:7">
      <c r="A118" s="55">
        <v>43847</v>
      </c>
      <c r="B118" s="16">
        <v>1.0311999999999999</v>
      </c>
      <c r="C118" s="73">
        <f>IFERROR(B118-B117,0)</f>
        <v>1.8999999999997907E-3</v>
      </c>
      <c r="D118" s="18" t="str">
        <f>IF(C118&lt;0,C118,"/")</f>
        <v>/</v>
      </c>
      <c r="E118" s="18">
        <f ca="1">IF(表2_3671626293034567[[#This Row],[累计净值]]/MAX(INDIRECT("B21:B" &amp; ROW()))-1&lt;E117,表2_3671626293034567[[#This Row],[累计净值]]/MAX(INDIRECT("B21:B" &amp; ROW()))-1,E117)</f>
        <v>-2.5203567274137306E-2</v>
      </c>
      <c r="F118" s="62">
        <f>表2_3671626293034567[[#This Row],[累计净值]]</f>
        <v>1.0311999999999999</v>
      </c>
      <c r="G118" s="20">
        <f>表2_3671626293034567[[#This Row],[累计净值]]/$B$22-1</f>
        <v>2.4540486835568753E-2</v>
      </c>
    </row>
    <row r="119" spans="1:7">
      <c r="A119" s="55">
        <v>43850</v>
      </c>
      <c r="B119" s="16">
        <v>1.0325</v>
      </c>
      <c r="C119" s="73">
        <f>IFERROR(B119-B118,0)</f>
        <v>1.3000000000000789E-3</v>
      </c>
      <c r="D119" s="18" t="str">
        <f>IF(C119&lt;0,C119,"/")</f>
        <v>/</v>
      </c>
      <c r="E119" s="18">
        <f ca="1">IF(表2_3671626293034567[[#This Row],[累计净值]]/MAX(INDIRECT("B21:B" &amp; ROW()))-1&lt;E118,表2_3671626293034567[[#This Row],[累计净值]]/MAX(INDIRECT("B21:B" &amp; ROW()))-1,E118)</f>
        <v>-2.5203567274137306E-2</v>
      </c>
      <c r="F119" s="62">
        <f>表2_3671626293034567[[#This Row],[累计净值]]</f>
        <v>1.0325</v>
      </c>
      <c r="G119" s="20">
        <f>表2_3671626293034567[[#This Row],[累计净值]]/$B$22-1</f>
        <v>2.5832091405861846E-2</v>
      </c>
    </row>
    <row r="120" spans="1:7">
      <c r="A120" s="55">
        <v>43851</v>
      </c>
      <c r="B120" s="16">
        <v>1.0322</v>
      </c>
      <c r="C120" s="73">
        <f>IFERROR(B120-B119,0)</f>
        <v>-2.9999999999996696E-4</v>
      </c>
      <c r="D120" s="18">
        <f>IF(C120&lt;0,C120,"/")</f>
        <v>-2.9999999999996696E-4</v>
      </c>
      <c r="E120" s="18">
        <f ca="1">IF(表2_3671626293034567[[#This Row],[累计净值]]/MAX(INDIRECT("B21:B" &amp; ROW()))-1&lt;E119,表2_3671626293034567[[#This Row],[累计净值]]/MAX(INDIRECT("B21:B" &amp; ROW()))-1,E119)</f>
        <v>-2.5203567274137306E-2</v>
      </c>
      <c r="F120" s="62">
        <f>表2_3671626293034567[[#This Row],[累计净值]]</f>
        <v>1.0322</v>
      </c>
      <c r="G120" s="20">
        <f>表2_3671626293034567[[#This Row],[累计净值]]/$B$22-1</f>
        <v>2.5534028812717491E-2</v>
      </c>
    </row>
    <row r="121" spans="1:7">
      <c r="A121" s="55">
        <v>43852</v>
      </c>
      <c r="B121" s="16">
        <v>1.0317000000000001</v>
      </c>
      <c r="C121" s="73">
        <f>IFERROR(B121-B120,0)</f>
        <v>-4.9999999999994493E-4</v>
      </c>
      <c r="D121" s="18">
        <f>IF(C121&lt;0,C121,"/")</f>
        <v>-4.9999999999994493E-4</v>
      </c>
      <c r="E121" s="18">
        <f ca="1">IF(表2_3671626293034567[[#This Row],[累计净值]]/MAX(INDIRECT("B21:B" &amp; ROW()))-1&lt;E120,表2_3671626293034567[[#This Row],[累计净值]]/MAX(INDIRECT("B21:B" &amp; ROW()))-1,E120)</f>
        <v>-2.5203567274137306E-2</v>
      </c>
      <c r="F121" s="62">
        <f>表2_3671626293034567[[#This Row],[累计净值]]</f>
        <v>1.0317000000000001</v>
      </c>
      <c r="G121" s="20">
        <f>表2_3671626293034567[[#This Row],[累计净值]]/$B$22-1</f>
        <v>2.5037257824143122E-2</v>
      </c>
    </row>
    <row r="122" spans="1:7">
      <c r="A122" s="55">
        <v>43853</v>
      </c>
      <c r="B122" s="16">
        <v>1.0406</v>
      </c>
      <c r="C122" s="73">
        <f>IFERROR(B122-B121,0)</f>
        <v>8.899999999999908E-3</v>
      </c>
      <c r="D122" s="18" t="str">
        <f>IF(C122&lt;0,C122,"/")</f>
        <v>/</v>
      </c>
      <c r="E122" s="18">
        <f ca="1">IF(表2_3671626293034567[[#This Row],[累计净值]]/MAX(INDIRECT("B21:B" &amp; ROW()))-1&lt;E121,表2_3671626293034567[[#This Row],[累计净值]]/MAX(INDIRECT("B21:B" &amp; ROW()))-1,E121)</f>
        <v>-2.5203567274137306E-2</v>
      </c>
      <c r="F122" s="62">
        <f>表2_3671626293034567[[#This Row],[累计净值]]</f>
        <v>1.0406</v>
      </c>
      <c r="G122" s="20">
        <f>表2_3671626293034567[[#This Row],[累计净值]]/$B$22-1</f>
        <v>3.3879781420764976E-2</v>
      </c>
    </row>
    <row r="123" spans="1:7">
      <c r="A123" s="55">
        <v>43864</v>
      </c>
      <c r="B123" s="16">
        <v>1.046</v>
      </c>
      <c r="C123" s="73">
        <f t="shared" ref="C123:C128" si="26">IFERROR(B123-B122,0)</f>
        <v>5.4000000000000714E-3</v>
      </c>
      <c r="D123" s="18" t="str">
        <f t="shared" ref="D123:D128" si="27">IF(C123&lt;0,C123,"/")</f>
        <v>/</v>
      </c>
      <c r="E123" s="18">
        <f ca="1">IF(表2_3671626293034567[[#This Row],[累计净值]]/MAX(INDIRECT("B21:B" &amp; ROW()))-1&lt;E122,表2_3671626293034567[[#This Row],[累计净值]]/MAX(INDIRECT("B21:B" &amp; ROW()))-1,E122)</f>
        <v>-2.5203567274137306E-2</v>
      </c>
      <c r="F123" s="62">
        <f>表2_3671626293034567[[#This Row],[累计净值]]</f>
        <v>1.046</v>
      </c>
      <c r="G123" s="20">
        <f>表2_3671626293034567[[#This Row],[累计净值]]/$B$22-1</f>
        <v>3.9244908097367137E-2</v>
      </c>
    </row>
    <row r="124" spans="1:7">
      <c r="A124" s="55">
        <v>43865</v>
      </c>
      <c r="B124" s="16">
        <v>1.0387999999999999</v>
      </c>
      <c r="C124" s="73">
        <f t="shared" si="26"/>
        <v>-7.2000000000000952E-3</v>
      </c>
      <c r="D124" s="18">
        <f t="shared" si="27"/>
        <v>-7.2000000000000952E-3</v>
      </c>
      <c r="E124" s="18">
        <f ca="1">IF(表2_3671626293034567[[#This Row],[累计净值]]/MAX(INDIRECT("B21:B" &amp; ROW()))-1&lt;E123,表2_3671626293034567[[#This Row],[累计净值]]/MAX(INDIRECT("B21:B" &amp; ROW()))-1,E123)</f>
        <v>-2.5203567274137306E-2</v>
      </c>
      <c r="F124" s="62">
        <f>表2_3671626293034567[[#This Row],[累计净值]]</f>
        <v>1.0387999999999999</v>
      </c>
      <c r="G124" s="20">
        <f>表2_3671626293034567[[#This Row],[累计净值]]/$B$22-1</f>
        <v>3.2091405861897737E-2</v>
      </c>
    </row>
    <row r="125" spans="1:7">
      <c r="A125" s="55">
        <v>43866</v>
      </c>
      <c r="B125" s="16">
        <v>1.0468999999999999</v>
      </c>
      <c r="C125" s="73">
        <f t="shared" si="26"/>
        <v>8.0999999999999961E-3</v>
      </c>
      <c r="D125" s="18" t="str">
        <f t="shared" si="27"/>
        <v>/</v>
      </c>
      <c r="E125" s="18">
        <f ca="1">IF(表2_3671626293034567[[#This Row],[累计净值]]/MAX(INDIRECT("B21:B" &amp; ROW()))-1&lt;E124,表2_3671626293034567[[#This Row],[累计净值]]/MAX(INDIRECT("B21:B" &amp; ROW()))-1,E124)</f>
        <v>-2.5203567274137306E-2</v>
      </c>
      <c r="F125" s="62">
        <f>表2_3671626293034567[[#This Row],[累计净值]]</f>
        <v>1.0468999999999999</v>
      </c>
      <c r="G125" s="20">
        <f>表2_3671626293034567[[#This Row],[累计净值]]/$B$22-1</f>
        <v>4.0139095876800868E-2</v>
      </c>
    </row>
    <row r="126" spans="1:7">
      <c r="A126" s="55">
        <v>43867</v>
      </c>
      <c r="B126" s="16">
        <v>1.0492999999999999</v>
      </c>
      <c r="C126" s="73">
        <f t="shared" si="26"/>
        <v>2.3999999999999577E-3</v>
      </c>
      <c r="D126" s="18" t="str">
        <f t="shared" si="27"/>
        <v>/</v>
      </c>
      <c r="E126" s="18">
        <f ca="1">IF(表2_3671626293034567[[#This Row],[累计净值]]/MAX(INDIRECT("B21:B" &amp; ROW()))-1&lt;E125,表2_3671626293034567[[#This Row],[累计净值]]/MAX(INDIRECT("B21:B" &amp; ROW()))-1,E125)</f>
        <v>-2.5203567274137306E-2</v>
      </c>
      <c r="F126" s="62">
        <f>表2_3671626293034567[[#This Row],[累计净值]]</f>
        <v>1.0492999999999999</v>
      </c>
      <c r="G126" s="20">
        <f>表2_3671626293034567[[#This Row],[累计净值]]/$B$22-1</f>
        <v>4.252359662195726E-2</v>
      </c>
    </row>
    <row r="127" spans="1:7">
      <c r="A127" s="55">
        <v>43868</v>
      </c>
      <c r="B127" s="16">
        <v>1.0533999999999999</v>
      </c>
      <c r="C127" s="73">
        <f t="shared" si="26"/>
        <v>4.0999999999999925E-3</v>
      </c>
      <c r="D127" s="18" t="str">
        <f t="shared" si="27"/>
        <v>/</v>
      </c>
      <c r="E127" s="18">
        <f ca="1">IF(表2_3671626293034567[[#This Row],[累计净值]]/MAX(INDIRECT("B21:B" &amp; ROW()))-1&lt;E126,表2_3671626293034567[[#This Row],[累计净值]]/MAX(INDIRECT("B21:B" &amp; ROW()))-1,E126)</f>
        <v>-2.5203567274137306E-2</v>
      </c>
      <c r="F127" s="62">
        <f>表2_3671626293034567[[#This Row],[累计净值]]</f>
        <v>1.0533999999999999</v>
      </c>
      <c r="G127" s="20">
        <f>表2_3671626293034567[[#This Row],[累计净值]]/$B$22-1</f>
        <v>4.6597118728266107E-2</v>
      </c>
    </row>
    <row r="128" spans="1:7">
      <c r="A128" s="55">
        <v>43871</v>
      </c>
      <c r="B128" s="76">
        <v>1.0617000000000001</v>
      </c>
      <c r="C128" s="73">
        <f t="shared" si="26"/>
        <v>8.3000000000001961E-3</v>
      </c>
      <c r="D128" s="18" t="str">
        <f t="shared" si="27"/>
        <v>/</v>
      </c>
      <c r="E128" s="18">
        <f ca="1">IF(表2_3671626293034567[[#This Row],[累计净值]]/MAX(INDIRECT("B21:B" &amp; ROW()))-1&lt;E127,表2_3671626293034567[[#This Row],[累计净值]]/MAX(INDIRECT("B21:B" &amp; ROW()))-1,E127)</f>
        <v>-2.5203567274137306E-2</v>
      </c>
      <c r="F128" s="62">
        <f>表2_3671626293034567[[#This Row],[累计净值]]</f>
        <v>1.0617000000000001</v>
      </c>
      <c r="G128" s="20">
        <f>表2_3671626293034567[[#This Row],[累计净值]]/$B$22-1</f>
        <v>5.4843517138599251E-2</v>
      </c>
    </row>
    <row r="129" spans="1:8">
      <c r="A129" s="55">
        <v>43872</v>
      </c>
      <c r="B129" s="16">
        <v>1.0598000000000001</v>
      </c>
      <c r="C129" s="73">
        <f t="shared" ref="C129:C134" si="28">IFERROR(B129-B128,0)</f>
        <v>-1.9000000000000128E-3</v>
      </c>
      <c r="D129" s="18">
        <f t="shared" ref="D129:D134" si="29">IF(C129&lt;0,C129,"/")</f>
        <v>-1.9000000000000128E-3</v>
      </c>
      <c r="E129" s="18">
        <f ca="1">IF(表2_3671626293034567[[#This Row],[累计净值]]/MAX(INDIRECT("B21:B" &amp; ROW()))-1&lt;E128,表2_3671626293034567[[#This Row],[累计净值]]/MAX(INDIRECT("B21:B" &amp; ROW()))-1,E128)</f>
        <v>-2.5203567274137306E-2</v>
      </c>
      <c r="F129" s="62">
        <f>表2_3671626293034567[[#This Row],[累计净值]]</f>
        <v>1.0598000000000001</v>
      </c>
      <c r="G129" s="20">
        <f>表2_3671626293034567[[#This Row],[累计净值]]/$B$22-1</f>
        <v>5.2955787382017006E-2</v>
      </c>
    </row>
    <row r="130" spans="1:8">
      <c r="A130" s="55">
        <v>43873</v>
      </c>
      <c r="B130" s="76">
        <v>1.0630999999999999</v>
      </c>
      <c r="C130" s="73">
        <f t="shared" si="28"/>
        <v>3.2999999999998586E-3</v>
      </c>
      <c r="D130" s="18" t="str">
        <f t="shared" si="29"/>
        <v>/</v>
      </c>
      <c r="E130" s="18">
        <f ca="1">IF(表2_3671626293034567[[#This Row],[累计净值]]/MAX(INDIRECT("B21:B" &amp; ROW()))-1&lt;E129,表2_3671626293034567[[#This Row],[累计净值]]/MAX(INDIRECT("B21:B" &amp; ROW()))-1,E129)</f>
        <v>-2.5203567274137306E-2</v>
      </c>
      <c r="F130" s="62">
        <f>表2_3671626293034567[[#This Row],[累计净值]]</f>
        <v>1.0630999999999999</v>
      </c>
      <c r="G130" s="20">
        <f>表2_3671626293034567[[#This Row],[累计净值]]/$B$22-1</f>
        <v>5.6234475906607129E-2</v>
      </c>
    </row>
    <row r="131" spans="1:8">
      <c r="A131" s="55">
        <v>43874</v>
      </c>
      <c r="B131" s="16">
        <v>1.0593999999999999</v>
      </c>
      <c r="C131" s="73">
        <f t="shared" si="28"/>
        <v>-3.7000000000000366E-3</v>
      </c>
      <c r="D131" s="18">
        <f t="shared" si="29"/>
        <v>-3.7000000000000366E-3</v>
      </c>
      <c r="E131" s="18">
        <f ca="1">IF(表2_3671626293034567[[#This Row],[累计净值]]/MAX(INDIRECT("B21:B" &amp; ROW()))-1&lt;E130,表2_3671626293034567[[#This Row],[累计净值]]/MAX(INDIRECT("B21:B" &amp; ROW()))-1,E130)</f>
        <v>-2.5203567274137306E-2</v>
      </c>
      <c r="F131" s="62">
        <f>表2_3671626293034567[[#This Row],[累计净值]]</f>
        <v>1.0593999999999999</v>
      </c>
      <c r="G131" s="20">
        <f>表2_3671626293034567[[#This Row],[累计净值]]/$B$22-1</f>
        <v>5.2558370591157422E-2</v>
      </c>
    </row>
    <row r="132" spans="1:8">
      <c r="A132" s="55">
        <v>43875</v>
      </c>
      <c r="B132" s="16">
        <v>1.0653999999999999</v>
      </c>
      <c r="C132" s="73">
        <f t="shared" si="28"/>
        <v>6.0000000000000053E-3</v>
      </c>
      <c r="D132" s="18" t="str">
        <f t="shared" si="29"/>
        <v>/</v>
      </c>
      <c r="E132" s="18">
        <f ca="1">IF(表2_3671626293034567[[#This Row],[累计净值]]/MAX(INDIRECT("B21:B" &amp; ROW()))-1&lt;E131,表2_3671626293034567[[#This Row],[累计净值]]/MAX(INDIRECT("B21:B" &amp; ROW()))-1,E131)</f>
        <v>-2.5203567274137306E-2</v>
      </c>
      <c r="F132" s="62">
        <f>表2_3671626293034567[[#This Row],[累计净值]]</f>
        <v>1.0653999999999999</v>
      </c>
      <c r="G132" s="20">
        <f>表2_3671626293034567[[#This Row],[累计净值]]/$B$22-1</f>
        <v>5.8519622454048736E-2</v>
      </c>
    </row>
    <row r="133" spans="1:8">
      <c r="A133" s="55">
        <v>43878</v>
      </c>
      <c r="B133" s="16">
        <v>1.0619000000000001</v>
      </c>
      <c r="C133" s="73">
        <f t="shared" si="28"/>
        <v>-3.4999999999998366E-3</v>
      </c>
      <c r="D133" s="18">
        <f t="shared" si="29"/>
        <v>-3.4999999999998366E-3</v>
      </c>
      <c r="E133" s="18">
        <f ca="1">IF(表2_3671626293034567[[#This Row],[累计净值]]/MAX(INDIRECT("B21:B" &amp; ROW()))-1&lt;E132,表2_3671626293034567[[#This Row],[累计净值]]/MAX(INDIRECT("B21:B" &amp; ROW()))-1,E132)</f>
        <v>-2.5203567274137306E-2</v>
      </c>
      <c r="F133" s="62">
        <f>表2_3671626293034567[[#This Row],[累计净值]]</f>
        <v>1.0619000000000001</v>
      </c>
      <c r="G133" s="20">
        <f>表2_3671626293034567[[#This Row],[累计净值]]/$B$22-1</f>
        <v>5.5042225534028821E-2</v>
      </c>
    </row>
    <row r="134" spans="1:8">
      <c r="A134" s="55">
        <v>43879</v>
      </c>
      <c r="B134" s="16">
        <v>1.0686</v>
      </c>
      <c r="C134" s="73">
        <f t="shared" si="28"/>
        <v>6.6999999999999282E-3</v>
      </c>
      <c r="D134" s="18" t="str">
        <f t="shared" si="29"/>
        <v>/</v>
      </c>
      <c r="E134" s="18">
        <f ca="1">IF(表2_3671626293034567[[#This Row],[累计净值]]/MAX(INDIRECT("B21:B" &amp; ROW()))-1&lt;E133,表2_3671626293034567[[#This Row],[累计净值]]/MAX(INDIRECT("B21:B" &amp; ROW()))-1,E133)</f>
        <v>-2.5203567274137306E-2</v>
      </c>
      <c r="F134" s="62">
        <f>表2_3671626293034567[[#This Row],[累计净值]]</f>
        <v>1.0686</v>
      </c>
      <c r="G134" s="20">
        <f>表2_3671626293034567[[#This Row],[累计净值]]/$B$22-1</f>
        <v>6.1698956780924075E-2</v>
      </c>
    </row>
    <row r="135" spans="1:8">
      <c r="A135" s="55">
        <v>43880</v>
      </c>
      <c r="B135" s="16">
        <v>1.0672999999999999</v>
      </c>
      <c r="C135" s="73">
        <f t="shared" ref="C135:C140" si="30">IFERROR(B135-B134,0)</f>
        <v>-1.3000000000000789E-3</v>
      </c>
      <c r="D135" s="18">
        <f t="shared" ref="D135:D140" si="31">IF(C135&lt;0,C135,"/")</f>
        <v>-1.3000000000000789E-3</v>
      </c>
      <c r="E135" s="18">
        <f ca="1">IF(表2_3671626293034567[[#This Row],[累计净值]]/MAX(INDIRECT("B21:B" &amp; ROW()))-1&lt;E134,表2_3671626293034567[[#This Row],[累计净值]]/MAX(INDIRECT("B21:B" &amp; ROW()))-1,E134)</f>
        <v>-2.5203567274137306E-2</v>
      </c>
      <c r="F135" s="62">
        <f>表2_3671626293034567[[#This Row],[累计净值]]</f>
        <v>1.0672999999999999</v>
      </c>
      <c r="G135" s="20">
        <f>表2_3671626293034567[[#This Row],[累计净值]]/$B$22-1</f>
        <v>6.040735221063076E-2</v>
      </c>
    </row>
    <row r="136" spans="1:8">
      <c r="A136" s="55">
        <v>43881</v>
      </c>
      <c r="B136" s="16">
        <v>1.0722</v>
      </c>
      <c r="C136" s="73">
        <f t="shared" si="30"/>
        <v>4.9000000000001265E-3</v>
      </c>
      <c r="D136" s="18" t="str">
        <f t="shared" si="31"/>
        <v>/</v>
      </c>
      <c r="E136" s="18">
        <f ca="1">IF(表2_3671626293034567[[#This Row],[累计净值]]/MAX(INDIRECT("B21:B" &amp; ROW()))-1&lt;E135,表2_3671626293034567[[#This Row],[累计净值]]/MAX(INDIRECT("B21:B" &amp; ROW()))-1,E135)</f>
        <v>-2.5203567274137306E-2</v>
      </c>
      <c r="F136" s="62">
        <f>表2_3671626293034567[[#This Row],[累计净值]]</f>
        <v>1.0722</v>
      </c>
      <c r="G136" s="20">
        <f>表2_3671626293034567[[#This Row],[累计净值]]/$B$22-1</f>
        <v>6.5275707898658775E-2</v>
      </c>
    </row>
    <row r="137" spans="1:8">
      <c r="A137" s="55">
        <v>43882</v>
      </c>
      <c r="B137" s="16">
        <v>1.0738000000000001</v>
      </c>
      <c r="C137" s="73">
        <f t="shared" si="30"/>
        <v>1.6000000000000458E-3</v>
      </c>
      <c r="D137" s="18" t="str">
        <f t="shared" si="31"/>
        <v>/</v>
      </c>
      <c r="E137" s="18">
        <f ca="1">IF(表2_3671626293034567[[#This Row],[累计净值]]/MAX(INDIRECT("B21:B" &amp; ROW()))-1&lt;E136,表2_3671626293034567[[#This Row],[累计净值]]/MAX(INDIRECT("B21:B" &amp; ROW()))-1,E136)</f>
        <v>-2.5203567274137306E-2</v>
      </c>
      <c r="F137" s="62">
        <f>表2_3671626293034567[[#This Row],[累计净值]]</f>
        <v>1.0738000000000001</v>
      </c>
      <c r="G137" s="20">
        <f>表2_3671626293034567[[#This Row],[累计净值]]/$B$22-1</f>
        <v>6.6865375062096444E-2</v>
      </c>
    </row>
    <row r="138" spans="1:8">
      <c r="A138" s="55">
        <v>43885</v>
      </c>
      <c r="B138" s="16">
        <v>1.0751999999999999</v>
      </c>
      <c r="C138" s="73">
        <f t="shared" si="30"/>
        <v>1.3999999999998458E-3</v>
      </c>
      <c r="D138" s="18" t="str">
        <f t="shared" si="31"/>
        <v>/</v>
      </c>
      <c r="E138" s="18">
        <f ca="1">IF(表2_3671626293034567[[#This Row],[累计净值]]/MAX(INDIRECT("B21:B" &amp; ROW()))-1&lt;E137,表2_3671626293034567[[#This Row],[累计净值]]/MAX(INDIRECT("B21:B" &amp; ROW()))-1,E137)</f>
        <v>-2.5203567274137306E-2</v>
      </c>
      <c r="F138" s="62">
        <f>表2_3671626293034567[[#This Row],[累计净值]]</f>
        <v>1.0751999999999999</v>
      </c>
      <c r="G138" s="20">
        <f>表2_3671626293034567[[#This Row],[累计净值]]/$B$22-1</f>
        <v>6.8256333830104321E-2</v>
      </c>
    </row>
    <row r="139" spans="1:8">
      <c r="A139" s="55">
        <v>43886</v>
      </c>
      <c r="B139" s="16">
        <v>1.0765</v>
      </c>
      <c r="C139" s="73">
        <f t="shared" si="30"/>
        <v>1.3000000000000789E-3</v>
      </c>
      <c r="D139" s="18" t="str">
        <f t="shared" si="31"/>
        <v>/</v>
      </c>
      <c r="E139" s="18">
        <f ca="1">IF(表2_3671626293034567[[#This Row],[累计净值]]/MAX(INDIRECT("B21:B" &amp; ROW()))-1&lt;E138,表2_3671626293034567[[#This Row],[累计净值]]/MAX(INDIRECT("B21:B" &amp; ROW()))-1,E138)</f>
        <v>-2.5203567274137306E-2</v>
      </c>
      <c r="F139" s="62">
        <f>表2_3671626293034567[[#This Row],[累计净值]]</f>
        <v>1.0765</v>
      </c>
      <c r="G139" s="20">
        <f>表2_3671626293034567[[#This Row],[累计净值]]/$B$22-1</f>
        <v>6.9547938400397413E-2</v>
      </c>
    </row>
    <row r="140" spans="1:8">
      <c r="A140" s="55">
        <v>43887</v>
      </c>
      <c r="B140" s="16">
        <v>1.0757000000000001</v>
      </c>
      <c r="C140" s="73">
        <f t="shared" si="30"/>
        <v>-7.9999999999991189E-4</v>
      </c>
      <c r="D140" s="18">
        <f t="shared" si="31"/>
        <v>-7.9999999999991189E-4</v>
      </c>
      <c r="E140" s="18">
        <f ca="1">IF(表2_3671626293034567[[#This Row],[累计净值]]/MAX(INDIRECT("B21:B" &amp; ROW()))-1&lt;E139,表2_3671626293034567[[#This Row],[累计净值]]/MAX(INDIRECT("B21:B" &amp; ROW()))-1,E139)</f>
        <v>-2.5203567274137306E-2</v>
      </c>
      <c r="F140" s="62">
        <f>表2_3671626293034567[[#This Row],[累计净值]]</f>
        <v>1.0757000000000001</v>
      </c>
      <c r="G140" s="20">
        <f>表2_3671626293034567[[#This Row],[累计净值]]/$B$22-1</f>
        <v>6.875310481867869E-2</v>
      </c>
    </row>
    <row r="141" spans="1:8">
      <c r="A141" s="55">
        <v>43888</v>
      </c>
      <c r="B141" s="16">
        <v>1.083</v>
      </c>
      <c r="C141" s="73">
        <f t="shared" ref="C141:C146" si="32">IFERROR(B141-B140,0)</f>
        <v>7.2999999999998622E-3</v>
      </c>
      <c r="D141" s="18" t="str">
        <f t="shared" ref="D141:D146" si="33">IF(C141&lt;0,C141,"/")</f>
        <v>/</v>
      </c>
      <c r="E141" s="18">
        <f ca="1">IF(表2_3671626293034567[[#This Row],[累计净值]]/MAX(INDIRECT("B21:B" &amp; ROW()))-1&lt;E140,表2_3671626293034567[[#This Row],[累计净值]]/MAX(INDIRECT("B21:B" &amp; ROW()))-1,E140)</f>
        <v>-2.5203567274137306E-2</v>
      </c>
      <c r="F141" s="62">
        <f>表2_3671626293034567[[#This Row],[累计净值]]</f>
        <v>1.083</v>
      </c>
      <c r="G141" s="20">
        <f>表2_3671626293034567[[#This Row],[累计净值]]/$B$22-1</f>
        <v>7.6005961251862875E-2</v>
      </c>
    </row>
    <row r="142" spans="1:8">
      <c r="A142" s="55">
        <v>43889</v>
      </c>
      <c r="B142" s="16">
        <v>1.0869</v>
      </c>
      <c r="C142" s="73">
        <f t="shared" si="32"/>
        <v>3.9000000000000146E-3</v>
      </c>
      <c r="D142" s="18" t="str">
        <f t="shared" si="33"/>
        <v>/</v>
      </c>
      <c r="E142" s="18">
        <f ca="1">IF(表2_3671626293034567[[#This Row],[累计净值]]/MAX(INDIRECT("B21:B" &amp; ROW()))-1&lt;E141,表2_3671626293034567[[#This Row],[累计净值]]/MAX(INDIRECT("B21:B" &amp; ROW()))-1,E141)</f>
        <v>-2.5203567274137306E-2</v>
      </c>
      <c r="F142" s="62">
        <f>表2_3671626293034567[[#This Row],[累计净值]]</f>
        <v>1.0869</v>
      </c>
      <c r="G142" s="20">
        <f>表2_3671626293034567[[#This Row],[累计净值]]/$B$22-1</f>
        <v>7.9880774962742152E-2</v>
      </c>
    </row>
    <row r="143" spans="1:8">
      <c r="A143" s="55">
        <v>43892</v>
      </c>
      <c r="B143" s="16">
        <v>1.0907</v>
      </c>
      <c r="C143" s="73">
        <f t="shared" si="32"/>
        <v>3.8000000000000256E-3</v>
      </c>
      <c r="D143" s="18" t="str">
        <f t="shared" si="33"/>
        <v>/</v>
      </c>
      <c r="E143" s="18">
        <f ca="1">IF(表2_3671626293034567[[#This Row],[累计净值]]/MAX(INDIRECT("B21:B" &amp; ROW()))-1&lt;E142,表2_3671626293034567[[#This Row],[累计净值]]/MAX(INDIRECT("B21:B" &amp; ROW()))-1,E142)</f>
        <v>-2.5203567274137306E-2</v>
      </c>
      <c r="F143" s="62">
        <f>表2_3671626293034567[[#This Row],[累计净值]]</f>
        <v>1.0907</v>
      </c>
      <c r="G143" s="20">
        <f>表2_3671626293034567[[#This Row],[累计净值]]/$B$22-1</f>
        <v>8.3656234475906643E-2</v>
      </c>
    </row>
    <row r="144" spans="1:8">
      <c r="A144" s="55">
        <v>43893</v>
      </c>
      <c r="B144" s="16">
        <v>1.0993999999999999</v>
      </c>
      <c r="C144" s="73">
        <f t="shared" si="32"/>
        <v>8.69999999999993E-3</v>
      </c>
      <c r="D144" s="18" t="str">
        <f t="shared" si="33"/>
        <v>/</v>
      </c>
      <c r="E144" s="18">
        <f ca="1">IF(表2_3671626293034567[[#This Row],[累计净值]]/MAX(INDIRECT("B21:B" &amp; ROW()))-1&lt;E143,表2_3671626293034567[[#This Row],[累计净值]]/MAX(INDIRECT("B21:B" &amp; ROW()))-1,E143)</f>
        <v>-2.5203567274137306E-2</v>
      </c>
      <c r="F144" s="62">
        <v>1.0387</v>
      </c>
      <c r="G144" s="20">
        <f>表2_3671626293034567[[#This Row],[累计净值]]/$B$22-1</f>
        <v>9.2300049677098928E-2</v>
      </c>
      <c r="H144" s="60">
        <f>表2_3671626293034567[[#This Row],[累计净值]]-表2_3671626293034567[[#This Row],[单位净值]]</f>
        <v>6.0699999999999976E-2</v>
      </c>
    </row>
    <row r="145" spans="1:7">
      <c r="A145" s="55">
        <v>43894</v>
      </c>
      <c r="B145" s="76">
        <v>1.1068</v>
      </c>
      <c r="C145" s="73">
        <f t="shared" si="32"/>
        <v>7.4000000000000732E-3</v>
      </c>
      <c r="D145" s="18" t="str">
        <f t="shared" si="33"/>
        <v>/</v>
      </c>
      <c r="E145" s="18">
        <f ca="1">IF(表2_3671626293034567[[#This Row],[累计净值]]/MAX(INDIRECT("B21:B" &amp; ROW()))-1&lt;E144,表2_3671626293034567[[#This Row],[累计净值]]/MAX(INDIRECT("B21:B" &amp; ROW()))-1,E144)</f>
        <v>-2.5203567274137306E-2</v>
      </c>
      <c r="F145" s="62">
        <f>表2_3671626293034567[[#This Row],[累计净值]]-0.0607</f>
        <v>1.0461</v>
      </c>
      <c r="G145" s="20">
        <f>表2_3671626293034567[[#This Row],[累计净值]]/$B$22-1</f>
        <v>9.965226030799812E-2</v>
      </c>
    </row>
    <row r="146" spans="1:7">
      <c r="A146" s="55">
        <v>43895</v>
      </c>
      <c r="B146" s="16">
        <v>1.1057999999999999</v>
      </c>
      <c r="C146" s="73">
        <f t="shared" si="32"/>
        <v>-1.0000000000001119E-3</v>
      </c>
      <c r="D146" s="18">
        <f t="shared" si="33"/>
        <v>-1.0000000000001119E-3</v>
      </c>
      <c r="E146" s="18">
        <f ca="1">IF(表2_3671626293034567[[#This Row],[累计净值]]/MAX(INDIRECT("B21:B" &amp; ROW()))-1&lt;E145,表2_3671626293034567[[#This Row],[累计净值]]/MAX(INDIRECT("B21:B" &amp; ROW()))-1,E145)</f>
        <v>-2.5203567274137306E-2</v>
      </c>
      <c r="F146" s="62">
        <f>表2_3671626293034567[[#This Row],[累计净值]]-0.0607</f>
        <v>1.0450999999999999</v>
      </c>
      <c r="G146" s="20">
        <f>表2_3671626293034567[[#This Row],[累计净值]]/$B$22-1</f>
        <v>9.8658718330849382E-2</v>
      </c>
    </row>
    <row r="147" spans="1:7">
      <c r="A147" s="55">
        <v>43896</v>
      </c>
      <c r="B147" s="16">
        <v>1.1071</v>
      </c>
      <c r="C147" s="73">
        <f t="shared" ref="C147:C152" si="34">IFERROR(B147-B146,0)</f>
        <v>1.3000000000000789E-3</v>
      </c>
      <c r="D147" s="18" t="str">
        <f t="shared" ref="D147:D152" si="35">IF(C147&lt;0,C147,"/")</f>
        <v>/</v>
      </c>
      <c r="E147" s="18">
        <f ca="1">IF(表2_3671626293034567[[#This Row],[累计净值]]/MAX(INDIRECT("B21:B" &amp; ROW()))-1&lt;E146,表2_3671626293034567[[#This Row],[累计净值]]/MAX(INDIRECT("B21:B" &amp; ROW()))-1,E146)</f>
        <v>-2.5203567274137306E-2</v>
      </c>
      <c r="F147" s="62">
        <f>表2_3671626293034567[[#This Row],[累计净值]]-0.0607</f>
        <v>1.0464</v>
      </c>
      <c r="G147" s="20">
        <f>表2_3671626293034567[[#This Row],[累计净值]]/$B$22-1</f>
        <v>9.9950322901142696E-2</v>
      </c>
    </row>
    <row r="148" spans="1:7">
      <c r="A148" s="55">
        <v>43899</v>
      </c>
      <c r="B148" s="16">
        <v>1.109</v>
      </c>
      <c r="C148" s="73">
        <f t="shared" si="34"/>
        <v>1.9000000000000128E-3</v>
      </c>
      <c r="D148" s="18" t="str">
        <f t="shared" si="35"/>
        <v>/</v>
      </c>
      <c r="E148" s="18">
        <f ca="1">IF(表2_3671626293034567[[#This Row],[累计净值]]/MAX(INDIRECT("B21:B" &amp; ROW()))-1&lt;E147,表2_3671626293034567[[#This Row],[累计净值]]/MAX(INDIRECT("B21:B" &amp; ROW()))-1,E147)</f>
        <v>-2.5203567274137306E-2</v>
      </c>
      <c r="F148" s="62">
        <f>表2_3671626293034567[[#This Row],[累计净值]]-0.0607</f>
        <v>1.0483</v>
      </c>
      <c r="G148" s="20">
        <f>表2_3671626293034567[[#This Row],[累计净值]]/$B$22-1</f>
        <v>0.10183805265772472</v>
      </c>
    </row>
    <row r="149" spans="1:7">
      <c r="A149" s="55">
        <v>43900</v>
      </c>
      <c r="B149" s="16">
        <v>1.1073999999999999</v>
      </c>
      <c r="C149" s="73">
        <f t="shared" si="34"/>
        <v>-1.6000000000000458E-3</v>
      </c>
      <c r="D149" s="18">
        <f t="shared" si="35"/>
        <v>-1.6000000000000458E-3</v>
      </c>
      <c r="E149" s="18">
        <f ca="1">IF(表2_3671626293034567[[#This Row],[累计净值]]/MAX(INDIRECT("B21:B" &amp; ROW()))-1&lt;E148,表2_3671626293034567[[#This Row],[累计净值]]/MAX(INDIRECT("B21:B" &amp; ROW()))-1,E148)</f>
        <v>-2.5203567274137306E-2</v>
      </c>
      <c r="F149" s="62">
        <f>表2_3671626293034567[[#This Row],[累计净值]]-0.0607</f>
        <v>1.0467</v>
      </c>
      <c r="G149" s="20">
        <f>表2_3671626293034567[[#This Row],[累计净值]]/$B$22-1</f>
        <v>0.10024838549428705</v>
      </c>
    </row>
    <row r="150" spans="1:7">
      <c r="A150" s="55">
        <v>43901</v>
      </c>
      <c r="B150" s="16">
        <v>1.1100000000000001</v>
      </c>
      <c r="C150" s="73">
        <f t="shared" si="34"/>
        <v>2.6000000000001577E-3</v>
      </c>
      <c r="D150" s="18" t="str">
        <f t="shared" si="35"/>
        <v>/</v>
      </c>
      <c r="E150" s="18">
        <f ca="1">IF(表2_3671626293034567[[#This Row],[累计净值]]/MAX(INDIRECT("B21:B" &amp; ROW()))-1&lt;E149,表2_3671626293034567[[#This Row],[累计净值]]/MAX(INDIRECT("B21:B" &amp; ROW()))-1,E149)</f>
        <v>-2.5203567274137306E-2</v>
      </c>
      <c r="F150" s="62">
        <f>表2_3671626293034567[[#This Row],[累计净值]]-0.0607</f>
        <v>1.0493000000000001</v>
      </c>
      <c r="G150" s="20">
        <f>表2_3671626293034567[[#This Row],[累计净值]]/$B$22-1</f>
        <v>0.10283159463487346</v>
      </c>
    </row>
    <row r="151" spans="1:7">
      <c r="A151" s="55">
        <v>43902</v>
      </c>
      <c r="B151" s="76">
        <v>1.1104000000000001</v>
      </c>
      <c r="C151" s="73">
        <f t="shared" si="34"/>
        <v>3.9999999999995595E-4</v>
      </c>
      <c r="D151" s="18" t="str">
        <f t="shared" si="35"/>
        <v>/</v>
      </c>
      <c r="E151" s="18">
        <f ca="1">IF(表2_3671626293034567[[#This Row],[累计净值]]/MAX(INDIRECT("B21:B" &amp; ROW()))-1&lt;E150,表2_3671626293034567[[#This Row],[累计净值]]/MAX(INDIRECT("B21:B" &amp; ROW()))-1,E150)</f>
        <v>-2.5203567274137306E-2</v>
      </c>
      <c r="F151" s="62">
        <f>表2_3671626293034567[[#This Row],[累计净值]]-0.0607</f>
        <v>1.0497000000000001</v>
      </c>
      <c r="G151" s="20">
        <f>表2_3671626293034567[[#This Row],[累计净值]]/$B$22-1</f>
        <v>0.10322901142573282</v>
      </c>
    </row>
    <row r="152" spans="1:7">
      <c r="A152" s="55">
        <v>43903</v>
      </c>
      <c r="B152" s="16">
        <v>1.1061000000000001</v>
      </c>
      <c r="C152" s="73">
        <f t="shared" si="34"/>
        <v>-4.2999999999999705E-3</v>
      </c>
      <c r="D152" s="18">
        <f t="shared" si="35"/>
        <v>-4.2999999999999705E-3</v>
      </c>
      <c r="E152" s="18">
        <f ca="1">IF(表2_3671626293034567[[#This Row],[累计净值]]/MAX(INDIRECT("B21:B" &amp; ROW()))-1&lt;E151,表2_3671626293034567[[#This Row],[累计净值]]/MAX(INDIRECT("B21:B" &amp; ROW()))-1,E151)</f>
        <v>-2.5203567274137306E-2</v>
      </c>
      <c r="F152" s="62">
        <f>表2_3671626293034567[[#This Row],[累计净值]]-0.0607</f>
        <v>1.0454000000000001</v>
      </c>
      <c r="G152" s="20">
        <f>表2_3671626293034567[[#This Row],[累计净值]]/$B$22-1</f>
        <v>9.8956780923994181E-2</v>
      </c>
    </row>
    <row r="153" spans="1:7">
      <c r="A153" s="55">
        <v>43906</v>
      </c>
      <c r="B153" s="16">
        <v>1.1012</v>
      </c>
      <c r="C153" s="73">
        <f t="shared" ref="C153:C158" si="36">IFERROR(B153-B152,0)</f>
        <v>-4.9000000000001265E-3</v>
      </c>
      <c r="D153" s="18">
        <f t="shared" ref="D153:D158" si="37">IF(C153&lt;0,C153,"/")</f>
        <v>-4.9000000000001265E-3</v>
      </c>
      <c r="E153" s="18">
        <f ca="1">IF(表2_3671626293034567[[#This Row],[累计净值]]/MAX(INDIRECT("B21:B" &amp; ROW()))-1&lt;E152,表2_3671626293034567[[#This Row],[累计净值]]/MAX(INDIRECT("B21:B" &amp; ROW()))-1,E152)</f>
        <v>-2.5203567274137306E-2</v>
      </c>
      <c r="F153" s="62">
        <f>表2_3671626293034567[[#This Row],[累计净值]]-0.0607</f>
        <v>1.0405</v>
      </c>
      <c r="G153" s="20">
        <f>表2_3671626293034567[[#This Row],[累计净值]]/$B$22-1</f>
        <v>9.4088425235966167E-2</v>
      </c>
    </row>
    <row r="154" spans="1:7">
      <c r="A154" s="55">
        <v>43907</v>
      </c>
      <c r="B154" s="16">
        <v>1.1113999999999999</v>
      </c>
      <c r="C154" s="73">
        <f t="shared" si="36"/>
        <v>1.0199999999999987E-2</v>
      </c>
      <c r="D154" s="18" t="str">
        <f t="shared" si="37"/>
        <v>/</v>
      </c>
      <c r="E154" s="18">
        <f ca="1">IF(表2_3671626293034567[[#This Row],[累计净值]]/MAX(INDIRECT("B21:B" &amp; ROW()))-1&lt;E153,表2_3671626293034567[[#This Row],[累计净值]]/MAX(INDIRECT("B21:B" &amp; ROW()))-1,E153)</f>
        <v>-2.5203567274137306E-2</v>
      </c>
      <c r="F154" s="62">
        <f>表2_3671626293034567[[#This Row],[累计净值]]-0.0607</f>
        <v>1.0507</v>
      </c>
      <c r="G154" s="20">
        <f>表2_3671626293034567[[#This Row],[累计净值]]/$B$22-1</f>
        <v>0.10422255340288133</v>
      </c>
    </row>
    <row r="155" spans="1:7">
      <c r="A155" s="55">
        <v>43908</v>
      </c>
      <c r="B155" s="16">
        <v>1.1123000000000001</v>
      </c>
      <c r="C155" s="73">
        <f t="shared" si="36"/>
        <v>9.0000000000012292E-4</v>
      </c>
      <c r="D155" s="18" t="str">
        <f t="shared" si="37"/>
        <v>/</v>
      </c>
      <c r="E155" s="18">
        <f ca="1">IF(表2_3671626293034567[[#This Row],[累计净值]]/MAX(INDIRECT("B21:B" &amp; ROW()))-1&lt;E154,表2_3671626293034567[[#This Row],[累计净值]]/MAX(INDIRECT("B21:B" &amp; ROW()))-1,E154)</f>
        <v>-2.5203567274137306E-2</v>
      </c>
      <c r="F155" s="62">
        <f>表2_3671626293034567[[#This Row],[累计净值]]-0.0607</f>
        <v>1.0516000000000001</v>
      </c>
      <c r="G155" s="20">
        <f>表2_3671626293034567[[#This Row],[累计净值]]/$B$22-1</f>
        <v>0.10511674118231507</v>
      </c>
    </row>
    <row r="156" spans="1:7">
      <c r="A156" s="55">
        <v>43909</v>
      </c>
      <c r="B156" s="16">
        <v>1.1153999999999999</v>
      </c>
      <c r="C156" s="73">
        <f t="shared" si="36"/>
        <v>3.0999999999998806E-3</v>
      </c>
      <c r="D156" s="18" t="str">
        <f t="shared" si="37"/>
        <v>/</v>
      </c>
      <c r="E156" s="18">
        <f ca="1">IF(表2_3671626293034567[[#This Row],[累计净值]]/MAX(INDIRECT("B21:B" &amp; ROW()))-1&lt;E155,表2_3671626293034567[[#This Row],[累计净值]]/MAX(INDIRECT("B21:B" &amp; ROW()))-1,E155)</f>
        <v>-2.5203567274137306E-2</v>
      </c>
      <c r="F156" s="62">
        <f>表2_3671626293034567[[#This Row],[累计净值]]-0.0607</f>
        <v>1.0547</v>
      </c>
      <c r="G156" s="20">
        <f>表2_3671626293034567[[#This Row],[累计净值]]/$B$22-1</f>
        <v>0.1081967213114754</v>
      </c>
    </row>
    <row r="157" spans="1:7">
      <c r="A157" s="55">
        <v>43910</v>
      </c>
      <c r="B157" s="16">
        <v>1.1162000000000001</v>
      </c>
      <c r="C157" s="73">
        <f t="shared" si="36"/>
        <v>8.0000000000013394E-4</v>
      </c>
      <c r="D157" s="18" t="str">
        <f t="shared" si="37"/>
        <v>/</v>
      </c>
      <c r="E157" s="18">
        <f ca="1">IF(表2_3671626293034567[[#This Row],[累计净值]]/MAX(INDIRECT("B21:B" &amp; ROW()))-1&lt;E156,表2_3671626293034567[[#This Row],[累计净值]]/MAX(INDIRECT("B21:B" &amp; ROW()))-1,E156)</f>
        <v>-2.5203567274137306E-2</v>
      </c>
      <c r="F157" s="62">
        <f>表2_3671626293034567[[#This Row],[累计净值]]-0.0607</f>
        <v>1.0555000000000001</v>
      </c>
      <c r="G157" s="20">
        <f>表2_3671626293034567[[#This Row],[累计净值]]/$B$22-1</f>
        <v>0.10899155489319434</v>
      </c>
    </row>
    <row r="158" spans="1:7">
      <c r="A158" s="55">
        <v>43913</v>
      </c>
      <c r="B158" s="16">
        <v>1.1087</v>
      </c>
      <c r="C158" s="73">
        <f t="shared" si="36"/>
        <v>-7.5000000000000622E-3</v>
      </c>
      <c r="D158" s="18">
        <f t="shared" si="37"/>
        <v>-7.5000000000000622E-3</v>
      </c>
      <c r="E158" s="18">
        <f ca="1">IF(表2_3671626293034567[[#This Row],[累计净值]]/MAX(INDIRECT("B21:B" &amp; ROW()))-1&lt;E157,表2_3671626293034567[[#This Row],[累计净值]]/MAX(INDIRECT("B21:B" &amp; ROW()))-1,E157)</f>
        <v>-2.5203567274137306E-2</v>
      </c>
      <c r="F158" s="62">
        <f>表2_3671626293034567[[#This Row],[累计净值]]-0.0607</f>
        <v>1.048</v>
      </c>
      <c r="G158" s="20">
        <f>表2_3671626293034567[[#This Row],[累计净值]]/$B$22-1</f>
        <v>0.10153999006458037</v>
      </c>
    </row>
    <row r="159" spans="1:7">
      <c r="A159" s="55">
        <v>43914</v>
      </c>
      <c r="B159" s="16">
        <v>1.1169</v>
      </c>
      <c r="C159" s="73">
        <f t="shared" ref="C159:C165" si="38">IFERROR(B159-B158,0)</f>
        <v>8.1999999999999851E-3</v>
      </c>
      <c r="D159" s="18" t="str">
        <f t="shared" ref="D159:D165" si="39">IF(C159&lt;0,C159,"/")</f>
        <v>/</v>
      </c>
      <c r="E159" s="18">
        <f ca="1">IF(表2_3671626293034567[[#This Row],[累计净值]]/MAX(INDIRECT("B21:B" &amp; ROW()))-1&lt;E158,表2_3671626293034567[[#This Row],[累计净值]]/MAX(INDIRECT("B21:B" &amp; ROW()))-1,E158)</f>
        <v>-2.5203567274137306E-2</v>
      </c>
      <c r="F159" s="62">
        <f>表2_3671626293034567[[#This Row],[累计净值]]-0.0607</f>
        <v>1.0562</v>
      </c>
      <c r="G159" s="20">
        <f>表2_3671626293034567[[#This Row],[累计净值]]/$B$22-1</f>
        <v>0.10968703427719828</v>
      </c>
    </row>
    <row r="160" spans="1:7">
      <c r="A160" s="55">
        <v>43915</v>
      </c>
      <c r="B160" s="16">
        <v>1.1198999999999999</v>
      </c>
      <c r="C160" s="73">
        <f t="shared" si="38"/>
        <v>2.9999999999998916E-3</v>
      </c>
      <c r="D160" s="18" t="str">
        <f t="shared" si="39"/>
        <v>/</v>
      </c>
      <c r="E160" s="18">
        <f ca="1">IF(表2_3671626293034567[[#This Row],[累计净值]]/MAX(INDIRECT("B21:B" &amp; ROW()))-1&lt;E159,表2_3671626293034567[[#This Row],[累计净值]]/MAX(INDIRECT("B21:B" &amp; ROW()))-1,E159)</f>
        <v>-2.5203567274137306E-2</v>
      </c>
      <c r="F160" s="62">
        <f>表2_3671626293034567[[#This Row],[累计净值]]-0.0607</f>
        <v>1.0591999999999999</v>
      </c>
      <c r="G160" s="20">
        <f>表2_3671626293034567[[#This Row],[累计净值]]/$B$22-1</f>
        <v>0.11266766020864383</v>
      </c>
    </row>
    <row r="161" spans="1:7">
      <c r="A161" s="55">
        <v>43916</v>
      </c>
      <c r="B161" s="16">
        <v>1.1224000000000001</v>
      </c>
      <c r="C161" s="73">
        <f t="shared" si="38"/>
        <v>2.5000000000001688E-3</v>
      </c>
      <c r="D161" s="18" t="str">
        <f t="shared" si="39"/>
        <v>/</v>
      </c>
      <c r="E161" s="18">
        <f ca="1">IF(表2_3671626293034567[[#This Row],[累计净值]]/MAX(INDIRECT("B21:B" &amp; ROW()))-1&lt;E160,表2_3671626293034567[[#This Row],[累计净值]]/MAX(INDIRECT("B21:B" &amp; ROW()))-1,E160)</f>
        <v>-2.5203567274137306E-2</v>
      </c>
      <c r="F161" s="62">
        <f>表2_3671626293034567[[#This Row],[累计净值]]-0.0607</f>
        <v>1.0617000000000001</v>
      </c>
      <c r="G161" s="20">
        <f>表2_3671626293034567[[#This Row],[累计净值]]/$B$22-1</f>
        <v>0.11515151515151523</v>
      </c>
    </row>
    <row r="162" spans="1:7">
      <c r="A162" s="55">
        <v>43917</v>
      </c>
      <c r="B162" s="16">
        <v>1.1204000000000001</v>
      </c>
      <c r="C162" s="73">
        <f t="shared" si="38"/>
        <v>-2.0000000000000018E-3</v>
      </c>
      <c r="D162" s="18">
        <f t="shared" si="39"/>
        <v>-2.0000000000000018E-3</v>
      </c>
      <c r="E162" s="18">
        <f ca="1">IF(表2_3671626293034567[[#This Row],[累计净值]]/MAX(INDIRECT("B21:B" &amp; ROW()))-1&lt;E161,表2_3671626293034567[[#This Row],[累计净值]]/MAX(INDIRECT("B21:B" &amp; ROW()))-1,E161)</f>
        <v>-2.5203567274137306E-2</v>
      </c>
      <c r="F162" s="62">
        <f>表2_3671626293034567[[#This Row],[累计净值]]-0.0607</f>
        <v>1.0597000000000001</v>
      </c>
      <c r="G162" s="20">
        <f>表2_3671626293034567[[#This Row],[累计净值]]/$B$22-1</f>
        <v>0.1131644311972182</v>
      </c>
    </row>
    <row r="163" spans="1:7">
      <c r="A163" s="55">
        <v>43920</v>
      </c>
      <c r="B163" s="16">
        <v>1.1237999999999999</v>
      </c>
      <c r="C163" s="73">
        <f t="shared" si="38"/>
        <v>3.3999999999998476E-3</v>
      </c>
      <c r="D163" s="18" t="str">
        <f t="shared" si="39"/>
        <v>/</v>
      </c>
      <c r="E163" s="18">
        <f ca="1">IF(表2_3671626293034567[[#This Row],[累计净值]]/MAX(INDIRECT("B21:B" &amp; ROW()))-1&lt;E162,表2_3671626293034567[[#This Row],[累计净值]]/MAX(INDIRECT("B21:B" &amp; ROW()))-1,E162)</f>
        <v>-2.5203567274137306E-2</v>
      </c>
      <c r="F163" s="62">
        <f>表2_3671626293034567[[#This Row],[累计净值]]-0.0607</f>
        <v>1.0630999999999999</v>
      </c>
      <c r="G163" s="20">
        <f>表2_3671626293034567[[#This Row],[累计净值]]/$B$22-1</f>
        <v>0.1165424739195231</v>
      </c>
    </row>
    <row r="164" spans="1:7">
      <c r="A164" s="55">
        <v>43921</v>
      </c>
      <c r="B164" s="16">
        <v>1.1254</v>
      </c>
      <c r="C164" s="73">
        <f t="shared" si="38"/>
        <v>1.6000000000000458E-3</v>
      </c>
      <c r="D164" s="18" t="str">
        <f t="shared" si="39"/>
        <v>/</v>
      </c>
      <c r="E164" s="18">
        <f ca="1">IF(表2_3671626293034567[[#This Row],[累计净值]]/MAX(INDIRECT("B21:B" &amp; ROW()))-1&lt;E163,表2_3671626293034567[[#This Row],[累计净值]]/MAX(INDIRECT("B21:B" &amp; ROW()))-1,E163)</f>
        <v>-2.5203567274137306E-2</v>
      </c>
      <c r="F164" s="62">
        <f>表2_3671626293034567[[#This Row],[累计净值]]-0.0607</f>
        <v>1.0647</v>
      </c>
      <c r="G164" s="20">
        <f>表2_3671626293034567[[#This Row],[累计净值]]/$B$22-1</f>
        <v>0.11813214108296077</v>
      </c>
    </row>
    <row r="165" spans="1:7">
      <c r="A165" s="55">
        <v>43922</v>
      </c>
      <c r="B165" s="16">
        <v>1.1259999999999999</v>
      </c>
      <c r="C165" s="73">
        <f t="shared" si="38"/>
        <v>5.9999999999993392E-4</v>
      </c>
      <c r="D165" s="18" t="str">
        <f t="shared" si="39"/>
        <v>/</v>
      </c>
      <c r="E165" s="18">
        <f ca="1">IF(表2_3671626293034567[[#This Row],[累计净值]]/MAX(INDIRECT("B21:B" &amp; ROW()))-1&lt;E164,表2_3671626293034567[[#This Row],[累计净值]]/MAX(INDIRECT("B21:B" &amp; ROW()))-1,E164)</f>
        <v>-2.5203567274137306E-2</v>
      </c>
      <c r="F165" s="62">
        <f>表2_3671626293034567[[#This Row],[累计净值]]-0.0607</f>
        <v>1.0652999999999999</v>
      </c>
      <c r="G165" s="20">
        <f>表2_3671626293034567[[#This Row],[累计净值]]/$B$22-1</f>
        <v>0.11872826626924993</v>
      </c>
    </row>
    <row r="166" spans="1:7">
      <c r="A166" s="55">
        <v>43923</v>
      </c>
      <c r="B166" s="16">
        <v>1.1258999999999999</v>
      </c>
      <c r="C166" s="73">
        <f t="shared" ref="C166:C171" si="40">IFERROR(B166-B165,0)</f>
        <v>-9.9999999999988987E-5</v>
      </c>
      <c r="D166" s="18">
        <f t="shared" ref="D166:D171" si="41">IF(C166&lt;0,C166,"/")</f>
        <v>-9.9999999999988987E-5</v>
      </c>
      <c r="E166" s="18">
        <f ca="1">IF(表2_3671626293034567[[#This Row],[累计净值]]/MAX(INDIRECT("B21:B" &amp; ROW()))-1&lt;E165,表2_3671626293034567[[#This Row],[累计净值]]/MAX(INDIRECT("B21:B" &amp; ROW()))-1,E165)</f>
        <v>-2.5203567274137306E-2</v>
      </c>
      <c r="F166" s="62">
        <f>表2_3671626293034567[[#This Row],[累计净值]]-0.0607</f>
        <v>1.0651999999999999</v>
      </c>
      <c r="G166" s="20">
        <f>表2_3671626293034567[[#This Row],[累计净值]]/$B$22-1</f>
        <v>0.11862891207153492</v>
      </c>
    </row>
    <row r="167" spans="1:7">
      <c r="A167" s="55">
        <v>43924</v>
      </c>
      <c r="B167" s="16">
        <v>1.1254999999999999</v>
      </c>
      <c r="C167" s="73">
        <f t="shared" si="40"/>
        <v>-3.9999999999995595E-4</v>
      </c>
      <c r="D167" s="18">
        <f t="shared" si="41"/>
        <v>-3.9999999999995595E-4</v>
      </c>
      <c r="E167" s="18">
        <f ca="1">IF(表2_3671626293034567[[#This Row],[累计净值]]/MAX(INDIRECT("B21:B" &amp; ROW()))-1&lt;E166,表2_3671626293034567[[#This Row],[累计净值]]/MAX(INDIRECT("B21:B" &amp; ROW()))-1,E166)</f>
        <v>-2.5203567274137306E-2</v>
      </c>
      <c r="F167" s="62">
        <f>表2_3671626293034567[[#This Row],[累计净值]]-0.0607</f>
        <v>1.0648</v>
      </c>
      <c r="G167" s="20">
        <f>表2_3671626293034567[[#This Row],[累计净值]]/$B$22-1</f>
        <v>0.11823149528067556</v>
      </c>
    </row>
    <row r="168" spans="1:7">
      <c r="A168" s="55">
        <v>43928</v>
      </c>
      <c r="B168" s="16">
        <v>1.1248</v>
      </c>
      <c r="C168" s="73">
        <f t="shared" si="40"/>
        <v>-6.9999999999992291E-4</v>
      </c>
      <c r="D168" s="18">
        <f t="shared" si="41"/>
        <v>-6.9999999999992291E-4</v>
      </c>
      <c r="E168" s="18">
        <f ca="1">IF(表2_3671626293034567[[#This Row],[累计净值]]/MAX(INDIRECT("B21:B" &amp; ROW()))-1&lt;E167,表2_3671626293034567[[#This Row],[累计净值]]/MAX(INDIRECT("B21:B" &amp; ROW()))-1,E167)</f>
        <v>-2.5203567274137306E-2</v>
      </c>
      <c r="F168" s="62">
        <f>表2_3671626293034567[[#This Row],[累计净值]]-0.0607</f>
        <v>1.0641</v>
      </c>
      <c r="G168" s="20">
        <f>表2_3671626293034567[[#This Row],[累计净值]]/$B$22-1</f>
        <v>0.11753601589667162</v>
      </c>
    </row>
    <row r="169" spans="1:7">
      <c r="A169" s="55">
        <v>43929</v>
      </c>
      <c r="B169" s="76">
        <v>1.1274</v>
      </c>
      <c r="C169" s="73">
        <f t="shared" si="40"/>
        <v>2.5999999999999357E-3</v>
      </c>
      <c r="D169" s="18" t="str">
        <f t="shared" si="41"/>
        <v>/</v>
      </c>
      <c r="E169" s="18">
        <f ca="1">IF(表2_3671626293034567[[#This Row],[累计净值]]/MAX(INDIRECT("B21:B" &amp; ROW()))-1&lt;E168,表2_3671626293034567[[#This Row],[累计净值]]/MAX(INDIRECT("B21:B" &amp; ROW()))-1,E168)</f>
        <v>-2.5203567274137306E-2</v>
      </c>
      <c r="F169" s="62">
        <f>表2_3671626293034567[[#This Row],[累计净值]]-0.0607</f>
        <v>1.0667</v>
      </c>
      <c r="G169" s="20">
        <f>表2_3671626293034567[[#This Row],[累计净值]]/$B$22-1</f>
        <v>0.1201192250372578</v>
      </c>
    </row>
    <row r="170" spans="1:7">
      <c r="A170" s="55">
        <v>43930</v>
      </c>
      <c r="B170" s="16">
        <v>1.1271</v>
      </c>
      <c r="C170" s="73">
        <f t="shared" si="40"/>
        <v>-2.9999999999996696E-4</v>
      </c>
      <c r="D170" s="18">
        <f t="shared" si="41"/>
        <v>-2.9999999999996696E-4</v>
      </c>
      <c r="E170" s="18">
        <f ca="1">IF(表2_3671626293034567[[#This Row],[累计净值]]/MAX(INDIRECT("B21:B" &amp; ROW()))-1&lt;E169,表2_3671626293034567[[#This Row],[累计净值]]/MAX(INDIRECT("B21:B" &amp; ROW()))-1,E169)</f>
        <v>-2.5203567274137306E-2</v>
      </c>
      <c r="F170" s="62">
        <f>表2_3671626293034567[[#This Row],[累计净值]]-0.0607</f>
        <v>1.0664</v>
      </c>
      <c r="G170" s="20">
        <f>表2_3671626293034567[[#This Row],[累计净值]]/$B$22-1</f>
        <v>0.11982116244411323</v>
      </c>
    </row>
    <row r="171" spans="1:7">
      <c r="A171" s="55">
        <v>43931</v>
      </c>
      <c r="B171" s="16">
        <v>1.1248</v>
      </c>
      <c r="C171" s="73">
        <f t="shared" si="40"/>
        <v>-2.2999999999999687E-3</v>
      </c>
      <c r="D171" s="18">
        <f t="shared" si="41"/>
        <v>-2.2999999999999687E-3</v>
      </c>
      <c r="E171" s="18">
        <f ca="1">IF(表2_3671626293034567[[#This Row],[累计净值]]/MAX(INDIRECT("B21:B" &amp; ROW()))-1&lt;E170,表2_3671626293034567[[#This Row],[累计净值]]/MAX(INDIRECT("B21:B" &amp; ROW()))-1,E170)</f>
        <v>-2.5203567274137306E-2</v>
      </c>
      <c r="F171" s="62">
        <f>表2_3671626293034567[[#This Row],[累计净值]]-0.0607</f>
        <v>1.0641</v>
      </c>
      <c r="G171" s="20">
        <f>表2_3671626293034567[[#This Row],[累计净值]]/$B$22-1</f>
        <v>0.11753601589667162</v>
      </c>
    </row>
    <row r="172" spans="1:7">
      <c r="A172" s="55">
        <v>43934</v>
      </c>
      <c r="B172" s="16">
        <v>1.1254</v>
      </c>
      <c r="C172" s="73">
        <f t="shared" ref="C172:C177" si="42">IFERROR(B172-B171,0)</f>
        <v>5.9999999999993392E-4</v>
      </c>
      <c r="D172" s="18" t="str">
        <f t="shared" ref="D172:D177" si="43">IF(C172&lt;0,C172,"/")</f>
        <v>/</v>
      </c>
      <c r="E172" s="18">
        <f ca="1">IF(表2_3671626293034567[[#This Row],[累计净值]]/MAX(INDIRECT("B21:B" &amp; ROW()))-1&lt;E171,表2_3671626293034567[[#This Row],[累计净值]]/MAX(INDIRECT("B21:B" &amp; ROW()))-1,E171)</f>
        <v>-2.5203567274137306E-2</v>
      </c>
      <c r="F172" s="62">
        <f>表2_3671626293034567[[#This Row],[累计净值]]-0.0607</f>
        <v>1.0647</v>
      </c>
      <c r="G172" s="20">
        <f>表2_3671626293034567[[#This Row],[累计净值]]/$B$22-1</f>
        <v>0.11813214108296077</v>
      </c>
    </row>
    <row r="173" spans="1:7">
      <c r="A173" s="55">
        <v>43935</v>
      </c>
      <c r="B173" s="76">
        <v>1.129</v>
      </c>
      <c r="C173" s="73">
        <f t="shared" si="42"/>
        <v>3.6000000000000476E-3</v>
      </c>
      <c r="D173" s="18" t="str">
        <f t="shared" si="43"/>
        <v>/</v>
      </c>
      <c r="E173" s="18">
        <f ca="1">IF(表2_3671626293034567[[#This Row],[累计净值]]/MAX(INDIRECT("B21:B" &amp; ROW()))-1&lt;E172,表2_3671626293034567[[#This Row],[累计净值]]/MAX(INDIRECT("B21:B" &amp; ROW()))-1,E172)</f>
        <v>-2.5203567274137306E-2</v>
      </c>
      <c r="F173" s="62">
        <f>表2_3671626293034567[[#This Row],[累计净值]]-0.0607</f>
        <v>1.0683</v>
      </c>
      <c r="G173" s="20">
        <f>表2_3671626293034567[[#This Row],[累计净值]]/$B$22-1</f>
        <v>0.12170889220069547</v>
      </c>
    </row>
    <row r="174" spans="1:7">
      <c r="A174" s="55">
        <v>43936</v>
      </c>
      <c r="B174" s="16">
        <v>1.1229</v>
      </c>
      <c r="C174" s="73">
        <f t="shared" si="42"/>
        <v>-6.0999999999999943E-3</v>
      </c>
      <c r="D174" s="18">
        <f t="shared" si="43"/>
        <v>-6.0999999999999943E-3</v>
      </c>
      <c r="E174" s="18">
        <f ca="1">IF(表2_3671626293034567[[#This Row],[累计净值]]/MAX(INDIRECT("B21:B" &amp; ROW()))-1&lt;E173,表2_3671626293034567[[#This Row],[累计净值]]/MAX(INDIRECT("B21:B" &amp; ROW()))-1,E173)</f>
        <v>-2.5203567274137306E-2</v>
      </c>
      <c r="F174" s="62">
        <f>表2_3671626293034567[[#This Row],[累计净值]]-0.0607</f>
        <v>1.0622</v>
      </c>
      <c r="G174" s="20">
        <f>表2_3671626293034567[[#This Row],[累计净值]]/$B$22-1</f>
        <v>0.11564828614008937</v>
      </c>
    </row>
    <row r="175" spans="1:7">
      <c r="A175" s="55">
        <v>43937</v>
      </c>
      <c r="B175" s="96">
        <v>1.1200000000000001</v>
      </c>
      <c r="C175" s="94">
        <f t="shared" si="42"/>
        <v>-2.8999999999999027E-3</v>
      </c>
      <c r="D175" s="95">
        <f t="shared" si="43"/>
        <v>-2.8999999999999027E-3</v>
      </c>
      <c r="E175" s="95">
        <f ca="1">IF(表2_3671626293034567[[#This Row],[累计净值]]/MAX(INDIRECT("B21:B" &amp; ROW()))-1&lt;E174,表2_3671626293034567[[#This Row],[累计净值]]/MAX(INDIRECT("B21:B" &amp; ROW()))-1,E174)</f>
        <v>-2.5203567274137306E-2</v>
      </c>
      <c r="F175" s="62">
        <f>表2_3671626293034567[[#This Row],[累计净值]]-0.0607</f>
        <v>1.0593000000000001</v>
      </c>
      <c r="G175" s="20">
        <f>表2_3671626293034567[[#This Row],[累计净值]]/$B$22-1</f>
        <v>0.11276701440635883</v>
      </c>
    </row>
    <row r="176" spans="1:7">
      <c r="A176" s="55">
        <v>43938</v>
      </c>
      <c r="B176" s="96">
        <v>1.1227</v>
      </c>
      <c r="C176" s="94">
        <f t="shared" si="42"/>
        <v>2.6999999999999247E-3</v>
      </c>
      <c r="D176" s="95" t="str">
        <f t="shared" si="43"/>
        <v>/</v>
      </c>
      <c r="E176" s="95">
        <f ca="1">IF(表2_3671626293034567[[#This Row],[累计净值]]/MAX(INDIRECT("B21:B" &amp; ROW()))-1&lt;E175,表2_3671626293034567[[#This Row],[累计净值]]/MAX(INDIRECT("B21:B" &amp; ROW()))-1,E175)</f>
        <v>-2.5203567274137306E-2</v>
      </c>
      <c r="F176" s="62">
        <f>表2_3671626293034567[[#This Row],[累计净值]]-0.0607</f>
        <v>1.0620000000000001</v>
      </c>
      <c r="G176" s="20">
        <f>表2_3671626293034567[[#This Row],[累计净值]]/$B$22-1</f>
        <v>0.1154495777446598</v>
      </c>
    </row>
    <row r="177" spans="1:7">
      <c r="A177" s="55">
        <v>43941</v>
      </c>
      <c r="B177" s="96">
        <v>1.1284000000000001</v>
      </c>
      <c r="C177" s="94">
        <f t="shared" si="42"/>
        <v>5.7000000000000384E-3</v>
      </c>
      <c r="D177" s="95" t="str">
        <f t="shared" si="43"/>
        <v>/</v>
      </c>
      <c r="E177" s="95">
        <f ca="1">IF(表2_3671626293034567[[#This Row],[累计净值]]/MAX(INDIRECT("B21:B" &amp; ROW()))-1&lt;E176,表2_3671626293034567[[#This Row],[累计净值]]/MAX(INDIRECT("B21:B" &amp; ROW()))-1,E176)</f>
        <v>-2.5203567274137306E-2</v>
      </c>
      <c r="F177" s="62">
        <f>表2_3671626293034567[[#This Row],[累计净值]]-0.0607</f>
        <v>1.0677000000000001</v>
      </c>
      <c r="G177" s="20">
        <f>表2_3671626293034567[[#This Row],[累计净值]]/$B$22-1</f>
        <v>0.12111276701440654</v>
      </c>
    </row>
    <row r="178" spans="1:7">
      <c r="A178" s="55">
        <v>43942</v>
      </c>
      <c r="B178" s="76">
        <v>1.1323000000000001</v>
      </c>
      <c r="C178" s="94">
        <f t="shared" ref="C178:C183" si="44">IFERROR(B178-B177,0)</f>
        <v>3.9000000000000146E-3</v>
      </c>
      <c r="D178" s="95" t="str">
        <f t="shared" ref="D178:D183" si="45">IF(C178&lt;0,C178,"/")</f>
        <v>/</v>
      </c>
      <c r="E178" s="95">
        <f ca="1">IF(表2_3671626293034567[[#This Row],[累计净值]]/MAX(INDIRECT("B21:B" &amp; ROW()))-1&lt;E177,表2_3671626293034567[[#This Row],[累计净值]]/MAX(INDIRECT("B21:B" &amp; ROW()))-1,E177)</f>
        <v>-2.5203567274137306E-2</v>
      </c>
      <c r="F178" s="62">
        <f>表2_3671626293034567[[#This Row],[累计净值]]-0.0607</f>
        <v>1.0716000000000001</v>
      </c>
      <c r="G178" s="20">
        <f>表2_3671626293034567[[#This Row],[累计净值]]/$B$22-1</f>
        <v>0.12498758072528582</v>
      </c>
    </row>
    <row r="179" spans="1:7">
      <c r="A179" s="55">
        <v>43943</v>
      </c>
      <c r="B179" s="96">
        <v>1.1309</v>
      </c>
      <c r="C179" s="94">
        <f t="shared" si="44"/>
        <v>-1.4000000000000679E-3</v>
      </c>
      <c r="D179" s="95">
        <f t="shared" si="45"/>
        <v>-1.4000000000000679E-3</v>
      </c>
      <c r="E179" s="95">
        <f ca="1">IF(表2_3671626293034567[[#This Row],[累计净值]]/MAX(INDIRECT("B21:B" &amp; ROW()))-1&lt;E178,表2_3671626293034567[[#This Row],[累计净值]]/MAX(INDIRECT("B21:B" &amp; ROW()))-1,E178)</f>
        <v>-2.5203567274137306E-2</v>
      </c>
      <c r="F179" s="62">
        <f>表2_3671626293034567[[#This Row],[累计净值]]-0.0607</f>
        <v>1.0702</v>
      </c>
      <c r="G179" s="20">
        <f>表2_3671626293034567[[#This Row],[累计净值]]/$B$22-1</f>
        <v>0.12359662195727772</v>
      </c>
    </row>
    <row r="180" spans="1:7">
      <c r="A180" s="55">
        <v>43944</v>
      </c>
      <c r="B180" s="96">
        <v>1.1294</v>
      </c>
      <c r="C180" s="94">
        <f t="shared" si="44"/>
        <v>-1.5000000000000568E-3</v>
      </c>
      <c r="D180" s="95">
        <f t="shared" si="45"/>
        <v>-1.5000000000000568E-3</v>
      </c>
      <c r="E180" s="95">
        <f ca="1">IF(表2_3671626293034567[[#This Row],[累计净值]]/MAX(INDIRECT("B21:B" &amp; ROW()))-1&lt;E179,表2_3671626293034567[[#This Row],[累计净值]]/MAX(INDIRECT("B21:B" &amp; ROW()))-1,E179)</f>
        <v>-2.5203567274137306E-2</v>
      </c>
      <c r="F180" s="62">
        <f>表2_3671626293034567[[#This Row],[累计净值]]-0.0607</f>
        <v>1.0687</v>
      </c>
      <c r="G180" s="20">
        <f>表2_3671626293034567[[#This Row],[累计净值]]/$B$22-1</f>
        <v>0.12210630899155483</v>
      </c>
    </row>
    <row r="181" spans="1:7">
      <c r="A181" s="55">
        <v>43945</v>
      </c>
      <c r="B181" s="96">
        <v>1.1274999999999999</v>
      </c>
      <c r="C181" s="94">
        <f t="shared" si="44"/>
        <v>-1.9000000000000128E-3</v>
      </c>
      <c r="D181" s="95">
        <f t="shared" si="45"/>
        <v>-1.9000000000000128E-3</v>
      </c>
      <c r="E181" s="95">
        <f ca="1">IF(表2_3671626293034567[[#This Row],[累计净值]]/MAX(INDIRECT("B21:B" &amp; ROW()))-1&lt;E180,表2_3671626293034567[[#This Row],[累计净值]]/MAX(INDIRECT("B21:B" &amp; ROW()))-1,E180)</f>
        <v>-2.5203567274137306E-2</v>
      </c>
      <c r="F181" s="62">
        <f>表2_3671626293034567[[#This Row],[累计净值]]-0.0607</f>
        <v>1.0668</v>
      </c>
      <c r="G181" s="20">
        <f>表2_3671626293034567[[#This Row],[累计净值]]/$B$22-1</f>
        <v>0.12021857923497259</v>
      </c>
    </row>
    <row r="182" spans="1:7">
      <c r="A182" s="55">
        <v>43948</v>
      </c>
      <c r="B182" s="96">
        <v>1.1263000000000001</v>
      </c>
      <c r="C182" s="94">
        <f t="shared" si="44"/>
        <v>-1.1999999999998678E-3</v>
      </c>
      <c r="D182" s="95">
        <f t="shared" si="45"/>
        <v>-1.1999999999998678E-3</v>
      </c>
      <c r="E182" s="95">
        <f ca="1">IF(表2_3671626293034567[[#This Row],[累计净值]]/MAX(INDIRECT("B21:B" &amp; ROW()))-1&lt;E181,表2_3671626293034567[[#This Row],[累计净值]]/MAX(INDIRECT("B21:B" &amp; ROW()))-1,E181)</f>
        <v>-2.5203567274137306E-2</v>
      </c>
      <c r="F182" s="62">
        <f>表2_3671626293034567[[#This Row],[累计净值]]-0.0607</f>
        <v>1.0656000000000001</v>
      </c>
      <c r="G182" s="20">
        <f>表2_3671626293034567[[#This Row],[累计净值]]/$B$22-1</f>
        <v>0.1190263288623945</v>
      </c>
    </row>
    <row r="183" spans="1:7">
      <c r="A183" s="55">
        <v>43949</v>
      </c>
      <c r="B183" s="96">
        <v>1.1303000000000001</v>
      </c>
      <c r="C183" s="94">
        <f t="shared" si="44"/>
        <v>4.0000000000000036E-3</v>
      </c>
      <c r="D183" s="95" t="str">
        <f t="shared" si="45"/>
        <v>/</v>
      </c>
      <c r="E183" s="95">
        <f ca="1">IF(表2_3671626293034567[[#This Row],[累计净值]]/MAX(INDIRECT("B21:B" &amp; ROW()))-1&lt;E182,表2_3671626293034567[[#This Row],[累计净值]]/MAX(INDIRECT("B21:B" &amp; ROW()))-1,E182)</f>
        <v>-2.5203567274137306E-2</v>
      </c>
      <c r="F183" s="62">
        <f>表2_3671626293034567[[#This Row],[累计净值]]-0.0607</f>
        <v>1.0696000000000001</v>
      </c>
      <c r="G183" s="20">
        <f>表2_3671626293034567[[#This Row],[累计净值]]/$B$22-1</f>
        <v>0.12300049677098879</v>
      </c>
    </row>
    <row r="184" spans="1:7">
      <c r="A184" s="55">
        <v>43950</v>
      </c>
      <c r="B184" s="96">
        <v>1.1292</v>
      </c>
      <c r="C184" s="94">
        <f t="shared" ref="C184:C189" si="46">IFERROR(B184-B183,0)</f>
        <v>-1.1000000000001009E-3</v>
      </c>
      <c r="D184" s="95">
        <f t="shared" ref="D184:D189" si="47">IF(C184&lt;0,C184,"/")</f>
        <v>-1.1000000000001009E-3</v>
      </c>
      <c r="E184" s="95">
        <f ca="1">IF(表2_3671626293034567[[#This Row],[累计净值]]/MAX(INDIRECT("B21:B" &amp; ROW()))-1&lt;E183,表2_3671626293034567[[#This Row],[累计净值]]/MAX(INDIRECT("B21:B" &amp; ROW()))-1,E183)</f>
        <v>-2.5203567274137306E-2</v>
      </c>
      <c r="F184" s="62">
        <f>表2_3671626293034567[[#This Row],[累计净值]]-0.0607</f>
        <v>1.0685</v>
      </c>
      <c r="G184" s="20">
        <f>表2_3671626293034567[[#This Row],[累计净值]]/$B$22-1</f>
        <v>0.12190760059612527</v>
      </c>
    </row>
    <row r="185" spans="1:7">
      <c r="A185" s="55">
        <v>43951</v>
      </c>
      <c r="B185" s="96">
        <v>1.1269</v>
      </c>
      <c r="C185" s="94">
        <f t="shared" si="46"/>
        <v>-2.2999999999999687E-3</v>
      </c>
      <c r="D185" s="95">
        <f t="shared" si="47"/>
        <v>-2.2999999999999687E-3</v>
      </c>
      <c r="E185" s="95">
        <f ca="1">IF(表2_3671626293034567[[#This Row],[累计净值]]/MAX(INDIRECT("B21:B" &amp; ROW()))-1&lt;E184,表2_3671626293034567[[#This Row],[累计净值]]/MAX(INDIRECT("B21:B" &amp; ROW()))-1,E184)</f>
        <v>-2.5203567274137306E-2</v>
      </c>
      <c r="F185" s="62">
        <f>表2_3671626293034567[[#This Row],[累计净值]]-0.0607</f>
        <v>1.0662</v>
      </c>
      <c r="G185" s="20">
        <f>表2_3671626293034567[[#This Row],[累计净值]]/$B$22-1</f>
        <v>0.11962245404868366</v>
      </c>
    </row>
    <row r="186" spans="1:7">
      <c r="A186" s="55">
        <v>43957</v>
      </c>
      <c r="B186" s="96">
        <v>1.1312</v>
      </c>
      <c r="C186" s="94">
        <f t="shared" si="46"/>
        <v>4.2999999999999705E-3</v>
      </c>
      <c r="D186" s="95" t="str">
        <f t="shared" si="47"/>
        <v>/</v>
      </c>
      <c r="E186" s="95">
        <f ca="1">IF(表2_3671626293034567[[#This Row],[累计净值]]/MAX(INDIRECT("B21:B" &amp; ROW()))-1&lt;E185,表2_3671626293034567[[#This Row],[累计净值]]/MAX(INDIRECT("B21:B" &amp; ROW()))-1,E185)</f>
        <v>-2.5203567274137306E-2</v>
      </c>
      <c r="F186" s="62">
        <f>表2_3671626293034567[[#This Row],[累计净值]]-0.0607</f>
        <v>1.0705</v>
      </c>
      <c r="G186" s="20">
        <f>表2_3671626293034567[[#This Row],[累计净值]]/$B$22-1</f>
        <v>0.1238946845504223</v>
      </c>
    </row>
    <row r="187" spans="1:7">
      <c r="A187" s="55">
        <v>43958</v>
      </c>
      <c r="B187" s="104">
        <v>1.1321000000000001</v>
      </c>
      <c r="C187" s="101">
        <f t="shared" si="46"/>
        <v>9.0000000000012292E-4</v>
      </c>
      <c r="D187" s="102" t="str">
        <f t="shared" si="47"/>
        <v>/</v>
      </c>
      <c r="E187" s="102">
        <f ca="1">IF(表2_3671626293034567[[#This Row],[累计净值]]/MAX(INDIRECT("B21:B" &amp; ROW()))-1&lt;E186,表2_3671626293034567[[#This Row],[累计净值]]/MAX(INDIRECT("B21:B" &amp; ROW()))-1,E186)</f>
        <v>-2.5203567274137306E-2</v>
      </c>
      <c r="F187" s="62">
        <f>表2_3671626293034567[[#This Row],[累计净值]]-0.0607</f>
        <v>1.0714000000000001</v>
      </c>
      <c r="G187" s="20">
        <f>表2_3671626293034567[[#This Row],[累计净值]]/$B$22-1</f>
        <v>0.12478887232985603</v>
      </c>
    </row>
    <row r="188" spans="1:7">
      <c r="A188" s="55">
        <v>43959</v>
      </c>
      <c r="B188" s="104">
        <v>1.1294</v>
      </c>
      <c r="C188" s="101">
        <f t="shared" si="46"/>
        <v>-2.7000000000001467E-3</v>
      </c>
      <c r="D188" s="102">
        <f t="shared" si="47"/>
        <v>-2.7000000000001467E-3</v>
      </c>
      <c r="E188" s="102">
        <f ca="1">IF(表2_3671626293034567[[#This Row],[累计净值]]/MAX(INDIRECT("B21:B" &amp; ROW()))-1&lt;E187,表2_3671626293034567[[#This Row],[累计净值]]/MAX(INDIRECT("B21:B" &amp; ROW()))-1,E187)</f>
        <v>-2.5203567274137306E-2</v>
      </c>
      <c r="F188" s="62">
        <f>表2_3671626293034567[[#This Row],[累计净值]]-0.0607</f>
        <v>1.0687</v>
      </c>
      <c r="G188" s="20">
        <f>表2_3671626293034567[[#This Row],[累计净值]]/$B$22-1</f>
        <v>0.12210630899155483</v>
      </c>
    </row>
    <row r="189" spans="1:7">
      <c r="A189" s="55">
        <v>43962</v>
      </c>
      <c r="B189" s="104">
        <v>1.1334</v>
      </c>
      <c r="C189" s="101">
        <f t="shared" si="46"/>
        <v>4.0000000000000036E-3</v>
      </c>
      <c r="D189" s="102" t="str">
        <f t="shared" si="47"/>
        <v>/</v>
      </c>
      <c r="E189" s="102">
        <f ca="1">IF(表2_3671626293034567[[#This Row],[累计净值]]/MAX(INDIRECT("B21:B" &amp; ROW()))-1&lt;E188,表2_3671626293034567[[#This Row],[累计净值]]/MAX(INDIRECT("B21:B" &amp; ROW()))-1,E188)</f>
        <v>-2.5203567274137306E-2</v>
      </c>
      <c r="F189" s="62">
        <f>表2_3671626293034567[[#This Row],[累计净值]]-0.0607</f>
        <v>1.0727</v>
      </c>
      <c r="G189" s="20">
        <f>表2_3671626293034567[[#This Row],[累计净值]]/$B$22-1</f>
        <v>0.12608047690014912</v>
      </c>
    </row>
    <row r="190" spans="1:7">
      <c r="A190" s="55">
        <v>43963</v>
      </c>
      <c r="B190" s="104">
        <v>1.1332</v>
      </c>
      <c r="C190" s="101">
        <f t="shared" ref="C190:C195" si="48">IFERROR(B190-B189,0)</f>
        <v>-1.9999999999997797E-4</v>
      </c>
      <c r="D190" s="102">
        <f t="shared" ref="D190:D195" si="49">IF(C190&lt;0,C190,"/")</f>
        <v>-1.9999999999997797E-4</v>
      </c>
      <c r="E190" s="102">
        <f ca="1">IF(表2_3671626293034567[[#This Row],[累计净值]]/MAX(INDIRECT("B21:B" &amp; ROW()))-1&lt;E189,表2_3671626293034567[[#This Row],[累计净值]]/MAX(INDIRECT("B21:B" &amp; ROW()))-1,E189)</f>
        <v>-2.5203567274137306E-2</v>
      </c>
      <c r="F190" s="62">
        <f>表2_3671626293034567[[#This Row],[累计净值]]-0.0607</f>
        <v>1.0725</v>
      </c>
      <c r="G190" s="20">
        <f>表2_3671626293034567[[#This Row],[累计净值]]/$B$22-1</f>
        <v>0.12588176850471933</v>
      </c>
    </row>
    <row r="191" spans="1:7">
      <c r="A191" s="55">
        <v>43964</v>
      </c>
      <c r="B191" s="104">
        <v>1.1325000000000001</v>
      </c>
      <c r="C191" s="101">
        <f t="shared" si="48"/>
        <v>-6.9999999999992291E-4</v>
      </c>
      <c r="D191" s="102">
        <f t="shared" si="49"/>
        <v>-6.9999999999992291E-4</v>
      </c>
      <c r="E191" s="102">
        <f ca="1">IF(表2_3671626293034567[[#This Row],[累计净值]]/MAX(INDIRECT("B21:B" &amp; ROW()))-1&lt;E190,表2_3671626293034567[[#This Row],[累计净值]]/MAX(INDIRECT("B21:B" &amp; ROW()))-1,E190)</f>
        <v>-2.5203567274137306E-2</v>
      </c>
      <c r="F191" s="62">
        <f>表2_3671626293034567[[#This Row],[累计净值]]-0.0607</f>
        <v>1.0718000000000001</v>
      </c>
      <c r="G191" s="20">
        <f>表2_3671626293034567[[#This Row],[累计净值]]/$B$22-1</f>
        <v>0.12518628912071539</v>
      </c>
    </row>
    <row r="192" spans="1:7">
      <c r="A192" s="55">
        <v>43965</v>
      </c>
      <c r="B192" s="104">
        <v>1.1296999999999999</v>
      </c>
      <c r="C192" s="101">
        <f t="shared" si="48"/>
        <v>-2.8000000000001357E-3</v>
      </c>
      <c r="D192" s="102">
        <f t="shared" si="49"/>
        <v>-2.8000000000001357E-3</v>
      </c>
      <c r="E192" s="102">
        <f ca="1">IF(表2_3671626293034567[[#This Row],[累计净值]]/MAX(INDIRECT("B21:B" &amp; ROW()))-1&lt;E191,表2_3671626293034567[[#This Row],[累计净值]]/MAX(INDIRECT("B21:B" &amp; ROW()))-1,E191)</f>
        <v>-2.5203567274137306E-2</v>
      </c>
      <c r="F192" s="62">
        <f>表2_3671626293034567[[#This Row],[累计净值]]-0.0607</f>
        <v>1.069</v>
      </c>
      <c r="G192" s="20">
        <f>表2_3671626293034567[[#This Row],[累计净值]]/$B$22-1</f>
        <v>0.12240437158469941</v>
      </c>
    </row>
    <row r="193" spans="1:7">
      <c r="A193" s="55">
        <v>43966</v>
      </c>
      <c r="B193" s="104">
        <v>1.1292</v>
      </c>
      <c r="C193" s="101">
        <f t="shared" si="48"/>
        <v>-4.9999999999994493E-4</v>
      </c>
      <c r="D193" s="102">
        <f t="shared" si="49"/>
        <v>-4.9999999999994493E-4</v>
      </c>
      <c r="E193" s="102">
        <f ca="1">IF(表2_3671626293034567[[#This Row],[累计净值]]/MAX(INDIRECT("B21:B" &amp; ROW()))-1&lt;E192,表2_3671626293034567[[#This Row],[累计净值]]/MAX(INDIRECT("B21:B" &amp; ROW()))-1,E192)</f>
        <v>-2.5203567274137306E-2</v>
      </c>
      <c r="F193" s="62">
        <f>表2_3671626293034567[[#This Row],[累计净值]]-0.0607</f>
        <v>1.0685</v>
      </c>
      <c r="G193" s="20">
        <f>表2_3671626293034567[[#This Row],[累计净值]]/$B$22-1</f>
        <v>0.12190760059612527</v>
      </c>
    </row>
    <row r="194" spans="1:7">
      <c r="A194" s="55">
        <v>43969</v>
      </c>
      <c r="B194" s="104">
        <v>1.1317999999999999</v>
      </c>
      <c r="C194" s="101">
        <f t="shared" si="48"/>
        <v>2.5999999999999357E-3</v>
      </c>
      <c r="D194" s="102" t="str">
        <f t="shared" si="49"/>
        <v>/</v>
      </c>
      <c r="E194" s="102">
        <f ca="1">IF(表2_3671626293034567[[#This Row],[累计净值]]/MAX(INDIRECT("B21:B" &amp; ROW()))-1&lt;E193,表2_3671626293034567[[#This Row],[累计净值]]/MAX(INDIRECT("B21:B" &amp; ROW()))-1,E193)</f>
        <v>-2.5203567274137306E-2</v>
      </c>
      <c r="F194" s="62">
        <f>表2_3671626293034567[[#This Row],[累计净值]]-0.0607</f>
        <v>1.0710999999999999</v>
      </c>
      <c r="G194" s="20">
        <f>表2_3671626293034567[[#This Row],[累计净值]]/$B$22-1</f>
        <v>0.12449080973671145</v>
      </c>
    </row>
    <row r="195" spans="1:7">
      <c r="A195" s="55">
        <v>43970</v>
      </c>
      <c r="B195" s="104">
        <v>1.1357999999999999</v>
      </c>
      <c r="C195" s="101">
        <f t="shared" si="48"/>
        <v>4.0000000000000036E-3</v>
      </c>
      <c r="D195" s="102" t="str">
        <f t="shared" si="49"/>
        <v>/</v>
      </c>
      <c r="E195" s="102">
        <f ca="1">IF(表2_3671626293034567[[#This Row],[累计净值]]/MAX(INDIRECT("B21:B" &amp; ROW()))-1&lt;E194,表2_3671626293034567[[#This Row],[累计净值]]/MAX(INDIRECT("B21:B" &amp; ROW()))-1,E194)</f>
        <v>-2.5203567274137306E-2</v>
      </c>
      <c r="F195" s="62">
        <f>表2_3671626293034567[[#This Row],[累计净值]]-0.0607</f>
        <v>1.0750999999999999</v>
      </c>
      <c r="G195" s="20">
        <f>表2_3671626293034567[[#This Row],[累计净值]]/$B$22-1</f>
        <v>0.12846497764530551</v>
      </c>
    </row>
    <row r="196" spans="1:7">
      <c r="A196" s="55">
        <v>43971</v>
      </c>
      <c r="B196" s="104">
        <v>1.1361000000000001</v>
      </c>
      <c r="C196" s="101">
        <f t="shared" ref="C196:C201" si="50">IFERROR(B196-B195,0)</f>
        <v>3.00000000000189E-4</v>
      </c>
      <c r="D196" s="102" t="str">
        <f t="shared" ref="D196:D201" si="51">IF(C196&lt;0,C196,"/")</f>
        <v>/</v>
      </c>
      <c r="E196" s="102">
        <f ca="1">IF(表2_3671626293034567[[#This Row],[累计净值]]/MAX(INDIRECT("B21:B" &amp; ROW()))-1&lt;E195,表2_3671626293034567[[#This Row],[累计净值]]/MAX(INDIRECT("B21:B" &amp; ROW()))-1,E195)</f>
        <v>-2.5203567274137306E-2</v>
      </c>
      <c r="F196" s="62">
        <f>表2_3671626293034567[[#This Row],[累计净值]]-0.0607</f>
        <v>1.0754000000000001</v>
      </c>
      <c r="G196" s="20">
        <f>表2_3671626293034567[[#This Row],[累计净值]]/$B$22-1</f>
        <v>0.12876304023845031</v>
      </c>
    </row>
    <row r="197" spans="1:7">
      <c r="A197" s="55">
        <v>43972</v>
      </c>
      <c r="B197" s="104">
        <v>1.1365000000000001</v>
      </c>
      <c r="C197" s="101">
        <f t="shared" si="50"/>
        <v>3.9999999999995595E-4</v>
      </c>
      <c r="D197" s="102" t="str">
        <f t="shared" si="51"/>
        <v>/</v>
      </c>
      <c r="E197" s="102">
        <f ca="1">IF(表2_3671626293034567[[#This Row],[累计净值]]/MAX(INDIRECT("B21:B" &amp; ROW()))-1&lt;E196,表2_3671626293034567[[#This Row],[累计净值]]/MAX(INDIRECT("B21:B" &amp; ROW()))-1,E196)</f>
        <v>-2.5203567274137306E-2</v>
      </c>
      <c r="F197" s="62">
        <f>表2_3671626293034567[[#This Row],[累计净值]]-0.0607</f>
        <v>1.0758000000000001</v>
      </c>
      <c r="G197" s="20">
        <f>表2_3671626293034567[[#This Row],[累计净值]]/$B$22-1</f>
        <v>0.12916045702930967</v>
      </c>
    </row>
    <row r="198" spans="1:7">
      <c r="A198" s="55">
        <v>43973</v>
      </c>
      <c r="B198" s="112">
        <v>1.1345000000000001</v>
      </c>
      <c r="C198" s="108">
        <f t="shared" si="50"/>
        <v>-2.0000000000000018E-3</v>
      </c>
      <c r="D198" s="109">
        <f t="shared" si="51"/>
        <v>-2.0000000000000018E-3</v>
      </c>
      <c r="E198" s="109">
        <f ca="1">IF(表2_3671626293034567[[#This Row],[累计净值]]/MAX(INDIRECT("B21:B" &amp; ROW()))-1&lt;E197,表2_3671626293034567[[#This Row],[累计净值]]/MAX(INDIRECT("B21:B" &amp; ROW()))-1,E197)</f>
        <v>-2.5203567274137306E-2</v>
      </c>
      <c r="F198" s="62">
        <f>表2_3671626293034567[[#This Row],[累计净值]]-0.0607</f>
        <v>1.0738000000000001</v>
      </c>
      <c r="G198" s="20">
        <f>表2_3671626293034567[[#This Row],[累计净值]]/$B$22-1</f>
        <v>0.12717337307501264</v>
      </c>
    </row>
    <row r="199" spans="1:7">
      <c r="A199" s="55">
        <v>43976</v>
      </c>
      <c r="B199" s="112">
        <v>1.1369</v>
      </c>
      <c r="C199" s="108">
        <f t="shared" si="50"/>
        <v>2.3999999999999577E-3</v>
      </c>
      <c r="D199" s="109" t="str">
        <f t="shared" si="51"/>
        <v>/</v>
      </c>
      <c r="E199" s="109">
        <f ca="1">IF(表2_3671626293034567[[#This Row],[累计净值]]/MAX(INDIRECT("B21:B" &amp; ROW()))-1&lt;E198,表2_3671626293034567[[#This Row],[累计净值]]/MAX(INDIRECT("B21:B" &amp; ROW()))-1,E198)</f>
        <v>-2.5203567274137306E-2</v>
      </c>
      <c r="F199" s="62">
        <f>表2_3671626293034567[[#This Row],[累计净值]]-0.0607</f>
        <v>1.0762</v>
      </c>
      <c r="G199" s="20">
        <f>表2_3671626293034567[[#This Row],[累计净值]]/$B$22-1</f>
        <v>0.12955787382016903</v>
      </c>
    </row>
    <row r="200" spans="1:7">
      <c r="A200" s="55">
        <v>43977</v>
      </c>
      <c r="B200" s="112">
        <v>1.1413</v>
      </c>
      <c r="C200" s="108">
        <f t="shared" si="50"/>
        <v>4.3999999999999595E-3</v>
      </c>
      <c r="D200" s="109" t="str">
        <f t="shared" si="51"/>
        <v>/</v>
      </c>
      <c r="E200" s="109">
        <f ca="1">IF(表2_3671626293034567[[#This Row],[累计净值]]/MAX(INDIRECT("B21:B" &amp; ROW()))-1&lt;E199,表2_3671626293034567[[#This Row],[累计净值]]/MAX(INDIRECT("B21:B" &amp; ROW()))-1,E199)</f>
        <v>-2.5203567274137306E-2</v>
      </c>
      <c r="F200" s="62">
        <f>表2_3671626293034567[[#This Row],[累计净值]]-0.0607</f>
        <v>1.0806</v>
      </c>
      <c r="G200" s="20">
        <f>表2_3671626293034567[[#This Row],[累计净值]]/$B$22-1</f>
        <v>0.13392945851962246</v>
      </c>
    </row>
    <row r="201" spans="1:7">
      <c r="A201" s="55">
        <v>43978</v>
      </c>
      <c r="B201" s="112">
        <v>1.1436999999999999</v>
      </c>
      <c r="C201" s="108">
        <f t="shared" si="50"/>
        <v>2.3999999999999577E-3</v>
      </c>
      <c r="D201" s="109" t="str">
        <f t="shared" si="51"/>
        <v>/</v>
      </c>
      <c r="E201" s="109">
        <f ca="1">IF(表2_3671626293034567[[#This Row],[累计净值]]/MAX(INDIRECT("B21:B" &amp; ROW()))-1&lt;E200,表2_3671626293034567[[#This Row],[累计净值]]/MAX(INDIRECT("B21:B" &amp; ROW()))-1,E200)</f>
        <v>-2.5203567274137306E-2</v>
      </c>
      <c r="F201" s="62">
        <f>表2_3671626293034567[[#This Row],[累计净值]]-0.0607</f>
        <v>1.083</v>
      </c>
      <c r="G201" s="20">
        <f>表2_3671626293034567[[#This Row],[累计净值]]/$B$22-1</f>
        <v>0.13631395926477885</v>
      </c>
    </row>
    <row r="202" spans="1:7">
      <c r="A202" s="55">
        <v>43979</v>
      </c>
      <c r="B202" s="112">
        <v>1.1463000000000001</v>
      </c>
      <c r="C202" s="108">
        <f t="shared" ref="C202:C207" si="52">IFERROR(B202-B201,0)</f>
        <v>2.6000000000001577E-3</v>
      </c>
      <c r="D202" s="109" t="str">
        <f t="shared" ref="D202:D207" si="53">IF(C202&lt;0,C202,"/")</f>
        <v>/</v>
      </c>
      <c r="E202" s="109">
        <f ca="1">IF(表2_3671626293034567[[#This Row],[累计净值]]/MAX(INDIRECT("B21:B" &amp; ROW()))-1&lt;E201,表2_3671626293034567[[#This Row],[累计净值]]/MAX(INDIRECT("B21:B" &amp; ROW()))-1,E201)</f>
        <v>-2.5203567274137306E-2</v>
      </c>
      <c r="F202" s="62">
        <f>表2_3671626293034567[[#This Row],[累计净值]]-0.0607</f>
        <v>1.0856000000000001</v>
      </c>
      <c r="G202" s="20">
        <f>表2_3671626293034567[[#This Row],[累计净值]]/$B$22-1</f>
        <v>0.13889716840536526</v>
      </c>
    </row>
    <row r="203" spans="1:7">
      <c r="A203" s="55">
        <v>43980</v>
      </c>
      <c r="B203" s="112">
        <v>1.1489</v>
      </c>
      <c r="C203" s="108">
        <f t="shared" si="52"/>
        <v>2.5999999999999357E-3</v>
      </c>
      <c r="D203" s="109" t="str">
        <f t="shared" si="53"/>
        <v>/</v>
      </c>
      <c r="E203" s="109">
        <f ca="1">IF(表2_3671626293034567[[#This Row],[累计净值]]/MAX(INDIRECT("B21:B" &amp; ROW()))-1&lt;E202,表2_3671626293034567[[#This Row],[累计净值]]/MAX(INDIRECT("B21:B" &amp; ROW()))-1,E202)</f>
        <v>-2.5203567274137306E-2</v>
      </c>
      <c r="F203" s="62">
        <f>表2_3671626293034567[[#This Row],[累计净值]]-0.0607</f>
        <v>1.0882000000000001</v>
      </c>
      <c r="G203" s="20">
        <f>表2_3671626293034567[[#This Row],[累计净值]]/$B$22-1</f>
        <v>0.14148037754595144</v>
      </c>
    </row>
    <row r="204" spans="1:7">
      <c r="A204" s="55">
        <v>43983</v>
      </c>
      <c r="B204" s="112">
        <v>1.1488</v>
      </c>
      <c r="C204" s="108">
        <f t="shared" si="52"/>
        <v>-9.9999999999988987E-5</v>
      </c>
      <c r="D204" s="109">
        <f t="shared" si="53"/>
        <v>-9.9999999999988987E-5</v>
      </c>
      <c r="E204" s="109">
        <f ca="1">IF(表2_3671626293034567[[#This Row],[累计净值]]/MAX(INDIRECT("B21:B" &amp; ROW()))-1&lt;E203,表2_3671626293034567[[#This Row],[累计净值]]/MAX(INDIRECT("B21:B" &amp; ROW()))-1,E203)</f>
        <v>-2.5203567274137306E-2</v>
      </c>
      <c r="F204" s="62">
        <f>表2_3671626293034567[[#This Row],[累计净值]]-0.0607</f>
        <v>1.0881000000000001</v>
      </c>
      <c r="G204" s="20">
        <f>表2_3671626293034567[[#This Row],[累计净值]]/$B$22-1</f>
        <v>0.14138102334823666</v>
      </c>
    </row>
    <row r="205" spans="1:7">
      <c r="A205" s="55">
        <v>43984</v>
      </c>
      <c r="B205" s="112">
        <v>1.1501999999999999</v>
      </c>
      <c r="C205" s="108">
        <f t="shared" si="52"/>
        <v>1.3999999999998458E-3</v>
      </c>
      <c r="D205" s="109" t="str">
        <f t="shared" si="53"/>
        <v>/</v>
      </c>
      <c r="E205" s="109">
        <f ca="1">IF(表2_3671626293034567[[#This Row],[累计净值]]/MAX(INDIRECT("B21:B" &amp; ROW()))-1&lt;E204,表2_3671626293034567[[#This Row],[累计净值]]/MAX(INDIRECT("B21:B" &amp; ROW()))-1,E204)</f>
        <v>-2.5203567274137306E-2</v>
      </c>
      <c r="F205" s="62">
        <f>表2_3671626293034567[[#This Row],[累计净值]]-0.0607</f>
        <v>1.0894999999999999</v>
      </c>
      <c r="G205" s="20">
        <f>表2_3671626293034567[[#This Row],[累计净值]]/$B$22-1</f>
        <v>0.14277198211624431</v>
      </c>
    </row>
    <row r="206" spans="1:7">
      <c r="A206" s="55">
        <v>43985</v>
      </c>
      <c r="B206" s="112">
        <v>1.1491</v>
      </c>
      <c r="C206" s="108">
        <f t="shared" si="52"/>
        <v>-1.0999999999998789E-3</v>
      </c>
      <c r="D206" s="109">
        <f t="shared" si="53"/>
        <v>-1.0999999999998789E-3</v>
      </c>
      <c r="E206" s="109">
        <f ca="1">IF(表2_3671626293034567[[#This Row],[累计净值]]/MAX(INDIRECT("B21:B" &amp; ROW()))-1&lt;E205,表2_3671626293034567[[#This Row],[累计净值]]/MAX(INDIRECT("B21:B" &amp; ROW()))-1,E205)</f>
        <v>-2.5203567274137306E-2</v>
      </c>
      <c r="F206" s="62">
        <f>表2_3671626293034567[[#This Row],[累计净值]]-0.0607</f>
        <v>1.0884</v>
      </c>
      <c r="G206" s="20">
        <f>表2_3671626293034567[[#This Row],[累计净值]]/$B$22-1</f>
        <v>0.14167908594138101</v>
      </c>
    </row>
    <row r="207" spans="1:7">
      <c r="A207" s="55">
        <v>43986</v>
      </c>
      <c r="B207" s="112">
        <v>1.1515</v>
      </c>
      <c r="C207" s="108">
        <f t="shared" si="52"/>
        <v>2.3999999999999577E-3</v>
      </c>
      <c r="D207" s="109" t="str">
        <f t="shared" si="53"/>
        <v>/</v>
      </c>
      <c r="E207" s="109">
        <f ca="1">IF(表2_3671626293034567[[#This Row],[累计净值]]/MAX(INDIRECT("B21:B" &amp; ROW()))-1&lt;E206,表2_3671626293034567[[#This Row],[累计净值]]/MAX(INDIRECT("B21:B" &amp; ROW()))-1,E206)</f>
        <v>-2.5203567274137306E-2</v>
      </c>
      <c r="F207" s="62">
        <f>表2_3671626293034567[[#This Row],[累计净值]]-0.0607</f>
        <v>1.0908</v>
      </c>
      <c r="G207" s="20">
        <f>表2_3671626293034567[[#This Row],[累计净值]]/$B$22-1</f>
        <v>0.14406358668653763</v>
      </c>
    </row>
    <row r="208" spans="1:7">
      <c r="A208" s="55">
        <v>43987</v>
      </c>
      <c r="B208" s="112">
        <v>1.153</v>
      </c>
      <c r="C208" s="108">
        <f t="shared" ref="C208:C213" si="54">IFERROR(B208-B207,0)</f>
        <v>1.5000000000000568E-3</v>
      </c>
      <c r="D208" s="109" t="str">
        <f t="shared" ref="D208:D213" si="55">IF(C208&lt;0,C208,"/")</f>
        <v>/</v>
      </c>
      <c r="E208" s="109">
        <f ca="1">IF(表2_3671626293034567[[#This Row],[累计净值]]/MAX(INDIRECT("B21:B" &amp; ROW()))-1&lt;E207,表2_3671626293034567[[#This Row],[累计净值]]/MAX(INDIRECT("B21:B" &amp; ROW()))-1,E207)</f>
        <v>-2.5203567274137306E-2</v>
      </c>
      <c r="F208" s="62">
        <f>表2_3671626293034567[[#This Row],[累计净值]]-0.0607</f>
        <v>1.0923</v>
      </c>
      <c r="G208" s="20">
        <f>表2_3671626293034567[[#This Row],[累计净值]]/$B$22-1</f>
        <v>0.14555389965226029</v>
      </c>
    </row>
    <row r="209" spans="1:7">
      <c r="A209" s="55">
        <v>43990</v>
      </c>
      <c r="B209" s="112">
        <v>1.1549</v>
      </c>
      <c r="C209" s="108">
        <f t="shared" si="54"/>
        <v>1.9000000000000128E-3</v>
      </c>
      <c r="D209" s="109" t="str">
        <f t="shared" si="55"/>
        <v>/</v>
      </c>
      <c r="E209" s="109">
        <f ca="1">IF(表2_3671626293034567[[#This Row],[累计净值]]/MAX(INDIRECT("B21:B" &amp; ROW()))-1&lt;E208,表2_3671626293034567[[#This Row],[累计净值]]/MAX(INDIRECT("B21:B" &amp; ROW()))-1,E208)</f>
        <v>-2.5203567274137306E-2</v>
      </c>
      <c r="F209" s="62">
        <f>表2_3671626293034567[[#This Row],[累计净值]]-0.0607</f>
        <v>1.0942000000000001</v>
      </c>
      <c r="G209" s="20">
        <f>表2_3671626293034567[[#This Row],[累计净值]]/$B$22-1</f>
        <v>0.14744162940884253</v>
      </c>
    </row>
    <row r="210" spans="1:7">
      <c r="A210" s="55">
        <v>43991</v>
      </c>
      <c r="B210" s="112">
        <v>1.1596</v>
      </c>
      <c r="C210" s="108">
        <f t="shared" si="54"/>
        <v>4.6999999999999265E-3</v>
      </c>
      <c r="D210" s="109" t="str">
        <f t="shared" si="55"/>
        <v>/</v>
      </c>
      <c r="E210" s="109">
        <f ca="1">IF(表2_3671626293034567[[#This Row],[累计净值]]/MAX(INDIRECT("B21:B" &amp; ROW()))-1&lt;E209,表2_3671626293034567[[#This Row],[累计净值]]/MAX(INDIRECT("B21:B" &amp; ROW()))-1,E209)</f>
        <v>-2.5203567274137306E-2</v>
      </c>
      <c r="F210" s="62">
        <f>表2_3671626293034567[[#This Row],[累计净值]]-0.0607</f>
        <v>1.0989</v>
      </c>
      <c r="G210" s="20">
        <f>表2_3671626293034567[[#This Row],[累计净值]]/$B$22-1</f>
        <v>0.15211127670144076</v>
      </c>
    </row>
    <row r="211" spans="1:7">
      <c r="A211" s="55">
        <v>43992</v>
      </c>
      <c r="B211" s="112">
        <v>1.1638999999999999</v>
      </c>
      <c r="C211" s="108">
        <f t="shared" si="54"/>
        <v>4.2999999999999705E-3</v>
      </c>
      <c r="D211" s="109" t="str">
        <f t="shared" si="55"/>
        <v>/</v>
      </c>
      <c r="E211" s="109">
        <f ca="1">IF(表2_3671626293034567[[#This Row],[累计净值]]/MAX(INDIRECT("B21:B" &amp; ROW()))-1&lt;E210,表2_3671626293034567[[#This Row],[累计净值]]/MAX(INDIRECT("B21:B" &amp; ROW()))-1,E210)</f>
        <v>-2.5203567274137306E-2</v>
      </c>
      <c r="F211" s="62">
        <f>表2_3671626293034567[[#This Row],[累计净值]]-0.0607</f>
        <v>1.1032</v>
      </c>
      <c r="G211" s="20">
        <f>表2_3671626293034567[[#This Row],[累计净值]]/$B$22-1</f>
        <v>0.15638350720317939</v>
      </c>
    </row>
    <row r="212" spans="1:7">
      <c r="A212" s="55">
        <v>43993</v>
      </c>
      <c r="B212" s="112">
        <v>1.1625000000000001</v>
      </c>
      <c r="C212" s="108">
        <f t="shared" si="54"/>
        <v>-1.3999999999998458E-3</v>
      </c>
      <c r="D212" s="109">
        <f t="shared" si="55"/>
        <v>-1.3999999999998458E-3</v>
      </c>
      <c r="E212" s="109">
        <f ca="1">IF(表2_3671626293034567[[#This Row],[累计净值]]/MAX(INDIRECT("B21:B" &amp; ROW()))-1&lt;E211,表2_3671626293034567[[#This Row],[累计净值]]/MAX(INDIRECT("B21:B" &amp; ROW()))-1,E211)</f>
        <v>-2.5203567274137306E-2</v>
      </c>
      <c r="F212" s="62">
        <f>表2_3671626293034567[[#This Row],[累计净值]]-0.0607</f>
        <v>1.1018000000000001</v>
      </c>
      <c r="G212" s="20">
        <f>表2_3671626293034567[[#This Row],[累计净值]]/$B$22-1</f>
        <v>0.15499254843517152</v>
      </c>
    </row>
    <row r="213" spans="1:7">
      <c r="A213" s="55">
        <v>43994</v>
      </c>
      <c r="B213" s="112">
        <v>1.1571</v>
      </c>
      <c r="C213" s="108">
        <f t="shared" si="54"/>
        <v>-5.4000000000000714E-3</v>
      </c>
      <c r="D213" s="109">
        <f t="shared" si="55"/>
        <v>-5.4000000000000714E-3</v>
      </c>
      <c r="E213" s="109">
        <f ca="1">IF(表2_3671626293034567[[#This Row],[累计净值]]/MAX(INDIRECT("B21:B" &amp; ROW()))-1&lt;E212,表2_3671626293034567[[#This Row],[累计净值]]/MAX(INDIRECT("B21:B" &amp; ROW()))-1,E212)</f>
        <v>-2.5203567274137306E-2</v>
      </c>
      <c r="F213" s="62">
        <f>表2_3671626293034567[[#This Row],[累计净值]]-0.0607</f>
        <v>1.0964</v>
      </c>
      <c r="G213" s="20">
        <f>表2_3671626293034567[[#This Row],[累计净值]]/$B$22-1</f>
        <v>0.14962742175856936</v>
      </c>
    </row>
    <row r="214" spans="1:7">
      <c r="A214" s="55">
        <v>43997</v>
      </c>
      <c r="B214" s="112">
        <v>1.1589</v>
      </c>
      <c r="C214" s="108">
        <f t="shared" ref="C214:C220" si="56">IFERROR(B214-B213,0)</f>
        <v>1.8000000000000238E-3</v>
      </c>
      <c r="D214" s="109" t="str">
        <f t="shared" ref="D214:D220" si="57">IF(C214&lt;0,C214,"/")</f>
        <v>/</v>
      </c>
      <c r="E214" s="109">
        <f ca="1">IF(表2_3671626293034567[[#This Row],[累计净值]]/MAX(INDIRECT("B21:B" &amp; ROW()))-1&lt;E213,表2_3671626293034567[[#This Row],[累计净值]]/MAX(INDIRECT("B21:B" &amp; ROW()))-1,E213)</f>
        <v>-2.5203567274137306E-2</v>
      </c>
      <c r="F214" s="62">
        <f>表2_3671626293034567[[#This Row],[累计净值]]-0.0607</f>
        <v>1.0982000000000001</v>
      </c>
      <c r="G214" s="20">
        <f>表2_3671626293034567[[#This Row],[累计净值]]/$B$22-1</f>
        <v>0.15141579731743682</v>
      </c>
    </row>
    <row r="215" spans="1:7">
      <c r="A215" s="55">
        <v>43998</v>
      </c>
      <c r="B215" s="112">
        <v>1.1642999999999999</v>
      </c>
      <c r="C215" s="108">
        <f t="shared" si="56"/>
        <v>5.3999999999998494E-3</v>
      </c>
      <c r="D215" s="109" t="str">
        <f t="shared" si="57"/>
        <v>/</v>
      </c>
      <c r="E215" s="109">
        <f ca="1">IF(表2_3671626293034567[[#This Row],[累计净值]]/MAX(INDIRECT("B21:B" &amp; ROW()))-1&lt;E214,表2_3671626293034567[[#This Row],[累计净值]]/MAX(INDIRECT("B21:B" &amp; ROW()))-1,E214)</f>
        <v>-2.5203567274137306E-2</v>
      </c>
      <c r="F215" s="62">
        <f>表2_3671626293034567[[#This Row],[累计净值]]-0.0607</f>
        <v>1.1035999999999999</v>
      </c>
      <c r="G215" s="20">
        <f>表2_3671626293034567[[#This Row],[累计净值]]/$B$22-1</f>
        <v>0.15678092399403876</v>
      </c>
    </row>
    <row r="216" spans="1:7">
      <c r="A216" s="55">
        <v>43999</v>
      </c>
      <c r="B216" s="76">
        <v>1.1678999999999999</v>
      </c>
      <c r="C216" s="108">
        <f t="shared" si="56"/>
        <v>3.6000000000000476E-3</v>
      </c>
      <c r="D216" s="109" t="str">
        <f t="shared" si="57"/>
        <v>/</v>
      </c>
      <c r="E216" s="109">
        <f ca="1">IF(表2_3671626293034567[[#This Row],[累计净值]]/MAX(INDIRECT("B21:B" &amp; ROW()))-1&lt;E215,表2_3671626293034567[[#This Row],[累计净值]]/MAX(INDIRECT("B21:B" &amp; ROW()))-1,E215)</f>
        <v>-2.5203567274137306E-2</v>
      </c>
      <c r="F216" s="62">
        <f>表2_3671626293034567[[#This Row],[累计净值]]-0.0607</f>
        <v>1.1072</v>
      </c>
      <c r="G216" s="20">
        <f>表2_3671626293034567[[#This Row],[累计净值]]/$B$22-1</f>
        <v>0.16035767511177346</v>
      </c>
    </row>
    <row r="217" spans="1:7">
      <c r="A217" s="55">
        <v>44000</v>
      </c>
      <c r="B217" s="112">
        <v>1.1653</v>
      </c>
      <c r="C217" s="108">
        <f t="shared" si="56"/>
        <v>-2.5999999999999357E-3</v>
      </c>
      <c r="D217" s="109">
        <f t="shared" si="57"/>
        <v>-2.5999999999999357E-3</v>
      </c>
      <c r="E217" s="109">
        <f ca="1">IF(表2_3671626293034567[[#This Row],[累计净值]]/MAX(INDIRECT("B21:B" &amp; ROW()))-1&lt;E216,表2_3671626293034567[[#This Row],[累计净值]]/MAX(INDIRECT("B21:B" &amp; ROW()))-1,E216)</f>
        <v>-2.5203567274137306E-2</v>
      </c>
      <c r="F217" s="62">
        <f>表2_3671626293034567[[#This Row],[累计净值]]-0.0607</f>
        <v>1.1046</v>
      </c>
      <c r="G217" s="20">
        <f>表2_3671626293034567[[#This Row],[累计净值]]/$B$22-1</f>
        <v>0.15777446597118727</v>
      </c>
    </row>
    <row r="218" spans="1:7">
      <c r="A218" s="55">
        <v>44001</v>
      </c>
      <c r="B218" s="112">
        <v>1.1589</v>
      </c>
      <c r="C218" s="108">
        <f t="shared" si="56"/>
        <v>-6.3999999999999613E-3</v>
      </c>
      <c r="D218" s="109">
        <f t="shared" si="57"/>
        <v>-6.3999999999999613E-3</v>
      </c>
      <c r="E218" s="109">
        <f ca="1">IF(表2_3671626293034567[[#This Row],[累计净值]]/MAX(INDIRECT("B21:B" &amp; ROW()))-1&lt;E217,表2_3671626293034567[[#This Row],[累计净值]]/MAX(INDIRECT("B21:B" &amp; ROW()))-1,E217)</f>
        <v>-2.5203567274137306E-2</v>
      </c>
      <c r="F218" s="62">
        <f>表2_3671626293034567[[#This Row],[累计净值]]-0.0607</f>
        <v>1.0982000000000001</v>
      </c>
      <c r="G218" s="20">
        <f>表2_3671626293034567[[#This Row],[累计净值]]/$B$22-1</f>
        <v>0.15141579731743682</v>
      </c>
    </row>
    <row r="219" spans="1:7">
      <c r="A219" s="55">
        <v>44004</v>
      </c>
      <c r="B219" s="112">
        <v>1.1605000000000001</v>
      </c>
      <c r="C219" s="108">
        <f t="shared" si="56"/>
        <v>1.6000000000000458E-3</v>
      </c>
      <c r="D219" s="109" t="str">
        <f t="shared" si="57"/>
        <v>/</v>
      </c>
      <c r="E219" s="109">
        <f ca="1">IF(表2_3671626293034567[[#This Row],[累计净值]]/MAX(INDIRECT("B21:B" &amp; ROW()))-1&lt;E218,表2_3671626293034567[[#This Row],[累计净值]]/MAX(INDIRECT("B21:B" &amp; ROW()))-1,E218)</f>
        <v>-2.5203567274137306E-2</v>
      </c>
      <c r="F219" s="62">
        <f>表2_3671626293034567[[#This Row],[累计净值]]-0.0607</f>
        <v>1.0998000000000001</v>
      </c>
      <c r="G219" s="20">
        <f>表2_3671626293034567[[#This Row],[累计净值]]/$B$22-1</f>
        <v>0.15300546448087449</v>
      </c>
    </row>
    <row r="220" spans="1:7">
      <c r="A220" s="55">
        <v>44005</v>
      </c>
      <c r="B220" s="112">
        <v>1.1605000000000001</v>
      </c>
      <c r="C220" s="108">
        <f t="shared" si="56"/>
        <v>0</v>
      </c>
      <c r="D220" s="109" t="str">
        <f t="shared" si="57"/>
        <v>/</v>
      </c>
      <c r="E220" s="109">
        <f ca="1">IF(表2_3671626293034567[[#This Row],[累计净值]]/MAX(INDIRECT("B21:B" &amp; ROW()))-1&lt;E219,表2_3671626293034567[[#This Row],[累计净值]]/MAX(INDIRECT("B21:B" &amp; ROW()))-1,E219)</f>
        <v>-2.5203567274137306E-2</v>
      </c>
      <c r="F220" s="62">
        <f>表2_3671626293034567[[#This Row],[累计净值]]-0.0607</f>
        <v>1.0998000000000001</v>
      </c>
      <c r="G220" s="20">
        <f>表2_3671626293034567[[#This Row],[累计净值]]/$B$22-1</f>
        <v>0.15300546448087449</v>
      </c>
    </row>
    <row r="221" spans="1:7">
      <c r="A221" s="55">
        <v>44006</v>
      </c>
      <c r="B221" s="112">
        <v>1.1617999999999999</v>
      </c>
      <c r="C221" s="108">
        <f t="shared" ref="C221:C227" si="58">IFERROR(B221-B220,0)</f>
        <v>1.2999999999998568E-3</v>
      </c>
      <c r="D221" s="109" t="str">
        <f t="shared" ref="D221:D227" si="59">IF(C221&lt;0,C221,"/")</f>
        <v>/</v>
      </c>
      <c r="E221" s="109">
        <f ca="1">IF(表2_3671626293034567[[#This Row],[累计净值]]/MAX(INDIRECT("B21:B" &amp; ROW()))-1&lt;E220,表2_3671626293034567[[#This Row],[累计净值]]/MAX(INDIRECT("B21:B" &amp; ROW()))-1,E220)</f>
        <v>-2.5203567274137306E-2</v>
      </c>
      <c r="F221" s="62">
        <f>表2_3671626293034567[[#This Row],[累计净值]]-0.0607</f>
        <v>1.1011</v>
      </c>
      <c r="G221" s="20">
        <f>表2_3671626293034567[[#This Row],[累计净值]]/$B$22-1</f>
        <v>0.15429706905116736</v>
      </c>
    </row>
    <row r="222" spans="1:7">
      <c r="A222" s="55">
        <v>44011</v>
      </c>
      <c r="B222" s="112">
        <v>1.1640999999999999</v>
      </c>
      <c r="C222" s="108">
        <f t="shared" si="58"/>
        <v>2.2999999999999687E-3</v>
      </c>
      <c r="D222" s="109" t="str">
        <f t="shared" si="59"/>
        <v>/</v>
      </c>
      <c r="E222" s="109">
        <f ca="1">IF(表2_3671626293034567[[#This Row],[累计净值]]/MAX(INDIRECT("B21:B" &amp; ROW()))-1&lt;E221,表2_3671626293034567[[#This Row],[累计净值]]/MAX(INDIRECT("B21:B" &amp; ROW()))-1,E221)</f>
        <v>-2.5203567274137306E-2</v>
      </c>
      <c r="F222" s="62">
        <f>表2_3671626293034567[[#This Row],[累计净值]]-0.0607</f>
        <v>1.1033999999999999</v>
      </c>
      <c r="G222" s="20">
        <f>表2_3671626293034567[[#This Row],[累计净值]]/$B$22-1</f>
        <v>0.15658221559860896</v>
      </c>
    </row>
    <row r="223" spans="1:7">
      <c r="A223" s="55">
        <v>44012</v>
      </c>
      <c r="B223" s="112">
        <v>1.1652</v>
      </c>
      <c r="C223" s="108">
        <f t="shared" si="58"/>
        <v>1.1000000000001009E-3</v>
      </c>
      <c r="D223" s="109" t="str">
        <f t="shared" si="59"/>
        <v>/</v>
      </c>
      <c r="E223" s="109">
        <f ca="1">IF(表2_3671626293034567[[#This Row],[累计净值]]/MAX(INDIRECT("B21:B" &amp; ROW()))-1&lt;E222,表2_3671626293034567[[#This Row],[累计净值]]/MAX(INDIRECT("B21:B" &amp; ROW()))-1,E222)</f>
        <v>-2.5203567274137306E-2</v>
      </c>
      <c r="F223" s="62">
        <f>表2_3671626293034567[[#This Row],[累计净值]]-0.0607</f>
        <v>1.1045</v>
      </c>
      <c r="G223" s="20">
        <f>表2_3671626293034567[[#This Row],[累计净值]]/$B$22-1</f>
        <v>0.15767511177347249</v>
      </c>
    </row>
    <row r="224" spans="1:7">
      <c r="A224" s="55">
        <v>44013</v>
      </c>
      <c r="B224" s="76">
        <v>1.1700999999999999</v>
      </c>
      <c r="C224" s="108">
        <f t="shared" si="58"/>
        <v>4.8999999999999044E-3</v>
      </c>
      <c r="D224" s="109" t="str">
        <f t="shared" si="59"/>
        <v>/</v>
      </c>
      <c r="E224" s="109">
        <f ca="1">IF(表2_3671626293034567[[#This Row],[累计净值]]/MAX(INDIRECT("B21:B" &amp; ROW()))-1&lt;E223,表2_3671626293034567[[#This Row],[累计净值]]/MAX(INDIRECT("B21:B" &amp; ROW()))-1,E223)</f>
        <v>-2.5203567274137306E-2</v>
      </c>
      <c r="F224" s="62">
        <f>表2_3671626293034567[[#This Row],[累计净值]]-0.0607</f>
        <v>1.1093999999999999</v>
      </c>
      <c r="G224" s="20">
        <f>表2_3671626293034567[[#This Row],[累计净值]]/$B$22-1</f>
        <v>0.16254346746150028</v>
      </c>
    </row>
    <row r="225" spans="1:7">
      <c r="A225" s="55">
        <v>44014</v>
      </c>
      <c r="B225" s="112">
        <v>1.1611</v>
      </c>
      <c r="C225" s="108">
        <f t="shared" si="58"/>
        <v>-8.999999999999897E-3</v>
      </c>
      <c r="D225" s="109">
        <f t="shared" si="59"/>
        <v>-8.999999999999897E-3</v>
      </c>
      <c r="E225" s="109">
        <f ca="1">IF(表2_3671626293034567[[#This Row],[累计净值]]/MAX(INDIRECT("B21:B" &amp; ROW()))-1&lt;E224,表2_3671626293034567[[#This Row],[累计净值]]/MAX(INDIRECT("B21:B" &amp; ROW()))-1,E224)</f>
        <v>-2.5203567274137306E-2</v>
      </c>
      <c r="F225" s="62">
        <f>表2_3671626293034567[[#This Row],[累计净值]]-0.0607</f>
        <v>1.1004</v>
      </c>
      <c r="G225" s="20">
        <f>表2_3671626293034567[[#This Row],[累计净值]]/$B$22-1</f>
        <v>0.15360158966716342</v>
      </c>
    </row>
    <row r="226" spans="1:7">
      <c r="A226" s="55">
        <v>44015</v>
      </c>
      <c r="B226" s="112">
        <v>1.1595</v>
      </c>
      <c r="C226" s="108">
        <f t="shared" si="58"/>
        <v>-1.6000000000000458E-3</v>
      </c>
      <c r="D226" s="109">
        <f t="shared" si="59"/>
        <v>-1.6000000000000458E-3</v>
      </c>
      <c r="E226" s="109">
        <f ca="1">IF(表2_3671626293034567[[#This Row],[累计净值]]/MAX(INDIRECT("B21:B" &amp; ROW()))-1&lt;E225,表2_3671626293034567[[#This Row],[累计净值]]/MAX(INDIRECT("B21:B" &amp; ROW()))-1,E225)</f>
        <v>-2.5203567274137306E-2</v>
      </c>
      <c r="F226" s="62">
        <f>表2_3671626293034567[[#This Row],[累计净值]]-0.0607</f>
        <v>1.0988</v>
      </c>
      <c r="G226" s="20">
        <f>表2_3671626293034567[[#This Row],[累计净值]]/$B$22-1</f>
        <v>0.15201192250372575</v>
      </c>
    </row>
    <row r="227" spans="1:7">
      <c r="A227" s="55">
        <v>44018</v>
      </c>
      <c r="B227" s="112">
        <v>1.1453</v>
      </c>
      <c r="C227" s="108">
        <f t="shared" si="58"/>
        <v>-1.419999999999999E-2</v>
      </c>
      <c r="D227" s="109">
        <f t="shared" si="59"/>
        <v>-1.419999999999999E-2</v>
      </c>
      <c r="E227" s="109">
        <f ca="1">IF(表2_3671626293034567[[#This Row],[累计净值]]/MAX(INDIRECT("B21:B" &amp; ROW()))-1&lt;E226,表2_3671626293034567[[#This Row],[累计净值]]/MAX(INDIRECT("B21:B" &amp; ROW()))-1,E226)</f>
        <v>-2.5203567274137306E-2</v>
      </c>
      <c r="F227" s="62">
        <f>表2_3671626293034567[[#This Row],[累计净值]]-0.0607</f>
        <v>1.0846</v>
      </c>
      <c r="G227" s="20">
        <f>表2_3671626293034567[[#This Row],[累计净值]]/$B$22-1</f>
        <v>0.13790362642821674</v>
      </c>
    </row>
    <row r="228" spans="1:7">
      <c r="A228" s="55">
        <v>44019</v>
      </c>
      <c r="B228" s="112">
        <v>1.1459999999999999</v>
      </c>
      <c r="C228" s="108">
        <f t="shared" ref="C228:C234" si="60">IFERROR(B228-B227,0)</f>
        <v>6.9999999999992291E-4</v>
      </c>
      <c r="D228" s="109" t="str">
        <f t="shared" ref="D228:D234" si="61">IF(C228&lt;0,C228,"/")</f>
        <v>/</v>
      </c>
      <c r="E228" s="109">
        <f ca="1">IF(表2_3671626293034567[[#This Row],[累计净值]]/MAX(INDIRECT("B21:B" &amp; ROW()))-1&lt;E227,表2_3671626293034567[[#This Row],[累计净值]]/MAX(INDIRECT("B21:B" &amp; ROW()))-1,E227)</f>
        <v>-2.5203567274137306E-2</v>
      </c>
      <c r="F228" s="62">
        <f>表2_3671626293034567[[#This Row],[累计净值]]-0.0607</f>
        <v>1.0852999999999999</v>
      </c>
      <c r="G228" s="20">
        <f>表2_3671626293034567[[#This Row],[累计净值]]/$B$22-1</f>
        <v>0.13859910581222046</v>
      </c>
    </row>
    <row r="229" spans="1:7">
      <c r="A229" s="55">
        <v>44020</v>
      </c>
      <c r="B229" s="112">
        <v>1.1561999999999999</v>
      </c>
      <c r="C229" s="108">
        <f t="shared" si="60"/>
        <v>1.0199999999999987E-2</v>
      </c>
      <c r="D229" s="109" t="str">
        <f t="shared" si="61"/>
        <v>/</v>
      </c>
      <c r="E229" s="109">
        <f ca="1">IF(表2_3671626293034567[[#This Row],[累计净值]]/MAX(INDIRECT("B21:B" &amp; ROW()))-1&lt;E228,表2_3671626293034567[[#This Row],[累计净值]]/MAX(INDIRECT("B21:B" &amp; ROW()))-1,E228)</f>
        <v>-2.5203567274137306E-2</v>
      </c>
      <c r="F229" s="62">
        <f>表2_3671626293034567[[#This Row],[累计净值]]-0.0607</f>
        <v>1.0954999999999999</v>
      </c>
      <c r="G229" s="20">
        <f>表2_3671626293034567[[#This Row],[累计净值]]/$B$22-1</f>
        <v>0.14873323397913563</v>
      </c>
    </row>
    <row r="230" spans="1:7">
      <c r="A230" s="55">
        <v>44021</v>
      </c>
      <c r="B230" s="112">
        <v>1.1626000000000001</v>
      </c>
      <c r="C230" s="108">
        <f t="shared" si="60"/>
        <v>6.4000000000001833E-3</v>
      </c>
      <c r="D230" s="109" t="str">
        <f t="shared" si="61"/>
        <v>/</v>
      </c>
      <c r="E230" s="109">
        <f ca="1">IF(表2_3671626293034567[[#This Row],[累计净值]]/MAX(INDIRECT("B21:B" &amp; ROW()))-1&lt;E229,表2_3671626293034567[[#This Row],[累计净值]]/MAX(INDIRECT("B21:B" &amp; ROW()))-1,E229)</f>
        <v>-2.5203567274137306E-2</v>
      </c>
      <c r="F230" s="62">
        <f>表2_3671626293034567[[#This Row],[累计净值]]-0.0607</f>
        <v>1.1019000000000001</v>
      </c>
      <c r="G230" s="20">
        <f>表2_3671626293034567[[#This Row],[累计净值]]/$B$22-1</f>
        <v>0.1550919026328863</v>
      </c>
    </row>
    <row r="231" spans="1:7">
      <c r="A231" s="55">
        <v>44022</v>
      </c>
      <c r="B231" s="112">
        <v>1.1607000000000001</v>
      </c>
      <c r="C231" s="108">
        <f t="shared" si="60"/>
        <v>-1.9000000000000128E-3</v>
      </c>
      <c r="D231" s="109">
        <f t="shared" si="61"/>
        <v>-1.9000000000000128E-3</v>
      </c>
      <c r="E231" s="109">
        <f ca="1">IF(表2_3671626293034567[[#This Row],[累计净值]]/MAX(INDIRECT("B21:B" &amp; ROW()))-1&lt;E230,表2_3671626293034567[[#This Row],[累计净值]]/MAX(INDIRECT("B21:B" &amp; ROW()))-1,E230)</f>
        <v>-2.5203567274137306E-2</v>
      </c>
      <c r="F231" s="62">
        <f>表2_3671626293034567[[#This Row],[累计净值]]-0.0607</f>
        <v>1.1000000000000001</v>
      </c>
      <c r="G231" s="20">
        <f>表2_3671626293034567[[#This Row],[累计净值]]/$B$22-1</f>
        <v>0.15320417287630406</v>
      </c>
    </row>
    <row r="232" spans="1:7">
      <c r="A232" s="55">
        <v>44025</v>
      </c>
      <c r="B232" s="112">
        <v>1.1687000000000001</v>
      </c>
      <c r="C232" s="108">
        <f t="shared" si="60"/>
        <v>8.0000000000000071E-3</v>
      </c>
      <c r="D232" s="109" t="str">
        <f t="shared" si="61"/>
        <v>/</v>
      </c>
      <c r="E232" s="109">
        <f ca="1">IF(表2_3671626293034567[[#This Row],[累计净值]]/MAX(INDIRECT("B21:B" &amp; ROW()))-1&lt;E231,表2_3671626293034567[[#This Row],[累计净值]]/MAX(INDIRECT("B21:B" &amp; ROW()))-1,E231)</f>
        <v>-2.5203567274137306E-2</v>
      </c>
      <c r="F232" s="62">
        <f>表2_3671626293034567[[#This Row],[累计净值]]-0.0607</f>
        <v>1.1080000000000001</v>
      </c>
      <c r="G232" s="20">
        <f>表2_3671626293034567[[#This Row],[累计净值]]/$B$22-1</f>
        <v>0.1611525086934924</v>
      </c>
    </row>
    <row r="233" spans="1:7">
      <c r="A233" s="55">
        <v>44026</v>
      </c>
      <c r="B233" s="76">
        <v>1.1812</v>
      </c>
      <c r="C233" s="108">
        <f t="shared" si="60"/>
        <v>1.2499999999999956E-2</v>
      </c>
      <c r="D233" s="109" t="str">
        <f t="shared" si="61"/>
        <v>/</v>
      </c>
      <c r="E233" s="109">
        <f ca="1">IF(表2_3671626293034567[[#This Row],[累计净值]]/MAX(INDIRECT("B21:B" &amp; ROW()))-1&lt;E232,表2_3671626293034567[[#This Row],[累计净值]]/MAX(INDIRECT("B21:B" &amp; ROW()))-1,E232)</f>
        <v>-2.5203567274137306E-2</v>
      </c>
      <c r="F233" s="62">
        <f>表2_3671626293034567[[#This Row],[累计净值]]-0.0607</f>
        <v>1.1205000000000001</v>
      </c>
      <c r="G233" s="20">
        <f>表2_3671626293034567[[#This Row],[累计净值]]/$B$22-1</f>
        <v>0.17357178340784896</v>
      </c>
    </row>
    <row r="234" spans="1:7">
      <c r="A234" s="55">
        <v>44027</v>
      </c>
      <c r="B234" s="112">
        <v>1.1765000000000001</v>
      </c>
      <c r="C234" s="108">
        <f t="shared" si="60"/>
        <v>-4.6999999999999265E-3</v>
      </c>
      <c r="D234" s="109">
        <f t="shared" si="61"/>
        <v>-4.6999999999999265E-3</v>
      </c>
      <c r="E234" s="109">
        <f ca="1">IF(表2_3671626293034567[[#This Row],[累计净值]]/MAX(INDIRECT("B21:B" &amp; ROW()))-1&lt;E233,表2_3671626293034567[[#This Row],[累计净值]]/MAX(INDIRECT("B21:B" &amp; ROW()))-1,E233)</f>
        <v>-2.5203567274137306E-2</v>
      </c>
      <c r="F234" s="62">
        <f>表2_3671626293034567[[#This Row],[累计净值]]-0.0607</f>
        <v>1.1158000000000001</v>
      </c>
      <c r="G234" s="20">
        <f>表2_3671626293034567[[#This Row],[累计净值]]/$B$22-1</f>
        <v>0.16890213611525096</v>
      </c>
    </row>
    <row r="235" spans="1:7">
      <c r="A235" s="55">
        <v>44028</v>
      </c>
      <c r="B235" s="112">
        <v>1.1775</v>
      </c>
      <c r="C235" s="108">
        <f t="shared" ref="C235:C241" si="62">IFERROR(B235-B234,0)</f>
        <v>9.9999999999988987E-4</v>
      </c>
      <c r="D235" s="109" t="str">
        <f t="shared" ref="D235:D241" si="63">IF(C235&lt;0,C235,"/")</f>
        <v>/</v>
      </c>
      <c r="E235" s="109">
        <f ca="1">IF(表2_3671626293034567[[#This Row],[累计净值]]/MAX(INDIRECT("B21:B" &amp; ROW()))-1&lt;E234,表2_3671626293034567[[#This Row],[累计净值]]/MAX(INDIRECT("B21:B" &amp; ROW()))-1,E234)</f>
        <v>-2.5203567274137306E-2</v>
      </c>
      <c r="F235" s="62">
        <f>表2_3671626293034567[[#This Row],[累计净值]]-0.0607</f>
        <v>1.1168</v>
      </c>
      <c r="G235" s="20">
        <f>表2_3671626293034567[[#This Row],[累计净值]]/$B$22-1</f>
        <v>0.16989567809239947</v>
      </c>
    </row>
    <row r="236" spans="1:7">
      <c r="A236" s="55">
        <v>44029</v>
      </c>
      <c r="B236" s="112">
        <v>1.1847000000000001</v>
      </c>
      <c r="C236" s="108">
        <f t="shared" si="62"/>
        <v>7.2000000000000952E-3</v>
      </c>
      <c r="D236" s="109" t="str">
        <f t="shared" si="63"/>
        <v>/</v>
      </c>
      <c r="E236" s="109">
        <f ca="1">IF(表2_3671626293034567[[#This Row],[累计净值]]/MAX(INDIRECT("B21:B" &amp; ROW()))-1&lt;E235,表2_3671626293034567[[#This Row],[累计净值]]/MAX(INDIRECT("B21:B" &amp; ROW()))-1,E235)</f>
        <v>-2.5203567274137306E-2</v>
      </c>
      <c r="F236" s="62">
        <f>表2_3671626293034567[[#This Row],[累计净值]]-0.0607</f>
        <v>1.1240000000000001</v>
      </c>
      <c r="G236" s="20">
        <f>表2_3671626293034567[[#This Row],[累计净值]]/$B$22-1</f>
        <v>0.17704918032786909</v>
      </c>
    </row>
    <row r="237" spans="1:7">
      <c r="A237" s="55">
        <v>44032</v>
      </c>
      <c r="B237" s="112">
        <v>1.1970000000000001</v>
      </c>
      <c r="C237" s="108">
        <f t="shared" si="62"/>
        <v>1.2299999999999978E-2</v>
      </c>
      <c r="D237" s="109" t="str">
        <f t="shared" si="63"/>
        <v>/</v>
      </c>
      <c r="E237" s="109">
        <f ca="1">IF(表2_3671626293034567[[#This Row],[累计净值]]/MAX(INDIRECT("B21:B" &amp; ROW()))-1&lt;E236,表2_3671626293034567[[#This Row],[累计净值]]/MAX(INDIRECT("B21:B" &amp; ROW()))-1,E236)</f>
        <v>-2.5203567274137306E-2</v>
      </c>
      <c r="F237" s="62">
        <f>表2_3671626293034567[[#This Row],[累计净值]]-0.0607</f>
        <v>1.1363000000000001</v>
      </c>
      <c r="G237" s="20">
        <f>表2_3671626293034567[[#This Row],[累计净值]]/$B$22-1</f>
        <v>0.18926974664679586</v>
      </c>
    </row>
    <row r="238" spans="1:7">
      <c r="A238" s="55">
        <v>44033</v>
      </c>
      <c r="B238" s="76">
        <v>1.2004999999999999</v>
      </c>
      <c r="C238" s="108">
        <f t="shared" si="62"/>
        <v>3.4999999999998366E-3</v>
      </c>
      <c r="D238" s="109" t="str">
        <f t="shared" si="63"/>
        <v>/</v>
      </c>
      <c r="E238" s="109">
        <f ca="1">IF(表2_3671626293034567[[#This Row],[累计净值]]/MAX(INDIRECT("B21:B" &amp; ROW()))-1&lt;E237,表2_3671626293034567[[#This Row],[累计净值]]/MAX(INDIRECT("B21:B" &amp; ROW()))-1,E237)</f>
        <v>-2.5203567274137306E-2</v>
      </c>
      <c r="F238" s="62">
        <f>表2_3671626293034567[[#This Row],[累计净值]]-0.0607</f>
        <v>1.1397999999999999</v>
      </c>
      <c r="G238" s="20">
        <f>表2_3671626293034567[[#This Row],[累计净值]]/$B$22-1</f>
        <v>0.19274714356681555</v>
      </c>
    </row>
    <row r="239" spans="1:7">
      <c r="A239" s="55">
        <v>44034</v>
      </c>
      <c r="B239" s="112">
        <v>1.1972</v>
      </c>
      <c r="C239" s="108">
        <f t="shared" si="62"/>
        <v>-3.2999999999998586E-3</v>
      </c>
      <c r="D239" s="109">
        <f t="shared" si="63"/>
        <v>-3.2999999999998586E-3</v>
      </c>
      <c r="E239" s="109">
        <f ca="1">IF(表2_3671626293034567[[#This Row],[累计净值]]/MAX(INDIRECT("B21:B" &amp; ROW()))-1&lt;E238,表2_3671626293034567[[#This Row],[累计净值]]/MAX(INDIRECT("B21:B" &amp; ROW()))-1,E238)</f>
        <v>-2.5203567274137306E-2</v>
      </c>
      <c r="F239" s="62">
        <f>表2_3671626293034567[[#This Row],[累计净值]]-0.0607</f>
        <v>1.1365000000000001</v>
      </c>
      <c r="G239" s="20">
        <f>表2_3671626293034567[[#This Row],[累计净值]]/$B$22-1</f>
        <v>0.18946845504222565</v>
      </c>
    </row>
    <row r="240" spans="1:7">
      <c r="A240" s="55">
        <v>44035</v>
      </c>
      <c r="B240" s="112">
        <v>1.1992</v>
      </c>
      <c r="C240" s="108">
        <f t="shared" si="62"/>
        <v>2.0000000000000018E-3</v>
      </c>
      <c r="D240" s="109" t="str">
        <f t="shared" si="63"/>
        <v>/</v>
      </c>
      <c r="E240" s="109">
        <f ca="1">IF(表2_3671626293034567[[#This Row],[累计净值]]/MAX(INDIRECT("B21:B" &amp; ROW()))-1&lt;E239,表2_3671626293034567[[#This Row],[累计净值]]/MAX(INDIRECT("B21:B" &amp; ROW()))-1,E239)</f>
        <v>-2.5203567274137306E-2</v>
      </c>
      <c r="F240" s="62">
        <f>表2_3671626293034567[[#This Row],[累计净值]]-0.0607</f>
        <v>1.1385000000000001</v>
      </c>
      <c r="G240" s="20">
        <f>表2_3671626293034567[[#This Row],[累计净值]]/$B$22-1</f>
        <v>0.19145553899652268</v>
      </c>
    </row>
    <row r="241" spans="1:9">
      <c r="A241" s="55">
        <v>44036</v>
      </c>
      <c r="B241" s="112">
        <v>1.1975</v>
      </c>
      <c r="C241" s="108">
        <f t="shared" si="62"/>
        <v>-1.7000000000000348E-3</v>
      </c>
      <c r="D241" s="109">
        <f t="shared" si="63"/>
        <v>-1.7000000000000348E-3</v>
      </c>
      <c r="E241" s="109">
        <f ca="1">IF(表2_3671626293034567[[#This Row],[累计净值]]/MAX(INDIRECT("B21:B" &amp; ROW()))-1&lt;E240,表2_3671626293034567[[#This Row],[累计净值]]/MAX(INDIRECT("B21:B" &amp; ROW()))-1,E240)</f>
        <v>-2.5203567274137306E-2</v>
      </c>
      <c r="F241" s="62">
        <f>表2_3671626293034567[[#This Row],[累计净值]]-0.0607</f>
        <v>1.1368</v>
      </c>
      <c r="G241" s="20">
        <f>表2_3671626293034567[[#This Row],[累计净值]]/$B$22-1</f>
        <v>0.18976651763537022</v>
      </c>
    </row>
    <row r="242" spans="1:9">
      <c r="A242" s="55">
        <v>44039</v>
      </c>
      <c r="B242" s="112">
        <v>1.2041999999999999</v>
      </c>
      <c r="C242" s="108">
        <f t="shared" ref="C242:C247" si="64">IFERROR(B242-B241,0)</f>
        <v>6.6999999999999282E-3</v>
      </c>
      <c r="D242" s="109" t="str">
        <f t="shared" ref="D242:D247" si="65">IF(C242&lt;0,C242,"/")</f>
        <v>/</v>
      </c>
      <c r="E242" s="109">
        <f ca="1">IF(表2_3671626293034567[[#This Row],[累计净值]]/MAX(INDIRECT("B21:B" &amp; ROW()))-1&lt;E241,表2_3671626293034567[[#This Row],[累计净值]]/MAX(INDIRECT("B21:B" &amp; ROW()))-1,E241)</f>
        <v>-2.5203567274137306E-2</v>
      </c>
      <c r="F242" s="62">
        <v>1.04</v>
      </c>
      <c r="G242" s="20">
        <f>表2_3671626293034567[[#This Row],[累计净值]]/$B$22-1</f>
        <v>0.19642324888226526</v>
      </c>
      <c r="I242" s="60">
        <f>表2_3671626293034567[[#This Row],[累计净值]]-表2_3671626293034567[[#This Row],[单位净值]]</f>
        <v>0.1641999999999999</v>
      </c>
    </row>
    <row r="243" spans="1:9">
      <c r="A243" s="55">
        <v>44040</v>
      </c>
      <c r="B243" s="76">
        <v>1.2110000000000001</v>
      </c>
      <c r="C243" s="108">
        <f t="shared" si="64"/>
        <v>6.8000000000001393E-3</v>
      </c>
      <c r="D243" s="109" t="str">
        <f t="shared" si="65"/>
        <v>/</v>
      </c>
      <c r="E243" s="109">
        <f ca="1">IF(表2_3671626293034567[[#This Row],[累计净值]]/MAX(INDIRECT("B21:B" &amp; ROW()))-1&lt;E242,表2_3671626293034567[[#This Row],[累计净值]]/MAX(INDIRECT("B21:B" &amp; ROW()))-1,E242)</f>
        <v>-2.5203567274137306E-2</v>
      </c>
      <c r="F243" s="110">
        <f>表2_3671626293034567[[#This Row],[累计净值]]-$I$242</f>
        <v>1.0468000000000002</v>
      </c>
      <c r="G243" s="20">
        <f>表2_3671626293034567[[#This Row],[累计净值]]/$B$22-1</f>
        <v>0.20317933432687552</v>
      </c>
    </row>
    <row r="244" spans="1:9">
      <c r="A244" s="55">
        <v>44041</v>
      </c>
      <c r="B244" s="112">
        <v>1.2057</v>
      </c>
      <c r="C244" s="108">
        <f t="shared" si="64"/>
        <v>-5.3000000000000824E-3</v>
      </c>
      <c r="D244" s="109">
        <f t="shared" si="65"/>
        <v>-5.3000000000000824E-3</v>
      </c>
      <c r="E244" s="109">
        <f ca="1">IF(表2_3671626293034567[[#This Row],[累计净值]]/MAX(INDIRECT("B21:B" &amp; ROW()))-1&lt;E243,表2_3671626293034567[[#This Row],[累计净值]]/MAX(INDIRECT("B21:B" &amp; ROW()))-1,E243)</f>
        <v>-2.5203567274137306E-2</v>
      </c>
      <c r="F244" s="110">
        <f>表2_3671626293034567[[#This Row],[累计净值]]-$I$242</f>
        <v>1.0415000000000001</v>
      </c>
      <c r="G244" s="20">
        <f>表2_3671626293034567[[#This Row],[累计净值]]/$B$22-1</f>
        <v>0.19791356184798814</v>
      </c>
    </row>
    <row r="245" spans="1:9">
      <c r="A245" s="55">
        <v>44042</v>
      </c>
      <c r="B245" s="112">
        <v>1.2056</v>
      </c>
      <c r="C245" s="108">
        <f t="shared" si="64"/>
        <v>-9.9999999999988987E-5</v>
      </c>
      <c r="D245" s="109">
        <f t="shared" si="65"/>
        <v>-9.9999999999988987E-5</v>
      </c>
      <c r="E245" s="109">
        <f ca="1">IF(表2_3671626293034567[[#This Row],[累计净值]]/MAX(INDIRECT("B21:B" &amp; ROW()))-1&lt;E244,表2_3671626293034567[[#This Row],[累计净值]]/MAX(INDIRECT("B21:B" &amp; ROW()))-1,E244)</f>
        <v>-2.5203567274137306E-2</v>
      </c>
      <c r="F245" s="110">
        <f>表2_3671626293034567[[#This Row],[累计净值]]-$I$242</f>
        <v>1.0414000000000001</v>
      </c>
      <c r="G245" s="20">
        <f>表2_3671626293034567[[#This Row],[累计净值]]/$B$22-1</f>
        <v>0.19781420765027335</v>
      </c>
    </row>
    <row r="246" spans="1:9">
      <c r="A246" s="55">
        <v>44043</v>
      </c>
      <c r="B246" s="112">
        <v>1.2091000000000001</v>
      </c>
      <c r="C246" s="108">
        <f t="shared" si="64"/>
        <v>3.5000000000000586E-3</v>
      </c>
      <c r="D246" s="109" t="str">
        <f t="shared" si="65"/>
        <v>/</v>
      </c>
      <c r="E246" s="109">
        <f ca="1">IF(表2_3671626293034567[[#This Row],[累计净值]]/MAX(INDIRECT("B21:B" &amp; ROW()))-1&lt;E245,表2_3671626293034567[[#This Row],[累计净值]]/MAX(INDIRECT("B21:B" &amp; ROW()))-1,E245)</f>
        <v>-2.5203567274137306E-2</v>
      </c>
      <c r="F246" s="110">
        <f>表2_3671626293034567[[#This Row],[累计净值]]-$I$242</f>
        <v>1.0449000000000002</v>
      </c>
      <c r="G246" s="20">
        <f>表2_3671626293034567[[#This Row],[累计净值]]/$B$22-1</f>
        <v>0.20129160457029327</v>
      </c>
    </row>
    <row r="247" spans="1:9">
      <c r="A247" s="55">
        <v>44046</v>
      </c>
      <c r="B247" s="112">
        <v>1.2109000000000001</v>
      </c>
      <c r="C247" s="108">
        <f t="shared" si="64"/>
        <v>1.8000000000000238E-3</v>
      </c>
      <c r="D247" s="109" t="str">
        <f t="shared" si="65"/>
        <v>/</v>
      </c>
      <c r="E247" s="109">
        <f ca="1">IF(表2_3671626293034567[[#This Row],[累计净值]]/MAX(INDIRECT("B21:B" &amp; ROW()))-1&lt;E246,表2_3671626293034567[[#This Row],[累计净值]]/MAX(INDIRECT("B21:B" &amp; ROW()))-1,E246)</f>
        <v>-2.5203567274137306E-2</v>
      </c>
      <c r="F247" s="110">
        <f>表2_3671626293034567[[#This Row],[累计净值]]-$I$242</f>
        <v>1.0467000000000002</v>
      </c>
      <c r="G247" s="20">
        <f>表2_3671626293034567[[#This Row],[累计净值]]/$B$22-1</f>
        <v>0.20307998012916051</v>
      </c>
    </row>
    <row r="248" spans="1:9">
      <c r="A248" s="55">
        <v>44047</v>
      </c>
      <c r="B248" s="112">
        <v>1.2093</v>
      </c>
      <c r="C248" s="108">
        <f t="shared" ref="C248:C253" si="66">IFERROR(B248-B247,0)</f>
        <v>-1.6000000000000458E-3</v>
      </c>
      <c r="D248" s="109">
        <f t="shared" ref="D248:D253" si="67">IF(C248&lt;0,C248,"/")</f>
        <v>-1.6000000000000458E-3</v>
      </c>
      <c r="E248" s="109">
        <f ca="1">IF(表2_3671626293034567[[#This Row],[累计净值]]/MAX(INDIRECT("B21:B" &amp; ROW()))-1&lt;E247,表2_3671626293034567[[#This Row],[累计净值]]/MAX(INDIRECT("B21:B" &amp; ROW()))-1,E247)</f>
        <v>-2.5203567274137306E-2</v>
      </c>
      <c r="F248" s="110">
        <f>表2_3671626293034567[[#This Row],[累计净值]]-$I$242</f>
        <v>1.0451000000000001</v>
      </c>
      <c r="G248" s="20">
        <f>表2_3671626293034567[[#This Row],[累计净值]]/$B$22-1</f>
        <v>0.20149031296572284</v>
      </c>
    </row>
    <row r="249" spans="1:9">
      <c r="A249" s="55">
        <v>44048</v>
      </c>
      <c r="B249" s="112">
        <v>1.2151000000000001</v>
      </c>
      <c r="C249" s="108">
        <f t="shared" si="66"/>
        <v>5.8000000000000274E-3</v>
      </c>
      <c r="D249" s="109" t="str">
        <f t="shared" si="67"/>
        <v>/</v>
      </c>
      <c r="E249" s="109">
        <f ca="1">IF(表2_3671626293034567[[#This Row],[累计净值]]/MAX(INDIRECT("B21:B" &amp; ROW()))-1&lt;E248,表2_3671626293034567[[#This Row],[累计净值]]/MAX(INDIRECT("B21:B" &amp; ROW()))-1,E248)</f>
        <v>-2.5203567274137306E-2</v>
      </c>
      <c r="F249" s="110">
        <f>表2_3671626293034567[[#This Row],[累计净值]]-$I$242</f>
        <v>1.0509000000000002</v>
      </c>
      <c r="G249" s="20">
        <f>表2_3671626293034567[[#This Row],[累计净值]]/$B$22-1</f>
        <v>0.20725285643318436</v>
      </c>
    </row>
    <row r="250" spans="1:9">
      <c r="A250" s="55">
        <v>44049</v>
      </c>
      <c r="B250" s="112">
        <v>1.2172000000000001</v>
      </c>
      <c r="C250" s="108">
        <f t="shared" si="66"/>
        <v>2.0999999999999908E-3</v>
      </c>
      <c r="D250" s="109" t="str">
        <f t="shared" si="67"/>
        <v>/</v>
      </c>
      <c r="E250" s="109">
        <f ca="1">IF(表2_3671626293034567[[#This Row],[累计净值]]/MAX(INDIRECT("B21:B" &amp; ROW()))-1&lt;E249,表2_3671626293034567[[#This Row],[累计净值]]/MAX(INDIRECT("B21:B" &amp; ROW()))-1,E249)</f>
        <v>-2.5203567274137306E-2</v>
      </c>
      <c r="F250" s="110">
        <f>表2_3671626293034567[[#This Row],[累计净值]]-$I$242</f>
        <v>1.0530000000000002</v>
      </c>
      <c r="G250" s="20">
        <f>表2_3671626293034567[[#This Row],[累计净值]]/$B$22-1</f>
        <v>0.2093392945851964</v>
      </c>
    </row>
    <row r="251" spans="1:9">
      <c r="A251" s="55">
        <v>44050</v>
      </c>
      <c r="B251" s="112">
        <v>1.2170000000000001</v>
      </c>
      <c r="C251" s="108">
        <f t="shared" si="66"/>
        <v>-1.9999999999997797E-4</v>
      </c>
      <c r="D251" s="109">
        <f t="shared" si="67"/>
        <v>-1.9999999999997797E-4</v>
      </c>
      <c r="E251" s="109">
        <f ca="1">IF(表2_3671626293034567[[#This Row],[累计净值]]/MAX(INDIRECT("B21:B" &amp; ROW()))-1&lt;E250,表2_3671626293034567[[#This Row],[累计净值]]/MAX(INDIRECT("B21:B" &amp; ROW()))-1,E250)</f>
        <v>-2.5203567274137306E-2</v>
      </c>
      <c r="F251" s="110">
        <f>表2_3671626293034567[[#This Row],[累计净值]]-$I$242</f>
        <v>1.0528000000000002</v>
      </c>
      <c r="G251" s="20">
        <f>表2_3671626293034567[[#This Row],[累计净值]]/$B$22-1</f>
        <v>0.20914058618976661</v>
      </c>
    </row>
    <row r="252" spans="1:9">
      <c r="A252" s="55">
        <v>44053</v>
      </c>
      <c r="B252" s="112">
        <v>1.2133</v>
      </c>
      <c r="C252" s="108">
        <f t="shared" si="66"/>
        <v>-3.7000000000000366E-3</v>
      </c>
      <c r="D252" s="109">
        <f t="shared" si="67"/>
        <v>-3.7000000000000366E-3</v>
      </c>
      <c r="E252" s="109">
        <f ca="1">IF(表2_3671626293034567[[#This Row],[累计净值]]/MAX(INDIRECT("B21:B" &amp; ROW()))-1&lt;E251,表2_3671626293034567[[#This Row],[累计净值]]/MAX(INDIRECT("B21:B" &amp; ROW()))-1,E251)</f>
        <v>-2.5203567274137306E-2</v>
      </c>
      <c r="F252" s="110">
        <f>表2_3671626293034567[[#This Row],[累计净值]]-$I$242</f>
        <v>1.0491000000000001</v>
      </c>
      <c r="G252" s="20">
        <f>表2_3671626293034567[[#This Row],[累计净值]]/$B$22-1</f>
        <v>0.20546448087431712</v>
      </c>
    </row>
    <row r="253" spans="1:9">
      <c r="A253" s="55">
        <v>44054</v>
      </c>
      <c r="B253" s="112">
        <v>1.2154</v>
      </c>
      <c r="C253" s="108">
        <f t="shared" si="66"/>
        <v>2.0999999999999908E-3</v>
      </c>
      <c r="D253" s="109" t="str">
        <f t="shared" si="67"/>
        <v>/</v>
      </c>
      <c r="E253" s="109">
        <f ca="1">IF(表2_3671626293034567[[#This Row],[累计净值]]/MAX(INDIRECT("B21:B" &amp; ROW()))-1&lt;E252,表2_3671626293034567[[#This Row],[累计净值]]/MAX(INDIRECT("B21:B" &amp; ROW()))-1,E252)</f>
        <v>-2.5203567274137306E-2</v>
      </c>
      <c r="F253" s="110">
        <f>表2_3671626293034567[[#This Row],[累计净值]]-$I$242</f>
        <v>1.0512000000000001</v>
      </c>
      <c r="G253" s="20">
        <f>表2_3671626293034567[[#This Row],[累计净值]]/$B$22-1</f>
        <v>0.20755091902632894</v>
      </c>
    </row>
    <row r="254" spans="1:9">
      <c r="A254" s="55">
        <v>44055</v>
      </c>
      <c r="B254" s="112">
        <v>1.2165999999999999</v>
      </c>
      <c r="C254" s="108">
        <f t="shared" ref="C254:C260" si="68">IFERROR(B254-B253,0)</f>
        <v>1.1999999999998678E-3</v>
      </c>
      <c r="D254" s="109" t="str">
        <f t="shared" ref="D254:D260" si="69">IF(C254&lt;0,C254,"/")</f>
        <v>/</v>
      </c>
      <c r="E254" s="109">
        <f ca="1">IF(表2_3671626293034567[[#This Row],[累计净值]]/MAX(INDIRECT("B21:B" &amp; ROW()))-1&lt;E253,表2_3671626293034567[[#This Row],[累计净值]]/MAX(INDIRECT("B21:B" &amp; ROW()))-1,E253)</f>
        <v>-2.5203567274137306E-2</v>
      </c>
      <c r="F254" s="110">
        <f>表2_3671626293034567[[#This Row],[累计净值]]-$I$242</f>
        <v>1.0524</v>
      </c>
      <c r="G254" s="20">
        <f>表2_3671626293034567[[#This Row],[累计净值]]/$B$22-1</f>
        <v>0.20874316939890702</v>
      </c>
    </row>
    <row r="255" spans="1:9">
      <c r="A255" s="55">
        <v>44056</v>
      </c>
      <c r="B255" s="112">
        <v>1.2155</v>
      </c>
      <c r="C255" s="108">
        <f t="shared" si="68"/>
        <v>-1.0999999999998789E-3</v>
      </c>
      <c r="D255" s="109">
        <f t="shared" si="69"/>
        <v>-1.0999999999998789E-3</v>
      </c>
      <c r="E255" s="109">
        <f ca="1">IF(表2_3671626293034567[[#This Row],[累计净值]]/MAX(INDIRECT("B21:B" &amp; ROW()))-1&lt;E254,表2_3671626293034567[[#This Row],[累计净值]]/MAX(INDIRECT("B21:B" &amp; ROW()))-1,E254)</f>
        <v>-2.5203567274137306E-2</v>
      </c>
      <c r="F255" s="110">
        <f>表2_3671626293034567[[#This Row],[累计净值]]-$I$242</f>
        <v>1.0513000000000001</v>
      </c>
      <c r="G255" s="20">
        <f>表2_3671626293034567[[#This Row],[累计净值]]/$B$22-1</f>
        <v>0.20765027322404372</v>
      </c>
    </row>
    <row r="256" spans="1:9">
      <c r="A256" s="55">
        <v>44057</v>
      </c>
      <c r="B256" s="112">
        <v>1.2154</v>
      </c>
      <c r="C256" s="108">
        <f t="shared" si="68"/>
        <v>-9.9999999999988987E-5</v>
      </c>
      <c r="D256" s="109">
        <f t="shared" si="69"/>
        <v>-9.9999999999988987E-5</v>
      </c>
      <c r="E256" s="109">
        <f ca="1">IF(表2_3671626293034567[[#This Row],[累计净值]]/MAX(INDIRECT("B21:B" &amp; ROW()))-1&lt;E255,表2_3671626293034567[[#This Row],[累计净值]]/MAX(INDIRECT("B21:B" &amp; ROW()))-1,E255)</f>
        <v>-2.5203567274137306E-2</v>
      </c>
      <c r="F256" s="110">
        <f>表2_3671626293034567[[#This Row],[累计净值]]-$I$242</f>
        <v>1.0512000000000001</v>
      </c>
      <c r="G256" s="20">
        <f>表2_3671626293034567[[#This Row],[累计净值]]/$B$22-1</f>
        <v>0.20755091902632894</v>
      </c>
    </row>
    <row r="257" spans="1:7">
      <c r="A257" s="55">
        <v>44060</v>
      </c>
      <c r="B257" s="112">
        <v>1.2164999999999999</v>
      </c>
      <c r="C257" s="108">
        <f t="shared" si="68"/>
        <v>1.0999999999998789E-3</v>
      </c>
      <c r="D257" s="109" t="str">
        <f t="shared" si="69"/>
        <v>/</v>
      </c>
      <c r="E257" s="109">
        <f ca="1">IF(表2_3671626293034567[[#This Row],[累计净值]]/MAX(INDIRECT("B21:B" &amp; ROW()))-1&lt;E256,表2_3671626293034567[[#This Row],[累计净值]]/MAX(INDIRECT("B21:B" &amp; ROW()))-1,E256)</f>
        <v>-2.5203567274137306E-2</v>
      </c>
      <c r="F257" s="110">
        <f>表2_3671626293034567[[#This Row],[累计净值]]-$I$242</f>
        <v>1.0523</v>
      </c>
      <c r="G257" s="20">
        <f>表2_3671626293034567[[#This Row],[累计净值]]/$B$22-1</f>
        <v>0.20864381520119224</v>
      </c>
    </row>
    <row r="258" spans="1:7">
      <c r="A258" s="55">
        <v>44061</v>
      </c>
      <c r="B258" s="112">
        <v>1.2198</v>
      </c>
      <c r="C258" s="108">
        <f t="shared" si="68"/>
        <v>3.3000000000000806E-3</v>
      </c>
      <c r="D258" s="109" t="str">
        <f t="shared" si="69"/>
        <v>/</v>
      </c>
      <c r="E258" s="109">
        <f ca="1">IF(表2_3671626293034567[[#This Row],[累计净值]]/MAX(INDIRECT("B21:B" &amp; ROW()))-1&lt;E257,表2_3671626293034567[[#This Row],[累计净值]]/MAX(INDIRECT("B21:B" &amp; ROW()))-1,E257)</f>
        <v>-2.5203567274137306E-2</v>
      </c>
      <c r="F258" s="110">
        <f>表2_3671626293034567[[#This Row],[累计净值]]-$I$242</f>
        <v>1.0556000000000001</v>
      </c>
      <c r="G258" s="20">
        <f>表2_3671626293034567[[#This Row],[累计净值]]/$B$22-1</f>
        <v>0.21192250372578236</v>
      </c>
    </row>
    <row r="259" spans="1:7">
      <c r="A259" s="55">
        <v>44062</v>
      </c>
      <c r="B259" s="112">
        <v>1.2183999999999999</v>
      </c>
      <c r="C259" s="108">
        <f t="shared" si="68"/>
        <v>-1.4000000000000679E-3</v>
      </c>
      <c r="D259" s="109">
        <f t="shared" si="69"/>
        <v>-1.4000000000000679E-3</v>
      </c>
      <c r="E259" s="109">
        <f ca="1">IF(表2_3671626293034567[[#This Row],[累计净值]]/MAX(INDIRECT("B21:B" &amp; ROW()))-1&lt;E258,表2_3671626293034567[[#This Row],[累计净值]]/MAX(INDIRECT("B21:B" &amp; ROW()))-1,E258)</f>
        <v>-2.5203567274137306E-2</v>
      </c>
      <c r="F259" s="110">
        <f>表2_3671626293034567[[#This Row],[累计净值]]-$I$242</f>
        <v>1.0542</v>
      </c>
      <c r="G259" s="20">
        <f>表2_3671626293034567[[#This Row],[累计净值]]/$B$22-1</f>
        <v>0.21053154495777449</v>
      </c>
    </row>
    <row r="260" spans="1:7">
      <c r="A260" s="55">
        <v>44063</v>
      </c>
      <c r="B260" s="112">
        <v>1.2185999999999999</v>
      </c>
      <c r="C260" s="108">
        <f t="shared" si="68"/>
        <v>1.9999999999997797E-4</v>
      </c>
      <c r="D260" s="109" t="str">
        <f t="shared" si="69"/>
        <v>/</v>
      </c>
      <c r="E260" s="109">
        <f ca="1">IF(表2_3671626293034567[[#This Row],[累计净值]]/MAX(INDIRECT("B21:B" &amp; ROW()))-1&lt;E259,表2_3671626293034567[[#This Row],[累计净值]]/MAX(INDIRECT("B21:B" &amp; ROW()))-1,E259)</f>
        <v>-2.5203567274137306E-2</v>
      </c>
      <c r="F260" s="110">
        <f>表2_3671626293034567[[#This Row],[累计净值]]-$I$242</f>
        <v>1.0544</v>
      </c>
      <c r="G260" s="20">
        <f>表2_3671626293034567[[#This Row],[累计净值]]/$B$22-1</f>
        <v>0.21073025335320406</v>
      </c>
    </row>
    <row r="261" spans="1:7">
      <c r="A261" s="55">
        <v>44064</v>
      </c>
      <c r="B261" s="112">
        <v>1.2239</v>
      </c>
      <c r="C261" s="108">
        <f t="shared" ref="C261:C266" si="70">IFERROR(B261-B260,0)</f>
        <v>5.3000000000000824E-3</v>
      </c>
      <c r="D261" s="109" t="str">
        <f t="shared" ref="D261:D266" si="71">IF(C261&lt;0,C261,"/")</f>
        <v>/</v>
      </c>
      <c r="E261" s="109">
        <f ca="1">IF(表2_3671626293034567[[#This Row],[累计净值]]/MAX(INDIRECT("B21:B" &amp; ROW()))-1&lt;E260,表2_3671626293034567[[#This Row],[累计净值]]/MAX(INDIRECT("B21:B" &amp; ROW()))-1,E260)</f>
        <v>-2.5203567274137306E-2</v>
      </c>
      <c r="F261" s="110">
        <f>表2_3671626293034567[[#This Row],[累计净值]]-$I$242</f>
        <v>1.0597000000000001</v>
      </c>
      <c r="G261" s="20">
        <f>表2_3671626293034567[[#This Row],[累计净值]]/$B$22-1</f>
        <v>0.21599602583209143</v>
      </c>
    </row>
    <row r="262" spans="1:7">
      <c r="A262" s="55">
        <v>44067</v>
      </c>
      <c r="B262" s="112">
        <v>1.2270000000000001</v>
      </c>
      <c r="C262" s="108">
        <f t="shared" si="70"/>
        <v>3.1000000000001027E-3</v>
      </c>
      <c r="D262" s="109" t="str">
        <f t="shared" si="71"/>
        <v>/</v>
      </c>
      <c r="E262" s="109">
        <f ca="1">IF(表2_3671626293034567[[#This Row],[累计净值]]/MAX(INDIRECT("B21:B" &amp; ROW()))-1&lt;E261,表2_3671626293034567[[#This Row],[累计净值]]/MAX(INDIRECT("B21:B" &amp; ROW()))-1,E261)</f>
        <v>-2.5203567274137306E-2</v>
      </c>
      <c r="F262" s="110">
        <f>表2_3671626293034567[[#This Row],[累计净值]]-$I$242</f>
        <v>1.0628000000000002</v>
      </c>
      <c r="G262" s="20">
        <f>表2_3671626293034567[[#This Row],[累计净值]]/$B$22-1</f>
        <v>0.21907600596125198</v>
      </c>
    </row>
    <row r="263" spans="1:7">
      <c r="A263" s="55">
        <v>44068</v>
      </c>
      <c r="B263" s="112">
        <v>1.2292000000000001</v>
      </c>
      <c r="C263" s="108">
        <f t="shared" si="70"/>
        <v>2.1999999999999797E-3</v>
      </c>
      <c r="D263" s="109" t="str">
        <f t="shared" si="71"/>
        <v>/</v>
      </c>
      <c r="E263" s="109">
        <f ca="1">IF(表2_3671626293034567[[#This Row],[累计净值]]/MAX(INDIRECT("B21:B" &amp; ROW()))-1&lt;E262,表2_3671626293034567[[#This Row],[累计净值]]/MAX(INDIRECT("B21:B" &amp; ROW()))-1,E262)</f>
        <v>-2.5203567274137306E-2</v>
      </c>
      <c r="F263" s="110">
        <f>表2_3671626293034567[[#This Row],[累计净值]]-$I$242</f>
        <v>1.0650000000000002</v>
      </c>
      <c r="G263" s="20">
        <f>表2_3671626293034567[[#This Row],[累计净值]]/$B$22-1</f>
        <v>0.22126179831097881</v>
      </c>
    </row>
    <row r="264" spans="1:7">
      <c r="A264" s="55">
        <v>44069</v>
      </c>
      <c r="B264" s="112">
        <v>1.2235</v>
      </c>
      <c r="C264" s="108">
        <f t="shared" si="70"/>
        <v>-5.7000000000000384E-3</v>
      </c>
      <c r="D264" s="109">
        <f t="shared" si="71"/>
        <v>-5.7000000000000384E-3</v>
      </c>
      <c r="E264" s="109">
        <f ca="1">IF(表2_3671626293034567[[#This Row],[累计净值]]/MAX(INDIRECT("B21:B" &amp; ROW()))-1&lt;E263,表2_3671626293034567[[#This Row],[累计净值]]/MAX(INDIRECT("B21:B" &amp; ROW()))-1,E263)</f>
        <v>-2.5203567274137306E-2</v>
      </c>
      <c r="F264" s="110">
        <f>表2_3671626293034567[[#This Row],[累计净值]]-$I$242</f>
        <v>1.0593000000000001</v>
      </c>
      <c r="G264" s="20">
        <f>表2_3671626293034567[[#This Row],[累计净值]]/$B$22-1</f>
        <v>0.21559860904123207</v>
      </c>
    </row>
    <row r="265" spans="1:7">
      <c r="A265" s="55">
        <v>44070</v>
      </c>
      <c r="B265" s="112">
        <v>1.2263999999999999</v>
      </c>
      <c r="C265" s="108">
        <f t="shared" si="70"/>
        <v>2.8999999999999027E-3</v>
      </c>
      <c r="D265" s="109" t="str">
        <f t="shared" si="71"/>
        <v>/</v>
      </c>
      <c r="E265" s="109">
        <f ca="1">IF(表2_3671626293034567[[#This Row],[累计净值]]/MAX(INDIRECT("B21:B" &amp; ROW()))-1&lt;E264,表2_3671626293034567[[#This Row],[累计净值]]/MAX(INDIRECT("B21:B" &amp; ROW()))-1,E264)</f>
        <v>-2.5203567274137306E-2</v>
      </c>
      <c r="F265" s="110">
        <f>表2_3671626293034567[[#This Row],[累计净值]]-$I$242</f>
        <v>1.0622</v>
      </c>
      <c r="G265" s="20">
        <f>表2_3671626293034567[[#This Row],[累计净值]]/$B$22-1</f>
        <v>0.21847988077496283</v>
      </c>
    </row>
    <row r="266" spans="1:7">
      <c r="A266" s="55">
        <v>44071</v>
      </c>
      <c r="B266" s="112">
        <v>1.2255</v>
      </c>
      <c r="C266" s="108">
        <f t="shared" si="70"/>
        <v>-8.9999999999990088E-4</v>
      </c>
      <c r="D266" s="109">
        <f t="shared" si="71"/>
        <v>-8.9999999999990088E-4</v>
      </c>
      <c r="E266" s="109">
        <f ca="1">IF(表2_3671626293034567[[#This Row],[累计净值]]/MAX(INDIRECT("B21:B" &amp; ROW()))-1&lt;E265,表2_3671626293034567[[#This Row],[累计净值]]/MAX(INDIRECT("B21:B" &amp; ROW()))-1,E265)</f>
        <v>-2.5203567274137306E-2</v>
      </c>
      <c r="F266" s="110">
        <f>表2_3671626293034567[[#This Row],[累计净值]]-$I$242</f>
        <v>1.0613000000000001</v>
      </c>
      <c r="G266" s="20">
        <f>表2_3671626293034567[[#This Row],[累计净值]]/$B$22-1</f>
        <v>0.2175856929955291</v>
      </c>
    </row>
    <row r="267" spans="1:7">
      <c r="A267" s="55">
        <v>44074</v>
      </c>
      <c r="B267" s="112">
        <v>1.2258</v>
      </c>
      <c r="C267" s="108">
        <f t="shared" ref="C267:C273" si="72">IFERROR(B267-B266,0)</f>
        <v>2.9999999999996696E-4</v>
      </c>
      <c r="D267" s="109" t="str">
        <f t="shared" ref="D267:D273" si="73">IF(C267&lt;0,C267,"/")</f>
        <v>/</v>
      </c>
      <c r="E267" s="109">
        <f ca="1">IF(表2_3671626293034567[[#This Row],[累计净值]]/MAX(INDIRECT("B21:B" &amp; ROW()))-1&lt;E266,表2_3671626293034567[[#This Row],[累计净值]]/MAX(INDIRECT("B21:B" &amp; ROW()))-1,E266)</f>
        <v>-2.5203567274137306E-2</v>
      </c>
      <c r="F267" s="110">
        <f>表2_3671626293034567[[#This Row],[累计净值]]-$I$242</f>
        <v>1.0616000000000001</v>
      </c>
      <c r="G267" s="20">
        <f>表2_3671626293034567[[#This Row],[累计净值]]/$B$22-1</f>
        <v>0.21788375558867368</v>
      </c>
    </row>
    <row r="268" spans="1:7">
      <c r="A268" s="55">
        <v>44075</v>
      </c>
      <c r="B268" s="112">
        <v>1.2305999999999999</v>
      </c>
      <c r="C268" s="108">
        <f t="shared" si="72"/>
        <v>4.7999999999999154E-3</v>
      </c>
      <c r="D268" s="109" t="str">
        <f t="shared" si="73"/>
        <v>/</v>
      </c>
      <c r="E268" s="109">
        <f ca="1">IF(表2_3671626293034567[[#This Row],[累计净值]]/MAX(INDIRECT("B21:B" &amp; ROW()))-1&lt;E267,表2_3671626293034567[[#This Row],[累计净值]]/MAX(INDIRECT("B21:B" &amp; ROW()))-1,E267)</f>
        <v>-2.5203567274137306E-2</v>
      </c>
      <c r="F268" s="110">
        <f>表2_3671626293034567[[#This Row],[累计净值]]-$I$242</f>
        <v>1.0664</v>
      </c>
      <c r="G268" s="20">
        <f>表2_3671626293034567[[#This Row],[累计净值]]/$B$22-1</f>
        <v>0.22265275707898646</v>
      </c>
    </row>
    <row r="269" spans="1:7">
      <c r="A269" s="55">
        <v>44076</v>
      </c>
      <c r="B269" s="76">
        <v>1.2322</v>
      </c>
      <c r="C269" s="108">
        <f t="shared" si="72"/>
        <v>1.6000000000000458E-3</v>
      </c>
      <c r="D269" s="109" t="str">
        <f t="shared" si="73"/>
        <v>/</v>
      </c>
      <c r="E269" s="109">
        <f ca="1">IF(表2_3671626293034567[[#This Row],[累计净值]]/MAX(INDIRECT("B21:B" &amp; ROW()))-1&lt;E268,表2_3671626293034567[[#This Row],[累计净值]]/MAX(INDIRECT("B21:B" &amp; ROW()))-1,E268)</f>
        <v>-2.5203567274137306E-2</v>
      </c>
      <c r="F269" s="110">
        <f>表2_3671626293034567[[#This Row],[累计净值]]-$I$242</f>
        <v>1.0680000000000001</v>
      </c>
      <c r="G269" s="20">
        <f>表2_3671626293034567[[#This Row],[累计净值]]/$B$22-1</f>
        <v>0.22424242424242435</v>
      </c>
    </row>
    <row r="270" spans="1:7">
      <c r="A270" s="55">
        <v>44077</v>
      </c>
      <c r="B270" s="112">
        <v>1.2319</v>
      </c>
      <c r="C270" s="108">
        <f t="shared" si="72"/>
        <v>-2.9999999999996696E-4</v>
      </c>
      <c r="D270" s="109">
        <f t="shared" si="73"/>
        <v>-2.9999999999996696E-4</v>
      </c>
      <c r="E270" s="109">
        <f ca="1">IF(表2_3671626293034567[[#This Row],[累计净值]]/MAX(INDIRECT("B21:B" &amp; ROW()))-1&lt;E269,表2_3671626293034567[[#This Row],[累计净值]]/MAX(INDIRECT("B21:B" &amp; ROW()))-1,E269)</f>
        <v>-2.5203567274137306E-2</v>
      </c>
      <c r="F270" s="110">
        <f>表2_3671626293034567[[#This Row],[累计净值]]-$I$242</f>
        <v>1.0677000000000001</v>
      </c>
      <c r="G270" s="20">
        <f>表2_3671626293034567[[#This Row],[累计净值]]/$B$22-1</f>
        <v>0.22394436164927978</v>
      </c>
    </row>
    <row r="271" spans="1:7">
      <c r="A271" s="55">
        <v>44078</v>
      </c>
      <c r="B271" s="112">
        <v>1.2309000000000001</v>
      </c>
      <c r="C271" s="108">
        <f t="shared" si="72"/>
        <v>-9.9999999999988987E-4</v>
      </c>
      <c r="D271" s="109">
        <f t="shared" si="73"/>
        <v>-9.9999999999988987E-4</v>
      </c>
      <c r="E271" s="109">
        <f ca="1">IF(表2_3671626293034567[[#This Row],[累计净值]]/MAX(INDIRECT("B21:B" &amp; ROW()))-1&lt;E270,表2_3671626293034567[[#This Row],[累计净值]]/MAX(INDIRECT("B21:B" &amp; ROW()))-1,E270)</f>
        <v>-2.5203567274137306E-2</v>
      </c>
      <c r="F271" s="110">
        <f>表2_3671626293034567[[#This Row],[累计净值]]-$I$242</f>
        <v>1.0667000000000002</v>
      </c>
      <c r="G271" s="20">
        <f>表2_3671626293034567[[#This Row],[累计净值]]/$B$22-1</f>
        <v>0.22295081967213126</v>
      </c>
    </row>
    <row r="272" spans="1:7">
      <c r="A272" s="55">
        <v>44081</v>
      </c>
      <c r="B272" s="112">
        <v>1.2277</v>
      </c>
      <c r="C272" s="108">
        <f t="shared" si="72"/>
        <v>-3.2000000000000917E-3</v>
      </c>
      <c r="D272" s="109">
        <f t="shared" si="73"/>
        <v>-3.2000000000000917E-3</v>
      </c>
      <c r="E272" s="109">
        <f ca="1">IF(表2_3671626293034567[[#This Row],[累计净值]]/MAX(INDIRECT("B21:B" &amp; ROW()))-1&lt;E271,表2_3671626293034567[[#This Row],[累计净值]]/MAX(INDIRECT("B21:B" &amp; ROW()))-1,E271)</f>
        <v>-2.5203567274137306E-2</v>
      </c>
      <c r="F272" s="110">
        <f>表2_3671626293034567[[#This Row],[累计净值]]-$I$242</f>
        <v>1.0635000000000001</v>
      </c>
      <c r="G272" s="20">
        <f>表2_3671626293034567[[#This Row],[累计净值]]/$B$22-1</f>
        <v>0.21977148534525592</v>
      </c>
    </row>
    <row r="273" spans="1:7">
      <c r="A273" s="55">
        <v>44082</v>
      </c>
      <c r="B273" s="112">
        <v>1.2273000000000001</v>
      </c>
      <c r="C273" s="108">
        <f t="shared" si="72"/>
        <v>-3.9999999999995595E-4</v>
      </c>
      <c r="D273" s="109">
        <f t="shared" si="73"/>
        <v>-3.9999999999995595E-4</v>
      </c>
      <c r="E273" s="109">
        <f ca="1">IF(表2_3671626293034567[[#This Row],[累计净值]]/MAX(INDIRECT("B21:B" &amp; ROW()))-1&lt;E272,表2_3671626293034567[[#This Row],[累计净值]]/MAX(INDIRECT("B21:B" &amp; ROW()))-1,E272)</f>
        <v>-2.5203567274137306E-2</v>
      </c>
      <c r="F273" s="110">
        <f>表2_3671626293034567[[#This Row],[累计净值]]-$I$242</f>
        <v>1.0631000000000002</v>
      </c>
      <c r="G273" s="20">
        <f>表2_3671626293034567[[#This Row],[累计净值]]/$B$22-1</f>
        <v>0.21937406855439656</v>
      </c>
    </row>
    <row r="274" spans="1:7">
      <c r="A274" s="55">
        <v>44083</v>
      </c>
      <c r="B274" s="112">
        <v>1.2186999999999999</v>
      </c>
      <c r="C274" s="108">
        <f t="shared" ref="C274:C279" si="74">IFERROR(B274-B273,0)</f>
        <v>-8.6000000000001631E-3</v>
      </c>
      <c r="D274" s="109">
        <f t="shared" ref="D274:D279" si="75">IF(C274&lt;0,C274,"/")</f>
        <v>-8.6000000000001631E-3</v>
      </c>
      <c r="E274" s="109">
        <f ca="1">IF(表2_3671626293034567[[#This Row],[累计净值]]/MAX(INDIRECT("B21:B" &amp; ROW()))-1&lt;E273,表2_3671626293034567[[#This Row],[累计净值]]/MAX(INDIRECT("B21:B" &amp; ROW()))-1,E273)</f>
        <v>-2.5203567274137306E-2</v>
      </c>
      <c r="F274" s="110">
        <f>表2_3671626293034567[[#This Row],[累计净值]]-$I$242</f>
        <v>1.0545</v>
      </c>
      <c r="G274" s="20">
        <f>表2_3671626293034567[[#This Row],[累计净值]]/$B$22-1</f>
        <v>0.21082960755091906</v>
      </c>
    </row>
    <row r="275" spans="1:7">
      <c r="A275" s="55">
        <v>44084</v>
      </c>
      <c r="B275" s="112">
        <v>1.2136</v>
      </c>
      <c r="C275" s="108">
        <f t="shared" si="74"/>
        <v>-5.0999999999998824E-3</v>
      </c>
      <c r="D275" s="109">
        <f t="shared" si="75"/>
        <v>-5.0999999999998824E-3</v>
      </c>
      <c r="E275" s="109">
        <f ca="1">IF(表2_3671626293034567[[#This Row],[累计净值]]/MAX(INDIRECT("B21:B" &amp; ROW()))-1&lt;E274,表2_3671626293034567[[#This Row],[累计净值]]/MAX(INDIRECT("B21:B" &amp; ROW()))-1,E274)</f>
        <v>-2.5203567274137306E-2</v>
      </c>
      <c r="F275" s="110">
        <f>表2_3671626293034567[[#This Row],[累计净值]]-$I$242</f>
        <v>1.0494000000000001</v>
      </c>
      <c r="G275" s="20">
        <f>表2_3671626293034567[[#This Row],[累计净值]]/$B$22-1</f>
        <v>0.20576254346746148</v>
      </c>
    </row>
    <row r="276" spans="1:7">
      <c r="A276" s="55">
        <v>44085</v>
      </c>
      <c r="B276" s="112">
        <v>1.2209000000000001</v>
      </c>
      <c r="C276" s="108">
        <f t="shared" si="74"/>
        <v>7.3000000000000842E-3</v>
      </c>
      <c r="D276" s="109" t="str">
        <f t="shared" si="75"/>
        <v>/</v>
      </c>
      <c r="E276" s="109">
        <f ca="1">IF(表2_3671626293034567[[#This Row],[累计净值]]/MAX(INDIRECT("B21:B" &amp; ROW()))-1&lt;E275,表2_3671626293034567[[#This Row],[累计净值]]/MAX(INDIRECT("B21:B" &amp; ROW()))-1,E275)</f>
        <v>-2.5203567274137306E-2</v>
      </c>
      <c r="F276" s="110">
        <f>表2_3671626293034567[[#This Row],[累计净值]]-$I$242</f>
        <v>1.0567000000000002</v>
      </c>
      <c r="G276" s="20">
        <f>表2_3671626293034567[[#This Row],[累计净值]]/$B$22-1</f>
        <v>0.21301539990064589</v>
      </c>
    </row>
    <row r="277" spans="1:7">
      <c r="A277" s="55">
        <v>44088</v>
      </c>
      <c r="B277" s="112">
        <v>1.2271000000000001</v>
      </c>
      <c r="C277" s="108">
        <f t="shared" si="74"/>
        <v>6.1999999999999833E-3</v>
      </c>
      <c r="D277" s="109" t="str">
        <f t="shared" si="75"/>
        <v>/</v>
      </c>
      <c r="E277" s="109">
        <f ca="1">IF(表2_3671626293034567[[#This Row],[累计净值]]/MAX(INDIRECT("B21:B" &amp; ROW()))-1&lt;E276,表2_3671626293034567[[#This Row],[累计净值]]/MAX(INDIRECT("B21:B" &amp; ROW()))-1,E276)</f>
        <v>-2.5203567274137306E-2</v>
      </c>
      <c r="F277" s="110">
        <f>表2_3671626293034567[[#This Row],[累计净值]]-$I$242</f>
        <v>1.0629000000000002</v>
      </c>
      <c r="G277" s="20">
        <f>表2_3671626293034567[[#This Row],[累计净值]]/$B$22-1</f>
        <v>0.21917536015896677</v>
      </c>
    </row>
    <row r="278" spans="1:7">
      <c r="A278" s="55">
        <v>44089</v>
      </c>
      <c r="B278" s="112">
        <v>1.2291000000000001</v>
      </c>
      <c r="C278" s="108">
        <f t="shared" si="74"/>
        <v>2.0000000000000018E-3</v>
      </c>
      <c r="D278" s="109" t="str">
        <f t="shared" si="75"/>
        <v>/</v>
      </c>
      <c r="E278" s="109">
        <f ca="1">IF(表2_3671626293034567[[#This Row],[累计净值]]/MAX(INDIRECT("B21:B" &amp; ROW()))-1&lt;E277,表2_3671626293034567[[#This Row],[累计净值]]/MAX(INDIRECT("B21:B" &amp; ROW()))-1,E277)</f>
        <v>-2.5203567274137306E-2</v>
      </c>
      <c r="F278" s="110">
        <f>表2_3671626293034567[[#This Row],[累计净值]]-$I$242</f>
        <v>1.0649000000000002</v>
      </c>
      <c r="G278" s="20">
        <f>表2_3671626293034567[[#This Row],[累计净值]]/$B$22-1</f>
        <v>0.22116244411326402</v>
      </c>
    </row>
    <row r="279" spans="1:7">
      <c r="A279" s="55">
        <v>44090</v>
      </c>
      <c r="B279" s="112">
        <v>1.2263999999999999</v>
      </c>
      <c r="C279" s="108">
        <f t="shared" si="74"/>
        <v>-2.7000000000001467E-3</v>
      </c>
      <c r="D279" s="109">
        <f t="shared" si="75"/>
        <v>-2.7000000000001467E-3</v>
      </c>
      <c r="E279" s="109">
        <f ca="1">IF(表2_3671626293034567[[#This Row],[累计净值]]/MAX(INDIRECT("B21:B" &amp; ROW()))-1&lt;E278,表2_3671626293034567[[#This Row],[累计净值]]/MAX(INDIRECT("B21:B" &amp; ROW()))-1,E278)</f>
        <v>-2.5203567274137306E-2</v>
      </c>
      <c r="F279" s="110">
        <f>表2_3671626293034567[[#This Row],[累计净值]]-$I$242</f>
        <v>1.0622</v>
      </c>
      <c r="G279" s="20">
        <f>表2_3671626293034567[[#This Row],[累计净值]]/$B$22-1</f>
        <v>0.21847988077496283</v>
      </c>
    </row>
    <row r="280" spans="1:7">
      <c r="A280" s="55">
        <v>44091</v>
      </c>
      <c r="B280" s="112">
        <v>1.2194</v>
      </c>
      <c r="C280" s="108">
        <f t="shared" ref="C280:C285" si="76">IFERROR(B280-B279,0)</f>
        <v>-6.9999999999998952E-3</v>
      </c>
      <c r="D280" s="109">
        <f t="shared" ref="D280:D285" si="77">IF(C280&lt;0,C280,"/")</f>
        <v>-6.9999999999998952E-3</v>
      </c>
      <c r="E280" s="109">
        <f ca="1">IF(表2_3671626293034567[[#This Row],[累计净值]]/MAX(INDIRECT("B21:B" &amp; ROW()))-1&lt;E279,表2_3671626293034567[[#This Row],[累计净值]]/MAX(INDIRECT("B21:B" &amp; ROW()))-1,E279)</f>
        <v>-2.5203567274137306E-2</v>
      </c>
      <c r="F280" s="110">
        <f>表2_3671626293034567[[#This Row],[累计净值]]-$I$242</f>
        <v>1.0552000000000001</v>
      </c>
      <c r="G280" s="20">
        <f>表2_3671626293034567[[#This Row],[累计净值]]/$B$22-1</f>
        <v>0.211525086934923</v>
      </c>
    </row>
    <row r="281" spans="1:7">
      <c r="A281" s="55">
        <v>44092</v>
      </c>
      <c r="B281" s="112">
        <v>1.2223999999999999</v>
      </c>
      <c r="C281" s="108">
        <f t="shared" si="76"/>
        <v>2.9999999999998916E-3</v>
      </c>
      <c r="D281" s="109" t="str">
        <f t="shared" si="77"/>
        <v>/</v>
      </c>
      <c r="E281" s="109">
        <f ca="1">IF(表2_3671626293034567[[#This Row],[累计净值]]/MAX(INDIRECT("B21:B" &amp; ROW()))-1&lt;E280,表2_3671626293034567[[#This Row],[累计净值]]/MAX(INDIRECT("B21:B" &amp; ROW()))-1,E280)</f>
        <v>-2.5203567274137306E-2</v>
      </c>
      <c r="F281" s="110">
        <f>表2_3671626293034567[[#This Row],[累计净值]]-$I$242</f>
        <v>1.0582</v>
      </c>
      <c r="G281" s="20">
        <f>表2_3671626293034567[[#This Row],[累计净值]]/$B$22-1</f>
        <v>0.21450571286636855</v>
      </c>
    </row>
    <row r="282" spans="1:7">
      <c r="A282" s="55">
        <v>44095</v>
      </c>
      <c r="B282" s="112">
        <v>1.2233000000000001</v>
      </c>
      <c r="C282" s="108">
        <f t="shared" si="76"/>
        <v>9.0000000000012292E-4</v>
      </c>
      <c r="D282" s="109" t="str">
        <f t="shared" si="77"/>
        <v>/</v>
      </c>
      <c r="E282" s="109">
        <f ca="1">IF(表2_3671626293034567[[#This Row],[累计净值]]/MAX(INDIRECT("B21:B" &amp; ROW()))-1&lt;E281,表2_3671626293034567[[#This Row],[累计净值]]/MAX(INDIRECT("B21:B" &amp; ROW()))-1,E281)</f>
        <v>-2.5203567274137306E-2</v>
      </c>
      <c r="F282" s="110">
        <f>表2_3671626293034567[[#This Row],[累计净值]]-$I$242</f>
        <v>1.0591000000000002</v>
      </c>
      <c r="G282" s="20">
        <f>表2_3671626293034567[[#This Row],[累计净值]]/$B$22-1</f>
        <v>0.2153999006458025</v>
      </c>
    </row>
    <row r="283" spans="1:7">
      <c r="A283" s="55">
        <v>44096</v>
      </c>
      <c r="B283" s="112">
        <v>1.2212000000000001</v>
      </c>
      <c r="C283" s="108">
        <f t="shared" si="76"/>
        <v>-2.0999999999999908E-3</v>
      </c>
      <c r="D283" s="109">
        <f t="shared" si="77"/>
        <v>-2.0999999999999908E-3</v>
      </c>
      <c r="E283" s="109">
        <f ca="1">IF(表2_3671626293034567[[#This Row],[累计净值]]/MAX(INDIRECT("B21:B" &amp; ROW()))-1&lt;E282,表2_3671626293034567[[#This Row],[累计净值]]/MAX(INDIRECT("B21:B" &amp; ROW()))-1,E282)</f>
        <v>-2.5203567274137306E-2</v>
      </c>
      <c r="F283" s="110">
        <f>表2_3671626293034567[[#This Row],[累计净值]]-$I$242</f>
        <v>1.0570000000000002</v>
      </c>
      <c r="G283" s="20">
        <f>表2_3671626293034567[[#This Row],[累计净值]]/$B$22-1</f>
        <v>0.21331346249379046</v>
      </c>
    </row>
    <row r="284" spans="1:7">
      <c r="A284" s="55">
        <v>44097</v>
      </c>
      <c r="B284" s="112">
        <v>1.2233000000000001</v>
      </c>
      <c r="C284" s="108">
        <f t="shared" si="76"/>
        <v>2.0999999999999908E-3</v>
      </c>
      <c r="D284" s="109" t="str">
        <f t="shared" si="77"/>
        <v>/</v>
      </c>
      <c r="E284" s="109">
        <f ca="1">IF(表2_3671626293034567[[#This Row],[累计净值]]/MAX(INDIRECT("B21:B" &amp; ROW()))-1&lt;E283,表2_3671626293034567[[#This Row],[累计净值]]/MAX(INDIRECT("B21:B" &amp; ROW()))-1,E283)</f>
        <v>-2.5203567274137306E-2</v>
      </c>
      <c r="F284" s="110">
        <f>表2_3671626293034567[[#This Row],[累计净值]]-$I$242</f>
        <v>1.0591000000000002</v>
      </c>
      <c r="G284" s="20">
        <f>表2_3671626293034567[[#This Row],[累计净值]]/$B$22-1</f>
        <v>0.2153999006458025</v>
      </c>
    </row>
    <row r="285" spans="1:7">
      <c r="A285" s="55">
        <v>44098</v>
      </c>
      <c r="B285" s="112">
        <v>1.2186999999999999</v>
      </c>
      <c r="C285" s="108">
        <f t="shared" si="76"/>
        <v>-4.6000000000001595E-3</v>
      </c>
      <c r="D285" s="109">
        <f t="shared" si="77"/>
        <v>-4.6000000000001595E-3</v>
      </c>
      <c r="E285" s="109">
        <f ca="1">IF(表2_3671626293034567[[#This Row],[累计净值]]/MAX(INDIRECT("B21:B" &amp; ROW()))-1&lt;E284,表2_3671626293034567[[#This Row],[累计净值]]/MAX(INDIRECT("B21:B" &amp; ROW()))-1,E284)</f>
        <v>-2.5203567274137306E-2</v>
      </c>
      <c r="F285" s="110">
        <f>表2_3671626293034567[[#This Row],[累计净值]]-$I$242</f>
        <v>1.0545</v>
      </c>
      <c r="G285" s="20">
        <f>表2_3671626293034567[[#This Row],[累计净值]]/$B$22-1</f>
        <v>0.21082960755091906</v>
      </c>
    </row>
    <row r="286" spans="1:7">
      <c r="A286" s="55">
        <v>44099</v>
      </c>
      <c r="B286" s="112">
        <v>1.2161</v>
      </c>
      <c r="C286" s="108">
        <f t="shared" ref="C286:C291" si="78">IFERROR(B286-B285,0)</f>
        <v>-2.5999999999999357E-3</v>
      </c>
      <c r="D286" s="109">
        <f t="shared" ref="D286:D291" si="79">IF(C286&lt;0,C286,"/")</f>
        <v>-2.5999999999999357E-3</v>
      </c>
      <c r="E286" s="109">
        <f ca="1">IF(表2_3671626293034567[[#This Row],[累计净值]]/MAX(INDIRECT("B21:B" &amp; ROW()))-1&lt;E285,表2_3671626293034567[[#This Row],[累计净值]]/MAX(INDIRECT("B21:B" &amp; ROW()))-1,E285)</f>
        <v>-2.5203567274137306E-2</v>
      </c>
      <c r="F286" s="110">
        <f>表2_3671626293034567[[#This Row],[累计净值]]-$I$242</f>
        <v>1.0519000000000001</v>
      </c>
      <c r="G286" s="20">
        <f>表2_3671626293034567[[#This Row],[累计净值]]/$B$22-1</f>
        <v>0.20824639841033288</v>
      </c>
    </row>
    <row r="287" spans="1:7">
      <c r="A287" s="55">
        <v>44102</v>
      </c>
      <c r="B287" s="112">
        <v>1.2123999999999999</v>
      </c>
      <c r="C287" s="108">
        <f t="shared" si="78"/>
        <v>-3.7000000000000366E-3</v>
      </c>
      <c r="D287" s="109">
        <f t="shared" si="79"/>
        <v>-3.7000000000000366E-3</v>
      </c>
      <c r="E287" s="109">
        <f ca="1">IF(表2_3671626293034567[[#This Row],[累计净值]]/MAX(INDIRECT("B21:B" &amp; ROW()))-1&lt;E286,表2_3671626293034567[[#This Row],[累计净值]]/MAX(INDIRECT("B21:B" &amp; ROW()))-1,E286)</f>
        <v>-2.5203567274137306E-2</v>
      </c>
      <c r="F287" s="110">
        <f>表2_3671626293034567[[#This Row],[累计净值]]-$I$242</f>
        <v>1.0482</v>
      </c>
      <c r="G287" s="20">
        <f>表2_3671626293034567[[#This Row],[累计净值]]/$B$22-1</f>
        <v>0.20457029309488317</v>
      </c>
    </row>
    <row r="288" spans="1:7">
      <c r="A288" s="55">
        <v>44103</v>
      </c>
      <c r="B288" s="112">
        <v>1.2102999999999999</v>
      </c>
      <c r="C288" s="108">
        <f t="shared" si="78"/>
        <v>-2.0999999999999908E-3</v>
      </c>
      <c r="D288" s="109">
        <f t="shared" si="79"/>
        <v>-2.0999999999999908E-3</v>
      </c>
      <c r="E288" s="109">
        <f ca="1">IF(表2_3671626293034567[[#This Row],[累计净值]]/MAX(INDIRECT("B21:B" &amp; ROW()))-1&lt;E287,表2_3671626293034567[[#This Row],[累计净值]]/MAX(INDIRECT("B21:B" &amp; ROW()))-1,E287)</f>
        <v>-2.5203567274137306E-2</v>
      </c>
      <c r="F288" s="110">
        <f>表2_3671626293034567[[#This Row],[累计净值]]-$I$242</f>
        <v>1.0461</v>
      </c>
      <c r="G288" s="20">
        <f>表2_3671626293034567[[#This Row],[累计净值]]/$B$22-1</f>
        <v>0.20248385494287136</v>
      </c>
    </row>
    <row r="289" spans="1:7">
      <c r="A289" s="55">
        <v>44104</v>
      </c>
      <c r="B289" s="112">
        <v>1.2210000000000001</v>
      </c>
      <c r="C289" s="108">
        <f t="shared" si="78"/>
        <v>1.0700000000000154E-2</v>
      </c>
      <c r="D289" s="109" t="str">
        <f t="shared" si="79"/>
        <v>/</v>
      </c>
      <c r="E289" s="109">
        <f ca="1">IF(表2_3671626293034567[[#This Row],[累计净值]]/MAX(INDIRECT("B21:B" &amp; ROW()))-1&lt;E288,表2_3671626293034567[[#This Row],[累计净值]]/MAX(INDIRECT("B21:B" &amp; ROW()))-1,E288)</f>
        <v>-2.5203567274137306E-2</v>
      </c>
      <c r="F289" s="110">
        <f>表2_3671626293034567[[#This Row],[累计净值]]-$I$242</f>
        <v>1.0568000000000002</v>
      </c>
      <c r="G289" s="20">
        <f>表2_3671626293034567[[#This Row],[累计净值]]/$B$22-1</f>
        <v>0.21311475409836089</v>
      </c>
    </row>
    <row r="290" spans="1:7">
      <c r="A290" s="55">
        <v>44113</v>
      </c>
      <c r="B290" s="112">
        <v>1.2232000000000001</v>
      </c>
      <c r="C290" s="108">
        <f t="shared" si="78"/>
        <v>2.1999999999999797E-3</v>
      </c>
      <c r="D290" s="109" t="str">
        <f t="shared" si="79"/>
        <v>/</v>
      </c>
      <c r="E290" s="109">
        <f ca="1">IF(表2_3671626293034567[[#This Row],[累计净值]]/MAX(INDIRECT("B21:B" &amp; ROW()))-1&lt;E289,表2_3671626293034567[[#This Row],[累计净值]]/MAX(INDIRECT("B21:B" &amp; ROW()))-1,E289)</f>
        <v>-2.5203567274137306E-2</v>
      </c>
      <c r="F290" s="110">
        <f>表2_3671626293034567[[#This Row],[累计净值]]-$I$242</f>
        <v>1.0590000000000002</v>
      </c>
      <c r="G290" s="20">
        <f>表2_3671626293034567[[#This Row],[累计净值]]/$B$22-1</f>
        <v>0.21530054644808749</v>
      </c>
    </row>
    <row r="291" spans="1:7">
      <c r="A291" s="55">
        <v>44116</v>
      </c>
      <c r="B291" s="112">
        <v>1.2262</v>
      </c>
      <c r="C291" s="108">
        <f t="shared" si="78"/>
        <v>2.9999999999998916E-3</v>
      </c>
      <c r="D291" s="109" t="str">
        <f t="shared" si="79"/>
        <v>/</v>
      </c>
      <c r="E291" s="109">
        <f ca="1">IF(表2_3671626293034567[[#This Row],[累计净值]]/MAX(INDIRECT("B21:B" &amp; ROW()))-1&lt;E290,表2_3671626293034567[[#This Row],[累计净值]]/MAX(INDIRECT("B21:B" &amp; ROW()))-1,E290)</f>
        <v>-2.5203567274137306E-2</v>
      </c>
      <c r="F291" s="110">
        <f>表2_3671626293034567[[#This Row],[累计净值]]-$I$242</f>
        <v>1.0620000000000001</v>
      </c>
      <c r="G291" s="20">
        <f>表2_3671626293034567[[#This Row],[累计净值]]/$B$22-1</f>
        <v>0.21828117237953304</v>
      </c>
    </row>
    <row r="292" spans="1:7">
      <c r="A292" s="55">
        <v>44117</v>
      </c>
      <c r="B292" s="112">
        <v>1.23</v>
      </c>
      <c r="C292" s="108">
        <f t="shared" ref="C292:C298" si="80">IFERROR(B292-B291,0)</f>
        <v>3.8000000000000256E-3</v>
      </c>
      <c r="D292" s="109" t="str">
        <f t="shared" ref="D292:D298" si="81">IF(C292&lt;0,C292,"/")</f>
        <v>/</v>
      </c>
      <c r="E292" s="109">
        <f ca="1">IF(表2_3671626293034567[[#This Row],[累计净值]]/MAX(INDIRECT("B21:B" &amp; ROW()))-1&lt;E291,表2_3671626293034567[[#This Row],[累计净值]]/MAX(INDIRECT("B21:B" &amp; ROW()))-1,E291)</f>
        <v>-2.5203567274137306E-2</v>
      </c>
      <c r="F292" s="110">
        <f>表2_3671626293034567[[#This Row],[累计净值]]-$I$242</f>
        <v>1.0658000000000001</v>
      </c>
      <c r="G292" s="20">
        <f>表2_3671626293034567[[#This Row],[累计净值]]/$B$22-1</f>
        <v>0.22205663189269753</v>
      </c>
    </row>
    <row r="293" spans="1:7">
      <c r="A293" s="55">
        <v>44118</v>
      </c>
      <c r="B293" s="112">
        <v>1.228</v>
      </c>
      <c r="C293" s="108">
        <f t="shared" si="80"/>
        <v>-2.0000000000000018E-3</v>
      </c>
      <c r="D293" s="109">
        <f t="shared" si="81"/>
        <v>-2.0000000000000018E-3</v>
      </c>
      <c r="E293" s="109">
        <f ca="1">IF(表2_3671626293034567[[#This Row],[累计净值]]/MAX(INDIRECT("B21:B" &amp; ROW()))-1&lt;E292,表2_3671626293034567[[#This Row],[累计净值]]/MAX(INDIRECT("B21:B" &amp; ROW()))-1,E292)</f>
        <v>-2.5203567274137306E-2</v>
      </c>
      <c r="F293" s="110">
        <f>表2_3671626293034567[[#This Row],[累计净值]]-$I$242</f>
        <v>1.0638000000000001</v>
      </c>
      <c r="G293" s="20">
        <f>表2_3671626293034567[[#This Row],[累计净值]]/$B$22-1</f>
        <v>0.2200695479384005</v>
      </c>
    </row>
    <row r="294" spans="1:7">
      <c r="A294" s="55">
        <v>44119</v>
      </c>
      <c r="B294" s="112">
        <v>1.2255</v>
      </c>
      <c r="C294" s="108">
        <f t="shared" si="80"/>
        <v>-2.4999999999999467E-3</v>
      </c>
      <c r="D294" s="109">
        <f t="shared" si="81"/>
        <v>-2.4999999999999467E-3</v>
      </c>
      <c r="E294" s="109">
        <f ca="1">IF(表2_3671626293034567[[#This Row],[累计净值]]/MAX(INDIRECT("B21:B" &amp; ROW()))-1&lt;E293,表2_3671626293034567[[#This Row],[累计净值]]/MAX(INDIRECT("B21:B" &amp; ROW()))-1,E293)</f>
        <v>-2.5203567274137306E-2</v>
      </c>
      <c r="F294" s="110">
        <f>表2_3671626293034567[[#This Row],[累计净值]]-$I$242</f>
        <v>1.0613000000000001</v>
      </c>
      <c r="G294" s="20">
        <f>表2_3671626293034567[[#This Row],[累计净值]]/$B$22-1</f>
        <v>0.2175856929955291</v>
      </c>
    </row>
    <row r="295" spans="1:7">
      <c r="A295" s="55">
        <v>44120</v>
      </c>
      <c r="B295" s="112">
        <v>1.2273000000000001</v>
      </c>
      <c r="C295" s="108">
        <f t="shared" si="80"/>
        <v>1.8000000000000238E-3</v>
      </c>
      <c r="D295" s="109" t="str">
        <f t="shared" si="81"/>
        <v>/</v>
      </c>
      <c r="E295" s="109">
        <f ca="1">IF(表2_3671626293034567[[#This Row],[累计净值]]/MAX(INDIRECT("B21:B" &amp; ROW()))-1&lt;E294,表2_3671626293034567[[#This Row],[累计净值]]/MAX(INDIRECT("B21:B" &amp; ROW()))-1,E294)</f>
        <v>-2.5203567274137306E-2</v>
      </c>
      <c r="F295" s="110">
        <f>表2_3671626293034567[[#This Row],[累计净值]]-$I$242</f>
        <v>1.0631000000000002</v>
      </c>
      <c r="G295" s="20">
        <f>表2_3671626293034567[[#This Row],[累计净值]]/$B$22-1</f>
        <v>0.21937406855439656</v>
      </c>
    </row>
    <row r="296" spans="1:7">
      <c r="A296" s="55">
        <v>44123</v>
      </c>
      <c r="B296" s="112">
        <v>1.2316</v>
      </c>
      <c r="C296" s="108">
        <f t="shared" si="80"/>
        <v>4.2999999999999705E-3</v>
      </c>
      <c r="D296" s="109" t="str">
        <f t="shared" si="81"/>
        <v>/</v>
      </c>
      <c r="E296" s="109">
        <f ca="1">IF(表2_3671626293034567[[#This Row],[累计净值]]/MAX(INDIRECT("B21:B" &amp; ROW()))-1&lt;E295,表2_3671626293034567[[#This Row],[累计净值]]/MAX(INDIRECT("B21:B" &amp; ROW()))-1,E295)</f>
        <v>-2.5203567274137306E-2</v>
      </c>
      <c r="F296" s="110">
        <f>表2_3671626293034567[[#This Row],[累计净值]]-$I$242</f>
        <v>1.0674000000000001</v>
      </c>
      <c r="G296" s="20">
        <f>表2_3671626293034567[[#This Row],[累计净值]]/$B$22-1</f>
        <v>0.2236462990561352</v>
      </c>
    </row>
    <row r="297" spans="1:7">
      <c r="A297" s="55">
        <v>44124</v>
      </c>
      <c r="B297" s="112">
        <v>1.2327999999999999</v>
      </c>
      <c r="C297" s="108">
        <f t="shared" si="80"/>
        <v>1.1999999999998678E-3</v>
      </c>
      <c r="D297" s="109" t="str">
        <f t="shared" si="81"/>
        <v>/</v>
      </c>
      <c r="E297" s="109">
        <f ca="1">IF(表2_3671626293034567[[#This Row],[累计净值]]/MAX(INDIRECT("B21:B" &amp; ROW()))-1&lt;E296,表2_3671626293034567[[#This Row],[累计净值]]/MAX(INDIRECT("B21:B" &amp; ROW()))-1,E296)</f>
        <v>-2.5203567274137306E-2</v>
      </c>
      <c r="F297" s="110">
        <f>表2_3671626293034567[[#This Row],[累计净值]]-$I$242</f>
        <v>1.0686</v>
      </c>
      <c r="G297" s="20">
        <f>表2_3671626293034567[[#This Row],[累计净值]]/$B$22-1</f>
        <v>0.22483854942871329</v>
      </c>
    </row>
    <row r="298" spans="1:7">
      <c r="A298" s="55">
        <v>44125</v>
      </c>
      <c r="B298" s="112">
        <v>1.2307999999999999</v>
      </c>
      <c r="C298" s="108">
        <f t="shared" si="80"/>
        <v>-2.0000000000000018E-3</v>
      </c>
      <c r="D298" s="109">
        <f t="shared" si="81"/>
        <v>-2.0000000000000018E-3</v>
      </c>
      <c r="E298" s="109">
        <f ca="1">IF(表2_3671626293034567[[#This Row],[累计净值]]/MAX(INDIRECT("B21:B" &amp; ROW()))-1&lt;E297,表2_3671626293034567[[#This Row],[累计净值]]/MAX(INDIRECT("B21:B" &amp; ROW()))-1,E297)</f>
        <v>-2.5203567274137306E-2</v>
      </c>
      <c r="F298" s="110">
        <f>表2_3671626293034567[[#This Row],[累计净值]]-$I$242</f>
        <v>1.0666</v>
      </c>
      <c r="G298" s="20">
        <f>表2_3671626293034567[[#This Row],[累计净值]]/$B$22-1</f>
        <v>0.22285146547441625</v>
      </c>
    </row>
    <row r="299" spans="1:7">
      <c r="A299" s="55">
        <v>44126</v>
      </c>
      <c r="B299" s="112">
        <v>1.2281</v>
      </c>
      <c r="C299" s="108">
        <f t="shared" ref="C299:C304" si="82">IFERROR(B299-B298,0)</f>
        <v>-2.6999999999999247E-3</v>
      </c>
      <c r="D299" s="109">
        <f t="shared" ref="D299:D304" si="83">IF(C299&lt;0,C299,"/")</f>
        <v>-2.6999999999999247E-3</v>
      </c>
      <c r="E299" s="109">
        <f ca="1">IF(表2_3671626293034567[[#This Row],[累计净值]]/MAX(INDIRECT("B21:B" &amp; ROW()))-1&lt;E298,表2_3671626293034567[[#This Row],[累计净值]]/MAX(INDIRECT("B21:B" &amp; ROW()))-1,E298)</f>
        <v>-2.5203567274137306E-2</v>
      </c>
      <c r="F299" s="110">
        <f>表2_3671626293034567[[#This Row],[累计净值]]-$I$242</f>
        <v>1.0639000000000001</v>
      </c>
      <c r="G299" s="20">
        <f>表2_3671626293034567[[#This Row],[累计净值]]/$B$22-1</f>
        <v>0.22016890213611529</v>
      </c>
    </row>
    <row r="300" spans="1:7">
      <c r="A300" s="55">
        <v>44127</v>
      </c>
      <c r="B300" s="112">
        <v>1.2225999999999999</v>
      </c>
      <c r="C300" s="108">
        <f t="shared" si="82"/>
        <v>-5.5000000000000604E-3</v>
      </c>
      <c r="D300" s="109">
        <f t="shared" si="83"/>
        <v>-5.5000000000000604E-3</v>
      </c>
      <c r="E300" s="109">
        <f ca="1">IF(表2_3671626293034567[[#This Row],[累计净值]]/MAX(INDIRECT("B21:B" &amp; ROW()))-1&lt;E299,表2_3671626293034567[[#This Row],[累计净值]]/MAX(INDIRECT("B21:B" &amp; ROW()))-1,E299)</f>
        <v>-2.5203567274137306E-2</v>
      </c>
      <c r="F300" s="110">
        <f>表2_3671626293034567[[#This Row],[累计净值]]-$I$242</f>
        <v>1.0584</v>
      </c>
      <c r="G300" s="20">
        <f>表2_3671626293034567[[#This Row],[累计净值]]/$B$22-1</f>
        <v>0.21470442126179834</v>
      </c>
    </row>
    <row r="301" spans="1:7">
      <c r="A301" s="55">
        <v>44130</v>
      </c>
      <c r="B301" s="112">
        <v>1.2264999999999999</v>
      </c>
      <c r="C301" s="108">
        <f t="shared" si="82"/>
        <v>3.9000000000000146E-3</v>
      </c>
      <c r="D301" s="109" t="str">
        <f t="shared" si="83"/>
        <v>/</v>
      </c>
      <c r="E301" s="109">
        <f ca="1">IF(表2_3671626293034567[[#This Row],[累计净值]]/MAX(INDIRECT("B21:B" &amp; ROW()))-1&lt;E300,表2_3671626293034567[[#This Row],[累计净值]]/MAX(INDIRECT("B21:B" &amp; ROW()))-1,E300)</f>
        <v>-2.5203567274137306E-2</v>
      </c>
      <c r="F301" s="110">
        <f>表2_3671626293034567[[#This Row],[累计净值]]-$I$242</f>
        <v>1.0623</v>
      </c>
      <c r="G301" s="20">
        <f>表2_3671626293034567[[#This Row],[累计净值]]/$B$22-1</f>
        <v>0.21857923497267762</v>
      </c>
    </row>
    <row r="302" spans="1:7">
      <c r="A302" s="55">
        <v>44131</v>
      </c>
      <c r="B302" s="112">
        <v>1.2284999999999999</v>
      </c>
      <c r="C302" s="108">
        <f t="shared" si="82"/>
        <v>2.0000000000000018E-3</v>
      </c>
      <c r="D302" s="109" t="str">
        <f t="shared" si="83"/>
        <v>/</v>
      </c>
      <c r="E302" s="109">
        <f ca="1">IF(表2_3671626293034567[[#This Row],[累计净值]]/MAX(INDIRECT("B21:B" &amp; ROW()))-1&lt;E301,表2_3671626293034567[[#This Row],[累计净值]]/MAX(INDIRECT("B21:B" &amp; ROW()))-1,E301)</f>
        <v>-2.5203567274137306E-2</v>
      </c>
      <c r="F302" s="110">
        <f>表2_3671626293034567[[#This Row],[累计净值]]-$I$242</f>
        <v>1.0643</v>
      </c>
      <c r="G302" s="20">
        <f>表2_3671626293034567[[#This Row],[累计净值]]/$B$22-1</f>
        <v>0.22056631892697465</v>
      </c>
    </row>
    <row r="303" spans="1:7">
      <c r="A303" s="55">
        <v>44132</v>
      </c>
      <c r="B303" s="112">
        <v>1.2315</v>
      </c>
      <c r="C303" s="108">
        <f t="shared" si="82"/>
        <v>3.0000000000001137E-3</v>
      </c>
      <c r="D303" s="109" t="str">
        <f t="shared" si="83"/>
        <v>/</v>
      </c>
      <c r="E303" s="109">
        <f ca="1">IF(表2_3671626293034567[[#This Row],[累计净值]]/MAX(INDIRECT("B21:B" &amp; ROW()))-1&lt;E302,表2_3671626293034567[[#This Row],[累计净值]]/MAX(INDIRECT("B21:B" &amp; ROW()))-1,E302)</f>
        <v>-2.5203567274137306E-2</v>
      </c>
      <c r="F303" s="110">
        <f>表2_3671626293034567[[#This Row],[累计净值]]-$I$242</f>
        <v>1.0673000000000001</v>
      </c>
      <c r="G303" s="20">
        <f>表2_3671626293034567[[#This Row],[累计净值]]/$B$22-1</f>
        <v>0.22354694485842042</v>
      </c>
    </row>
    <row r="304" spans="1:7">
      <c r="A304" s="55">
        <v>44133</v>
      </c>
      <c r="B304" s="112">
        <v>1.2309000000000001</v>
      </c>
      <c r="C304" s="108">
        <f t="shared" si="82"/>
        <v>-5.9999999999993392E-4</v>
      </c>
      <c r="D304" s="109">
        <f t="shared" si="83"/>
        <v>-5.9999999999993392E-4</v>
      </c>
      <c r="E304" s="109">
        <f ca="1">IF(表2_3671626293034567[[#This Row],[累计净值]]/MAX(INDIRECT("B21:B" &amp; ROW()))-1&lt;E303,表2_3671626293034567[[#This Row],[累计净值]]/MAX(INDIRECT("B21:B" &amp; ROW()))-1,E303)</f>
        <v>-2.5203567274137306E-2</v>
      </c>
      <c r="F304" s="110">
        <f>表2_3671626293034567[[#This Row],[累计净值]]-$I$242</f>
        <v>1.0667000000000002</v>
      </c>
      <c r="G304" s="20">
        <f>表2_3671626293034567[[#This Row],[累计净值]]/$B$22-1</f>
        <v>0.22295081967213126</v>
      </c>
    </row>
    <row r="305" spans="1:7">
      <c r="A305" s="55">
        <v>44134</v>
      </c>
      <c r="B305" s="112">
        <v>1.2278</v>
      </c>
      <c r="C305" s="108">
        <f t="shared" ref="C305:C310" si="84">IFERROR(B305-B304,0)</f>
        <v>-3.1000000000001027E-3</v>
      </c>
      <c r="D305" s="109">
        <f t="shared" ref="D305:D310" si="85">IF(C305&lt;0,C305,"/")</f>
        <v>-3.1000000000001027E-3</v>
      </c>
      <c r="E305" s="109">
        <f ca="1">IF(表2_3671626293034567[[#This Row],[累计净值]]/MAX(INDIRECT("B21:B" &amp; ROW()))-1&lt;E304,表2_3671626293034567[[#This Row],[累计净值]]/MAX(INDIRECT("B21:B" &amp; ROW()))-1,E304)</f>
        <v>-2.5203567274137306E-2</v>
      </c>
      <c r="F305" s="110">
        <f>表2_3671626293034567[[#This Row],[累计净值]]-$I$242</f>
        <v>1.0636000000000001</v>
      </c>
      <c r="G305" s="20">
        <f>表2_3671626293034567[[#This Row],[累计净值]]/$B$22-1</f>
        <v>0.21987083954297071</v>
      </c>
    </row>
    <row r="306" spans="1:7">
      <c r="A306" s="55">
        <v>44137</v>
      </c>
      <c r="B306" s="112">
        <v>1.2282999999999999</v>
      </c>
      <c r="C306" s="108">
        <f t="shared" si="84"/>
        <v>4.9999999999994493E-4</v>
      </c>
      <c r="D306" s="109" t="str">
        <f t="shared" si="85"/>
        <v>/</v>
      </c>
      <c r="E306" s="109">
        <f ca="1">IF(表2_3671626293034567[[#This Row],[累计净值]]/MAX(INDIRECT("B21:B" &amp; ROW()))-1&lt;E305,表2_3671626293034567[[#This Row],[累计净值]]/MAX(INDIRECT("B21:B" &amp; ROW()))-1,E305)</f>
        <v>-2.5203567274137306E-2</v>
      </c>
      <c r="F306" s="110">
        <f>表2_3671626293034567[[#This Row],[累计净值]]-$I$242</f>
        <v>1.0641</v>
      </c>
      <c r="G306" s="20">
        <f>表2_3671626293034567[[#This Row],[累计净值]]/$B$22-1</f>
        <v>0.22036761053154486</v>
      </c>
    </row>
    <row r="307" spans="1:7">
      <c r="A307" s="55">
        <v>44138</v>
      </c>
      <c r="B307" s="112">
        <v>1.2327999999999999</v>
      </c>
      <c r="C307" s="108">
        <f t="shared" si="84"/>
        <v>4.4999999999999485E-3</v>
      </c>
      <c r="D307" s="109" t="str">
        <f t="shared" si="85"/>
        <v>/</v>
      </c>
      <c r="E307" s="109">
        <f ca="1">IF(表2_3671626293034567[[#This Row],[累计净值]]/MAX(INDIRECT("B21:B" &amp; ROW()))-1&lt;E306,表2_3671626293034567[[#This Row],[累计净值]]/MAX(INDIRECT("B21:B" &amp; ROW()))-1,E306)</f>
        <v>-2.5203567274137306E-2</v>
      </c>
      <c r="F307" s="110">
        <f>表2_3671626293034567[[#This Row],[累计净值]]-$I$242</f>
        <v>1.0686</v>
      </c>
      <c r="G307" s="20">
        <f>表2_3671626293034567[[#This Row],[累计净值]]/$B$22-1</f>
        <v>0.22483854942871329</v>
      </c>
    </row>
    <row r="308" spans="1:7">
      <c r="A308" s="55">
        <v>44139</v>
      </c>
      <c r="B308" s="112">
        <v>1.2321</v>
      </c>
      <c r="C308" s="108">
        <f t="shared" si="84"/>
        <v>-6.9999999999992291E-4</v>
      </c>
      <c r="D308" s="109">
        <f t="shared" si="85"/>
        <v>-6.9999999999992291E-4</v>
      </c>
      <c r="E308" s="109">
        <f ca="1">IF(表2_3671626293034567[[#This Row],[累计净值]]/MAX(INDIRECT("B21:B" &amp; ROW()))-1&lt;E307,表2_3671626293034567[[#This Row],[累计净值]]/MAX(INDIRECT("B21:B" &amp; ROW()))-1,E307)</f>
        <v>-2.5203567274137306E-2</v>
      </c>
      <c r="F308" s="110">
        <f>表2_3671626293034567[[#This Row],[累计净值]]-$I$242</f>
        <v>1.0679000000000001</v>
      </c>
      <c r="G308" s="20">
        <f>表2_3671626293034567[[#This Row],[累计净值]]/$B$22-1</f>
        <v>0.22414307004470935</v>
      </c>
    </row>
    <row r="309" spans="1:7">
      <c r="A309" s="55">
        <v>44140</v>
      </c>
      <c r="B309" s="112">
        <v>1.2324999999999999</v>
      </c>
      <c r="C309" s="108">
        <f t="shared" si="84"/>
        <v>3.9999999999995595E-4</v>
      </c>
      <c r="D309" s="109" t="str">
        <f t="shared" si="85"/>
        <v>/</v>
      </c>
      <c r="E309" s="109">
        <f ca="1">IF(表2_3671626293034567[[#This Row],[累计净值]]/MAX(INDIRECT("B21:B" &amp; ROW()))-1&lt;E308,表2_3671626293034567[[#This Row],[累计净值]]/MAX(INDIRECT("B21:B" &amp; ROW()))-1,E308)</f>
        <v>-2.5203567274137306E-2</v>
      </c>
      <c r="F309" s="110">
        <f>表2_3671626293034567[[#This Row],[累计净值]]-$I$242</f>
        <v>1.0683</v>
      </c>
      <c r="G309" s="20">
        <f>表2_3671626293034567[[#This Row],[累计净值]]/$B$22-1</f>
        <v>0.22454048683556871</v>
      </c>
    </row>
    <row r="310" spans="1:7">
      <c r="A310" s="55">
        <v>44141</v>
      </c>
      <c r="B310" s="112">
        <v>1.2323999999999999</v>
      </c>
      <c r="C310" s="108">
        <f t="shared" si="84"/>
        <v>-9.9999999999988987E-5</v>
      </c>
      <c r="D310" s="109">
        <f t="shared" si="85"/>
        <v>-9.9999999999988987E-5</v>
      </c>
      <c r="E310" s="109">
        <f ca="1">IF(表2_3671626293034567[[#This Row],[累计净值]]/MAX(INDIRECT("B21:B" &amp; ROW()))-1&lt;E309,表2_3671626293034567[[#This Row],[累计净值]]/MAX(INDIRECT("B21:B" &amp; ROW()))-1,E309)</f>
        <v>-2.5203567274137306E-2</v>
      </c>
      <c r="F310" s="110">
        <f>表2_3671626293034567[[#This Row],[累计净值]]-$I$242</f>
        <v>1.0682</v>
      </c>
      <c r="G310" s="20">
        <f>表2_3671626293034567[[#This Row],[累计净值]]/$B$22-1</f>
        <v>0.22444113263785392</v>
      </c>
    </row>
    <row r="311" spans="1:7">
      <c r="A311" s="55">
        <v>44144</v>
      </c>
      <c r="B311" s="112">
        <v>1.2357</v>
      </c>
      <c r="C311" s="108">
        <f t="shared" ref="C311:C316" si="86">IFERROR(B311-B310,0)</f>
        <v>3.3000000000000806E-3</v>
      </c>
      <c r="D311" s="109" t="str">
        <f t="shared" ref="D311:D316" si="87">IF(C311&lt;0,C311,"/")</f>
        <v>/</v>
      </c>
      <c r="E311" s="109">
        <f ca="1">IF(表2_3671626293034567[[#This Row],[累计净值]]/MAX(INDIRECT("B21:B" &amp; ROW()))-1&lt;E310,表2_3671626293034567[[#This Row],[累计净值]]/MAX(INDIRECT("B21:B" &amp; ROW()))-1,E310)</f>
        <v>-2.5203567274137306E-2</v>
      </c>
      <c r="F311" s="110">
        <f>表2_3671626293034567[[#This Row],[累计净值]]-$I$242</f>
        <v>1.0715000000000001</v>
      </c>
      <c r="G311" s="20">
        <f>表2_3671626293034567[[#This Row],[累计净值]]/$B$22-1</f>
        <v>0.22771982116244427</v>
      </c>
    </row>
    <row r="312" spans="1:7">
      <c r="A312" s="55">
        <v>44145</v>
      </c>
      <c r="B312" s="76">
        <v>1.2377</v>
      </c>
      <c r="C312" s="108">
        <f t="shared" si="86"/>
        <v>2.0000000000000018E-3</v>
      </c>
      <c r="D312" s="109" t="str">
        <f t="shared" si="87"/>
        <v>/</v>
      </c>
      <c r="E312" s="109">
        <f ca="1">IF(表2_3671626293034567[[#This Row],[累计净值]]/MAX(INDIRECT("B21:B" &amp; ROW()))-1&lt;E311,表2_3671626293034567[[#This Row],[累计净值]]/MAX(INDIRECT("B21:B" &amp; ROW()))-1,E311)</f>
        <v>-2.5203567274137306E-2</v>
      </c>
      <c r="F312" s="110">
        <f>表2_3671626293034567[[#This Row],[累计净值]]-$I$242</f>
        <v>1.0735000000000001</v>
      </c>
      <c r="G312" s="20">
        <f>表2_3671626293034567[[#This Row],[累计净值]]/$B$22-1</f>
        <v>0.2297069051167413</v>
      </c>
    </row>
    <row r="313" spans="1:7">
      <c r="A313" s="55">
        <v>44146</v>
      </c>
      <c r="B313" s="112">
        <v>1.2322</v>
      </c>
      <c r="C313" s="108">
        <f t="shared" si="86"/>
        <v>-5.5000000000000604E-3</v>
      </c>
      <c r="D313" s="109">
        <f t="shared" si="87"/>
        <v>-5.5000000000000604E-3</v>
      </c>
      <c r="E313" s="109">
        <f ca="1">IF(表2_3671626293034567[[#This Row],[累计净值]]/MAX(INDIRECT("B21:B" &amp; ROW()))-1&lt;E312,表2_3671626293034567[[#This Row],[累计净值]]/MAX(INDIRECT("B21:B" &amp; ROW()))-1,E312)</f>
        <v>-2.5203567274137306E-2</v>
      </c>
      <c r="F313" s="110">
        <f>表2_3671626293034567[[#This Row],[累计净值]]-$I$242</f>
        <v>1.0680000000000001</v>
      </c>
      <c r="G313" s="20">
        <f>表2_3671626293034567[[#This Row],[累计净值]]/$B$22-1</f>
        <v>0.22424242424242435</v>
      </c>
    </row>
    <row r="314" spans="1:7">
      <c r="A314" s="55">
        <v>44147</v>
      </c>
      <c r="B314" s="112">
        <v>1.2353000000000001</v>
      </c>
      <c r="C314" s="108">
        <f t="shared" si="86"/>
        <v>3.1000000000001027E-3</v>
      </c>
      <c r="D314" s="109" t="str">
        <f t="shared" si="87"/>
        <v>/</v>
      </c>
      <c r="E314" s="109">
        <f ca="1">IF(表2_3671626293034567[[#This Row],[累计净值]]/MAX(INDIRECT("B21:B" &amp; ROW()))-1&lt;E313,表2_3671626293034567[[#This Row],[累计净值]]/MAX(INDIRECT("B21:B" &amp; ROW()))-1,E313)</f>
        <v>-2.5203567274137306E-2</v>
      </c>
      <c r="F314" s="110">
        <f>表2_3671626293034567[[#This Row],[累计净值]]-$I$242</f>
        <v>1.0711000000000002</v>
      </c>
      <c r="G314" s="20">
        <f>表2_3671626293034567[[#This Row],[累计净值]]/$B$22-1</f>
        <v>0.22732240437158491</v>
      </c>
    </row>
    <row r="315" spans="1:7">
      <c r="A315" s="55">
        <v>44148</v>
      </c>
      <c r="B315" s="112">
        <v>1.2382</v>
      </c>
      <c r="C315" s="108">
        <f t="shared" si="86"/>
        <v>2.8999999999999027E-3</v>
      </c>
      <c r="D315" s="109" t="str">
        <f t="shared" si="87"/>
        <v>/</v>
      </c>
      <c r="E315" s="109">
        <f ca="1">IF(表2_3671626293034567[[#This Row],[累计净值]]/MAX(INDIRECT("B21:B" &amp; ROW()))-1&lt;E314,表2_3671626293034567[[#This Row],[累计净值]]/MAX(INDIRECT("B21:B" &amp; ROW()))-1,E314)</f>
        <v>-2.5203567274137306E-2</v>
      </c>
      <c r="F315" s="110">
        <f>表2_3671626293034567[[#This Row],[累计净值]]-$I$242</f>
        <v>1.0740000000000001</v>
      </c>
      <c r="G315" s="20">
        <f>表2_3671626293034567[[#This Row],[累计净值]]/$B$22-1</f>
        <v>0.23020367610531545</v>
      </c>
    </row>
    <row r="316" spans="1:7">
      <c r="A316" s="55">
        <v>44151</v>
      </c>
      <c r="B316" s="76">
        <v>1.2383</v>
      </c>
      <c r="C316" s="108">
        <f t="shared" si="86"/>
        <v>9.9999999999988987E-5</v>
      </c>
      <c r="D316" s="109" t="str">
        <f t="shared" si="87"/>
        <v>/</v>
      </c>
      <c r="E316" s="109">
        <f ca="1">IF(表2_3671626293034567[[#This Row],[累计净值]]/MAX(INDIRECT("B21:B" &amp; ROW()))-1&lt;E315,表2_3671626293034567[[#This Row],[累计净值]]/MAX(INDIRECT("B21:B" &amp; ROW()))-1,E315)</f>
        <v>-2.5203567274137306E-2</v>
      </c>
      <c r="F316" s="110">
        <f>表2_3671626293034567[[#This Row],[累计净值]]-$I$242</f>
        <v>1.0741000000000001</v>
      </c>
      <c r="G316" s="20">
        <f>表2_3671626293034567[[#This Row],[累计净值]]/$B$22-1</f>
        <v>0.23030303030303023</v>
      </c>
    </row>
    <row r="317" spans="1:7">
      <c r="A317" s="55">
        <v>44152</v>
      </c>
      <c r="B317" s="112">
        <v>1.236</v>
      </c>
      <c r="C317" s="108">
        <f t="shared" ref="C317:C322" si="88">IFERROR(B317-B316,0)</f>
        <v>-2.2999999999999687E-3</v>
      </c>
      <c r="D317" s="109">
        <f t="shared" ref="D317:D322" si="89">IF(C317&lt;0,C317,"/")</f>
        <v>-2.2999999999999687E-3</v>
      </c>
      <c r="E317" s="109">
        <f ca="1">IF(表2_3671626293034567[[#This Row],[累计净值]]/MAX(INDIRECT("B21:B" &amp; ROW()))-1&lt;E316,表2_3671626293034567[[#This Row],[累计净值]]/MAX(INDIRECT("B21:B" &amp; ROW()))-1,E316)</f>
        <v>-2.5203567274137306E-2</v>
      </c>
      <c r="F317" s="110">
        <f>表2_3671626293034567[[#This Row],[累计净值]]-$I$242</f>
        <v>1.0718000000000001</v>
      </c>
      <c r="G317" s="20">
        <f>表2_3671626293034567[[#This Row],[累计净值]]/$B$22-1</f>
        <v>0.22801788375558862</v>
      </c>
    </row>
    <row r="318" spans="1:7">
      <c r="A318" s="55">
        <v>44153</v>
      </c>
      <c r="B318" s="112">
        <v>1.2336</v>
      </c>
      <c r="C318" s="108">
        <f t="shared" si="88"/>
        <v>-2.3999999999999577E-3</v>
      </c>
      <c r="D318" s="109">
        <f t="shared" si="89"/>
        <v>-2.3999999999999577E-3</v>
      </c>
      <c r="E318" s="109">
        <f ca="1">IF(表2_3671626293034567[[#This Row],[累计净值]]/MAX(INDIRECT("B21:B" &amp; ROW()))-1&lt;E317,表2_3671626293034567[[#This Row],[累计净值]]/MAX(INDIRECT("B21:B" &amp; ROW()))-1,E317)</f>
        <v>-2.5203567274137306E-2</v>
      </c>
      <c r="F318" s="110">
        <f>表2_3671626293034567[[#This Row],[累计净值]]-$I$242</f>
        <v>1.0694000000000001</v>
      </c>
      <c r="G318" s="20">
        <f>表2_3671626293034567[[#This Row],[累计净值]]/$B$22-1</f>
        <v>0.22563338301043223</v>
      </c>
    </row>
    <row r="319" spans="1:7">
      <c r="A319" s="55">
        <v>44154</v>
      </c>
      <c r="B319" s="112">
        <v>1.234</v>
      </c>
      <c r="C319" s="108">
        <f t="shared" si="88"/>
        <v>3.9999999999995595E-4</v>
      </c>
      <c r="D319" s="109" t="str">
        <f t="shared" si="89"/>
        <v>/</v>
      </c>
      <c r="E319" s="109">
        <f ca="1">IF(表2_3671626293034567[[#This Row],[累计净值]]/MAX(INDIRECT("B21:B" &amp; ROW()))-1&lt;E318,表2_3671626293034567[[#This Row],[累计净值]]/MAX(INDIRECT("B21:B" &amp; ROW()))-1,E318)</f>
        <v>-2.5203567274137306E-2</v>
      </c>
      <c r="F319" s="110">
        <f>表2_3671626293034567[[#This Row],[累计净值]]-$I$242</f>
        <v>1.0698000000000001</v>
      </c>
      <c r="G319" s="20">
        <f>表2_3671626293034567[[#This Row],[累计净值]]/$B$22-1</f>
        <v>0.22603079980129159</v>
      </c>
    </row>
    <row r="320" spans="1:7">
      <c r="A320" s="55">
        <v>44155</v>
      </c>
      <c r="B320" s="112">
        <v>1.2315</v>
      </c>
      <c r="C320" s="108">
        <f t="shared" si="88"/>
        <v>-2.4999999999999467E-3</v>
      </c>
      <c r="D320" s="109">
        <f t="shared" si="89"/>
        <v>-2.4999999999999467E-3</v>
      </c>
      <c r="E320" s="109">
        <f ca="1">IF(表2_3671626293034567[[#This Row],[累计净值]]/MAX(INDIRECT("B21:B" &amp; ROW()))-1&lt;E319,表2_3671626293034567[[#This Row],[累计净值]]/MAX(INDIRECT("B21:B" &amp; ROW()))-1,E319)</f>
        <v>-2.5203567274137306E-2</v>
      </c>
      <c r="F320" s="110">
        <f>表2_3671626293034567[[#This Row],[累计净值]]-$I$242</f>
        <v>1.0673000000000001</v>
      </c>
      <c r="G320" s="20">
        <f>表2_3671626293034567[[#This Row],[累计净值]]/$B$22-1</f>
        <v>0.22354694485842042</v>
      </c>
    </row>
    <row r="321" spans="1:7">
      <c r="A321" s="55">
        <v>44158</v>
      </c>
      <c r="B321" s="112">
        <v>1.2244999999999999</v>
      </c>
      <c r="C321" s="108">
        <f t="shared" si="88"/>
        <v>-7.0000000000001172E-3</v>
      </c>
      <c r="D321" s="109">
        <f t="shared" si="89"/>
        <v>-7.0000000000001172E-3</v>
      </c>
      <c r="E321" s="109">
        <f ca="1">IF(表2_3671626293034567[[#This Row],[累计净值]]/MAX(INDIRECT("B21:B" &amp; ROW()))-1&lt;E320,表2_3671626293034567[[#This Row],[累计净值]]/MAX(INDIRECT("B21:B" &amp; ROW()))-1,E320)</f>
        <v>-2.5203567274137306E-2</v>
      </c>
      <c r="F321" s="110">
        <f>表2_3671626293034567[[#This Row],[累计净值]]-$I$242</f>
        <v>1.0603</v>
      </c>
      <c r="G321" s="20">
        <f>表2_3671626293034567[[#This Row],[累计净值]]/$B$22-1</f>
        <v>0.21659215101838059</v>
      </c>
    </row>
    <row r="322" spans="1:7">
      <c r="A322" s="55">
        <v>44159</v>
      </c>
      <c r="B322" s="112">
        <v>1.2264999999999999</v>
      </c>
      <c r="C322" s="108">
        <f t="shared" si="88"/>
        <v>2.0000000000000018E-3</v>
      </c>
      <c r="D322" s="109" t="str">
        <f t="shared" si="89"/>
        <v>/</v>
      </c>
      <c r="E322" s="109">
        <f ca="1">IF(表2_3671626293034567[[#This Row],[累计净值]]/MAX(INDIRECT("B21:B" &amp; ROW()))-1&lt;E321,表2_3671626293034567[[#This Row],[累计净值]]/MAX(INDIRECT("B21:B" &amp; ROW()))-1,E321)</f>
        <v>-2.5203567274137306E-2</v>
      </c>
      <c r="F322" s="110">
        <f>表2_3671626293034567[[#This Row],[累计净值]]-$I$242</f>
        <v>1.0623</v>
      </c>
      <c r="G322" s="20">
        <f>表2_3671626293034567[[#This Row],[累计净值]]/$B$22-1</f>
        <v>0.21857923497267762</v>
      </c>
    </row>
    <row r="323" spans="1:7">
      <c r="A323" s="55">
        <v>44160</v>
      </c>
      <c r="B323" s="112">
        <v>1.2232000000000001</v>
      </c>
      <c r="C323" s="108">
        <f t="shared" ref="C323:C328" si="90">IFERROR(B323-B322,0)</f>
        <v>-3.2999999999998586E-3</v>
      </c>
      <c r="D323" s="109">
        <f t="shared" ref="D323:D328" si="91">IF(C323&lt;0,C323,"/")</f>
        <v>-3.2999999999998586E-3</v>
      </c>
      <c r="E323" s="109">
        <f ca="1">IF(表2_3671626293034567[[#This Row],[累计净值]]/MAX(INDIRECT("B21:B" &amp; ROW()))-1&lt;E322,表2_3671626293034567[[#This Row],[累计净值]]/MAX(INDIRECT("B21:B" &amp; ROW()))-1,E322)</f>
        <v>-2.5203567274137306E-2</v>
      </c>
      <c r="F323" s="110">
        <f>表2_3671626293034567[[#This Row],[累计净值]]-$I$242</f>
        <v>1.0590000000000002</v>
      </c>
      <c r="G323" s="20">
        <f>表2_3671626293034567[[#This Row],[累计净值]]/$B$22-1</f>
        <v>0.21530054644808749</v>
      </c>
    </row>
    <row r="324" spans="1:7">
      <c r="A324" s="55">
        <v>44161</v>
      </c>
      <c r="B324" s="112">
        <v>1.2216</v>
      </c>
      <c r="C324" s="108">
        <f t="shared" si="90"/>
        <v>-1.6000000000000458E-3</v>
      </c>
      <c r="D324" s="109">
        <f t="shared" si="91"/>
        <v>-1.6000000000000458E-3</v>
      </c>
      <c r="E324" s="109">
        <f ca="1">IF(表2_3671626293034567[[#This Row],[累计净值]]/MAX(INDIRECT("B21:B" &amp; ROW()))-1&lt;E323,表2_3671626293034567[[#This Row],[累计净值]]/MAX(INDIRECT("B21:B" &amp; ROW()))-1,E323)</f>
        <v>-2.5203567274137306E-2</v>
      </c>
      <c r="F324" s="110">
        <f>表2_3671626293034567[[#This Row],[累计净值]]-$I$242</f>
        <v>1.0574000000000001</v>
      </c>
      <c r="G324" s="20">
        <f>表2_3671626293034567[[#This Row],[累计净值]]/$B$22-1</f>
        <v>0.21371087928464982</v>
      </c>
    </row>
    <row r="325" spans="1:7">
      <c r="A325" s="55">
        <v>44162</v>
      </c>
      <c r="B325" s="112">
        <v>1.2233000000000001</v>
      </c>
      <c r="C325" s="108">
        <f t="shared" si="90"/>
        <v>1.7000000000000348E-3</v>
      </c>
      <c r="D325" s="109" t="str">
        <f t="shared" si="91"/>
        <v>/</v>
      </c>
      <c r="E325" s="109">
        <f ca="1">IF(表2_3671626293034567[[#This Row],[累计净值]]/MAX(INDIRECT("B21:B" &amp; ROW()))-1&lt;E324,表2_3671626293034567[[#This Row],[累计净值]]/MAX(INDIRECT("B21:B" &amp; ROW()))-1,E324)</f>
        <v>-2.5203567274137306E-2</v>
      </c>
      <c r="F325" s="110">
        <f>表2_3671626293034567[[#This Row],[累计净值]]-$I$242</f>
        <v>1.0591000000000002</v>
      </c>
      <c r="G325" s="20">
        <f>表2_3671626293034567[[#This Row],[累计净值]]/$B$22-1</f>
        <v>0.2153999006458025</v>
      </c>
    </row>
    <row r="326" spans="1:7">
      <c r="A326" s="55">
        <v>44165</v>
      </c>
      <c r="B326" s="112">
        <v>1.2228000000000001</v>
      </c>
      <c r="C326" s="108">
        <f t="shared" si="90"/>
        <v>-4.9999999999994493E-4</v>
      </c>
      <c r="D326" s="109">
        <f t="shared" si="91"/>
        <v>-4.9999999999994493E-4</v>
      </c>
      <c r="E326" s="109">
        <f ca="1">IF(表2_3671626293034567[[#This Row],[累计净值]]/MAX(INDIRECT("B21:B" &amp; ROW()))-1&lt;E325,表2_3671626293034567[[#This Row],[累计净值]]/MAX(INDIRECT("B21:B" &amp; ROW()))-1,E325)</f>
        <v>-2.5203567274137306E-2</v>
      </c>
      <c r="F326" s="110">
        <f>表2_3671626293034567[[#This Row],[累计净值]]-$I$242</f>
        <v>1.0586000000000002</v>
      </c>
      <c r="G326" s="20">
        <f>表2_3671626293034567[[#This Row],[累计净值]]/$B$22-1</f>
        <v>0.21490312965722813</v>
      </c>
    </row>
    <row r="327" spans="1:7">
      <c r="A327" s="55">
        <v>44166</v>
      </c>
      <c r="B327" s="112">
        <v>1.2234</v>
      </c>
      <c r="C327" s="108">
        <f t="shared" si="90"/>
        <v>5.9999999999993392E-4</v>
      </c>
      <c r="D327" s="109" t="str">
        <f t="shared" si="91"/>
        <v>/</v>
      </c>
      <c r="E327" s="109">
        <f ca="1">IF(表2_3671626293034567[[#This Row],[累计净值]]/MAX(INDIRECT("B21:B" &amp; ROW()))-1&lt;E326,表2_3671626293034567[[#This Row],[累计净值]]/MAX(INDIRECT("B21:B" &amp; ROW()))-1,E326)</f>
        <v>-2.5203567274137306E-2</v>
      </c>
      <c r="F327" s="110">
        <f>表2_3671626293034567[[#This Row],[累计净值]]-$I$242</f>
        <v>1.0592000000000001</v>
      </c>
      <c r="G327" s="20">
        <f>表2_3671626293034567[[#This Row],[累计净值]]/$B$22-1</f>
        <v>0.21549925484351728</v>
      </c>
    </row>
    <row r="328" spans="1:7">
      <c r="A328" s="55">
        <v>44167</v>
      </c>
      <c r="B328" s="112">
        <v>1.2254</v>
      </c>
      <c r="C328" s="108">
        <f t="shared" si="90"/>
        <v>2.0000000000000018E-3</v>
      </c>
      <c r="D328" s="109" t="str">
        <f t="shared" si="91"/>
        <v>/</v>
      </c>
      <c r="E328" s="109">
        <f ca="1">IF(表2_3671626293034567[[#This Row],[累计净值]]/MAX(INDIRECT("B21:B" &amp; ROW()))-1&lt;E327,表2_3671626293034567[[#This Row],[累计净值]]/MAX(INDIRECT("B21:B" &amp; ROW()))-1,E327)</f>
        <v>-2.5203567274137306E-2</v>
      </c>
      <c r="F328" s="110">
        <f>表2_3671626293034567[[#This Row],[累计净值]]-$I$242</f>
        <v>1.0612000000000001</v>
      </c>
      <c r="G328" s="20">
        <f>表2_3671626293034567[[#This Row],[累计净值]]/$B$22-1</f>
        <v>0.21748633879781432</v>
      </c>
    </row>
    <row r="329" spans="1:7">
      <c r="A329" s="55">
        <v>44168</v>
      </c>
      <c r="B329" s="112">
        <v>1.2265999999999999</v>
      </c>
      <c r="C329" s="108">
        <f t="shared" ref="C329:C334" si="92">IFERROR(B329-B328,0)</f>
        <v>1.1999999999998678E-3</v>
      </c>
      <c r="D329" s="109" t="str">
        <f t="shared" ref="D329:D334" si="93">IF(C329&lt;0,C329,"/")</f>
        <v>/</v>
      </c>
      <c r="E329" s="109">
        <f ca="1">IF(表2_3671626293034567[[#This Row],[累计净值]]/MAX(INDIRECT("B21:B" &amp; ROW()))-1&lt;E328,表2_3671626293034567[[#This Row],[累计净值]]/MAX(INDIRECT("B21:B" &amp; ROW()))-1,E328)</f>
        <v>-2.5203567274137306E-2</v>
      </c>
      <c r="F329" s="110">
        <f>表2_3671626293034567[[#This Row],[累计净值]]-$I$242</f>
        <v>1.0624</v>
      </c>
      <c r="G329" s="20">
        <f>表2_3671626293034567[[#This Row],[累计净值]]/$B$22-1</f>
        <v>0.2186785891703924</v>
      </c>
    </row>
    <row r="330" spans="1:7">
      <c r="A330" s="55">
        <v>44169</v>
      </c>
      <c r="B330" s="112">
        <v>1.2291000000000001</v>
      </c>
      <c r="C330" s="108">
        <f t="shared" si="92"/>
        <v>2.5000000000001688E-3</v>
      </c>
      <c r="D330" s="109" t="str">
        <f t="shared" si="93"/>
        <v>/</v>
      </c>
      <c r="E330" s="109">
        <f ca="1">IF(表2_3671626293034567[[#This Row],[累计净值]]/MAX(INDIRECT("B21:B" &amp; ROW()))-1&lt;E329,表2_3671626293034567[[#This Row],[累计净值]]/MAX(INDIRECT("B21:B" &amp; ROW()))-1,E329)</f>
        <v>-2.5203567274137306E-2</v>
      </c>
      <c r="F330" s="110">
        <f>表2_3671626293034567[[#This Row],[累计净值]]-$I$242</f>
        <v>1.0649000000000002</v>
      </c>
      <c r="G330" s="20">
        <f>表2_3671626293034567[[#This Row],[累计净值]]/$B$22-1</f>
        <v>0.22116244411326402</v>
      </c>
    </row>
    <row r="331" spans="1:7">
      <c r="A331" s="55">
        <v>44172</v>
      </c>
      <c r="B331" s="112">
        <v>1.2302</v>
      </c>
      <c r="C331" s="108">
        <f t="shared" si="92"/>
        <v>1.0999999999998789E-3</v>
      </c>
      <c r="D331" s="109" t="str">
        <f t="shared" si="93"/>
        <v>/</v>
      </c>
      <c r="E331" s="109">
        <f ca="1">IF(表2_3671626293034567[[#This Row],[累计净值]]/MAX(INDIRECT("B21:B" &amp; ROW()))-1&lt;E330,表2_3671626293034567[[#This Row],[累计净值]]/MAX(INDIRECT("B21:B" &amp; ROW()))-1,E330)</f>
        <v>-2.5203567274137306E-2</v>
      </c>
      <c r="F331" s="110">
        <f>表2_3671626293034567[[#This Row],[累计净值]]-$I$242</f>
        <v>1.0660000000000001</v>
      </c>
      <c r="G331" s="20">
        <f>表2_3671626293034567[[#This Row],[累计净值]]/$B$22-1</f>
        <v>0.2222553402881271</v>
      </c>
    </row>
    <row r="332" spans="1:7">
      <c r="A332" s="55">
        <v>44173</v>
      </c>
      <c r="B332" s="112">
        <v>1.2275</v>
      </c>
      <c r="C332" s="108">
        <f t="shared" si="92"/>
        <v>-2.6999999999999247E-3</v>
      </c>
      <c r="D332" s="109">
        <f t="shared" si="93"/>
        <v>-2.6999999999999247E-3</v>
      </c>
      <c r="E332" s="109">
        <f ca="1">IF(表2_3671626293034567[[#This Row],[累计净值]]/MAX(INDIRECT("B21:B" &amp; ROW()))-1&lt;E331,表2_3671626293034567[[#This Row],[累计净值]]/MAX(INDIRECT("B21:B" &amp; ROW()))-1,E331)</f>
        <v>-2.5203567274137306E-2</v>
      </c>
      <c r="F332" s="110">
        <f>表2_3671626293034567[[#This Row],[累计净值]]-$I$242</f>
        <v>1.0633000000000001</v>
      </c>
      <c r="G332" s="20">
        <f>表2_3671626293034567[[#This Row],[累计净值]]/$B$22-1</f>
        <v>0.21957277694982613</v>
      </c>
    </row>
    <row r="333" spans="1:7">
      <c r="A333" s="55">
        <v>44174</v>
      </c>
      <c r="B333" s="112">
        <v>1.2226999999999999</v>
      </c>
      <c r="C333" s="108">
        <f t="shared" si="92"/>
        <v>-4.8000000000001375E-3</v>
      </c>
      <c r="D333" s="109">
        <f t="shared" si="93"/>
        <v>-4.8000000000001375E-3</v>
      </c>
      <c r="E333" s="109">
        <f ca="1">IF(表2_3671626293034567[[#This Row],[累计净值]]/MAX(INDIRECT("B21:B" &amp; ROW()))-1&lt;E332,表2_3671626293034567[[#This Row],[累计净值]]/MAX(INDIRECT("B21:B" &amp; ROW()))-1,E332)</f>
        <v>-2.5203567274137306E-2</v>
      </c>
      <c r="F333" s="110">
        <f>表2_3671626293034567[[#This Row],[累计净值]]-$I$242</f>
        <v>1.0585</v>
      </c>
      <c r="G333" s="20">
        <f>表2_3671626293034567[[#This Row],[累计净值]]/$B$22-1</f>
        <v>0.21480377545951312</v>
      </c>
    </row>
    <row r="334" spans="1:7">
      <c r="A334" s="55">
        <v>44175</v>
      </c>
      <c r="B334" s="112">
        <v>1.2245999999999999</v>
      </c>
      <c r="C334" s="108">
        <f t="shared" si="92"/>
        <v>1.9000000000000128E-3</v>
      </c>
      <c r="D334" s="109" t="str">
        <f t="shared" si="93"/>
        <v>/</v>
      </c>
      <c r="E334" s="109">
        <f ca="1">IF(表2_3671626293034567[[#This Row],[累计净值]]/MAX(INDIRECT("B21:B" &amp; ROW()))-1&lt;E333,表2_3671626293034567[[#This Row],[累计净值]]/MAX(INDIRECT("B21:B" &amp; ROW()))-1,E333)</f>
        <v>-2.5203567274137306E-2</v>
      </c>
      <c r="F334" s="110">
        <f>表2_3671626293034567[[#This Row],[累计净值]]-$I$242</f>
        <v>1.0604</v>
      </c>
      <c r="G334" s="20">
        <f>表2_3671626293034567[[#This Row],[累计净值]]/$B$22-1</f>
        <v>0.21669150521609537</v>
      </c>
    </row>
    <row r="335" spans="1:7">
      <c r="A335" s="55">
        <v>44176</v>
      </c>
      <c r="B335" s="112">
        <v>1.2278</v>
      </c>
      <c r="C335" s="108">
        <f t="shared" ref="C335:C340" si="94">IFERROR(B335-B334,0)</f>
        <v>3.2000000000000917E-3</v>
      </c>
      <c r="D335" s="109" t="str">
        <f t="shared" ref="D335:D340" si="95">IF(C335&lt;0,C335,"/")</f>
        <v>/</v>
      </c>
      <c r="E335" s="109">
        <f ca="1">IF(表2_3671626293034567[[#This Row],[累计净值]]/MAX(INDIRECT("B21:B" &amp; ROW()))-1&lt;E334,表2_3671626293034567[[#This Row],[累计净值]]/MAX(INDIRECT("B21:B" &amp; ROW()))-1,E334)</f>
        <v>-2.5203567274137306E-2</v>
      </c>
      <c r="F335" s="110">
        <f>表2_3671626293034567[[#This Row],[累计净值]]-$I$242</f>
        <v>1.0636000000000001</v>
      </c>
      <c r="G335" s="20">
        <f>表2_3671626293034567[[#This Row],[累计净值]]/$B$22-1</f>
        <v>0.21987083954297071</v>
      </c>
    </row>
    <row r="336" spans="1:7">
      <c r="A336" s="55">
        <v>44179</v>
      </c>
      <c r="B336" s="112">
        <v>1.2298</v>
      </c>
      <c r="C336" s="108">
        <f t="shared" si="94"/>
        <v>2.0000000000000018E-3</v>
      </c>
      <c r="D336" s="109" t="str">
        <f t="shared" si="95"/>
        <v>/</v>
      </c>
      <c r="E336" s="109">
        <f ca="1">IF(表2_3671626293034567[[#This Row],[累计净值]]/MAX(INDIRECT("B21:B" &amp; ROW()))-1&lt;E335,表2_3671626293034567[[#This Row],[累计净值]]/MAX(INDIRECT("B21:B" &amp; ROW()))-1,E335)</f>
        <v>-2.5203567274137306E-2</v>
      </c>
      <c r="F336" s="110">
        <f>表2_3671626293034567[[#This Row],[累计净值]]-$I$242</f>
        <v>1.0656000000000001</v>
      </c>
      <c r="G336" s="20">
        <f>表2_3671626293034567[[#This Row],[累计净值]]/$B$22-1</f>
        <v>0.22185792349726774</v>
      </c>
    </row>
    <row r="337" spans="1:7">
      <c r="A337" s="55">
        <v>44180</v>
      </c>
      <c r="B337" s="112">
        <v>1.2309000000000001</v>
      </c>
      <c r="C337" s="108">
        <f t="shared" si="94"/>
        <v>1.1000000000001009E-3</v>
      </c>
      <c r="D337" s="109" t="str">
        <f t="shared" si="95"/>
        <v>/</v>
      </c>
      <c r="E337" s="109">
        <f ca="1">IF(表2_3671626293034567[[#This Row],[累计净值]]/MAX(INDIRECT("B21:B" &amp; ROW()))-1&lt;E336,表2_3671626293034567[[#This Row],[累计净值]]/MAX(INDIRECT("B21:B" &amp; ROW()))-1,E336)</f>
        <v>-2.5203567274137306E-2</v>
      </c>
      <c r="F337" s="110">
        <f>表2_3671626293034567[[#This Row],[累计净值]]-$I$242</f>
        <v>1.0667000000000002</v>
      </c>
      <c r="G337" s="20">
        <f>表2_3671626293034567[[#This Row],[累计净值]]/$B$22-1</f>
        <v>0.22295081967213126</v>
      </c>
    </row>
    <row r="338" spans="1:7">
      <c r="A338" s="55">
        <v>44181</v>
      </c>
      <c r="B338" s="112">
        <v>1.2293000000000001</v>
      </c>
      <c r="C338" s="108">
        <f t="shared" si="94"/>
        <v>-1.6000000000000458E-3</v>
      </c>
      <c r="D338" s="109">
        <f t="shared" si="95"/>
        <v>-1.6000000000000458E-3</v>
      </c>
      <c r="E338" s="109">
        <f ca="1">IF(表2_3671626293034567[[#This Row],[累计净值]]/MAX(INDIRECT("B21:B" &amp; ROW()))-1&lt;E337,表2_3671626293034567[[#This Row],[累计净值]]/MAX(INDIRECT("B21:B" &amp; ROW()))-1,E337)</f>
        <v>-2.5203567274137306E-2</v>
      </c>
      <c r="F338" s="110">
        <f>表2_3671626293034567[[#This Row],[累计净值]]-$I$242</f>
        <v>1.0651000000000002</v>
      </c>
      <c r="G338" s="20">
        <f>表2_3671626293034567[[#This Row],[累计净值]]/$B$22-1</f>
        <v>0.22136115250869359</v>
      </c>
    </row>
    <row r="339" spans="1:7">
      <c r="A339" s="55">
        <v>44182</v>
      </c>
      <c r="B339" s="112">
        <v>1.2274</v>
      </c>
      <c r="C339" s="108">
        <f t="shared" si="94"/>
        <v>-1.9000000000000128E-3</v>
      </c>
      <c r="D339" s="109">
        <f t="shared" si="95"/>
        <v>-1.9000000000000128E-3</v>
      </c>
      <c r="E339" s="109">
        <f ca="1">IF(表2_3671626293034567[[#This Row],[累计净值]]/MAX(INDIRECT("B21:B" &amp; ROW()))-1&lt;E338,表2_3671626293034567[[#This Row],[累计净值]]/MAX(INDIRECT("B21:B" &amp; ROW()))-1,E338)</f>
        <v>-2.5203567274137306E-2</v>
      </c>
      <c r="F339" s="110">
        <f>表2_3671626293034567[[#This Row],[累计净值]]-$I$242</f>
        <v>1.0632000000000001</v>
      </c>
      <c r="G339" s="20">
        <f>表2_3671626293034567[[#This Row],[累计净值]]/$B$22-1</f>
        <v>0.21947342275211135</v>
      </c>
    </row>
    <row r="340" spans="1:7">
      <c r="A340" s="55">
        <v>44183</v>
      </c>
      <c r="B340" s="112">
        <v>1.2271000000000001</v>
      </c>
      <c r="C340" s="108">
        <f t="shared" si="94"/>
        <v>-2.9999999999996696E-4</v>
      </c>
      <c r="D340" s="109">
        <f t="shared" si="95"/>
        <v>-2.9999999999996696E-4</v>
      </c>
      <c r="E340" s="109">
        <f ca="1">IF(表2_3671626293034567[[#This Row],[累计净值]]/MAX(INDIRECT("B21:B" &amp; ROW()))-1&lt;E339,表2_3671626293034567[[#This Row],[累计净值]]/MAX(INDIRECT("B21:B" &amp; ROW()))-1,E339)</f>
        <v>-2.5203567274137306E-2</v>
      </c>
      <c r="F340" s="110">
        <f>表2_3671626293034567[[#This Row],[累计净值]]-$I$242</f>
        <v>1.0629000000000002</v>
      </c>
      <c r="G340" s="20">
        <f>表2_3671626293034567[[#This Row],[累计净值]]/$B$22-1</f>
        <v>0.21917536015896677</v>
      </c>
    </row>
    <row r="341" spans="1:7">
      <c r="A341" s="55">
        <v>44186</v>
      </c>
      <c r="B341" s="112">
        <v>1.2266999999999999</v>
      </c>
      <c r="C341" s="108">
        <f t="shared" ref="C341:C346" si="96">IFERROR(B341-B340,0)</f>
        <v>-4.0000000000017799E-4</v>
      </c>
      <c r="D341" s="109">
        <f t="shared" ref="D341:D346" si="97">IF(C341&lt;0,C341,"/")</f>
        <v>-4.0000000000017799E-4</v>
      </c>
      <c r="E341" s="109">
        <f ca="1">IF(表2_3671626293034567[[#This Row],[累计净值]]/MAX(INDIRECT("B21:B" &amp; ROW()))-1&lt;E340,表2_3671626293034567[[#This Row],[累计净值]]/MAX(INDIRECT("B21:B" &amp; ROW()))-1,E340)</f>
        <v>-2.5203567274137306E-2</v>
      </c>
      <c r="F341" s="110">
        <f>表2_3671626293034567[[#This Row],[累计净值]]-$I$242</f>
        <v>1.0625</v>
      </c>
      <c r="G341" s="20">
        <f>0.8*(表2_3671626293034567[[#This Row],[累计净值]]/$B$22-1)</f>
        <v>0.17502235469448577</v>
      </c>
    </row>
    <row r="342" spans="1:7">
      <c r="A342" s="55">
        <v>44187</v>
      </c>
      <c r="B342" s="112">
        <v>1.2236</v>
      </c>
      <c r="C342" s="108">
        <f t="shared" si="96"/>
        <v>-3.0999999999998806E-3</v>
      </c>
      <c r="D342" s="109">
        <f t="shared" si="97"/>
        <v>-3.0999999999998806E-3</v>
      </c>
      <c r="E342" s="109">
        <f ca="1">IF(表2_3671626293034567[[#This Row],[累计净值]]/MAX(INDIRECT("B21:B" &amp; ROW()))-1&lt;E341,表2_3671626293034567[[#This Row],[累计净值]]/MAX(INDIRECT("B21:B" &amp; ROW()))-1,E341)</f>
        <v>-2.5203567274137306E-2</v>
      </c>
      <c r="F342" s="110">
        <f>表2_3671626293034567[[#This Row],[累计净值]]-$I$242</f>
        <v>1.0594000000000001</v>
      </c>
      <c r="G342" s="20">
        <f>0.8*(表2_3671626293034567[[#This Row],[累计净值]]/$B$22-1)</f>
        <v>0.1725583705911575</v>
      </c>
    </row>
    <row r="343" spans="1:7">
      <c r="A343" s="55">
        <v>44188</v>
      </c>
      <c r="B343" s="112">
        <v>1.2269000000000001</v>
      </c>
      <c r="C343" s="108">
        <f t="shared" si="96"/>
        <v>3.3000000000000806E-3</v>
      </c>
      <c r="D343" s="109" t="str">
        <f t="shared" si="97"/>
        <v>/</v>
      </c>
      <c r="E343" s="109">
        <f ca="1">IF(表2_3671626293034567[[#This Row],[累计净值]]/MAX(INDIRECT("B21:B" &amp; ROW()))-1&lt;E342,表2_3671626293034567[[#This Row],[累计净值]]/MAX(INDIRECT("B21:B" &amp; ROW()))-1,E342)</f>
        <v>-2.5203567274137306E-2</v>
      </c>
      <c r="F343" s="110">
        <f>表2_3671626293034567[[#This Row],[累计净值]]-$I$242</f>
        <v>1.0627000000000002</v>
      </c>
      <c r="G343" s="20">
        <f>0.8*(表2_3671626293034567[[#This Row],[累计净值]]/$B$22-1)</f>
        <v>0.17518132141082976</v>
      </c>
    </row>
    <row r="344" spans="1:7">
      <c r="A344" s="55">
        <v>44189</v>
      </c>
      <c r="B344" s="112">
        <v>1.2239</v>
      </c>
      <c r="C344" s="108">
        <f t="shared" si="96"/>
        <v>-3.0000000000001137E-3</v>
      </c>
      <c r="D344" s="109">
        <f t="shared" si="97"/>
        <v>-3.0000000000001137E-3</v>
      </c>
      <c r="E344" s="109">
        <f ca="1">IF(表2_3671626293034567[[#This Row],[累计净值]]/MAX(INDIRECT("B21:B" &amp; ROW()))-1&lt;E343,表2_3671626293034567[[#This Row],[累计净值]]/MAX(INDIRECT("B21:B" &amp; ROW()))-1,E343)</f>
        <v>-2.5203567274137306E-2</v>
      </c>
      <c r="F344" s="110">
        <f>表2_3671626293034567[[#This Row],[累计净值]]-$I$242</f>
        <v>1.0597000000000001</v>
      </c>
      <c r="G344" s="20">
        <f>0.8*(表2_3671626293034567[[#This Row],[累计净值]]/$B$22-1)</f>
        <v>0.17279682066567315</v>
      </c>
    </row>
    <row r="345" spans="1:7">
      <c r="A345" s="55">
        <v>44190</v>
      </c>
      <c r="B345" s="112">
        <v>1.2258</v>
      </c>
      <c r="C345" s="108">
        <f t="shared" si="96"/>
        <v>1.9000000000000128E-3</v>
      </c>
      <c r="D345" s="109" t="str">
        <f t="shared" si="97"/>
        <v>/</v>
      </c>
      <c r="E345" s="109">
        <f ca="1">IF(表2_3671626293034567[[#This Row],[累计净值]]/MAX(INDIRECT("B21:B" &amp; ROW()))-1&lt;E344,表2_3671626293034567[[#This Row],[累计净值]]/MAX(INDIRECT("B21:B" &amp; ROW()))-1,E344)</f>
        <v>-2.5203567274137306E-2</v>
      </c>
      <c r="F345" s="110">
        <f>表2_3671626293034567[[#This Row],[累计净值]]-$I$242</f>
        <v>1.0616000000000001</v>
      </c>
      <c r="G345" s="20">
        <f>0.8*(表2_3671626293034567[[#This Row],[累计净值]]/$B$22-1)</f>
        <v>0.17430700447093894</v>
      </c>
    </row>
    <row r="346" spans="1:7">
      <c r="A346" s="55">
        <v>44193</v>
      </c>
      <c r="B346" s="112">
        <v>1.2287999999999999</v>
      </c>
      <c r="C346" s="108">
        <f t="shared" si="96"/>
        <v>2.9999999999998916E-3</v>
      </c>
      <c r="D346" s="109" t="str">
        <f t="shared" si="97"/>
        <v>/</v>
      </c>
      <c r="E346" s="109">
        <f ca="1">IF(表2_3671626293034567[[#This Row],[累计净值]]/MAX(INDIRECT("B21:B" &amp; ROW()))-1&lt;E345,表2_3671626293034567[[#This Row],[累计净值]]/MAX(INDIRECT("B21:B" &amp; ROW()))-1,E345)</f>
        <v>-2.5203567274137306E-2</v>
      </c>
      <c r="F346" s="110">
        <f>表2_3671626293034567[[#This Row],[累计净值]]-$I$242</f>
        <v>1.0646</v>
      </c>
      <c r="G346" s="20">
        <f>0.8*(表2_3671626293034567[[#This Row],[累计净值]]/$B$22-1)</f>
        <v>0.17669150521609539</v>
      </c>
    </row>
    <row r="347" spans="1:7">
      <c r="A347" s="55">
        <v>44194</v>
      </c>
      <c r="B347" s="112">
        <v>1.2233000000000001</v>
      </c>
      <c r="C347" s="108">
        <f t="shared" ref="C347:C352" si="98">IFERROR(B347-B346,0)</f>
        <v>-5.4999999999998384E-3</v>
      </c>
      <c r="D347" s="109">
        <f t="shared" ref="D347:D352" si="99">IF(C347&lt;0,C347,"/")</f>
        <v>-5.4999999999998384E-3</v>
      </c>
      <c r="E347" s="109">
        <f ca="1">IF(表2_3671626293034567[[#This Row],[累计净值]]/MAX(INDIRECT("B21:B" &amp; ROW()))-1&lt;E346,表2_3671626293034567[[#This Row],[累计净值]]/MAX(INDIRECT("B21:B" &amp; ROW()))-1,E346)</f>
        <v>-2.5203567274137306E-2</v>
      </c>
      <c r="F347" s="110">
        <f>表2_3671626293034567[[#This Row],[累计净值]]-$I$242</f>
        <v>1.0591000000000002</v>
      </c>
      <c r="G347" s="20">
        <f>0.8*(表2_3671626293034567[[#This Row],[累计净值]]/$B$22-1)</f>
        <v>0.17231992051664202</v>
      </c>
    </row>
    <row r="348" spans="1:7">
      <c r="A348" s="55">
        <v>44195</v>
      </c>
      <c r="B348" s="112">
        <v>1.2271000000000001</v>
      </c>
      <c r="C348" s="108">
        <f t="shared" si="98"/>
        <v>3.8000000000000256E-3</v>
      </c>
      <c r="D348" s="109" t="str">
        <f t="shared" si="99"/>
        <v>/</v>
      </c>
      <c r="E348" s="109">
        <f ca="1">IF(表2_3671626293034567[[#This Row],[累计净值]]/MAX(INDIRECT("B21:B" &amp; ROW()))-1&lt;E347,表2_3671626293034567[[#This Row],[累计净值]]/MAX(INDIRECT("B21:B" &amp; ROW()))-1,E347)</f>
        <v>-2.5203567274137306E-2</v>
      </c>
      <c r="F348" s="110">
        <f>表2_3671626293034567[[#This Row],[累计净值]]-$I$242</f>
        <v>1.0629000000000002</v>
      </c>
      <c r="G348" s="20">
        <f>0.8*(表2_3671626293034567[[#This Row],[累计净值]]/$B$22-1)</f>
        <v>0.17534028812717342</v>
      </c>
    </row>
    <row r="349" spans="1:7">
      <c r="A349" s="55">
        <v>44196</v>
      </c>
      <c r="B349" s="112">
        <v>1.2311000000000001</v>
      </c>
      <c r="C349" s="108">
        <f t="shared" si="98"/>
        <v>4.0000000000000036E-3</v>
      </c>
      <c r="D349" s="109" t="str">
        <f t="shared" si="99"/>
        <v>/</v>
      </c>
      <c r="E349" s="109">
        <f ca="1">IF(表2_3671626293034567[[#This Row],[累计净值]]/MAX(INDIRECT("B21:B" &amp; ROW()))-1&lt;E348,表2_3671626293034567[[#This Row],[累计净值]]/MAX(INDIRECT("B21:B" &amp; ROW()))-1,E348)</f>
        <v>-2.5203567274137306E-2</v>
      </c>
      <c r="F349" s="110">
        <f>表2_3671626293034567[[#This Row],[累计净值]]-$I$242</f>
        <v>1.0669000000000002</v>
      </c>
      <c r="G349" s="20">
        <f>0.8*(表2_3671626293034567[[#This Row],[累计净值]]/$B$22-1)</f>
        <v>0.17851962245404884</v>
      </c>
    </row>
    <row r="350" spans="1:7">
      <c r="A350" s="55">
        <v>44200</v>
      </c>
      <c r="B350" s="112">
        <v>1.2362</v>
      </c>
      <c r="C350" s="108">
        <f t="shared" si="98"/>
        <v>5.0999999999998824E-3</v>
      </c>
      <c r="D350" s="109" t="str">
        <f t="shared" si="99"/>
        <v>/</v>
      </c>
      <c r="E350" s="109">
        <f ca="1">IF(表2_3671626293034567[[#This Row],[累计净值]]/MAX(INDIRECT("B21:B" &amp; ROW()))-1&lt;E349,表2_3671626293034567[[#This Row],[累计净值]]/MAX(INDIRECT("B21:B" &amp; ROW()))-1,E349)</f>
        <v>-2.5203567274137306E-2</v>
      </c>
      <c r="F350" s="110">
        <f>表2_3671626293034567[[#This Row],[累计净值]]-$I$242</f>
        <v>1.0720000000000001</v>
      </c>
      <c r="G350" s="20">
        <f>0.8*(表2_3671626293034567[[#This Row],[累计净值]]/$B$22-1)</f>
        <v>0.18257327372081475</v>
      </c>
    </row>
    <row r="351" spans="1:7">
      <c r="A351" s="55">
        <v>44201</v>
      </c>
      <c r="B351" s="117">
        <v>1.2415</v>
      </c>
      <c r="C351" s="108">
        <f t="shared" si="98"/>
        <v>5.3000000000000824E-3</v>
      </c>
      <c r="D351" s="109" t="str">
        <f t="shared" si="99"/>
        <v>/</v>
      </c>
      <c r="E351" s="109">
        <f ca="1">IF(表2_3671626293034567[[#This Row],[累计净值]]/MAX(INDIRECT("B21:B" &amp; ROW()))-1&lt;E350,表2_3671626293034567[[#This Row],[累计净值]]/MAX(INDIRECT("B21:B" &amp; ROW()))-1,E350)</f>
        <v>-2.5203567274137306E-2</v>
      </c>
      <c r="F351" s="110">
        <f>表2_3671626293034567[[#This Row],[累计净值]]-$I$242</f>
        <v>1.0773000000000001</v>
      </c>
      <c r="G351" s="20">
        <f>0.8*(表2_3671626293034567[[#This Row],[累计净值]]/$B$22-1)</f>
        <v>0.18678589170392465</v>
      </c>
    </row>
    <row r="352" spans="1:7">
      <c r="A352" s="55">
        <v>44202</v>
      </c>
      <c r="B352" s="112">
        <v>1.2401</v>
      </c>
      <c r="C352" s="108">
        <f t="shared" si="98"/>
        <v>-1.4000000000000679E-3</v>
      </c>
      <c r="D352" s="109">
        <f t="shared" si="99"/>
        <v>-1.4000000000000679E-3</v>
      </c>
      <c r="E352" s="109">
        <f ca="1">IF(表2_3671626293034567[[#This Row],[累计净值]]/MAX(INDIRECT("B21:B" &amp; ROW()))-1&lt;E351,表2_3671626293034567[[#This Row],[累计净值]]/MAX(INDIRECT("B21:B" &amp; ROW()))-1,E351)</f>
        <v>-2.5203567274137306E-2</v>
      </c>
      <c r="F352" s="110">
        <f>表2_3671626293034567[[#This Row],[累计净值]]-$I$242</f>
        <v>1.0759000000000001</v>
      </c>
      <c r="G352" s="20">
        <f>0.8*(表2_3671626293034567[[#This Row],[累计净值]]/$B$22-1)</f>
        <v>0.18567312468951816</v>
      </c>
    </row>
    <row r="353" spans="1:7">
      <c r="A353" s="55">
        <v>44203</v>
      </c>
      <c r="B353" s="112">
        <v>1.2391000000000001</v>
      </c>
      <c r="C353" s="108">
        <f t="shared" ref="C353:C358" si="100">IFERROR(B353-B352,0)</f>
        <v>-9.9999999999988987E-4</v>
      </c>
      <c r="D353" s="109">
        <f t="shared" ref="D353:D358" si="101">IF(C353&lt;0,C353,"/")</f>
        <v>-9.9999999999988987E-4</v>
      </c>
      <c r="E353" s="109">
        <f ca="1">IF(表2_3671626293034567[[#This Row],[累计净值]]/MAX(INDIRECT("B21:B" &amp; ROW()))-1&lt;E352,表2_3671626293034567[[#This Row],[累计净值]]/MAX(INDIRECT("B21:B" &amp; ROW()))-1,E352)</f>
        <v>-2.5203567274137306E-2</v>
      </c>
      <c r="F353" s="110">
        <f>表2_3671626293034567[[#This Row],[累计净值]]-$I$242</f>
        <v>1.0749000000000002</v>
      </c>
      <c r="G353" s="20">
        <f>0.8*(表2_3671626293034567[[#This Row],[累计净值]]/$B$22-1)</f>
        <v>0.18487829110779935</v>
      </c>
    </row>
    <row r="354" spans="1:7">
      <c r="A354" s="55">
        <v>44204</v>
      </c>
      <c r="B354" s="112">
        <v>1.2332000000000001</v>
      </c>
      <c r="C354" s="108">
        <f t="shared" si="100"/>
        <v>-5.9000000000000163E-3</v>
      </c>
      <c r="D354" s="109">
        <f t="shared" si="101"/>
        <v>-5.9000000000000163E-3</v>
      </c>
      <c r="E354" s="109">
        <f ca="1">IF(表2_3671626293034567[[#This Row],[累计净值]]/MAX(INDIRECT("B21:B" &amp; ROW()))-1&lt;E353,表2_3671626293034567[[#This Row],[累计净值]]/MAX(INDIRECT("B21:B" &amp; ROW()))-1,E353)</f>
        <v>-2.5203567274137306E-2</v>
      </c>
      <c r="F354" s="110">
        <f>表2_3671626293034567[[#This Row],[累计净值]]-$I$242</f>
        <v>1.0690000000000002</v>
      </c>
      <c r="G354" s="20">
        <f>0.8*(表2_3671626293034567[[#This Row],[累计净值]]/$B$22-1)</f>
        <v>0.1801887729756583</v>
      </c>
    </row>
    <row r="355" spans="1:7">
      <c r="A355" s="55">
        <v>44207</v>
      </c>
      <c r="B355" s="112">
        <v>1.2330000000000001</v>
      </c>
      <c r="C355" s="108">
        <f t="shared" si="100"/>
        <v>-1.9999999999997797E-4</v>
      </c>
      <c r="D355" s="109">
        <f t="shared" si="101"/>
        <v>-1.9999999999997797E-4</v>
      </c>
      <c r="E355" s="109">
        <f ca="1">IF(表2_3671626293034567[[#This Row],[累计净值]]/MAX(INDIRECT("B21:B" &amp; ROW()))-1&lt;E354,表2_3671626293034567[[#This Row],[累计净值]]/MAX(INDIRECT("B21:B" &amp; ROW()))-1,E354)</f>
        <v>-2.5203567274137306E-2</v>
      </c>
      <c r="F355" s="110">
        <f>表2_3671626293034567[[#This Row],[累计净值]]-$I$242</f>
        <v>1.0688000000000002</v>
      </c>
      <c r="G355" s="20">
        <f>0.8*(表2_3671626293034567[[#This Row],[累计净值]]/$B$22-1)</f>
        <v>0.18002980625931464</v>
      </c>
    </row>
    <row r="356" spans="1:7">
      <c r="A356" s="55">
        <v>44208</v>
      </c>
      <c r="B356" s="112">
        <v>1.2399</v>
      </c>
      <c r="C356" s="108">
        <f t="shared" si="100"/>
        <v>6.8999999999999062E-3</v>
      </c>
      <c r="D356" s="109" t="str">
        <f t="shared" si="101"/>
        <v>/</v>
      </c>
      <c r="E356" s="109">
        <f ca="1">IF(表2_3671626293034567[[#This Row],[累计净值]]/MAX(INDIRECT("B21:B" &amp; ROW()))-1&lt;E355,表2_3671626293034567[[#This Row],[累计净值]]/MAX(INDIRECT("B21:B" &amp; ROW()))-1,E355)</f>
        <v>-2.5203567274137306E-2</v>
      </c>
      <c r="F356" s="110">
        <f>表2_3671626293034567[[#This Row],[累计净值]]-$I$242</f>
        <v>1.0757000000000001</v>
      </c>
      <c r="G356" s="20">
        <f>0.8*(表2_3671626293034567[[#This Row],[累计净值]]/$B$22-1)</f>
        <v>0.1855141579731745</v>
      </c>
    </row>
    <row r="357" spans="1:7">
      <c r="A357" s="55">
        <v>44209</v>
      </c>
      <c r="B357" s="112">
        <v>1.2373000000000001</v>
      </c>
      <c r="C357" s="108">
        <f t="shared" si="100"/>
        <v>-2.5999999999999357E-3</v>
      </c>
      <c r="D357" s="109">
        <f t="shared" si="101"/>
        <v>-2.5999999999999357E-3</v>
      </c>
      <c r="E357" s="109">
        <f ca="1">IF(表2_3671626293034567[[#This Row],[累计净值]]/MAX(INDIRECT("B21:B" &amp; ROW()))-1&lt;E356,表2_3671626293034567[[#This Row],[累计净值]]/MAX(INDIRECT("B21:B" &amp; ROW()))-1,E356)</f>
        <v>-2.5203567274137306E-2</v>
      </c>
      <c r="F357" s="110">
        <f>表2_3671626293034567[[#This Row],[累计净值]]-$I$242</f>
        <v>1.0731000000000002</v>
      </c>
      <c r="G357" s="20">
        <f>0.8*(表2_3671626293034567[[#This Row],[累计净值]]/$B$22-1)</f>
        <v>0.18344759066070557</v>
      </c>
    </row>
    <row r="358" spans="1:7">
      <c r="A358" s="55">
        <v>44210</v>
      </c>
      <c r="B358" s="112">
        <v>1.2304999999999999</v>
      </c>
      <c r="C358" s="108">
        <f t="shared" si="100"/>
        <v>-6.8000000000001393E-3</v>
      </c>
      <c r="D358" s="109">
        <f t="shared" si="101"/>
        <v>-6.8000000000001393E-3</v>
      </c>
      <c r="E358" s="109">
        <f ca="1">IF(表2_3671626293034567[[#This Row],[累计净值]]/MAX(INDIRECT("B21:B" &amp; ROW()))-1&lt;E357,表2_3671626293034567[[#This Row],[累计净值]]/MAX(INDIRECT("B21:B" &amp; ROW()))-1,E357)</f>
        <v>-2.5203567274137306E-2</v>
      </c>
      <c r="F358" s="110">
        <f>表2_3671626293034567[[#This Row],[累计净值]]-$I$242</f>
        <v>1.0663</v>
      </c>
      <c r="G358" s="20">
        <f>0.8*(表2_3671626293034567[[#This Row],[累计净值]]/$B$22-1)</f>
        <v>0.17804272230501736</v>
      </c>
    </row>
    <row r="359" spans="1:7">
      <c r="A359" s="55">
        <v>44211</v>
      </c>
      <c r="B359" s="112">
        <v>1.236</v>
      </c>
      <c r="C359" s="108">
        <f t="shared" ref="C359:C365" si="102">IFERROR(B359-B358,0)</f>
        <v>5.5000000000000604E-3</v>
      </c>
      <c r="D359" s="109" t="str">
        <f t="shared" ref="D359:D365" si="103">IF(C359&lt;0,C359,"/")</f>
        <v>/</v>
      </c>
      <c r="E359" s="109">
        <f ca="1">IF(表2_3671626293034567[[#This Row],[累计净值]]/MAX(INDIRECT("B21:B" &amp; ROW()))-1&lt;E358,表2_3671626293034567[[#This Row],[累计净值]]/MAX(INDIRECT("B21:B" &amp; ROW()))-1,E358)</f>
        <v>-2.5203567274137306E-2</v>
      </c>
      <c r="F359" s="110">
        <f>表2_3671626293034567[[#This Row],[累计净值]]-$I$242</f>
        <v>1.0718000000000001</v>
      </c>
      <c r="G359" s="20">
        <f>0.8*(表2_3671626293034567[[#This Row],[累计净值]]/$B$22-1)</f>
        <v>0.18241430700447092</v>
      </c>
    </row>
    <row r="360" spans="1:7">
      <c r="A360" s="55">
        <v>44214</v>
      </c>
      <c r="B360" s="112">
        <v>1.2414000000000001</v>
      </c>
      <c r="C360" s="108">
        <f t="shared" si="102"/>
        <v>5.4000000000000714E-3</v>
      </c>
      <c r="D360" s="109" t="str">
        <f t="shared" si="103"/>
        <v>/</v>
      </c>
      <c r="E360" s="109">
        <f ca="1">IF(表2_3671626293034567[[#This Row],[累计净值]]/MAX(INDIRECT("B21:B" &amp; ROW()))-1&lt;E359,表2_3671626293034567[[#This Row],[累计净值]]/MAX(INDIRECT("B21:B" &amp; ROW()))-1,E359)</f>
        <v>-2.5203567274137306E-2</v>
      </c>
      <c r="F360" s="110">
        <f>表2_3671626293034567[[#This Row],[累计净值]]-$I$242</f>
        <v>1.0772000000000002</v>
      </c>
      <c r="G360" s="20">
        <f>0.8*(表2_3671626293034567[[#This Row],[累计净值]]/$B$22-1)</f>
        <v>0.18670640834575264</v>
      </c>
    </row>
    <row r="361" spans="1:7">
      <c r="A361" s="55">
        <v>44215</v>
      </c>
      <c r="B361" s="112">
        <v>1.2410000000000001</v>
      </c>
      <c r="C361" s="108">
        <f t="shared" si="102"/>
        <v>-3.9999999999995595E-4</v>
      </c>
      <c r="D361" s="109">
        <f t="shared" si="103"/>
        <v>-3.9999999999995595E-4</v>
      </c>
      <c r="E361" s="109">
        <f ca="1">IF(表2_3671626293034567[[#This Row],[累计净值]]/MAX(INDIRECT("B21:B" &amp; ROW()))-1&lt;E360,表2_3671626293034567[[#This Row],[累计净值]]/MAX(INDIRECT("B21:B" &amp; ROW()))-1,E360)</f>
        <v>-2.5203567274137306E-2</v>
      </c>
      <c r="F361" s="110">
        <f>表2_3671626293034567[[#This Row],[累计净值]]-$I$242</f>
        <v>1.0768000000000002</v>
      </c>
      <c r="G361" s="20">
        <f>0.8*(表2_3671626293034567[[#This Row],[累计净值]]/$B$22-1)</f>
        <v>0.18638847491306515</v>
      </c>
    </row>
    <row r="362" spans="1:7">
      <c r="A362" s="55">
        <v>44216</v>
      </c>
      <c r="B362" s="112">
        <v>1.2442</v>
      </c>
      <c r="C362" s="108">
        <f t="shared" si="102"/>
        <v>3.1999999999998696E-3</v>
      </c>
      <c r="D362" s="109" t="str">
        <f t="shared" si="103"/>
        <v>/</v>
      </c>
      <c r="E362" s="109">
        <f ca="1">IF(表2_3671626293034567[[#This Row],[累计净值]]/MAX(INDIRECT("B21:B" &amp; ROW()))-1&lt;E361,表2_3671626293034567[[#This Row],[累计净值]]/MAX(INDIRECT("B21:B" &amp; ROW()))-1,E361)</f>
        <v>-2.5203567274137306E-2</v>
      </c>
      <c r="F362" s="110">
        <f>表2_3671626293034567[[#This Row],[累计净值]]-$I$242</f>
        <v>1.08</v>
      </c>
      <c r="G362" s="20">
        <f>0.8*(表2_3671626293034567[[#This Row],[累计净值]]/$B$22-1)</f>
        <v>0.18893194237456543</v>
      </c>
    </row>
    <row r="363" spans="1:7">
      <c r="A363" s="55">
        <v>44217</v>
      </c>
      <c r="B363" s="112">
        <v>1.2462</v>
      </c>
      <c r="C363" s="108">
        <f t="shared" si="102"/>
        <v>2.0000000000000018E-3</v>
      </c>
      <c r="D363" s="109" t="str">
        <f t="shared" si="103"/>
        <v>/</v>
      </c>
      <c r="E363" s="109">
        <f ca="1">IF(表2_3671626293034567[[#This Row],[累计净值]]/MAX(INDIRECT("B21:B" &amp; ROW()))-1&lt;E362,表2_3671626293034567[[#This Row],[累计净值]]/MAX(INDIRECT("B21:B" &amp; ROW()))-1,E362)</f>
        <v>-2.5203567274137306E-2</v>
      </c>
      <c r="F363" s="110">
        <f>表2_3671626293034567[[#This Row],[累计净值]]-$I$242</f>
        <v>1.0820000000000001</v>
      </c>
      <c r="G363" s="20">
        <f>0.8*(表2_3671626293034567[[#This Row],[累计净值]]/$B$22-1)</f>
        <v>0.19052160953800304</v>
      </c>
    </row>
    <row r="364" spans="1:7">
      <c r="A364" s="55">
        <v>44218</v>
      </c>
      <c r="B364" s="112">
        <v>1.2502</v>
      </c>
      <c r="C364" s="108">
        <f t="shared" si="102"/>
        <v>4.0000000000000036E-3</v>
      </c>
      <c r="D364" s="109" t="str">
        <f t="shared" si="103"/>
        <v>/</v>
      </c>
      <c r="E364" s="109">
        <f ca="1">IF(表2_3671626293034567[[#This Row],[累计净值]]/MAX(INDIRECT("B21:B" &amp; ROW()))-1&lt;E363,表2_3671626293034567[[#This Row],[累计净值]]/MAX(INDIRECT("B21:B" &amp; ROW()))-1,E363)</f>
        <v>-2.5203567274137306E-2</v>
      </c>
      <c r="F364" s="110">
        <f>表2_3671626293034567[[#This Row],[累计净值]]-$I$242</f>
        <v>1.0860000000000001</v>
      </c>
      <c r="G364" s="20">
        <f>0.8*(表2_3671626293034567[[#This Row],[累计净值]]/$B$22-1)</f>
        <v>0.19370094386487829</v>
      </c>
    </row>
    <row r="365" spans="1:7">
      <c r="A365" s="55">
        <v>44221</v>
      </c>
      <c r="B365" s="117">
        <v>1.2509999999999999</v>
      </c>
      <c r="C365" s="108">
        <f t="shared" si="102"/>
        <v>7.9999999999991189E-4</v>
      </c>
      <c r="D365" s="109" t="str">
        <f t="shared" si="103"/>
        <v>/</v>
      </c>
      <c r="E365" s="109">
        <f ca="1">IF(表2_3671626293034567[[#This Row],[累计净值]]/MAX(INDIRECT("B21:B" &amp; ROW()))-1&lt;E364,表2_3671626293034567[[#This Row],[累计净值]]/MAX(INDIRECT("B21:B" &amp; ROW()))-1,E364)</f>
        <v>-2.5203567274137306E-2</v>
      </c>
      <c r="F365" s="110">
        <f>表2_3671626293034567[[#This Row],[累计净值]]-$I$242</f>
        <v>1.0868</v>
      </c>
      <c r="G365" s="20">
        <f>0.8*(表2_3671626293034567[[#This Row],[累计净值]]/$B$22-1)</f>
        <v>0.19433681073025327</v>
      </c>
    </row>
    <row r="366" spans="1:7">
      <c r="A366" s="55">
        <v>44222</v>
      </c>
      <c r="B366" s="112">
        <v>1.2454000000000001</v>
      </c>
      <c r="C366" s="108">
        <f t="shared" ref="C366:C372" si="104">IFERROR(B366-B365,0)</f>
        <v>-5.5999999999998273E-3</v>
      </c>
      <c r="D366" s="109">
        <f t="shared" ref="D366:D372" si="105">IF(C366&lt;0,C366,"/")</f>
        <v>-5.5999999999998273E-3</v>
      </c>
      <c r="E366" s="109">
        <f ca="1">IF(表2_3671626293034567[[#This Row],[累计净值]]/MAX(INDIRECT("B21:B" &amp; ROW()))-1&lt;E365,表2_3671626293034567[[#This Row],[累计净值]]/MAX(INDIRECT("B21:B" &amp; ROW()))-1,E365)</f>
        <v>-2.5203567274137306E-2</v>
      </c>
      <c r="F366" s="110">
        <f>表2_3671626293034567[[#This Row],[累计净值]]-$I$242</f>
        <v>1.0812000000000002</v>
      </c>
      <c r="G366" s="20">
        <f>0.8*(表2_3671626293034567[[#This Row],[累计净值]]/$B$22-1)</f>
        <v>0.18988574267262806</v>
      </c>
    </row>
    <row r="367" spans="1:7">
      <c r="A367" s="55">
        <v>44223</v>
      </c>
      <c r="B367" s="112">
        <v>1.2476</v>
      </c>
      <c r="C367" s="108">
        <f t="shared" si="104"/>
        <v>2.1999999999999797E-3</v>
      </c>
      <c r="D367" s="109" t="str">
        <f t="shared" si="105"/>
        <v>/</v>
      </c>
      <c r="E367" s="109">
        <f ca="1">IF(表2_3671626293034567[[#This Row],[累计净值]]/MAX(INDIRECT("B21:B" &amp; ROW()))-1&lt;E366,表2_3671626293034567[[#This Row],[累计净值]]/MAX(INDIRECT("B21:B" &amp; ROW()))-1,E366)</f>
        <v>-2.5203567274137306E-2</v>
      </c>
      <c r="F367" s="110">
        <f>表2_3671626293034567[[#This Row],[累计净值]]-$I$242</f>
        <v>1.0834000000000001</v>
      </c>
      <c r="G367" s="20">
        <f>0.8*(表2_3671626293034567[[#This Row],[累计净值]]/$B$22-1)</f>
        <v>0.19163437655240934</v>
      </c>
    </row>
    <row r="368" spans="1:7">
      <c r="A368" s="55">
        <v>44224</v>
      </c>
      <c r="B368" s="112">
        <v>1.2387999999999999</v>
      </c>
      <c r="C368" s="108">
        <f t="shared" si="104"/>
        <v>-8.800000000000141E-3</v>
      </c>
      <c r="D368" s="109">
        <f t="shared" si="105"/>
        <v>-8.800000000000141E-3</v>
      </c>
      <c r="E368" s="109">
        <f ca="1">IF(表2_3671626293034567[[#This Row],[累计净值]]/MAX(INDIRECT("B21:B" &amp; ROW()))-1&lt;E367,表2_3671626293034567[[#This Row],[累计净值]]/MAX(INDIRECT("B21:B" &amp; ROW()))-1,E367)</f>
        <v>-2.5203567274137306E-2</v>
      </c>
      <c r="F368" s="110">
        <f>表2_3671626293034567[[#This Row],[累计净值]]-$I$242</f>
        <v>1.0746</v>
      </c>
      <c r="G368" s="20">
        <f>0.8*(表2_3671626293034567[[#This Row],[累计净值]]/$B$22-1)</f>
        <v>0.18463984103328368</v>
      </c>
    </row>
    <row r="369" spans="1:7">
      <c r="A369" s="55">
        <v>44225</v>
      </c>
      <c r="B369" s="112">
        <v>1.2414000000000001</v>
      </c>
      <c r="C369" s="108">
        <f t="shared" si="104"/>
        <v>2.6000000000001577E-3</v>
      </c>
      <c r="D369" s="109" t="str">
        <f t="shared" si="105"/>
        <v>/</v>
      </c>
      <c r="E369" s="109">
        <f ca="1">IF(表2_3671626293034567[[#This Row],[累计净值]]/MAX(INDIRECT("B21:B" &amp; ROW()))-1&lt;E368,表2_3671626293034567[[#This Row],[累计净值]]/MAX(INDIRECT("B21:B" &amp; ROW()))-1,E368)</f>
        <v>-2.5203567274137306E-2</v>
      </c>
      <c r="F369" s="110">
        <f>表2_3671626293034567[[#This Row],[累计净值]]-$I$242</f>
        <v>1.0772000000000002</v>
      </c>
      <c r="G369" s="20">
        <f>0.8*(表2_3671626293034567[[#This Row],[累计净值]]/$B$22-1)</f>
        <v>0.18670640834575264</v>
      </c>
    </row>
    <row r="370" spans="1:7">
      <c r="A370" s="55">
        <v>44228</v>
      </c>
      <c r="B370" s="112">
        <v>1.2413000000000001</v>
      </c>
      <c r="C370" s="108">
        <f t="shared" si="104"/>
        <v>-9.9999999999988987E-5</v>
      </c>
      <c r="D370" s="109">
        <f t="shared" si="105"/>
        <v>-9.9999999999988987E-5</v>
      </c>
      <c r="E370" s="109">
        <f ca="1">IF(表2_3671626293034567[[#This Row],[累计净值]]/MAX(INDIRECT("B21:B" &amp; ROW()))-1&lt;E369,表2_3671626293034567[[#This Row],[累计净值]]/MAX(INDIRECT("B21:B" &amp; ROW()))-1,E369)</f>
        <v>-2.5203567274137306E-2</v>
      </c>
      <c r="F370" s="110">
        <f>表2_3671626293034567[[#This Row],[累计净值]]-$I$242</f>
        <v>1.0771000000000002</v>
      </c>
      <c r="G370" s="20">
        <f>0.8*(表2_3671626293034567[[#This Row],[累计净值]]/$B$22-1)</f>
        <v>0.18662692498758082</v>
      </c>
    </row>
    <row r="371" spans="1:7">
      <c r="A371" s="55">
        <v>44229</v>
      </c>
      <c r="B371" s="112">
        <v>1.2452000000000001</v>
      </c>
      <c r="C371" s="108">
        <f t="shared" si="104"/>
        <v>3.9000000000000146E-3</v>
      </c>
      <c r="D371" s="109" t="str">
        <f t="shared" si="105"/>
        <v>/</v>
      </c>
      <c r="E371" s="109">
        <f ca="1">IF(表2_3671626293034567[[#This Row],[累计净值]]/MAX(INDIRECT("B21:B" &amp; ROW()))-1&lt;E370,表2_3671626293034567[[#This Row],[累计净值]]/MAX(INDIRECT("B21:B" &amp; ROW()))-1,E370)</f>
        <v>-2.5203567274137306E-2</v>
      </c>
      <c r="F371" s="110">
        <f>表2_3671626293034567[[#This Row],[累计净值]]-$I$242</f>
        <v>1.0810000000000002</v>
      </c>
      <c r="G371" s="20">
        <f>0.8*(表2_3671626293034567[[#This Row],[累计净值]]/$B$22-1)</f>
        <v>0.18972677595628423</v>
      </c>
    </row>
    <row r="372" spans="1:7">
      <c r="A372" s="55">
        <v>44230</v>
      </c>
      <c r="B372" s="112">
        <v>1.2421</v>
      </c>
      <c r="C372" s="108">
        <f t="shared" si="104"/>
        <v>-3.1000000000001027E-3</v>
      </c>
      <c r="D372" s="109">
        <f t="shared" si="105"/>
        <v>-3.1000000000001027E-3</v>
      </c>
      <c r="E372" s="109">
        <f ca="1">IF(表2_3671626293034567[[#This Row],[累计净值]]/MAX(INDIRECT("B21:B" &amp; ROW()))-1&lt;E371,表2_3671626293034567[[#This Row],[累计净值]]/MAX(INDIRECT("B21:B" &amp; ROW()))-1,E371)</f>
        <v>-2.5203567274137306E-2</v>
      </c>
      <c r="F372" s="110">
        <f>表2_3671626293034567[[#This Row],[累计净值]]-$I$242</f>
        <v>1.0779000000000001</v>
      </c>
      <c r="G372" s="20">
        <f>0.8*(表2_3671626293034567[[#This Row],[累计净值]]/$B$22-1)</f>
        <v>0.1872627918529558</v>
      </c>
    </row>
    <row r="373" spans="1:7">
      <c r="A373" s="55">
        <v>44231</v>
      </c>
      <c r="B373" s="112">
        <v>1.2399</v>
      </c>
      <c r="C373" s="108">
        <f>IFERROR(B373-B372,0)</f>
        <v>-2.1999999999999797E-3</v>
      </c>
      <c r="D373" s="109">
        <f>IF(C373&lt;0,C373,"/")</f>
        <v>-2.1999999999999797E-3</v>
      </c>
      <c r="E373" s="109">
        <f ca="1">IF(表2_3671626293034567[[#This Row],[累计净值]]/MAX(INDIRECT("B21:B" &amp; ROW()))-1&lt;E372,表2_3671626293034567[[#This Row],[累计净值]]/MAX(INDIRECT("B21:B" &amp; ROW()))-1,E372)</f>
        <v>-2.5203567274137306E-2</v>
      </c>
      <c r="F373" s="110">
        <f>表2_3671626293034567[[#This Row],[累计净值]]-$I$242</f>
        <v>1.0757000000000001</v>
      </c>
      <c r="G373" s="20">
        <f>0.8*(表2_3671626293034567[[#This Row],[累计净值]]/$B$22-1)</f>
        <v>0.1855141579731745</v>
      </c>
    </row>
    <row r="374" spans="1:7">
      <c r="A374" s="55">
        <v>44232</v>
      </c>
      <c r="B374" s="112">
        <v>1.2365999999999999</v>
      </c>
      <c r="C374" s="108">
        <f>IFERROR(B374-B373,0)</f>
        <v>-3.3000000000000806E-3</v>
      </c>
      <c r="D374" s="109">
        <f>IF(C374&lt;0,C374,"/")</f>
        <v>-3.3000000000000806E-3</v>
      </c>
      <c r="E374" s="109">
        <f ca="1">IF(表2_3671626293034567[[#This Row],[累计净值]]/MAX(INDIRECT("B21:B" &amp; ROW()))-1&lt;E373,表2_3671626293034567[[#This Row],[累计净值]]/MAX(INDIRECT("B21:B" &amp; ROW()))-1,E373)</f>
        <v>-2.5203567274137306E-2</v>
      </c>
      <c r="F374" s="110">
        <f>表2_3671626293034567[[#This Row],[累计净值]]-$I$242</f>
        <v>1.0724</v>
      </c>
      <c r="G374" s="20">
        <f>0.8*(表2_3671626293034567[[#This Row],[累计净值]]/$B$22-1)</f>
        <v>0.18289120715350224</v>
      </c>
    </row>
    <row r="375" spans="1:7">
      <c r="A375" s="55">
        <v>44235</v>
      </c>
      <c r="B375" s="112">
        <v>1.2353000000000001</v>
      </c>
      <c r="C375" s="108">
        <f>IFERROR(B375-B374,0)</f>
        <v>-1.2999999999998568E-3</v>
      </c>
      <c r="D375" s="109">
        <f>IF(C375&lt;0,C375,"/")</f>
        <v>-1.2999999999998568E-3</v>
      </c>
      <c r="E375" s="109">
        <f ca="1">IF(表2_3671626293034567[[#This Row],[累计净值]]/MAX(INDIRECT("B21:B" &amp; ROW()))-1&lt;E374,表2_3671626293034567[[#This Row],[累计净值]]/MAX(INDIRECT("B21:B" &amp; ROW()))-1,E374)</f>
        <v>-2.5203567274137306E-2</v>
      </c>
      <c r="F375" s="110">
        <f>表2_3671626293034567[[#This Row],[累计净值]]-$I$242</f>
        <v>1.0711000000000002</v>
      </c>
      <c r="G375" s="20">
        <f>0.8*(表2_3671626293034567[[#This Row],[累计净值]]/$B$22-1)</f>
        <v>0.18185792349726793</v>
      </c>
    </row>
    <row r="376" spans="1:7">
      <c r="A376" s="55">
        <v>44236</v>
      </c>
      <c r="B376" s="112">
        <v>1.2375</v>
      </c>
      <c r="C376" s="108">
        <f>IFERROR(B376-B375,0)</f>
        <v>2.1999999999999797E-3</v>
      </c>
      <c r="D376" s="109" t="str">
        <f>IF(C376&lt;0,C376,"/")</f>
        <v>/</v>
      </c>
      <c r="E376" s="109">
        <f ca="1">IF(表2_3671626293034567[[#This Row],[累计净值]]/MAX(INDIRECT("B21:B" &amp; ROW()))-1&lt;E375,表2_3671626293034567[[#This Row],[累计净值]]/MAX(INDIRECT("B21:B" &amp; ROW()))-1,E375)</f>
        <v>-2.5203567274137306E-2</v>
      </c>
      <c r="F376" s="110">
        <f>表2_3671626293034567[[#This Row],[累计净值]]-$I$242</f>
        <v>1.0733000000000001</v>
      </c>
      <c r="G376" s="20">
        <f>0.8*(表2_3671626293034567[[#This Row],[累计净值]]/$B$22-1)</f>
        <v>0.18360655737704923</v>
      </c>
    </row>
    <row r="377" spans="1:7">
      <c r="A377" s="55">
        <v>44237</v>
      </c>
      <c r="B377" s="112">
        <v>1.2412000000000001</v>
      </c>
      <c r="C377" s="108">
        <f t="shared" ref="C377:C378" si="106">IFERROR(B377-B376,0)</f>
        <v>3.7000000000000366E-3</v>
      </c>
      <c r="D377" s="109" t="str">
        <f t="shared" ref="D377:D378" si="107">IF(C377&lt;0,C377,"/")</f>
        <v>/</v>
      </c>
      <c r="E377" s="109">
        <f ca="1">IF(表2_3671626293034567[[#This Row],[累计净值]]/MAX(INDIRECT("B21:B" &amp; ROW()))-1&lt;E376,表2_3671626293034567[[#This Row],[累计净值]]/MAX(INDIRECT("B21:B" &amp; ROW()))-1,E376)</f>
        <v>-2.5203567274137306E-2</v>
      </c>
      <c r="F377" s="110">
        <f>表2_3671626293034567[[#This Row],[累计净值]]-$I$242</f>
        <v>1.0770000000000002</v>
      </c>
      <c r="G377" s="20">
        <f>0.8*(表2_3671626293034567[[#This Row],[累计净值]]/$B$22-1)</f>
        <v>0.18654744162940898</v>
      </c>
    </row>
    <row r="378" spans="1:7">
      <c r="A378" s="55">
        <v>44245</v>
      </c>
      <c r="B378" s="112">
        <v>1.2444999999999999</v>
      </c>
      <c r="C378" s="108">
        <f t="shared" si="106"/>
        <v>3.2999999999998586E-3</v>
      </c>
      <c r="D378" s="109" t="str">
        <f t="shared" si="107"/>
        <v>/</v>
      </c>
      <c r="E378" s="109">
        <f ca="1">IF(表2_3671626293034567[[#This Row],[累计净值]]/MAX(INDIRECT("B21:B" &amp; ROW()))-1&lt;E377,表2_3671626293034567[[#This Row],[累计净值]]/MAX(INDIRECT("B21:B" &amp; ROW()))-1,E377)</f>
        <v>-2.5203567274137306E-2</v>
      </c>
      <c r="F378" s="110">
        <f>表2_3671626293034567[[#This Row],[累计净值]]-$I$242</f>
        <v>1.0803</v>
      </c>
      <c r="G378" s="20">
        <f>0.8*(表2_3671626293034567[[#This Row],[累计净值]]/$B$22-1)</f>
        <v>0.1891703924490809</v>
      </c>
    </row>
    <row r="379" spans="1:7">
      <c r="A379" s="55">
        <v>44246</v>
      </c>
      <c r="B379" s="112">
        <v>1.2451000000000001</v>
      </c>
      <c r="C379" s="108">
        <f>IFERROR(B379-B378,0)</f>
        <v>6.0000000000015596E-4</v>
      </c>
      <c r="D379" s="109" t="str">
        <f>IF(C379&lt;0,C379,"/")</f>
        <v>/</v>
      </c>
      <c r="E379" s="109">
        <f ca="1">IF(表2_3671626293034567[[#This Row],[累计净值]]/MAX(INDIRECT("B21:B" &amp; ROW()))-1&lt;E378,表2_3671626293034567[[#This Row],[累计净值]]/MAX(INDIRECT("B21:B" &amp; ROW()))-1,E378)</f>
        <v>-2.5203567274137306E-2</v>
      </c>
      <c r="F379" s="110">
        <f>表2_3671626293034567[[#This Row],[累计净值]]-$I$242</f>
        <v>1.0809000000000002</v>
      </c>
      <c r="G379" s="20">
        <f>0.8*(表2_3671626293034567[[#This Row],[累计净值]]/$B$22-1)</f>
        <v>0.18964729259811242</v>
      </c>
    </row>
    <row r="380" spans="1:7">
      <c r="A380" s="55">
        <v>44249</v>
      </c>
      <c r="B380" s="112">
        <v>1.2415</v>
      </c>
      <c r="C380" s="108">
        <f>IFERROR(B380-B379,0)</f>
        <v>-3.6000000000000476E-3</v>
      </c>
      <c r="D380" s="109">
        <f>IF(C380&lt;0,C380,"/")</f>
        <v>-3.6000000000000476E-3</v>
      </c>
      <c r="E380" s="109">
        <f ca="1">IF(表2_3671626293034567[[#This Row],[累计净值]]/MAX(INDIRECT("B21:B" &amp; ROW()))-1&lt;E379,表2_3671626293034567[[#This Row],[累计净值]]/MAX(INDIRECT("B21:B" &amp; ROW()))-1,E379)</f>
        <v>-2.5203567274137306E-2</v>
      </c>
      <c r="F380" s="110">
        <f>表2_3671626293034567[[#This Row],[累计净值]]-$I$242</f>
        <v>1.0773000000000001</v>
      </c>
      <c r="G380" s="20">
        <f>0.8*(表2_3671626293034567[[#This Row],[累计净值]]/$B$22-1)</f>
        <v>0.18678589170392465</v>
      </c>
    </row>
    <row r="381" spans="1:7">
      <c r="A381" s="55">
        <v>44250</v>
      </c>
      <c r="B381" s="112">
        <v>1.2413000000000001</v>
      </c>
      <c r="C381" s="108">
        <f t="shared" ref="C381:C385" si="108">IFERROR(B381-B380,0)</f>
        <v>-1.9999999999997797E-4</v>
      </c>
      <c r="D381" s="109">
        <f t="shared" ref="D381:D385" si="109">IF(C381&lt;0,C381,"/")</f>
        <v>-1.9999999999997797E-4</v>
      </c>
      <c r="E381" s="109">
        <f ca="1">IF(表2_3671626293034567[[#This Row],[累计净值]]/MAX(INDIRECT("B21:B" &amp; ROW()))-1&lt;E380,表2_3671626293034567[[#This Row],[累计净值]]/MAX(INDIRECT("B21:B" &amp; ROW()))-1,E380)</f>
        <v>-2.5203567274137306E-2</v>
      </c>
      <c r="F381" s="110">
        <f>表2_3671626293034567[[#This Row],[累计净值]]-$I$242</f>
        <v>1.0771000000000002</v>
      </c>
      <c r="G381" s="20">
        <f>0.8*(表2_3671626293034567[[#This Row],[累计净值]]/$B$22-1)</f>
        <v>0.18662692498758082</v>
      </c>
    </row>
    <row r="382" spans="1:7">
      <c r="A382" s="55">
        <v>44251</v>
      </c>
      <c r="B382" s="112">
        <v>1.2423999999999999</v>
      </c>
      <c r="C382" s="108">
        <f t="shared" si="108"/>
        <v>1.0999999999998789E-3</v>
      </c>
      <c r="D382" s="109" t="str">
        <f t="shared" si="109"/>
        <v>/</v>
      </c>
      <c r="E382" s="109">
        <f ca="1">IF(表2_3671626293034567[[#This Row],[累计净值]]/MAX(INDIRECT("B21:B" &amp; ROW()))-1&lt;E381,表2_3671626293034567[[#This Row],[累计净值]]/MAX(INDIRECT("B21:B" &amp; ROW()))-1,E381)</f>
        <v>-2.5203567274137306E-2</v>
      </c>
      <c r="F382" s="110">
        <f>表2_3671626293034567[[#This Row],[累计净值]]-$I$242</f>
        <v>1.0782</v>
      </c>
      <c r="G382" s="20">
        <f>0.8*(表2_3671626293034567[[#This Row],[累计净值]]/$B$22-1)</f>
        <v>0.18750124192747145</v>
      </c>
    </row>
    <row r="383" spans="1:7">
      <c r="A383" s="55">
        <v>44252</v>
      </c>
      <c r="B383" s="112">
        <v>1.2441</v>
      </c>
      <c r="C383" s="108">
        <f t="shared" si="108"/>
        <v>1.7000000000000348E-3</v>
      </c>
      <c r="D383" s="109" t="str">
        <f t="shared" si="109"/>
        <v>/</v>
      </c>
      <c r="E383" s="109">
        <f ca="1">IF(表2_3671626293034567[[#This Row],[累计净值]]/MAX(INDIRECT("B21:B" &amp; ROW()))-1&lt;E382,表2_3671626293034567[[#This Row],[累计净值]]/MAX(INDIRECT("B21:B" &amp; ROW()))-1,E382)</f>
        <v>-2.5203567274137306E-2</v>
      </c>
      <c r="F383" s="110">
        <f>表2_3671626293034567[[#This Row],[累计净值]]-$I$242</f>
        <v>1.0799000000000001</v>
      </c>
      <c r="G383" s="20">
        <f>0.8*(表2_3671626293034567[[#This Row],[累计净值]]/$B$22-1)</f>
        <v>0.18885245901639341</v>
      </c>
    </row>
    <row r="384" spans="1:7">
      <c r="A384" s="55">
        <v>44253</v>
      </c>
      <c r="B384" s="112">
        <v>1.2450000000000001</v>
      </c>
      <c r="C384" s="108">
        <f t="shared" si="108"/>
        <v>9.0000000000012292E-4</v>
      </c>
      <c r="D384" s="109" t="str">
        <f t="shared" si="109"/>
        <v>/</v>
      </c>
      <c r="E384" s="109">
        <f ca="1">IF(表2_3671626293034567[[#This Row],[累计净值]]/MAX(INDIRECT("B21:B" &amp; ROW()))-1&lt;E383,表2_3671626293034567[[#This Row],[累计净值]]/MAX(INDIRECT("B21:B" &amp; ROW()))-1,E383)</f>
        <v>-2.5203567274137306E-2</v>
      </c>
      <c r="F384" s="110">
        <f>表2_3671626293034567[[#This Row],[累计净值]]-$I$242</f>
        <v>1.0808000000000002</v>
      </c>
      <c r="G384" s="20">
        <f>0.8*(表2_3671626293034567[[#This Row],[累计净值]]/$B$22-1)</f>
        <v>0.18956780923994057</v>
      </c>
    </row>
    <row r="385" spans="1:7">
      <c r="A385" s="55">
        <v>44256</v>
      </c>
      <c r="B385" s="63">
        <v>1.2524</v>
      </c>
      <c r="C385" s="64">
        <f t="shared" si="108"/>
        <v>7.3999999999998511E-3</v>
      </c>
      <c r="D385" s="65" t="str">
        <f t="shared" si="109"/>
        <v>/</v>
      </c>
      <c r="E385" s="65">
        <f ca="1">IF(表2_3671626293034567[[#This Row],[累计净值]]/MAX(INDIRECT("B21:B" &amp; ROW()))-1&lt;E384,表2_3671626293034567[[#This Row],[累计净值]]/MAX(INDIRECT("B21:B" &amp; ROW()))-1,E384)</f>
        <v>-2.5203567274137306E-2</v>
      </c>
      <c r="F385" s="110">
        <f>表2_3671626293034567[[#This Row],[累计净值]]-$I$242</f>
        <v>1.0882000000000001</v>
      </c>
      <c r="G385" s="20">
        <f>0.8*(表2_3671626293034567[[#This Row],[累计净值]]/$B$22-1)</f>
        <v>0.19544957774465976</v>
      </c>
    </row>
    <row r="386" spans="1:7">
      <c r="A386" s="55">
        <v>44257</v>
      </c>
      <c r="B386" s="112">
        <v>1.2544</v>
      </c>
      <c r="C386" s="108">
        <f t="shared" ref="C386" si="110">IFERROR(B386-B385,0)</f>
        <v>2.0000000000000018E-3</v>
      </c>
      <c r="D386" s="109" t="str">
        <f t="shared" ref="D386" si="111">IF(C386&lt;0,C386,"/")</f>
        <v>/</v>
      </c>
      <c r="E386" s="109">
        <f ca="1">IF(表2_3671626293034567[[#This Row],[累计净值]]/MAX(INDIRECT("B21:B" &amp; ROW()))-1&lt;E385,表2_3671626293034567[[#This Row],[累计净值]]/MAX(INDIRECT("B21:B" &amp; ROW()))-1,E385)</f>
        <v>-2.5203567274137306E-2</v>
      </c>
      <c r="F386" s="110">
        <f>表2_3671626293034567[[#This Row],[累计净值]]-$I$242</f>
        <v>1.0902000000000001</v>
      </c>
      <c r="G386" s="20">
        <f>0.8*(表2_3671626293034567[[#This Row],[累计净值]]/$B$22-1)</f>
        <v>0.19703924490809738</v>
      </c>
    </row>
    <row r="387" spans="1:7">
      <c r="A387" s="55">
        <v>44258</v>
      </c>
      <c r="B387" s="117">
        <v>1.2555000000000001</v>
      </c>
      <c r="C387" s="108">
        <f t="shared" ref="C387:C388" si="112">IFERROR(B387-B386,0)</f>
        <v>1.1000000000001009E-3</v>
      </c>
      <c r="D387" s="109" t="str">
        <f t="shared" ref="D387:D388" si="113">IF(C387&lt;0,C387,"/")</f>
        <v>/</v>
      </c>
      <c r="E387" s="109">
        <f ca="1">IF(表2_3671626293034567[[#This Row],[累计净值]]/MAX(INDIRECT("B21:B" &amp; ROW()))-1&lt;E386,表2_3671626293034567[[#This Row],[累计净值]]/MAX(INDIRECT("B21:B" &amp; ROW()))-1,E386)</f>
        <v>-2.5203567274137306E-2</v>
      </c>
      <c r="F387" s="110">
        <f>表2_3671626293034567[[#This Row],[累计净值]]-$I$242</f>
        <v>1.0913000000000002</v>
      </c>
      <c r="G387" s="20">
        <f>0.8*(表2_3671626293034567[[#This Row],[累计净值]]/$B$22-1)</f>
        <v>0.1979135618479882</v>
      </c>
    </row>
    <row r="388" spans="1:7">
      <c r="A388" s="55">
        <v>44259</v>
      </c>
      <c r="B388" s="112">
        <v>1.2514000000000001</v>
      </c>
      <c r="C388" s="108">
        <f t="shared" si="112"/>
        <v>-4.0999999999999925E-3</v>
      </c>
      <c r="D388" s="109">
        <f t="shared" si="113"/>
        <v>-4.0999999999999925E-3</v>
      </c>
      <c r="E388" s="109">
        <f ca="1">IF(表2_3671626293034567[[#This Row],[累计净值]]/MAX(INDIRECT("B21:B" &amp; ROW()))-1&lt;E387,表2_3671626293034567[[#This Row],[累计净值]]/MAX(INDIRECT("B21:B" &amp; ROW()))-1,E387)</f>
        <v>-2.5203567274137306E-2</v>
      </c>
      <c r="F388" s="110">
        <f>表2_3671626293034567[[#This Row],[累计净值]]-$I$242</f>
        <v>1.0872000000000002</v>
      </c>
      <c r="G388" s="20">
        <f>0.8*(表2_3671626293034567[[#This Row],[累计净值]]/$B$22-1)</f>
        <v>0.19465474416294093</v>
      </c>
    </row>
    <row r="389" spans="1:7">
      <c r="A389" s="55">
        <v>44260</v>
      </c>
      <c r="B389" s="112">
        <v>1.2486999999999999</v>
      </c>
      <c r="C389" s="108">
        <f t="shared" ref="C389:C394" si="114">IFERROR(B389-B388,0)</f>
        <v>-2.7000000000001467E-3</v>
      </c>
      <c r="D389" s="109">
        <f t="shared" ref="D389:D394" si="115">IF(C389&lt;0,C389,"/")</f>
        <v>-2.7000000000001467E-3</v>
      </c>
      <c r="E389" s="109">
        <f ca="1">IF(表2_3671626293034567[[#This Row],[累计净值]]/MAX(INDIRECT("B21:B" &amp; ROW()))-1&lt;E388,表2_3671626293034567[[#This Row],[累计净值]]/MAX(INDIRECT("B21:B" &amp; ROW()))-1,E388)</f>
        <v>-2.5203567274137306E-2</v>
      </c>
      <c r="F389" s="110">
        <f>表2_3671626293034567[[#This Row],[累计净值]]-$I$242</f>
        <v>1.0845</v>
      </c>
      <c r="G389" s="20">
        <f>0.8*(表2_3671626293034567[[#This Row],[累计净值]]/$B$22-1)</f>
        <v>0.19250869349229999</v>
      </c>
    </row>
    <row r="390" spans="1:7">
      <c r="A390" s="55">
        <v>44263</v>
      </c>
      <c r="B390" s="112">
        <v>1.2447999999999999</v>
      </c>
      <c r="C390" s="108">
        <f t="shared" si="114"/>
        <v>-3.9000000000000146E-3</v>
      </c>
      <c r="D390" s="109">
        <f t="shared" si="115"/>
        <v>-3.9000000000000146E-3</v>
      </c>
      <c r="E390" s="109">
        <f ca="1">IF(表2_3671626293034567[[#This Row],[累计净值]]/MAX(INDIRECT("B21:B" &amp; ROW()))-1&lt;E389,表2_3671626293034567[[#This Row],[累计净值]]/MAX(INDIRECT("B21:B" &amp; ROW()))-1,E389)</f>
        <v>-2.5203567274137306E-2</v>
      </c>
      <c r="F390" s="110">
        <f>表2_3671626293034567[[#This Row],[累计净值]]-$I$242</f>
        <v>1.0806</v>
      </c>
      <c r="G390" s="20">
        <f>0.8*(表2_3671626293034567[[#This Row],[累计净值]]/$B$22-1)</f>
        <v>0.18940884252359658</v>
      </c>
    </row>
    <row r="391" spans="1:7">
      <c r="A391" s="55">
        <v>44264</v>
      </c>
      <c r="B391" s="112">
        <v>1.2408999999999999</v>
      </c>
      <c r="C391" s="108">
        <f t="shared" si="114"/>
        <v>-3.9000000000000146E-3</v>
      </c>
      <c r="D391" s="109">
        <f t="shared" si="115"/>
        <v>-3.9000000000000146E-3</v>
      </c>
      <c r="E391" s="109">
        <f ca="1">IF(表2_3671626293034567[[#This Row],[累计净值]]/MAX(INDIRECT("B21:B" &amp; ROW()))-1&lt;E390,表2_3671626293034567[[#This Row],[累计净值]]/MAX(INDIRECT("B21:B" &amp; ROW()))-1,E390)</f>
        <v>-2.5203567274137306E-2</v>
      </c>
      <c r="F391" s="110">
        <f>表2_3671626293034567[[#This Row],[累计净值]]-$I$242</f>
        <v>1.0767</v>
      </c>
      <c r="G391" s="20">
        <f>0.8*(表2_3671626293034567[[#This Row],[累计净值]]/$B$22-1)</f>
        <v>0.18630899155489314</v>
      </c>
    </row>
    <row r="392" spans="1:7">
      <c r="A392" s="55">
        <v>44265</v>
      </c>
      <c r="B392" s="112">
        <v>1.2475000000000001</v>
      </c>
      <c r="C392" s="108">
        <f t="shared" si="114"/>
        <v>6.6000000000001613E-3</v>
      </c>
      <c r="D392" s="109" t="str">
        <f t="shared" si="115"/>
        <v>/</v>
      </c>
      <c r="E392" s="109">
        <f ca="1">IF(表2_3671626293034567[[#This Row],[累计净值]]/MAX(INDIRECT("B21:B" &amp; ROW()))-1&lt;E391,表2_3671626293034567[[#This Row],[累计净值]]/MAX(INDIRECT("B21:B" &amp; ROW()))-1,E391)</f>
        <v>-2.5203567274137306E-2</v>
      </c>
      <c r="F392" s="110">
        <f>表2_3671626293034567[[#This Row],[累计净值]]-$I$242</f>
        <v>1.0833000000000002</v>
      </c>
      <c r="G392" s="20">
        <f>0.8*(表2_3671626293034567[[#This Row],[累计净值]]/$B$22-1)</f>
        <v>0.19155489319423752</v>
      </c>
    </row>
    <row r="393" spans="1:7">
      <c r="A393" s="55">
        <v>44266</v>
      </c>
      <c r="B393" s="112">
        <v>1.2552000000000001</v>
      </c>
      <c r="C393" s="108">
        <f t="shared" si="114"/>
        <v>7.7000000000000401E-3</v>
      </c>
      <c r="D393" s="109" t="str">
        <f t="shared" si="115"/>
        <v>/</v>
      </c>
      <c r="E393" s="109">
        <f ca="1">IF(表2_3671626293034567[[#This Row],[累计净值]]/MAX(INDIRECT("B21:B" &amp; ROW()))-1&lt;E392,表2_3671626293034567[[#This Row],[累计净值]]/MAX(INDIRECT("B21:B" &amp; ROW()))-1,E392)</f>
        <v>-2.5203567274137306E-2</v>
      </c>
      <c r="F393" s="110">
        <f>表2_3671626293034567[[#This Row],[累计净值]]-$I$242</f>
        <v>1.0910000000000002</v>
      </c>
      <c r="G393" s="20">
        <f>0.8*(表2_3671626293034567[[#This Row],[累计净值]]/$B$22-1)</f>
        <v>0.19767511177347252</v>
      </c>
    </row>
    <row r="394" spans="1:7">
      <c r="A394" s="55">
        <v>44267</v>
      </c>
      <c r="B394" s="112">
        <v>1.2554000000000001</v>
      </c>
      <c r="C394" s="108">
        <f t="shared" si="114"/>
        <v>1.9999999999997797E-4</v>
      </c>
      <c r="D394" s="109" t="str">
        <f t="shared" si="115"/>
        <v>/</v>
      </c>
      <c r="E394" s="109">
        <f ca="1">IF(表2_3671626293034567[[#This Row],[累计净值]]/MAX(INDIRECT("B21:B" &amp; ROW()))-1&lt;E393,表2_3671626293034567[[#This Row],[累计净值]]/MAX(INDIRECT("B21:B" &amp; ROW()))-1,E393)</f>
        <v>-2.5203567274137306E-2</v>
      </c>
      <c r="F394" s="110">
        <f>表2_3671626293034567[[#This Row],[累计净值]]-$I$242</f>
        <v>1.0912000000000002</v>
      </c>
      <c r="G394" s="20">
        <f>0.8*(表2_3671626293034567[[#This Row],[累计净值]]/$B$22-1)</f>
        <v>0.19783407848981638</v>
      </c>
    </row>
    <row r="395" spans="1:7">
      <c r="A395" s="55">
        <v>44270</v>
      </c>
      <c r="B395" s="112">
        <v>1.2525999999999999</v>
      </c>
      <c r="C395" s="108">
        <f t="shared" ref="C395:C400" si="116">IFERROR(B395-B394,0)</f>
        <v>-2.8000000000001357E-3</v>
      </c>
      <c r="D395" s="109">
        <f t="shared" ref="D395:D400" si="117">IF(C395&lt;0,C395,"/")</f>
        <v>-2.8000000000001357E-3</v>
      </c>
      <c r="E395" s="109">
        <f ca="1">IF(表2_3671626293034567[[#This Row],[累计净值]]/MAX(INDIRECT("B21:B" &amp; ROW()))-1&lt;E394,表2_3671626293034567[[#This Row],[累计净值]]/MAX(INDIRECT("B21:B" &amp; ROW()))-1,E394)</f>
        <v>-2.5203567274137306E-2</v>
      </c>
      <c r="F395" s="110">
        <f>表2_3671626293034567[[#This Row],[累计净值]]-$I$242</f>
        <v>1.0884</v>
      </c>
      <c r="G395" s="20">
        <f>0.8*(表2_3671626293034567[[#This Row],[累计净值]]/$B$22-1)</f>
        <v>0.1956085444610034</v>
      </c>
    </row>
    <row r="396" spans="1:7">
      <c r="A396" s="55">
        <v>44271</v>
      </c>
      <c r="B396" s="112">
        <v>1.2563</v>
      </c>
      <c r="C396" s="108">
        <f t="shared" si="116"/>
        <v>3.7000000000000366E-3</v>
      </c>
      <c r="D396" s="109" t="str">
        <f t="shared" si="117"/>
        <v>/</v>
      </c>
      <c r="E396" s="109">
        <f ca="1">IF(表2_3671626293034567[[#This Row],[累计净值]]/MAX(INDIRECT("B21:B" &amp; ROW()))-1&lt;E395,表2_3671626293034567[[#This Row],[累计净值]]/MAX(INDIRECT("B21:B" &amp; ROW()))-1,E395)</f>
        <v>-2.5203567274137306E-2</v>
      </c>
      <c r="F396" s="110">
        <f>表2_3671626293034567[[#This Row],[累计净值]]-$I$242</f>
        <v>1.0921000000000001</v>
      </c>
      <c r="G396" s="20">
        <f>0.8*(表2_3671626293034567[[#This Row],[累计净值]]/$B$22-1)</f>
        <v>0.19854942871336317</v>
      </c>
    </row>
    <row r="397" spans="1:7">
      <c r="A397" s="55">
        <v>44272</v>
      </c>
      <c r="B397" s="112">
        <v>1.2567999999999999</v>
      </c>
      <c r="C397" s="108">
        <f t="shared" si="116"/>
        <v>4.9999999999994493E-4</v>
      </c>
      <c r="D397" s="109" t="str">
        <f t="shared" si="117"/>
        <v>/</v>
      </c>
      <c r="E397" s="109">
        <f ca="1">IF(表2_3671626293034567[[#This Row],[累计净值]]/MAX(INDIRECT("B21:B" &amp; ROW()))-1&lt;E396,表2_3671626293034567[[#This Row],[累计净值]]/MAX(INDIRECT("B21:B" &amp; ROW()))-1,E396)</f>
        <v>-2.5203567274137306E-2</v>
      </c>
      <c r="F397" s="110">
        <f>表2_3671626293034567[[#This Row],[累计净值]]-$I$242</f>
        <v>1.0926</v>
      </c>
      <c r="G397" s="20">
        <f>0.8*(表2_3671626293034567[[#This Row],[累计净值]]/$B$22-1)</f>
        <v>0.19894684550422248</v>
      </c>
    </row>
    <row r="398" spans="1:7">
      <c r="A398" s="55">
        <v>44273</v>
      </c>
      <c r="B398" s="112">
        <v>1.256</v>
      </c>
      <c r="C398" s="108">
        <f t="shared" si="116"/>
        <v>-7.9999999999991189E-4</v>
      </c>
      <c r="D398" s="109">
        <f t="shared" si="117"/>
        <v>-7.9999999999991189E-4</v>
      </c>
      <c r="E398" s="109">
        <f ca="1">IF(表2_3671626293034567[[#This Row],[累计净值]]/MAX(INDIRECT("B21:B" &amp; ROW()))-1&lt;E397,表2_3671626293034567[[#This Row],[累计净值]]/MAX(INDIRECT("B21:B" &amp; ROW()))-1,E397)</f>
        <v>-2.5203567274137306E-2</v>
      </c>
      <c r="F398" s="110">
        <f>表2_3671626293034567[[#This Row],[累计净值]]-$I$242</f>
        <v>1.0918000000000001</v>
      </c>
      <c r="G398" s="20">
        <f>0.8*(表2_3671626293034567[[#This Row],[累计净值]]/$B$22-1)</f>
        <v>0.1983109786388475</v>
      </c>
    </row>
    <row r="399" spans="1:7">
      <c r="A399" s="55">
        <v>44274</v>
      </c>
      <c r="B399" s="112">
        <v>1.2532000000000001</v>
      </c>
      <c r="C399" s="108">
        <f t="shared" si="116"/>
        <v>-2.7999999999999137E-3</v>
      </c>
      <c r="D399" s="109">
        <f t="shared" si="117"/>
        <v>-2.7999999999999137E-3</v>
      </c>
      <c r="E399" s="109">
        <f ca="1">IF(表2_3671626293034567[[#This Row],[累计净值]]/MAX(INDIRECT("B21:B" &amp; ROW()))-1&lt;E398,表2_3671626293034567[[#This Row],[累计净值]]/MAX(INDIRECT("B21:B" &amp; ROW()))-1,E398)</f>
        <v>-2.5203567274137306E-2</v>
      </c>
      <c r="F399" s="110">
        <f>表2_3671626293034567[[#This Row],[累计净值]]-$I$242</f>
        <v>1.0890000000000002</v>
      </c>
      <c r="G399" s="20">
        <f>0.8*(表2_3671626293034567[[#This Row],[累计净值]]/$B$22-1)</f>
        <v>0.19608544461003491</v>
      </c>
    </row>
    <row r="400" spans="1:7">
      <c r="A400" s="55">
        <v>44277</v>
      </c>
      <c r="B400" s="112">
        <v>1.2521</v>
      </c>
      <c r="C400" s="108">
        <f t="shared" si="116"/>
        <v>-1.1000000000001009E-3</v>
      </c>
      <c r="D400" s="109">
        <f t="shared" si="117"/>
        <v>-1.1000000000001009E-3</v>
      </c>
      <c r="E400" s="109">
        <f ca="1">IF(表2_3671626293034567[[#This Row],[累计净值]]/MAX(INDIRECT("B21:B" &amp; ROW()))-1&lt;E399,表2_3671626293034567[[#This Row],[累计净值]]/MAX(INDIRECT("B21:B" &amp; ROW()))-1,E399)</f>
        <v>-2.5203567274137306E-2</v>
      </c>
      <c r="F400" s="110">
        <f>表2_3671626293034567[[#This Row],[累计净值]]-$I$242</f>
        <v>1.0879000000000001</v>
      </c>
      <c r="G400" s="20">
        <f>0.8*(表2_3671626293034567[[#This Row],[累计净值]]/$B$22-1)</f>
        <v>0.19521112767014409</v>
      </c>
    </row>
    <row r="401" spans="1:7">
      <c r="A401" s="55">
        <v>44278</v>
      </c>
      <c r="B401" s="112">
        <v>1.2525999999999999</v>
      </c>
      <c r="C401" s="108">
        <f t="shared" ref="C401:C404" si="118">IFERROR(B401-B400,0)</f>
        <v>4.9999999999994493E-4</v>
      </c>
      <c r="D401" s="109" t="str">
        <f t="shared" ref="D401:D404" si="119">IF(C401&lt;0,C401,"/")</f>
        <v>/</v>
      </c>
      <c r="E401" s="109">
        <f ca="1">IF(表2_3671626293034567[[#This Row],[累计净值]]/MAX(INDIRECT("B21:B" &amp; ROW()))-1&lt;E400,表2_3671626293034567[[#This Row],[累计净值]]/MAX(INDIRECT("B21:B" &amp; ROW()))-1,E400)</f>
        <v>-2.5203567274137306E-2</v>
      </c>
      <c r="F401" s="110">
        <f>表2_3671626293034567[[#This Row],[累计净值]]-$I$242</f>
        <v>1.0884</v>
      </c>
      <c r="G401" s="20">
        <f>0.8*(表2_3671626293034567[[#This Row],[累计净值]]/$B$22-1)</f>
        <v>0.1956085444610034</v>
      </c>
    </row>
    <row r="402" spans="1:7">
      <c r="A402" s="55">
        <v>44279</v>
      </c>
      <c r="B402" s="112">
        <v>1.2424999999999999</v>
      </c>
      <c r="C402" s="108">
        <f t="shared" si="118"/>
        <v>-1.0099999999999998E-2</v>
      </c>
      <c r="D402" s="109">
        <f t="shared" si="119"/>
        <v>-1.0099999999999998E-2</v>
      </c>
      <c r="E402" s="109">
        <f ca="1">IF(表2_3671626293034567[[#This Row],[累计净值]]/MAX(INDIRECT("B21:B" &amp; ROW()))-1&lt;E401,表2_3671626293034567[[#This Row],[累计净值]]/MAX(INDIRECT("B21:B" &amp; ROW()))-1,E401)</f>
        <v>-2.5203567274137306E-2</v>
      </c>
      <c r="F402" s="110">
        <f>表2_3671626293034567[[#This Row],[累计净值]]-$I$242</f>
        <v>1.0783</v>
      </c>
      <c r="G402" s="20">
        <f>0.8*(表2_3671626293034567[[#This Row],[累计净值]]/$B$22-1)</f>
        <v>0.18758072528564329</v>
      </c>
    </row>
    <row r="403" spans="1:7">
      <c r="A403" s="55">
        <v>44280</v>
      </c>
      <c r="B403" s="112">
        <v>1.2387999999999999</v>
      </c>
      <c r="C403" s="108">
        <f t="shared" si="118"/>
        <v>-3.7000000000000366E-3</v>
      </c>
      <c r="D403" s="109">
        <f t="shared" si="119"/>
        <v>-3.7000000000000366E-3</v>
      </c>
      <c r="E403" s="109">
        <f ca="1">IF(表2_3671626293034567[[#This Row],[累计净值]]/MAX(INDIRECT("B21:B" &amp; ROW()))-1&lt;E402,表2_3671626293034567[[#This Row],[累计净值]]/MAX(INDIRECT("B21:B" &amp; ROW()))-1,E402)</f>
        <v>-2.5203567274137306E-2</v>
      </c>
      <c r="F403" s="110">
        <f>表2_3671626293034567[[#This Row],[累计净值]]-$I$242</f>
        <v>1.0746</v>
      </c>
      <c r="G403" s="20">
        <f>0.8*(表2_3671626293034567[[#This Row],[累计净值]]/$B$22-1)</f>
        <v>0.18463984103328368</v>
      </c>
    </row>
    <row r="404" spans="1:7">
      <c r="A404" s="55">
        <v>44281</v>
      </c>
      <c r="B404" s="112">
        <v>1.2427999999999999</v>
      </c>
      <c r="C404" s="108">
        <f t="shared" si="118"/>
        <v>4.0000000000000036E-3</v>
      </c>
      <c r="D404" s="109" t="str">
        <f t="shared" si="119"/>
        <v>/</v>
      </c>
      <c r="E404" s="109">
        <f ca="1">IF(表2_3671626293034567[[#This Row],[累计净值]]/MAX(INDIRECT("B21:B" &amp; ROW()))-1&lt;E403,表2_3671626293034567[[#This Row],[累计净值]]/MAX(INDIRECT("B21:B" &amp; ROW()))-1,E403)</f>
        <v>-2.5203567274137306E-2</v>
      </c>
      <c r="F404" s="110">
        <f>表2_3671626293034567[[#This Row],[累计净值]]-$I$242</f>
        <v>1.0786</v>
      </c>
      <c r="G404" s="20">
        <f>0.8*(表2_3671626293034567[[#This Row],[累计净值]]/$B$22-1)</f>
        <v>0.18781917536015894</v>
      </c>
    </row>
    <row r="405" spans="1:7">
      <c r="A405" s="55">
        <v>44284</v>
      </c>
      <c r="B405" s="112">
        <v>1.2467999999999999</v>
      </c>
      <c r="C405" s="108">
        <f>IFERROR(B405-B404,0)</f>
        <v>4.0000000000000036E-3</v>
      </c>
      <c r="D405" s="109" t="str">
        <f>IF(C405&lt;0,C405,"/")</f>
        <v>/</v>
      </c>
      <c r="E405" s="109">
        <f ca="1">IF(表2_3671626293034567[[#This Row],[累计净值]]/MAX(INDIRECT("B21:B" &amp; ROW()))-1&lt;E404,表2_3671626293034567[[#This Row],[累计净值]]/MAX(INDIRECT("B21:B" &amp; ROW()))-1,E404)</f>
        <v>-2.5203567274137306E-2</v>
      </c>
      <c r="F405" s="110">
        <f>表2_3671626293034567[[#This Row],[累计净值]]-$I$242</f>
        <v>1.0826</v>
      </c>
      <c r="G405" s="20">
        <f>0.8*(表2_3671626293034567[[#This Row],[累计净值]]/$B$22-1)</f>
        <v>0.19099850968703419</v>
      </c>
    </row>
    <row r="406" spans="1:7">
      <c r="A406" s="55">
        <v>44285</v>
      </c>
      <c r="B406" s="112">
        <v>1.2477</v>
      </c>
      <c r="C406" s="108">
        <f t="shared" ref="C406:C407" si="120">IFERROR(B406-B405,0)</f>
        <v>9.0000000000012292E-4</v>
      </c>
      <c r="D406" s="109" t="str">
        <f t="shared" ref="D406:D407" si="121">IF(C406&lt;0,C406,"/")</f>
        <v>/</v>
      </c>
      <c r="E406" s="109">
        <f ca="1">IF(表2_3671626293034567[[#This Row],[累计净值]]/MAX(INDIRECT("B21:B" &amp; ROW()))-1&lt;E405,表2_3671626293034567[[#This Row],[累计净值]]/MAX(INDIRECT("B21:B" &amp; ROW()))-1,E405)</f>
        <v>-2.5203567274137306E-2</v>
      </c>
      <c r="F406" s="110">
        <f>表2_3671626293034567[[#This Row],[累计净值]]-$I$242</f>
        <v>1.0835000000000001</v>
      </c>
      <c r="G406" s="20">
        <f>0.8*(表2_3671626293034567[[#This Row],[累计净值]]/$B$22-1)</f>
        <v>0.19171385991058135</v>
      </c>
    </row>
    <row r="407" spans="1:7">
      <c r="A407" s="55">
        <v>44286</v>
      </c>
      <c r="B407" s="112">
        <v>1.2448999999999999</v>
      </c>
      <c r="C407" s="108">
        <f t="shared" si="120"/>
        <v>-2.8000000000001357E-3</v>
      </c>
      <c r="D407" s="109">
        <f t="shared" si="121"/>
        <v>-2.8000000000001357E-3</v>
      </c>
      <c r="E407" s="109">
        <f ca="1">IF(表2_3671626293034567[[#This Row],[累计净值]]/MAX(INDIRECT("B21:B" &amp; ROW()))-1&lt;E406,表2_3671626293034567[[#This Row],[累计净值]]/MAX(INDIRECT("B21:B" &amp; ROW()))-1,E406)</f>
        <v>-2.5203567274137306E-2</v>
      </c>
      <c r="F407" s="110">
        <f>表2_3671626293034567[[#This Row],[累计净值]]-$I$242</f>
        <v>1.0807</v>
      </c>
      <c r="G407" s="20">
        <f>0.8*(表2_3671626293034567[[#This Row],[累计净值]]/$B$22-1)</f>
        <v>0.18948832588176839</v>
      </c>
    </row>
    <row r="408" spans="1:7">
      <c r="A408" s="55">
        <v>44287</v>
      </c>
      <c r="B408" s="112">
        <v>1.2432000000000001</v>
      </c>
      <c r="C408" s="108">
        <f t="shared" ref="C408:C413" si="122">IFERROR(B408-B407,0)</f>
        <v>-1.6999999999998128E-3</v>
      </c>
      <c r="D408" s="109">
        <f t="shared" ref="D408:D413" si="123">IF(C408&lt;0,C408,"/")</f>
        <v>-1.6999999999998128E-3</v>
      </c>
      <c r="E408" s="109">
        <f ca="1">IF(表2_3671626293034567[[#This Row],[累计净值]]/MAX(INDIRECT("B21:B" &amp; ROW()))-1&lt;E407,表2_3671626293034567[[#This Row],[累计净值]]/MAX(INDIRECT("B21:B" &amp; ROW()))-1,E407)</f>
        <v>-2.5203567274137306E-2</v>
      </c>
      <c r="F408" s="110">
        <f>表2_3671626293034567[[#This Row],[累计净值]]-$I$242</f>
        <v>1.0790000000000002</v>
      </c>
      <c r="G408" s="20">
        <f>0.8*(表2_3671626293034567[[#This Row],[累计净值]]/$B$22-1)</f>
        <v>0.18813710879284662</v>
      </c>
    </row>
    <row r="409" spans="1:7">
      <c r="A409" s="55">
        <v>44288</v>
      </c>
      <c r="B409" s="112">
        <v>1.2441</v>
      </c>
      <c r="C409" s="108">
        <f t="shared" si="122"/>
        <v>8.9999999999990088E-4</v>
      </c>
      <c r="D409" s="109" t="str">
        <f t="shared" si="123"/>
        <v>/</v>
      </c>
      <c r="E409" s="109">
        <f ca="1">IF(表2_3671626293034567[[#This Row],[累计净值]]/MAX(INDIRECT("B21:B" &amp; ROW()))-1&lt;E408,表2_3671626293034567[[#This Row],[累计净值]]/MAX(INDIRECT("B21:B" &amp; ROW()))-1,E408)</f>
        <v>-2.5203567274137306E-2</v>
      </c>
      <c r="F409" s="110">
        <f>表2_3671626293034567[[#This Row],[累计净值]]-$I$242</f>
        <v>1.0799000000000001</v>
      </c>
      <c r="G409" s="20">
        <f>0.8*(表2_3671626293034567[[#This Row],[累计净值]]/$B$22-1)</f>
        <v>0.18885245901639341</v>
      </c>
    </row>
    <row r="410" spans="1:7">
      <c r="A410" s="55">
        <v>44292</v>
      </c>
      <c r="B410" s="112">
        <v>1.2459</v>
      </c>
      <c r="C410" s="108">
        <f t="shared" si="122"/>
        <v>1.8000000000000238E-3</v>
      </c>
      <c r="D410" s="109" t="str">
        <f t="shared" si="123"/>
        <v>/</v>
      </c>
      <c r="E410" s="109">
        <f ca="1">IF(表2_3671626293034567[[#This Row],[累计净值]]/MAX(INDIRECT("B21:B" &amp; ROW()))-1&lt;E409,表2_3671626293034567[[#This Row],[累计净值]]/MAX(INDIRECT("B21:B" &amp; ROW()))-1,E409)</f>
        <v>-2.5203567274137306E-2</v>
      </c>
      <c r="F410" s="110">
        <f>表2_3671626293034567[[#This Row],[累计净值]]-$I$242</f>
        <v>1.0817000000000001</v>
      </c>
      <c r="G410" s="20">
        <f>0.8*(表2_3671626293034567[[#This Row],[累计净值]]/$B$22-1)</f>
        <v>0.19028315946348739</v>
      </c>
    </row>
    <row r="411" spans="1:7">
      <c r="A411" s="55">
        <v>44293</v>
      </c>
      <c r="B411" s="112">
        <v>1.2495000000000001</v>
      </c>
      <c r="C411" s="108">
        <f t="shared" si="122"/>
        <v>3.6000000000000476E-3</v>
      </c>
      <c r="D411" s="109" t="str">
        <f t="shared" si="123"/>
        <v>/</v>
      </c>
      <c r="E411" s="109">
        <f ca="1">IF(表2_3671626293034567[[#This Row],[累计净值]]/MAX(INDIRECT("B21:B" &amp; ROW()))-1&lt;E410,表2_3671626293034567[[#This Row],[累计净值]]/MAX(INDIRECT("B21:B" &amp; ROW()))-1,E410)</f>
        <v>-2.5203567274137306E-2</v>
      </c>
      <c r="F411" s="110">
        <f>表2_3671626293034567[[#This Row],[累计净值]]-$I$242</f>
        <v>1.0853000000000002</v>
      </c>
      <c r="G411" s="20">
        <f>0.8*(表2_3671626293034567[[#This Row],[累计净值]]/$B$22-1)</f>
        <v>0.19314456035767513</v>
      </c>
    </row>
    <row r="412" spans="1:7">
      <c r="A412" s="55">
        <v>44294</v>
      </c>
      <c r="B412" s="112">
        <v>1.2462</v>
      </c>
      <c r="C412" s="108">
        <f t="shared" si="122"/>
        <v>-3.3000000000000806E-3</v>
      </c>
      <c r="D412" s="109">
        <f t="shared" si="123"/>
        <v>-3.3000000000000806E-3</v>
      </c>
      <c r="E412" s="109">
        <f ca="1">IF(表2_3671626293034567[[#This Row],[累计净值]]/MAX(INDIRECT("B21:B" &amp; ROW()))-1&lt;E411,表2_3671626293034567[[#This Row],[累计净值]]/MAX(INDIRECT("B21:B" &amp; ROW()))-1,E411)</f>
        <v>-2.5203567274137306E-2</v>
      </c>
      <c r="F412" s="110">
        <f>表2_3671626293034567[[#This Row],[累计净值]]-$I$242</f>
        <v>1.0820000000000001</v>
      </c>
      <c r="G412" s="20">
        <f>0.8*(表2_3671626293034567[[#This Row],[累计净值]]/$B$22-1)</f>
        <v>0.19052160953800304</v>
      </c>
    </row>
    <row r="413" spans="1:7">
      <c r="A413" s="55">
        <v>44295</v>
      </c>
      <c r="B413" s="112">
        <v>1.2462</v>
      </c>
      <c r="C413" s="108">
        <f t="shared" si="122"/>
        <v>0</v>
      </c>
      <c r="D413" s="109" t="str">
        <f t="shared" si="123"/>
        <v>/</v>
      </c>
      <c r="E413" s="109">
        <f ca="1">IF(表2_3671626293034567[[#This Row],[累计净值]]/MAX(INDIRECT("B21:B" &amp; ROW()))-1&lt;E412,表2_3671626293034567[[#This Row],[累计净值]]/MAX(INDIRECT("B21:B" &amp; ROW()))-1,E412)</f>
        <v>-2.5203567274137306E-2</v>
      </c>
      <c r="F413" s="110">
        <f>表2_3671626293034567[[#This Row],[累计净值]]-$I$242</f>
        <v>1.0820000000000001</v>
      </c>
      <c r="G413" s="20">
        <f>0.8*(表2_3671626293034567[[#This Row],[累计净值]]/$B$22-1)</f>
        <v>0.19052160953800304</v>
      </c>
    </row>
    <row r="414" spans="1:7">
      <c r="A414" s="55">
        <v>44298</v>
      </c>
      <c r="B414" s="112">
        <v>1.2437</v>
      </c>
      <c r="C414" s="108">
        <f t="shared" ref="C414:C420" si="124">IFERROR(B414-B413,0)</f>
        <v>-2.4999999999999467E-3</v>
      </c>
      <c r="D414" s="109">
        <f t="shared" ref="D414:D420" si="125">IF(C414&lt;0,C414,"/")</f>
        <v>-2.4999999999999467E-3</v>
      </c>
      <c r="E414" s="109">
        <f ca="1">IF(表2_3671626293034567[[#This Row],[累计净值]]/MAX(INDIRECT("B21:B" &amp; ROW()))-1&lt;E413,表2_3671626293034567[[#This Row],[累计净值]]/MAX(INDIRECT("B21:B" &amp; ROW()))-1,E413)</f>
        <v>-2.5203567274137306E-2</v>
      </c>
      <c r="F414" s="110">
        <f>表2_3671626293034567[[#This Row],[累计净值]]-$I$242</f>
        <v>1.0795000000000001</v>
      </c>
      <c r="G414" s="20">
        <f>0.8*(表2_3671626293034567[[#This Row],[累计净值]]/$B$22-1)</f>
        <v>0.18853452558370593</v>
      </c>
    </row>
    <row r="415" spans="1:7">
      <c r="A415" s="55">
        <v>44299</v>
      </c>
      <c r="B415" s="112">
        <v>1.2376</v>
      </c>
      <c r="C415" s="108">
        <f t="shared" si="124"/>
        <v>-6.0999999999999943E-3</v>
      </c>
      <c r="D415" s="109">
        <f t="shared" si="125"/>
        <v>-6.0999999999999943E-3</v>
      </c>
      <c r="E415" s="109">
        <f ca="1">IF(表2_3671626293034567[[#This Row],[累计净值]]/MAX(INDIRECT("B21:B" &amp; ROW()))-1&lt;E414,表2_3671626293034567[[#This Row],[累计净值]]/MAX(INDIRECT("B21:B" &amp; ROW()))-1,E414)</f>
        <v>-2.5203567274137306E-2</v>
      </c>
      <c r="F415" s="110">
        <f>表2_3671626293034567[[#This Row],[累计净值]]-$I$242</f>
        <v>1.0734000000000001</v>
      </c>
      <c r="G415" s="20">
        <f>0.8*(表2_3671626293034567[[#This Row],[累计净值]]/$B$22-1)</f>
        <v>0.18368604073522121</v>
      </c>
    </row>
    <row r="416" spans="1:7">
      <c r="A416" s="55">
        <v>44300</v>
      </c>
      <c r="B416" s="112">
        <v>1.2374000000000001</v>
      </c>
      <c r="C416" s="108">
        <f t="shared" si="124"/>
        <v>-1.9999999999997797E-4</v>
      </c>
      <c r="D416" s="109">
        <f t="shared" si="125"/>
        <v>-1.9999999999997797E-4</v>
      </c>
      <c r="E416" s="109">
        <f ca="1">IF(表2_3671626293034567[[#This Row],[累计净值]]/MAX(INDIRECT("B21:B" &amp; ROW()))-1&lt;E415,表2_3671626293034567[[#This Row],[累计净值]]/MAX(INDIRECT("B21:B" &amp; ROW()))-1,E415)</f>
        <v>-2.5203567274137306E-2</v>
      </c>
      <c r="F416" s="110">
        <f>表2_3671626293034567[[#This Row],[累计净值]]-$I$242</f>
        <v>1.0732000000000002</v>
      </c>
      <c r="G416" s="20">
        <f>0.8*(表2_3671626293034567[[#This Row],[累计净值]]/$B$22-1)</f>
        <v>0.18352707401887738</v>
      </c>
    </row>
    <row r="417" spans="1:7">
      <c r="A417" s="55">
        <v>44301</v>
      </c>
      <c r="B417" s="112">
        <v>1.2343999999999999</v>
      </c>
      <c r="C417" s="108">
        <f t="shared" si="124"/>
        <v>-3.0000000000001137E-3</v>
      </c>
      <c r="D417" s="109">
        <f t="shared" si="125"/>
        <v>-3.0000000000001137E-3</v>
      </c>
      <c r="E417" s="109">
        <f ca="1">IF(表2_3671626293034567[[#This Row],[累计净值]]/MAX(INDIRECT("B21:B" &amp; ROW()))-1&lt;E416,表2_3671626293034567[[#This Row],[累计净值]]/MAX(INDIRECT("B21:B" &amp; ROW()))-1,E416)</f>
        <v>-2.5203567274137306E-2</v>
      </c>
      <c r="F417" s="110">
        <f>表2_3671626293034567[[#This Row],[累计净值]]-$I$242</f>
        <v>1.0702</v>
      </c>
      <c r="G417" s="20">
        <f>0.8*(表2_3671626293034567[[#This Row],[累计净值]]/$B$22-1)</f>
        <v>0.18114257327372077</v>
      </c>
    </row>
    <row r="418" spans="1:7">
      <c r="A418" s="55">
        <v>44302</v>
      </c>
      <c r="B418" s="112">
        <v>1.2326999999999999</v>
      </c>
      <c r="C418" s="108">
        <f t="shared" si="124"/>
        <v>-1.7000000000000348E-3</v>
      </c>
      <c r="D418" s="109">
        <f t="shared" si="125"/>
        <v>-1.7000000000000348E-3</v>
      </c>
      <c r="E418" s="109">
        <f ca="1">IF(表2_3671626293034567[[#This Row],[累计净值]]/MAX(INDIRECT("B21:B" &amp; ROW()))-1&lt;E417,表2_3671626293034567[[#This Row],[累计净值]]/MAX(INDIRECT("B21:B" &amp; ROW()))-1,E417)</f>
        <v>-2.5203567274137306E-2</v>
      </c>
      <c r="F418" s="110">
        <f>表2_3671626293034567[[#This Row],[累计净值]]-$I$242</f>
        <v>1.0685</v>
      </c>
      <c r="G418" s="20">
        <f>0.8*(表2_3671626293034567[[#This Row],[累计净值]]/$B$22-1)</f>
        <v>0.1797913561847988</v>
      </c>
    </row>
    <row r="419" spans="1:7">
      <c r="A419" s="55">
        <v>44305</v>
      </c>
      <c r="B419" s="112">
        <v>1.2334000000000001</v>
      </c>
      <c r="C419" s="108">
        <f t="shared" si="124"/>
        <v>7.0000000000014495E-4</v>
      </c>
      <c r="D419" s="109" t="str">
        <f t="shared" si="125"/>
        <v>/</v>
      </c>
      <c r="E419" s="109">
        <f ca="1">IF(表2_3671626293034567[[#This Row],[累计净值]]/MAX(INDIRECT("B21:B" &amp; ROW()))-1&lt;E418,表2_3671626293034567[[#This Row],[累计净值]]/MAX(INDIRECT("B21:B" &amp; ROW()))-1,E418)</f>
        <v>-2.5203567274137306E-2</v>
      </c>
      <c r="F419" s="110">
        <f>表2_3671626293034567[[#This Row],[累计净值]]-$I$242</f>
        <v>1.0692000000000002</v>
      </c>
      <c r="G419" s="20">
        <f>0.8*(表2_3671626293034567[[#This Row],[累计净值]]/$B$22-1)</f>
        <v>0.18034773969200213</v>
      </c>
    </row>
    <row r="420" spans="1:7">
      <c r="A420" s="55">
        <v>44306</v>
      </c>
      <c r="B420" s="112">
        <v>1.2319</v>
      </c>
      <c r="C420" s="108">
        <f t="shared" si="124"/>
        <v>-1.5000000000000568E-3</v>
      </c>
      <c r="D420" s="109">
        <f t="shared" si="125"/>
        <v>-1.5000000000000568E-3</v>
      </c>
      <c r="E420" s="109">
        <f ca="1">IF(表2_3671626293034567[[#This Row],[累计净值]]/MAX(INDIRECT("B21:B" &amp; ROW()))-1&lt;E419,表2_3671626293034567[[#This Row],[累计净值]]/MAX(INDIRECT("B21:B" &amp; ROW()))-1,E419)</f>
        <v>-2.5203567274137306E-2</v>
      </c>
      <c r="F420" s="110">
        <f>表2_3671626293034567[[#This Row],[累计净值]]-$I$242</f>
        <v>1.0677000000000001</v>
      </c>
      <c r="G420" s="20">
        <f>0.8*(表2_3671626293034567[[#This Row],[累计净值]]/$B$22-1)</f>
        <v>0.17915548931942382</v>
      </c>
    </row>
    <row r="421" spans="1:7">
      <c r="A421" s="55">
        <v>44307</v>
      </c>
      <c r="B421" s="112">
        <v>1.2317</v>
      </c>
      <c r="C421" s="108">
        <f t="shared" ref="C421:C426" si="126">IFERROR(B421-B420,0)</f>
        <v>-1.9999999999997797E-4</v>
      </c>
      <c r="D421" s="109">
        <f t="shared" ref="D421:D426" si="127">IF(C421&lt;0,C421,"/")</f>
        <v>-1.9999999999997797E-4</v>
      </c>
      <c r="E421" s="109">
        <f ca="1">IF(表2_3671626293034567[[#This Row],[累计净值]]/MAX(INDIRECT("B21:B" &amp; ROW()))-1&lt;E420,表2_3671626293034567[[#This Row],[累计净值]]/MAX(INDIRECT("B21:B" &amp; ROW()))-1,E420)</f>
        <v>-2.5203567274137306E-2</v>
      </c>
      <c r="F421" s="110">
        <f>表2_3671626293034567[[#This Row],[累计净值]]-$I$242</f>
        <v>1.0675000000000001</v>
      </c>
      <c r="G421" s="20">
        <f>0.8*(表2_3671626293034567[[#This Row],[累计净值]]/$B$22-1)</f>
        <v>0.17899652260307999</v>
      </c>
    </row>
    <row r="422" spans="1:7">
      <c r="A422" s="55">
        <v>44308</v>
      </c>
      <c r="B422" s="112">
        <v>1.2329000000000001</v>
      </c>
      <c r="C422" s="108">
        <f t="shared" si="126"/>
        <v>1.2000000000000899E-3</v>
      </c>
      <c r="D422" s="109" t="str">
        <f t="shared" si="127"/>
        <v>/</v>
      </c>
      <c r="E422" s="109">
        <f ca="1">IF(表2_3671626293034567[[#This Row],[累计净值]]/MAX(INDIRECT("B21:B" &amp; ROW()))-1&lt;E421,表2_3671626293034567[[#This Row],[累计净值]]/MAX(INDIRECT("B21:B" &amp; ROW()))-1,E421)</f>
        <v>-2.5203567274137306E-2</v>
      </c>
      <c r="F422" s="110">
        <f>表2_3671626293034567[[#This Row],[累计净值]]-$I$242</f>
        <v>1.0687000000000002</v>
      </c>
      <c r="G422" s="20">
        <f>0.8*(表2_3671626293034567[[#This Row],[累计净值]]/$B$22-1)</f>
        <v>0.17995032290114266</v>
      </c>
    </row>
    <row r="423" spans="1:7">
      <c r="A423" s="55">
        <v>44309</v>
      </c>
      <c r="B423" s="112">
        <v>1.2276</v>
      </c>
      <c r="C423" s="108">
        <f t="shared" si="126"/>
        <v>-5.3000000000000824E-3</v>
      </c>
      <c r="D423" s="109">
        <f t="shared" si="127"/>
        <v>-5.3000000000000824E-3</v>
      </c>
      <c r="E423" s="109">
        <f ca="1">IF(表2_3671626293034567[[#This Row],[累计净值]]/MAX(INDIRECT("B21:B" &amp; ROW()))-1&lt;E422,表2_3671626293034567[[#This Row],[累计净值]]/MAX(INDIRECT("B21:B" &amp; ROW()))-1,E422)</f>
        <v>-2.5203567274137306E-2</v>
      </c>
      <c r="F423" s="110">
        <f>表2_3671626293034567[[#This Row],[累计净值]]-$I$242</f>
        <v>1.0634000000000001</v>
      </c>
      <c r="G423" s="20">
        <f>0.8*(表2_3671626293034567[[#This Row],[累计净值]]/$B$22-1)</f>
        <v>0.17573770491803292</v>
      </c>
    </row>
    <row r="424" spans="1:7">
      <c r="A424" s="55">
        <v>44312</v>
      </c>
      <c r="B424" s="112">
        <v>1.2221</v>
      </c>
      <c r="C424" s="108">
        <f t="shared" si="126"/>
        <v>-5.5000000000000604E-3</v>
      </c>
      <c r="D424" s="109">
        <f t="shared" si="127"/>
        <v>-5.5000000000000604E-3</v>
      </c>
      <c r="E424" s="109">
        <f ca="1">IF(表2_3671626293034567[[#This Row],[累计净值]]/MAX(INDIRECT("B21:B" &amp; ROW()))-1&lt;E423,表2_3671626293034567[[#This Row],[累计净值]]/MAX(INDIRECT("B21:B" &amp; ROW()))-1,E423)</f>
        <v>-2.7609802673456363E-2</v>
      </c>
      <c r="F424" s="110">
        <f>表2_3671626293034567[[#This Row],[累计净值]]-$I$242</f>
        <v>1.0579000000000001</v>
      </c>
      <c r="G424" s="20">
        <f>0.8*(表2_3671626293034567[[#This Row],[累计净值]]/$B$22-1)</f>
        <v>0.17136612021857919</v>
      </c>
    </row>
    <row r="425" spans="1:7">
      <c r="A425" s="55">
        <v>44313</v>
      </c>
      <c r="B425" s="112">
        <v>1.2193000000000001</v>
      </c>
      <c r="C425" s="108">
        <f t="shared" si="126"/>
        <v>-2.7999999999999137E-3</v>
      </c>
      <c r="D425" s="109">
        <f t="shared" si="127"/>
        <v>-2.7999999999999137E-3</v>
      </c>
      <c r="E425" s="109">
        <f ca="1">IF(表2_3671626293034567[[#This Row],[累计净值]]/MAX(INDIRECT("B21:B" &amp; ROW()))-1&lt;E424,表2_3671626293034567[[#This Row],[累计净值]]/MAX(INDIRECT("B21:B" &amp; ROW()))-1,E424)</f>
        <v>-2.9837683004455662E-2</v>
      </c>
      <c r="F425" s="110">
        <f>表2_3671626293034567[[#This Row],[累计净值]]-$I$242</f>
        <v>1.0551000000000001</v>
      </c>
      <c r="G425" s="20">
        <f>0.8*(表2_3671626293034567[[#This Row],[累计净值]]/$B$22-1)</f>
        <v>0.16914058618976657</v>
      </c>
    </row>
    <row r="426" spans="1:7">
      <c r="A426" s="55">
        <v>44314</v>
      </c>
      <c r="B426" s="112">
        <v>1.2192000000000001</v>
      </c>
      <c r="C426" s="108">
        <f t="shared" si="126"/>
        <v>-9.9999999999988987E-5</v>
      </c>
      <c r="D426" s="109">
        <f t="shared" si="127"/>
        <v>-9.9999999999988987E-5</v>
      </c>
      <c r="E426" s="109">
        <f ca="1">IF(表2_3671626293034567[[#This Row],[累计净值]]/MAX(INDIRECT("B21:B" &amp; ROW()))-1&lt;E425,表2_3671626293034567[[#This Row],[累计净值]]/MAX(INDIRECT("B21:B" &amp; ROW()))-1,E425)</f>
        <v>-2.9917250159134157E-2</v>
      </c>
      <c r="F426" s="110">
        <f>表2_3671626293034567[[#This Row],[累计净值]]-$I$242</f>
        <v>1.0550000000000002</v>
      </c>
      <c r="G426" s="20">
        <f>0.8*(表2_3671626293034567[[#This Row],[累计净值]]/$B$22-1)</f>
        <v>0.16906110283159476</v>
      </c>
    </row>
    <row r="427" spans="1:7">
      <c r="A427" s="55">
        <v>44315</v>
      </c>
      <c r="B427" s="112">
        <v>1.2191000000000001</v>
      </c>
      <c r="C427" s="108">
        <f t="shared" ref="C427:C429" si="128">IFERROR(B427-B426,0)</f>
        <v>-9.9999999999988987E-5</v>
      </c>
      <c r="D427" s="109">
        <f t="shared" ref="D427:D429" si="129">IF(C427&lt;0,C427,"/")</f>
        <v>-9.9999999999988987E-5</v>
      </c>
      <c r="E427" s="109">
        <f ca="1">IF(表2_3671626293034567[[#This Row],[累计净值]]/MAX(INDIRECT("B21:B" &amp; ROW()))-1&lt;E426,表2_3671626293034567[[#This Row],[累计净值]]/MAX(INDIRECT("B21:B" &amp; ROW()))-1,E426)</f>
        <v>-2.9996817313812763E-2</v>
      </c>
      <c r="F427" s="110">
        <f>表2_3671626293034567[[#This Row],[累计净值]]-$I$242</f>
        <v>1.0549000000000002</v>
      </c>
      <c r="G427" s="20">
        <f>0.8*(表2_3671626293034567[[#This Row],[累计净值]]/$B$22-1)</f>
        <v>0.16898161947342294</v>
      </c>
    </row>
    <row r="428" spans="1:7">
      <c r="A428" s="55">
        <v>44316</v>
      </c>
      <c r="B428" s="112">
        <v>1.2159</v>
      </c>
      <c r="C428" s="108">
        <f t="shared" si="128"/>
        <v>-3.2000000000000917E-3</v>
      </c>
      <c r="D428" s="109">
        <f t="shared" si="129"/>
        <v>-3.2000000000000917E-3</v>
      </c>
      <c r="E428" s="109">
        <f ca="1">IF(表2_3671626293034567[[#This Row],[累计净值]]/MAX(INDIRECT("B21:B" &amp; ROW()))-1&lt;E427,表2_3671626293034567[[#This Row],[累计净值]]/MAX(INDIRECT("B21:B" &amp; ROW()))-1,E427)</f>
        <v>-3.2542966263526374E-2</v>
      </c>
      <c r="F428" s="110">
        <f>表2_3671626293034567[[#This Row],[累计净值]]-$I$242</f>
        <v>1.0517000000000001</v>
      </c>
      <c r="G428" s="20">
        <f>0.8*(表2_3671626293034567[[#This Row],[累计净值]]/$B$22-1)</f>
        <v>0.16643815201192247</v>
      </c>
    </row>
    <row r="429" spans="1:7">
      <c r="A429" s="55">
        <v>44322</v>
      </c>
      <c r="B429" s="112">
        <v>1.216</v>
      </c>
      <c r="C429" s="108">
        <f t="shared" si="128"/>
        <v>9.9999999999988987E-5</v>
      </c>
      <c r="D429" s="109" t="str">
        <f t="shared" si="129"/>
        <v>/</v>
      </c>
      <c r="E429" s="109">
        <f ca="1">IF(表2_3671626293034567[[#This Row],[累计净值]]/MAX(INDIRECT("B21:B" &amp; ROW()))-1&lt;E428,表2_3671626293034567[[#This Row],[累计净值]]/MAX(INDIRECT("B21:B" &amp; ROW()))-1,E428)</f>
        <v>-3.2542966263526374E-2</v>
      </c>
      <c r="F429" s="110">
        <f>表2_3671626293034567[[#This Row],[累计净值]]-$I$242</f>
        <v>1.0518000000000001</v>
      </c>
      <c r="G429" s="20">
        <f>0.8*(表2_3671626293034567[[#This Row],[累计净值]]/$B$22-1)</f>
        <v>0.16651763537009448</v>
      </c>
    </row>
    <row r="430" spans="1:7">
      <c r="A430" s="55">
        <v>44323</v>
      </c>
      <c r="B430" s="112">
        <v>1.2153</v>
      </c>
      <c r="C430" s="108">
        <f t="shared" ref="C430:C436" si="130">IFERROR(B430-B429,0)</f>
        <v>-6.9999999999992291E-4</v>
      </c>
      <c r="D430" s="109">
        <f t="shared" ref="D430:D436" si="131">IF(C430&lt;0,C430,"/")</f>
        <v>-6.9999999999992291E-4</v>
      </c>
      <c r="E430" s="109">
        <f ca="1">IF(表2_3671626293034567[[#This Row],[累计净值]]/MAX(INDIRECT("B21:B" &amp; ROW()))-1&lt;E429,表2_3671626293034567[[#This Row],[累计净值]]/MAX(INDIRECT("B21:B" &amp; ROW()))-1,E429)</f>
        <v>-3.3020369191597565E-2</v>
      </c>
      <c r="F430" s="110">
        <f>表2_3671626293034567[[#This Row],[累计净值]]-$I$242</f>
        <v>1.0511000000000001</v>
      </c>
      <c r="G430" s="20">
        <f>0.8*(表2_3671626293034567[[#This Row],[累计净值]]/$B$22-1)</f>
        <v>0.16596125186289135</v>
      </c>
    </row>
    <row r="431" spans="1:7">
      <c r="A431" s="55">
        <v>44326</v>
      </c>
      <c r="B431" s="112">
        <v>1.2178</v>
      </c>
      <c r="C431" s="108">
        <f t="shared" si="130"/>
        <v>2.4999999999999467E-3</v>
      </c>
      <c r="D431" s="109" t="str">
        <f t="shared" si="131"/>
        <v>/</v>
      </c>
      <c r="E431" s="109">
        <f ca="1">IF(表2_3671626293034567[[#This Row],[累计净值]]/MAX(INDIRECT("B21:B" &amp; ROW()))-1&lt;E430,表2_3671626293034567[[#This Row],[累计净值]]/MAX(INDIRECT("B21:B" &amp; ROW()))-1,E430)</f>
        <v>-3.3020369191597565E-2</v>
      </c>
      <c r="F431" s="110">
        <f>表2_3671626293034567[[#This Row],[累计净值]]-$I$242</f>
        <v>1.0536000000000001</v>
      </c>
      <c r="G431" s="20">
        <f>0.8*(表2_3671626293034567[[#This Row],[累计净值]]/$B$22-1)</f>
        <v>0.16794833581718827</v>
      </c>
    </row>
    <row r="432" spans="1:7">
      <c r="A432" s="55">
        <v>44327</v>
      </c>
      <c r="B432" s="112">
        <v>1.2203999999999999</v>
      </c>
      <c r="C432" s="108">
        <f t="shared" si="130"/>
        <v>2.5999999999999357E-3</v>
      </c>
      <c r="D432" s="109" t="str">
        <f t="shared" si="131"/>
        <v>/</v>
      </c>
      <c r="E432" s="109">
        <f ca="1">IF(表2_3671626293034567[[#This Row],[累计净值]]/MAX(INDIRECT("B21:B" &amp; ROW()))-1&lt;E431,表2_3671626293034567[[#This Row],[累计净值]]/MAX(INDIRECT("B21:B" &amp; ROW()))-1,E431)</f>
        <v>-3.3020369191597565E-2</v>
      </c>
      <c r="F432" s="110">
        <f>表2_3671626293034567[[#This Row],[累计净值]]-$I$242</f>
        <v>1.0562</v>
      </c>
      <c r="G432" s="20">
        <f>0.8*(表2_3671626293034567[[#This Row],[累计净值]]/$B$22-1)</f>
        <v>0.17001490312965722</v>
      </c>
    </row>
    <row r="433" spans="1:7">
      <c r="A433" s="55">
        <v>44328</v>
      </c>
      <c r="B433" s="112">
        <v>1.2204999999999999</v>
      </c>
      <c r="C433" s="108">
        <f t="shared" si="130"/>
        <v>9.9999999999988987E-5</v>
      </c>
      <c r="D433" s="109" t="str">
        <f t="shared" si="131"/>
        <v>/</v>
      </c>
      <c r="E433" s="109">
        <f ca="1">IF(表2_3671626293034567[[#This Row],[累计净值]]/MAX(INDIRECT("B21:B" &amp; ROW()))-1&lt;E432,表2_3671626293034567[[#This Row],[累计净值]]/MAX(INDIRECT("B21:B" &amp; ROW()))-1,E432)</f>
        <v>-3.3020369191597565E-2</v>
      </c>
      <c r="F433" s="110">
        <f>表2_3671626293034567[[#This Row],[累计净值]]-$I$242</f>
        <v>1.0563</v>
      </c>
      <c r="G433" s="20">
        <f>0.8*(表2_3671626293034567[[#This Row],[累计净值]]/$B$22-1)</f>
        <v>0.17009438648782904</v>
      </c>
    </row>
    <row r="434" spans="1:7">
      <c r="A434" s="55">
        <v>44329</v>
      </c>
      <c r="B434" s="112">
        <v>1.2204999999999999</v>
      </c>
      <c r="C434" s="108">
        <f t="shared" si="130"/>
        <v>0</v>
      </c>
      <c r="D434" s="109" t="str">
        <f t="shared" si="131"/>
        <v>/</v>
      </c>
      <c r="E434" s="109">
        <f ca="1">IF(表2_3671626293034567[[#This Row],[累计净值]]/MAX(INDIRECT("B21:B" &amp; ROW()))-1&lt;E433,表2_3671626293034567[[#This Row],[累计净值]]/MAX(INDIRECT("B21:B" &amp; ROW()))-1,E433)</f>
        <v>-3.3020369191597565E-2</v>
      </c>
      <c r="F434" s="110">
        <f>表2_3671626293034567[[#This Row],[累计净值]]-$I$242</f>
        <v>1.0563</v>
      </c>
      <c r="G434" s="20">
        <f>0.8*(表2_3671626293034567[[#This Row],[累计净值]]/$B$22-1)</f>
        <v>0.17009438648782904</v>
      </c>
    </row>
    <row r="435" spans="1:7">
      <c r="A435" s="55">
        <v>44330</v>
      </c>
      <c r="B435" s="112">
        <v>1.2209000000000001</v>
      </c>
      <c r="C435" s="108">
        <f t="shared" si="130"/>
        <v>4.0000000000017799E-4</v>
      </c>
      <c r="D435" s="109" t="str">
        <f t="shared" si="131"/>
        <v>/</v>
      </c>
      <c r="E435" s="109">
        <f ca="1">IF(表2_3671626293034567[[#This Row],[累计净值]]/MAX(INDIRECT("B21:B" &amp; ROW()))-1&lt;E434,表2_3671626293034567[[#This Row],[累计净值]]/MAX(INDIRECT("B21:B" &amp; ROW()))-1,E434)</f>
        <v>-3.3020369191597565E-2</v>
      </c>
      <c r="F435" s="110">
        <f>表2_3671626293034567[[#This Row],[累计净值]]-$I$242</f>
        <v>1.0567000000000002</v>
      </c>
      <c r="G435" s="20">
        <f>0.8*(表2_3671626293034567[[#This Row],[累计净值]]/$B$22-1)</f>
        <v>0.17041231992051672</v>
      </c>
    </row>
    <row r="436" spans="1:7">
      <c r="A436" s="55">
        <v>44333</v>
      </c>
      <c r="B436" s="112">
        <v>1.2158</v>
      </c>
      <c r="C436" s="108">
        <f t="shared" si="130"/>
        <v>-5.1000000000001044E-3</v>
      </c>
      <c r="D436" s="109">
        <f t="shared" si="131"/>
        <v>-5.1000000000001044E-3</v>
      </c>
      <c r="E436" s="109">
        <f ca="1">IF(表2_3671626293034567[[#This Row],[累计净值]]/MAX(INDIRECT("B21:B" &amp; ROW()))-1&lt;E435,表2_3671626293034567[[#This Row],[累计净值]]/MAX(INDIRECT("B21:B" &amp; ROW()))-1,E435)</f>
        <v>-3.3020369191597565E-2</v>
      </c>
      <c r="F436" s="110">
        <f>表2_3671626293034567[[#This Row],[累计净值]]-$I$242</f>
        <v>1.0516000000000001</v>
      </c>
      <c r="G436" s="20">
        <f>0.8*(表2_3671626293034567[[#This Row],[累计净值]]/$B$22-1)</f>
        <v>0.16635866865375065</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140"/>
  <sheetViews>
    <sheetView workbookViewId="0">
      <pane xSplit="1" ySplit="20" topLeftCell="B129" activePane="bottomRight" state="frozen"/>
      <selection pane="topRight" activeCell="B1" sqref="B1"/>
      <selection pane="bottomLeft" activeCell="A21" sqref="A21"/>
      <selection pane="bottomRight" activeCell="L139" sqref="L13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COUNT(表2_36716262930389121314152324252627283132[每日盈亏])</f>
        <v>120</v>
      </c>
      <c r="C2" s="27"/>
      <c r="D2" s="3" t="s">
        <v>1</v>
      </c>
      <c r="E2" s="28"/>
      <c r="F2" s="1" t="s">
        <v>2</v>
      </c>
      <c r="G2" s="400" t="s">
        <v>3</v>
      </c>
    </row>
    <row r="3" spans="1:7">
      <c r="A3" s="25" t="s">
        <v>4</v>
      </c>
      <c r="B3" s="26">
        <f>COUNTIF(表2_36716262930389121314152324252627283132[每日盈亏],"&gt;0")</f>
        <v>52</v>
      </c>
      <c r="C3" s="29"/>
      <c r="D3" s="30" t="s">
        <v>5</v>
      </c>
      <c r="E3" s="31">
        <f>245^0.5*(B10-0.025/365)/E10</f>
        <v>1.2817909257147573</v>
      </c>
      <c r="G3" s="400"/>
    </row>
    <row r="4" spans="1:7">
      <c r="A4" s="25" t="s">
        <v>6</v>
      </c>
      <c r="B4" s="26">
        <f>COUNTIF(表2_36716262930389121314152324252627283132[每日盈亏],"&lt;0")</f>
        <v>50</v>
      </c>
      <c r="C4" s="29"/>
      <c r="D4" s="32" t="s">
        <v>7</v>
      </c>
      <c r="E4" s="31">
        <f ca="1">-B9/E8</f>
        <v>4.1159999999999926</v>
      </c>
      <c r="G4" s="2">
        <f>LOOKUP(999^10,表2_36716262930389121314152324252627283132[累计净值])</f>
        <v>1.1439999999999999</v>
      </c>
    </row>
    <row r="5" spans="1:7">
      <c r="A5" s="25" t="s">
        <v>8</v>
      </c>
      <c r="B5" s="26">
        <f>B2-B3-B4</f>
        <v>18</v>
      </c>
      <c r="C5" s="29"/>
      <c r="D5" s="33" t="s">
        <v>9</v>
      </c>
      <c r="E5" s="4">
        <f>245^0.5*(B10-0.025/365)/E9</f>
        <v>1.4133005295983854</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LOOKUP(999^10,表2_36716262930389121314152324252627283132[累计净值])/$B$21-1</f>
        <v>0.14399999999999991</v>
      </c>
      <c r="C8" s="40"/>
      <c r="D8" s="30" t="s">
        <v>13</v>
      </c>
      <c r="E8" s="41">
        <f ca="1">MIN(表2_36716262930389121314152324252627283132[最大回撤])</f>
        <v>-7.1428571428571508E-2</v>
      </c>
    </row>
    <row r="9" spans="1:7">
      <c r="A9" s="25" t="s">
        <v>14</v>
      </c>
      <c r="B9" s="32">
        <f>B8*245/B2</f>
        <v>0.29399999999999982</v>
      </c>
      <c r="C9" s="40"/>
      <c r="D9" s="33" t="s">
        <v>15</v>
      </c>
      <c r="E9" s="6">
        <f>STDEV(表2_36716262930389121314152324252627283132[下跌幅度])</f>
        <v>1.2531576443658861E-2</v>
      </c>
    </row>
    <row r="10" spans="1:7">
      <c r="A10" s="42" t="s">
        <v>16</v>
      </c>
      <c r="B10" s="43">
        <f>AVERAGE(表2_36716262930389121314152324252627283132[每日盈亏])</f>
        <v>1.1999999999999992E-3</v>
      </c>
      <c r="C10" s="44"/>
      <c r="D10" s="33" t="s">
        <v>17</v>
      </c>
      <c r="E10" s="6">
        <f>STDEV(表2_36716262930389121314152324252627283132[每日盈亏])</f>
        <v>1.3817295215013094E-2</v>
      </c>
    </row>
    <row r="11" spans="1:7">
      <c r="A11" s="7" t="s">
        <v>18</v>
      </c>
      <c r="B11" s="32">
        <f>B3/B2</f>
        <v>0.43333333333333335</v>
      </c>
      <c r="C11" s="40"/>
      <c r="D11" s="32" t="s">
        <v>19</v>
      </c>
      <c r="E11" s="41">
        <f>245^0.5*E10</f>
        <v>0.21627487956166297</v>
      </c>
    </row>
    <row r="12" spans="1:7" ht="16" thickBot="1">
      <c r="A12" s="45" t="s">
        <v>20</v>
      </c>
      <c r="B12" s="46">
        <f>-(SUMIF(表2_36716262930389121314152324252627283132[每日盈亏],"&gt;=0")/B3)/(SUMIF(表2_36716262930389121314152324252627283132[每日盈亏],"&lt;0")/B4)</f>
        <v>1.3068290811432952</v>
      </c>
      <c r="C12" s="47"/>
      <c r="D12" s="48"/>
      <c r="E12" s="49"/>
    </row>
    <row r="14" spans="1:7" ht="32">
      <c r="A14" s="50" t="s">
        <v>21</v>
      </c>
      <c r="B14" s="50" t="s">
        <v>14</v>
      </c>
      <c r="C14" s="51" t="s">
        <v>19</v>
      </c>
      <c r="D14" s="51" t="s">
        <v>13</v>
      </c>
      <c r="E14" s="51" t="s">
        <v>5</v>
      </c>
      <c r="F14" s="51" t="s">
        <v>7</v>
      </c>
    </row>
    <row r="15" spans="1:7">
      <c r="A15" s="78">
        <f>B2</f>
        <v>120</v>
      </c>
      <c r="B15" s="53">
        <f>B9</f>
        <v>0.29399999999999982</v>
      </c>
      <c r="C15" s="53">
        <f>E11</f>
        <v>0.21627487956166297</v>
      </c>
      <c r="D15" s="53">
        <f ca="1">E8</f>
        <v>-7.1428571428571508E-2</v>
      </c>
      <c r="E15" s="54">
        <f>E3</f>
        <v>1.2817909257147573</v>
      </c>
      <c r="F15" s="54">
        <f ca="1">E4</f>
        <v>4.1159999999999926</v>
      </c>
    </row>
    <row r="19" spans="1:9">
      <c r="A19" s="8"/>
      <c r="B19" s="1" t="s">
        <v>22</v>
      </c>
    </row>
    <row r="20" spans="1:9" ht="16">
      <c r="A20" s="22" t="s">
        <v>23</v>
      </c>
      <c r="B20" s="22" t="s">
        <v>24</v>
      </c>
      <c r="C20" s="22" t="s">
        <v>25</v>
      </c>
      <c r="D20" s="22" t="s">
        <v>26</v>
      </c>
      <c r="E20" s="22" t="s">
        <v>27</v>
      </c>
      <c r="F20" s="22" t="s">
        <v>28</v>
      </c>
      <c r="G20" s="22" t="s">
        <v>29</v>
      </c>
    </row>
    <row r="21" spans="1:9">
      <c r="A21" s="15">
        <v>44151</v>
      </c>
      <c r="B21" s="204">
        <v>1</v>
      </c>
      <c r="C21" s="57">
        <f t="shared" ref="C21:C22" si="0">IFERROR(B21-B20,0)</f>
        <v>0</v>
      </c>
      <c r="D21" s="58" t="str">
        <f t="shared" ref="D21:D26" si="1">IF(C21&lt;0,C21,"/")</f>
        <v>/</v>
      </c>
      <c r="E21" s="58">
        <f ca="1">IF(表2_36716262930389121314152324252627283132[[#This Row],[累计净值]]/MAX(INDIRECT("B21:B" &amp; ROW()))-1&lt;E20,表2_36716262930389121314152324252627283132[[#This Row],[累计净值]]/MAX(INDIRECT("B21:B" &amp; ROW()))-1,E20)</f>
        <v>0</v>
      </c>
      <c r="F21" s="21">
        <f>表2_36716262930389121314152324252627283132[[#This Row],[累计净值]]</f>
        <v>1</v>
      </c>
      <c r="G21" s="205"/>
    </row>
    <row r="22" spans="1:9">
      <c r="A22" s="15">
        <v>44152</v>
      </c>
      <c r="B22" s="112">
        <v>0.998</v>
      </c>
      <c r="C22" s="17">
        <f t="shared" si="0"/>
        <v>-2.0000000000000018E-3</v>
      </c>
      <c r="D22" s="18">
        <f t="shared" si="1"/>
        <v>-2.0000000000000018E-3</v>
      </c>
      <c r="E22" s="18">
        <f ca="1">IF(表2_36716262930389121314152324252627283132[[#This Row],[累计净值]]/MAX(INDIRECT("B21:B" &amp; ROW()))-1&lt;E21,表2_36716262930389121314152324252627283132[[#This Row],[累计净值]]/MAX(INDIRECT("B21:B" &amp; ROW()))-1,E21)</f>
        <v>-2.0000000000000018E-3</v>
      </c>
      <c r="F22" s="19">
        <f>表2_36716262930389121314152324252627283132[[#This Row],[累计净值]]</f>
        <v>0.998</v>
      </c>
      <c r="G22" s="194" t="s">
        <v>30</v>
      </c>
    </row>
    <row r="23" spans="1:9">
      <c r="A23" s="15">
        <v>44153</v>
      </c>
      <c r="B23" s="112">
        <v>0.998</v>
      </c>
      <c r="C23" s="108">
        <f t="shared" ref="C23:C28" si="2">IFERROR(B23-B22,0)</f>
        <v>0</v>
      </c>
      <c r="D23" s="109" t="str">
        <f t="shared" si="1"/>
        <v>/</v>
      </c>
      <c r="E23" s="109">
        <f ca="1">IF(表2_36716262930389121314152324252627283132[[#This Row],[累计净值]]/MAX(INDIRECT("B21:B" &amp; ROW()))-1&lt;E22,表2_36716262930389121314152324252627283132[[#This Row],[累计净值]]/MAX(INDIRECT("B21:B" &amp; ROW()))-1,E22)</f>
        <v>-2.0000000000000018E-3</v>
      </c>
      <c r="F23" s="110">
        <f>表2_36716262930389121314152324252627283132[[#This Row],[累计净值]]</f>
        <v>0.998</v>
      </c>
      <c r="G23" s="20">
        <f>IF(表2_36716262930389121314152324252627283132[[#This Row],[累计净值]]&gt;0.998,0.8*(表2_36716262930389121314152324252627283132[[#This Row],[累计净值]]/$B$22-1),表2_36716262930389121314152324252627283132[[#This Row],[累计净值]]/$B$22-1)</f>
        <v>0</v>
      </c>
    </row>
    <row r="24" spans="1:9">
      <c r="A24" s="15">
        <v>44154</v>
      </c>
      <c r="B24" s="112">
        <v>0.998</v>
      </c>
      <c r="C24" s="108">
        <f t="shared" si="2"/>
        <v>0</v>
      </c>
      <c r="D24" s="109" t="str">
        <f t="shared" si="1"/>
        <v>/</v>
      </c>
      <c r="E24" s="109">
        <f ca="1">IF(表2_36716262930389121314152324252627283132[[#This Row],[累计净值]]/MAX(INDIRECT("B21:B" &amp; ROW()))-1&lt;E23,表2_36716262930389121314152324252627283132[[#This Row],[累计净值]]/MAX(INDIRECT("B21:B" &amp; ROW()))-1,E23)</f>
        <v>-2.0000000000000018E-3</v>
      </c>
      <c r="F24" s="110">
        <f>表2_36716262930389121314152324252627283132[[#This Row],[累计净值]]</f>
        <v>0.998</v>
      </c>
      <c r="G24" s="20">
        <f>IF(表2_36716262930389121314152324252627283132[[#This Row],[累计净值]]&gt;0.998,0.8*(表2_36716262930389121314152324252627283132[[#This Row],[累计净值]]/$B$22-1),表2_36716262930389121314152324252627283132[[#This Row],[累计净值]]/$B$22-1)</f>
        <v>0</v>
      </c>
    </row>
    <row r="25" spans="1:9">
      <c r="A25" s="15">
        <v>44155</v>
      </c>
      <c r="B25" s="112">
        <v>0.998</v>
      </c>
      <c r="C25" s="108">
        <f t="shared" si="2"/>
        <v>0</v>
      </c>
      <c r="D25" s="109" t="str">
        <f t="shared" si="1"/>
        <v>/</v>
      </c>
      <c r="E25" s="109">
        <f ca="1">IF(表2_36716262930389121314152324252627283132[[#This Row],[累计净值]]/MAX(INDIRECT("B21:B" &amp; ROW()))-1&lt;E24,表2_36716262930389121314152324252627283132[[#This Row],[累计净值]]/MAX(INDIRECT("B21:B" &amp; ROW()))-1,E24)</f>
        <v>-2.0000000000000018E-3</v>
      </c>
      <c r="F25" s="110">
        <f>表2_36716262930389121314152324252627283132[[#This Row],[累计净值]]</f>
        <v>0.998</v>
      </c>
      <c r="G25" s="20">
        <f>IF(表2_36716262930389121314152324252627283132[[#This Row],[累计净值]]&gt;0.998,0.8*(表2_36716262930389121314152324252627283132[[#This Row],[累计净值]]/$B$22-1),表2_36716262930389121314152324252627283132[[#This Row],[累计净值]]/$B$22-1)</f>
        <v>0</v>
      </c>
    </row>
    <row r="26" spans="1:9">
      <c r="A26" s="15">
        <v>44158</v>
      </c>
      <c r="B26" s="112">
        <v>0.997</v>
      </c>
      <c r="C26" s="108">
        <f t="shared" si="2"/>
        <v>-1.0000000000000009E-3</v>
      </c>
      <c r="D26" s="109">
        <f t="shared" si="1"/>
        <v>-1.0000000000000009E-3</v>
      </c>
      <c r="E26" s="109">
        <f ca="1">IF(表2_36716262930389121314152324252627283132[[#This Row],[累计净值]]/MAX(INDIRECT("B21:B" &amp; ROW()))-1&lt;E25,表2_36716262930389121314152324252627283132[[#This Row],[累计净值]]/MAX(INDIRECT("B21:B" &amp; ROW()))-1,E25)</f>
        <v>-3.0000000000000027E-3</v>
      </c>
      <c r="F26" s="110">
        <f>表2_36716262930389121314152324252627283132[[#This Row],[累计净值]]</f>
        <v>0.997</v>
      </c>
      <c r="G26" s="20">
        <f>IF(表2_36716262930389121314152324252627283132[[#This Row],[累计净值]]&gt;0.998,0.8*(表2_36716262930389121314152324252627283132[[#This Row],[累计净值]]/$B$22-1),表2_36716262930389121314152324252627283132[[#This Row],[累计净值]]/$B$22-1)</f>
        <v>-1.0020040080159776E-3</v>
      </c>
    </row>
    <row r="27" spans="1:9">
      <c r="A27" s="15">
        <v>44159</v>
      </c>
      <c r="B27" s="112">
        <v>0.996</v>
      </c>
      <c r="C27" s="108">
        <f t="shared" si="2"/>
        <v>-1.0000000000000009E-3</v>
      </c>
      <c r="D27" s="109">
        <f t="shared" ref="D27:D32" si="3">IF(C27&lt;0,C27,"/")</f>
        <v>-1.0000000000000009E-3</v>
      </c>
      <c r="E27" s="109">
        <f ca="1">IF(表2_36716262930389121314152324252627283132[[#This Row],[累计净值]]/MAX(INDIRECT("B21:B" &amp; ROW()))-1&lt;E26,表2_36716262930389121314152324252627283132[[#This Row],[累计净值]]/MAX(INDIRECT("B21:B" &amp; ROW()))-1,E26)</f>
        <v>-4.0000000000000036E-3</v>
      </c>
      <c r="F27" s="110">
        <f>表2_36716262930389121314152324252627283132[[#This Row],[累计净值]]</f>
        <v>0.996</v>
      </c>
      <c r="G27" s="20">
        <f>IF(表2_36716262930389121314152324252627283132[[#This Row],[累计净值]]&gt;0.998,0.8*(表2_36716262930389121314152324252627283132[[#This Row],[累计净值]]/$B$22-1),表2_36716262930389121314152324252627283132[[#This Row],[累计净值]]/$B$22-1)</f>
        <v>-2.0040080160320661E-3</v>
      </c>
    </row>
    <row r="28" spans="1:9">
      <c r="A28" s="15">
        <v>44160</v>
      </c>
      <c r="B28" s="112">
        <v>0.996</v>
      </c>
      <c r="C28" s="108">
        <f t="shared" si="2"/>
        <v>0</v>
      </c>
      <c r="D28" s="109" t="str">
        <f t="shared" si="3"/>
        <v>/</v>
      </c>
      <c r="E28" s="109">
        <f ca="1">IF(表2_36716262930389121314152324252627283132[[#This Row],[累计净值]]/MAX(INDIRECT("B21:B" &amp; ROW()))-1&lt;E27,表2_36716262930389121314152324252627283132[[#This Row],[累计净值]]/MAX(INDIRECT("B21:B" &amp; ROW()))-1,E27)</f>
        <v>-4.0000000000000036E-3</v>
      </c>
      <c r="F28" s="110">
        <f>表2_36716262930389121314152324252627283132[[#This Row],[累计净值]]</f>
        <v>0.996</v>
      </c>
      <c r="G28" s="20">
        <f>IF(表2_36716262930389121314152324252627283132[[#This Row],[累计净值]]&gt;0.998,0.8*(表2_36716262930389121314152324252627283132[[#This Row],[累计净值]]/$B$22-1),表2_36716262930389121314152324252627283132[[#This Row],[累计净值]]/$B$22-1)</f>
        <v>-2.0040080160320661E-3</v>
      </c>
    </row>
    <row r="29" spans="1:9">
      <c r="A29" s="15">
        <v>44161</v>
      </c>
      <c r="B29" s="112">
        <v>0.996</v>
      </c>
      <c r="C29" s="108">
        <f t="shared" ref="C29:C34" si="4">IFERROR(B29-B28,0)</f>
        <v>0</v>
      </c>
      <c r="D29" s="109" t="str">
        <f t="shared" si="3"/>
        <v>/</v>
      </c>
      <c r="E29" s="109">
        <f ca="1">IF(表2_36716262930389121314152324252627283132[[#This Row],[累计净值]]/MAX(INDIRECT("B21:B" &amp; ROW()))-1&lt;E28,表2_36716262930389121314152324252627283132[[#This Row],[累计净值]]/MAX(INDIRECT("B21:B" &amp; ROW()))-1,E28)</f>
        <v>-4.0000000000000036E-3</v>
      </c>
      <c r="F29" s="110">
        <f>表2_36716262930389121314152324252627283132[[#This Row],[累计净值]]</f>
        <v>0.996</v>
      </c>
      <c r="G29" s="20">
        <f>IF(表2_36716262930389121314152324252627283132[[#This Row],[累计净值]]&gt;0.998,0.8*(表2_36716262930389121314152324252627283132[[#This Row],[累计净值]]/$B$22-1),表2_36716262930389121314152324252627283132[[#This Row],[累计净值]]/$B$22-1)</f>
        <v>-2.0040080160320661E-3</v>
      </c>
      <c r="I29" s="196" t="s">
        <v>44</v>
      </c>
    </row>
    <row r="30" spans="1:9">
      <c r="A30" s="15">
        <v>44162</v>
      </c>
      <c r="B30" s="112">
        <v>0.997</v>
      </c>
      <c r="C30" s="108">
        <f t="shared" si="4"/>
        <v>1.0000000000000009E-3</v>
      </c>
      <c r="D30" s="109" t="str">
        <f t="shared" si="3"/>
        <v>/</v>
      </c>
      <c r="E30" s="109">
        <f ca="1">IF(表2_36716262930389121314152324252627283132[[#This Row],[累计净值]]/MAX(INDIRECT("B21:B" &amp; ROW()))-1&lt;E29,表2_36716262930389121314152324252627283132[[#This Row],[累计净值]]/MAX(INDIRECT("B21:B" &amp; ROW()))-1,E29)</f>
        <v>-4.0000000000000036E-3</v>
      </c>
      <c r="F30" s="110">
        <f>表2_36716262930389121314152324252627283132[[#This Row],[累计净值]]</f>
        <v>0.997</v>
      </c>
      <c r="G30" s="20">
        <f>IF(表2_36716262930389121314152324252627283132[[#This Row],[累计净值]]&gt;0.998,0.8*(表2_36716262930389121314152324252627283132[[#This Row],[累计净值]]/$B$22-1),表2_36716262930389121314152324252627283132[[#This Row],[累计净值]]/$B$22-1)</f>
        <v>-1.0020040080159776E-3</v>
      </c>
    </row>
    <row r="31" spans="1:9">
      <c r="A31" s="15">
        <v>44165</v>
      </c>
      <c r="B31" s="112">
        <v>0.998</v>
      </c>
      <c r="C31" s="108">
        <f t="shared" si="4"/>
        <v>1.0000000000000009E-3</v>
      </c>
      <c r="D31" s="109" t="str">
        <f t="shared" si="3"/>
        <v>/</v>
      </c>
      <c r="E31" s="109">
        <f ca="1">IF(表2_36716262930389121314152324252627283132[[#This Row],[累计净值]]/MAX(INDIRECT("B21:B" &amp; ROW()))-1&lt;E30,表2_36716262930389121314152324252627283132[[#This Row],[累计净值]]/MAX(INDIRECT("B21:B" &amp; ROW()))-1,E30)</f>
        <v>-4.0000000000000036E-3</v>
      </c>
      <c r="F31" s="110">
        <f>表2_36716262930389121314152324252627283132[[#This Row],[累计净值]]</f>
        <v>0.998</v>
      </c>
      <c r="G31" s="20">
        <f>IF(表2_36716262930389121314152324252627283132[[#This Row],[累计净值]]&gt;0.998,0.8*(表2_36716262930389121314152324252627283132[[#This Row],[累计净值]]/$B$22-1),表2_36716262930389121314152324252627283132[[#This Row],[累计净值]]/$B$22-1)</f>
        <v>0</v>
      </c>
    </row>
    <row r="32" spans="1:9">
      <c r="A32" s="15">
        <v>44166</v>
      </c>
      <c r="B32" s="112">
        <v>0.998</v>
      </c>
      <c r="C32" s="108">
        <f t="shared" si="4"/>
        <v>0</v>
      </c>
      <c r="D32" s="109" t="str">
        <f t="shared" si="3"/>
        <v>/</v>
      </c>
      <c r="E32" s="109">
        <f ca="1">IF(表2_36716262930389121314152324252627283132[[#This Row],[累计净值]]/MAX(INDIRECT("B21:B" &amp; ROW()))-1&lt;E31,表2_36716262930389121314152324252627283132[[#This Row],[累计净值]]/MAX(INDIRECT("B21:B" &amp; ROW()))-1,E31)</f>
        <v>-4.0000000000000036E-3</v>
      </c>
      <c r="F32" s="110">
        <f>表2_36716262930389121314152324252627283132[[#This Row],[累计净值]]</f>
        <v>0.998</v>
      </c>
      <c r="G32" s="20">
        <f>IF(表2_36716262930389121314152324252627283132[[#This Row],[累计净值]]&gt;0.998,0.8*(表2_36716262930389121314152324252627283132[[#This Row],[累计净值]]/$B$22-1),表2_36716262930389121314152324252627283132[[#This Row],[累计净值]]/$B$22-1)</f>
        <v>0</v>
      </c>
    </row>
    <row r="33" spans="1:7">
      <c r="A33" s="15">
        <v>44167</v>
      </c>
      <c r="B33" s="112">
        <v>1</v>
      </c>
      <c r="C33" s="108">
        <f t="shared" si="4"/>
        <v>2.0000000000000018E-3</v>
      </c>
      <c r="D33" s="109" t="str">
        <f t="shared" ref="D33:D38" si="5">IF(C33&lt;0,C33,"/")</f>
        <v>/</v>
      </c>
      <c r="E33" s="109">
        <f ca="1">IF(表2_36716262930389121314152324252627283132[[#This Row],[累计净值]]/MAX(INDIRECT("B21:B" &amp; ROW()))-1&lt;E32,表2_36716262930389121314152324252627283132[[#This Row],[累计净值]]/MAX(INDIRECT("B21:B" &amp; ROW()))-1,E32)</f>
        <v>-4.0000000000000036E-3</v>
      </c>
      <c r="F33" s="110">
        <f>表2_36716262930389121314152324252627283132[[#This Row],[累计净值]]</f>
        <v>1</v>
      </c>
      <c r="G33" s="20">
        <f>IF(表2_36716262930389121314152324252627283132[[#This Row],[累计净值]]&gt;0.998,0.8*(表2_36716262930389121314152324252627283132[[#This Row],[累计净值]]/$B$22-1),表2_36716262930389121314152324252627283132[[#This Row],[累计净值]]/$B$22-1)</f>
        <v>1.6032064128255641E-3</v>
      </c>
    </row>
    <row r="34" spans="1:7">
      <c r="A34" s="15">
        <v>44168</v>
      </c>
      <c r="B34" s="112">
        <v>0.99399999999999999</v>
      </c>
      <c r="C34" s="108">
        <f t="shared" si="4"/>
        <v>-6.0000000000000053E-3</v>
      </c>
      <c r="D34" s="109">
        <f t="shared" si="5"/>
        <v>-6.0000000000000053E-3</v>
      </c>
      <c r="E34" s="109">
        <f ca="1">IF(表2_36716262930389121314152324252627283132[[#This Row],[累计净值]]/MAX(INDIRECT("B21:B" &amp; ROW()))-1&lt;E33,表2_36716262930389121314152324252627283132[[#This Row],[累计净值]]/MAX(INDIRECT("B21:B" &amp; ROW()))-1,E33)</f>
        <v>-6.0000000000000053E-3</v>
      </c>
      <c r="F34" s="110">
        <f>表2_36716262930389121314152324252627283132[[#This Row],[累计净值]]</f>
        <v>0.99399999999999999</v>
      </c>
      <c r="G34" s="20">
        <f>IF(表2_36716262930389121314152324252627283132[[#This Row],[累计净值]]&gt;0.998,0.8*(表2_36716262930389121314152324252627283132[[#This Row],[累计净值]]/$B$22-1),表2_36716262930389121314152324252627283132[[#This Row],[累计净值]]/$B$22-1)</f>
        <v>-4.0080160320641323E-3</v>
      </c>
    </row>
    <row r="35" spans="1:7">
      <c r="A35" s="15">
        <v>44169</v>
      </c>
      <c r="B35" s="112">
        <v>0.996</v>
      </c>
      <c r="C35" s="108">
        <f t="shared" ref="C35:C40" si="6">IFERROR(B35-B34,0)</f>
        <v>2.0000000000000018E-3</v>
      </c>
      <c r="D35" s="109" t="str">
        <f t="shared" si="5"/>
        <v>/</v>
      </c>
      <c r="E35" s="109">
        <f ca="1">IF(表2_36716262930389121314152324252627283132[[#This Row],[累计净值]]/MAX(INDIRECT("B21:B" &amp; ROW()))-1&lt;E34,表2_36716262930389121314152324252627283132[[#This Row],[累计净值]]/MAX(INDIRECT("B21:B" &amp; ROW()))-1,E34)</f>
        <v>-6.0000000000000053E-3</v>
      </c>
      <c r="F35" s="110">
        <f>表2_36716262930389121314152324252627283132[[#This Row],[累计净值]]</f>
        <v>0.996</v>
      </c>
      <c r="G35" s="20">
        <f>IF(表2_36716262930389121314152324252627283132[[#This Row],[累计净值]]&gt;0.998,0.8*(表2_36716262930389121314152324252627283132[[#This Row],[累计净值]]/$B$22-1),表2_36716262930389121314152324252627283132[[#This Row],[累计净值]]/$B$22-1)</f>
        <v>-2.0040080160320661E-3</v>
      </c>
    </row>
    <row r="36" spans="1:7">
      <c r="A36" s="15">
        <v>44172</v>
      </c>
      <c r="B36" s="112">
        <v>1.004</v>
      </c>
      <c r="C36" s="108">
        <f t="shared" si="6"/>
        <v>8.0000000000000071E-3</v>
      </c>
      <c r="D36" s="109" t="str">
        <f t="shared" si="5"/>
        <v>/</v>
      </c>
      <c r="E36" s="109">
        <f ca="1">IF(表2_36716262930389121314152324252627283132[[#This Row],[累计净值]]/MAX(INDIRECT("B21:B" &amp; ROW()))-1&lt;E35,表2_36716262930389121314152324252627283132[[#This Row],[累计净值]]/MAX(INDIRECT("B21:B" &amp; ROW()))-1,E35)</f>
        <v>-6.0000000000000053E-3</v>
      </c>
      <c r="F36" s="110">
        <f>表2_36716262930389121314152324252627283132[[#This Row],[累计净值]]</f>
        <v>1.004</v>
      </c>
      <c r="G36" s="20">
        <f>IF(表2_36716262930389121314152324252627283132[[#This Row],[累计净值]]&gt;0.998,0.8*(表2_36716262930389121314152324252627283132[[#This Row],[累计净值]]/$B$22-1),表2_36716262930389121314152324252627283132[[#This Row],[累计净值]]/$B$22-1)</f>
        <v>4.8096192384768704E-3</v>
      </c>
    </row>
    <row r="37" spans="1:7">
      <c r="A37" s="15">
        <v>44173</v>
      </c>
      <c r="B37" s="112">
        <v>1.01</v>
      </c>
      <c r="C37" s="108">
        <f t="shared" si="6"/>
        <v>6.0000000000000053E-3</v>
      </c>
      <c r="D37" s="109" t="str">
        <f t="shared" si="5"/>
        <v>/</v>
      </c>
      <c r="E37" s="109">
        <f ca="1">IF(表2_36716262930389121314152324252627283132[[#This Row],[累计净值]]/MAX(INDIRECT("B21:B" &amp; ROW()))-1&lt;E36,表2_36716262930389121314152324252627283132[[#This Row],[累计净值]]/MAX(INDIRECT("B21:B" &amp; ROW()))-1,E36)</f>
        <v>-6.0000000000000053E-3</v>
      </c>
      <c r="F37" s="110">
        <f>表2_36716262930389121314152324252627283132[[#This Row],[累计净值]]</f>
        <v>1.01</v>
      </c>
      <c r="G37" s="20">
        <f>IF(表2_36716262930389121314152324252627283132[[#This Row],[累计净值]]&gt;0.998,0.8*(表2_36716262930389121314152324252627283132[[#This Row],[累计净值]]/$B$22-1),表2_36716262930389121314152324252627283132[[#This Row],[累计净值]]/$B$22-1)</f>
        <v>9.6192384769539178E-3</v>
      </c>
    </row>
    <row r="38" spans="1:7">
      <c r="A38" s="15">
        <v>44174</v>
      </c>
      <c r="B38" s="112">
        <v>1.0149999999999999</v>
      </c>
      <c r="C38" s="108">
        <f t="shared" si="6"/>
        <v>4.9999999999998934E-3</v>
      </c>
      <c r="D38" s="109" t="str">
        <f t="shared" si="5"/>
        <v>/</v>
      </c>
      <c r="E38" s="109">
        <f ca="1">IF(表2_36716262930389121314152324252627283132[[#This Row],[累计净值]]/MAX(INDIRECT("B21:B" &amp; ROW()))-1&lt;E37,表2_36716262930389121314152324252627283132[[#This Row],[累计净值]]/MAX(INDIRECT("B21:B" &amp; ROW()))-1,E37)</f>
        <v>-6.0000000000000053E-3</v>
      </c>
      <c r="F38" s="110">
        <f>表2_36716262930389121314152324252627283132[[#This Row],[累计净值]]</f>
        <v>1.0149999999999999</v>
      </c>
      <c r="G38" s="20">
        <f>IF(表2_36716262930389121314152324252627283132[[#This Row],[累计净值]]&gt;0.998,0.8*(表2_36716262930389121314152324252627283132[[#This Row],[累计净值]]/$B$22-1),表2_36716262930389121314152324252627283132[[#This Row],[累计净值]]/$B$22-1)</f>
        <v>1.3627254509017916E-2</v>
      </c>
    </row>
    <row r="39" spans="1:7">
      <c r="A39" s="15">
        <v>44175</v>
      </c>
      <c r="B39" s="112">
        <v>1.0169999999999999</v>
      </c>
      <c r="C39" s="108">
        <f t="shared" si="6"/>
        <v>2.0000000000000018E-3</v>
      </c>
      <c r="D39" s="109" t="str">
        <f t="shared" ref="D39:D44" si="7">IF(C39&lt;0,C39,"/")</f>
        <v>/</v>
      </c>
      <c r="E39" s="109">
        <f ca="1">IF(表2_36716262930389121314152324252627283132[[#This Row],[累计净值]]/MAX(INDIRECT("B21:B" &amp; ROW()))-1&lt;E38,表2_36716262930389121314152324252627283132[[#This Row],[累计净值]]/MAX(INDIRECT("B21:B" &amp; ROW()))-1,E38)</f>
        <v>-6.0000000000000053E-3</v>
      </c>
      <c r="F39" s="110">
        <f>表2_36716262930389121314152324252627283132[[#This Row],[累计净值]]</f>
        <v>1.0169999999999999</v>
      </c>
      <c r="G39" s="20">
        <f>IF(表2_36716262930389121314152324252627283132[[#This Row],[累计净值]]&gt;0.998,0.8*(表2_36716262930389121314152324252627283132[[#This Row],[累计净值]]/$B$22-1),表2_36716262930389121314152324252627283132[[#This Row],[累计净值]]/$B$22-1)</f>
        <v>1.5230460921843658E-2</v>
      </c>
    </row>
    <row r="40" spans="1:7">
      <c r="A40" s="15">
        <v>44176</v>
      </c>
      <c r="B40" s="112">
        <v>1.028</v>
      </c>
      <c r="C40" s="108">
        <f t="shared" si="6"/>
        <v>1.1000000000000121E-2</v>
      </c>
      <c r="D40" s="109" t="str">
        <f t="shared" si="7"/>
        <v>/</v>
      </c>
      <c r="E40" s="109">
        <f ca="1">IF(表2_36716262930389121314152324252627283132[[#This Row],[累计净值]]/MAX(INDIRECT("B21:B" &amp; ROW()))-1&lt;E39,表2_36716262930389121314152324252627283132[[#This Row],[累计净值]]/MAX(INDIRECT("B21:B" &amp; ROW()))-1,E39)</f>
        <v>-6.0000000000000053E-3</v>
      </c>
      <c r="F40" s="110">
        <f>表2_36716262930389121314152324252627283132[[#This Row],[累计净值]]</f>
        <v>1.028</v>
      </c>
      <c r="G40" s="20">
        <f>IF(表2_36716262930389121314152324252627283132[[#This Row],[累计净值]]&gt;0.998,0.8*(表2_36716262930389121314152324252627283132[[#This Row],[累计净值]]/$B$22-1),表2_36716262930389121314152324252627283132[[#This Row],[累计净值]]/$B$22-1)</f>
        <v>2.4048096192384707E-2</v>
      </c>
    </row>
    <row r="41" spans="1:7">
      <c r="A41" s="15">
        <v>44179</v>
      </c>
      <c r="B41" s="112">
        <v>1.0209999999999999</v>
      </c>
      <c r="C41" s="108">
        <f t="shared" ref="C41:C46" si="8">IFERROR(B41-B40,0)</f>
        <v>-7.0000000000001172E-3</v>
      </c>
      <c r="D41" s="109">
        <f t="shared" si="7"/>
        <v>-7.0000000000001172E-3</v>
      </c>
      <c r="E41" s="109">
        <f ca="1">IF(表2_36716262930389121314152324252627283132[[#This Row],[累计净值]]/MAX(INDIRECT("B21:B" &amp; ROW()))-1&lt;E40,表2_36716262930389121314152324252627283132[[#This Row],[累计净值]]/MAX(INDIRECT("B21:B" &amp; ROW()))-1,E40)</f>
        <v>-6.809338521400865E-3</v>
      </c>
      <c r="F41" s="110">
        <f>表2_36716262930389121314152324252627283132[[#This Row],[累计净值]]</f>
        <v>1.0209999999999999</v>
      </c>
      <c r="G41" s="20">
        <f>IF(表2_36716262930389121314152324252627283132[[#This Row],[累计净值]]&gt;0.998,0.8*(表2_36716262930389121314152324252627283132[[#This Row],[累计净值]]/$B$22-1),表2_36716262930389121314152324252627283132[[#This Row],[累计净值]]/$B$22-1)</f>
        <v>1.8436873747494965E-2</v>
      </c>
    </row>
    <row r="42" spans="1:7">
      <c r="A42" s="15">
        <v>44180</v>
      </c>
      <c r="B42" s="112">
        <v>1.016</v>
      </c>
      <c r="C42" s="108">
        <f t="shared" si="8"/>
        <v>-4.9999999999998934E-3</v>
      </c>
      <c r="D42" s="109">
        <f t="shared" si="7"/>
        <v>-4.9999999999998934E-3</v>
      </c>
      <c r="E42" s="109">
        <f ca="1">IF(表2_36716262930389121314152324252627283132[[#This Row],[累计净值]]/MAX(INDIRECT("B21:B" &amp; ROW()))-1&lt;E41,表2_36716262930389121314152324252627283132[[#This Row],[累计净值]]/MAX(INDIRECT("B21:B" &amp; ROW()))-1,E41)</f>
        <v>-1.1673151750972721E-2</v>
      </c>
      <c r="F42" s="110">
        <f>表2_36716262930389121314152324252627283132[[#This Row],[累计净值]]</f>
        <v>1.016</v>
      </c>
      <c r="G42" s="20">
        <f>IF(表2_36716262930389121314152324252627283132[[#This Row],[累计净值]]&gt;0.998,0.8*(表2_36716262930389121314152324252627283132[[#This Row],[累计净值]]/$B$22-1),表2_36716262930389121314152324252627283132[[#This Row],[累计净值]]/$B$22-1)</f>
        <v>1.4428857715430787E-2</v>
      </c>
    </row>
    <row r="43" spans="1:7">
      <c r="A43" s="15">
        <v>44181</v>
      </c>
      <c r="B43" s="112">
        <v>1.0209999999999999</v>
      </c>
      <c r="C43" s="108">
        <f t="shared" si="8"/>
        <v>4.9999999999998934E-3</v>
      </c>
      <c r="D43" s="109" t="str">
        <f t="shared" si="7"/>
        <v>/</v>
      </c>
      <c r="E43" s="109">
        <f ca="1">IF(表2_36716262930389121314152324252627283132[[#This Row],[累计净值]]/MAX(INDIRECT("B21:B" &amp; ROW()))-1&lt;E42,表2_36716262930389121314152324252627283132[[#This Row],[累计净值]]/MAX(INDIRECT("B21:B" &amp; ROW()))-1,E42)</f>
        <v>-1.1673151750972721E-2</v>
      </c>
      <c r="F43" s="110">
        <f>表2_36716262930389121314152324252627283132[[#This Row],[累计净值]]</f>
        <v>1.0209999999999999</v>
      </c>
      <c r="G43" s="20">
        <f>IF(表2_36716262930389121314152324252627283132[[#This Row],[累计净值]]&gt;0.998,0.8*(表2_36716262930389121314152324252627283132[[#This Row],[累计净值]]/$B$22-1),表2_36716262930389121314152324252627283132[[#This Row],[累计净值]]/$B$22-1)</f>
        <v>1.8436873747494965E-2</v>
      </c>
    </row>
    <row r="44" spans="1:7">
      <c r="A44" s="15">
        <v>44182</v>
      </c>
      <c r="B44" s="112">
        <v>1.0229999999999999</v>
      </c>
      <c r="C44" s="108">
        <f t="shared" si="8"/>
        <v>2.0000000000000018E-3</v>
      </c>
      <c r="D44" s="109" t="str">
        <f t="shared" si="7"/>
        <v>/</v>
      </c>
      <c r="E44" s="109">
        <f ca="1">IF(表2_36716262930389121314152324252627283132[[#This Row],[累计净值]]/MAX(INDIRECT("B21:B" &amp; ROW()))-1&lt;E43,表2_36716262930389121314152324252627283132[[#This Row],[累计净值]]/MAX(INDIRECT("B21:B" &amp; ROW()))-1,E43)</f>
        <v>-1.1673151750972721E-2</v>
      </c>
      <c r="F44" s="110">
        <f>表2_36716262930389121314152324252627283132[[#This Row],[累计净值]]</f>
        <v>1.0229999999999999</v>
      </c>
      <c r="G44" s="20">
        <f>IF(表2_36716262930389121314152324252627283132[[#This Row],[累计净值]]&gt;0.998,0.8*(表2_36716262930389121314152324252627283132[[#This Row],[累计净值]]/$B$22-1),表2_36716262930389121314152324252627283132[[#This Row],[累计净值]]/$B$22-1)</f>
        <v>2.0040080160320529E-2</v>
      </c>
    </row>
    <row r="45" spans="1:7">
      <c r="A45" s="15">
        <v>44183</v>
      </c>
      <c r="B45" s="112">
        <v>1.034</v>
      </c>
      <c r="C45" s="108">
        <f t="shared" si="8"/>
        <v>1.1000000000000121E-2</v>
      </c>
      <c r="D45" s="109" t="str">
        <f>IF(C45&lt;0,C45,"/")</f>
        <v>/</v>
      </c>
      <c r="E45" s="109">
        <f ca="1">IF(表2_36716262930389121314152324252627283132[[#This Row],[累计净值]]/MAX(INDIRECT("B21:B" &amp; ROW()))-1&lt;E44,表2_36716262930389121314152324252627283132[[#This Row],[累计净值]]/MAX(INDIRECT("B21:B" &amp; ROW()))-1,E44)</f>
        <v>-1.1673151750972721E-2</v>
      </c>
      <c r="F45" s="110">
        <f>表2_36716262930389121314152324252627283132[[#This Row],[累计净值]]</f>
        <v>1.034</v>
      </c>
      <c r="G45" s="20">
        <f>IF(表2_36716262930389121314152324252627283132[[#This Row],[累计净值]]&gt;0.998,0.8*(表2_36716262930389121314152324252627283132[[#This Row],[累计净值]]/$B$22-1),表2_36716262930389121314152324252627283132[[#This Row],[累计净值]]/$B$22-1)</f>
        <v>2.8857715430861755E-2</v>
      </c>
    </row>
    <row r="46" spans="1:7">
      <c r="A46" s="15">
        <v>44186</v>
      </c>
      <c r="B46" s="117">
        <v>1.044</v>
      </c>
      <c r="C46" s="108">
        <f t="shared" si="8"/>
        <v>1.0000000000000009E-2</v>
      </c>
      <c r="D46" s="109" t="str">
        <f>IF(C46&lt;0,C46,"/")</f>
        <v>/</v>
      </c>
      <c r="E46" s="109">
        <f ca="1">IF(表2_36716262930389121314152324252627283132[[#This Row],[累计净值]]/MAX(INDIRECT("B21:B" &amp; ROW()))-1&lt;E45,表2_36716262930389121314152324252627283132[[#This Row],[累计净值]]/MAX(INDIRECT("B21:B" &amp; ROW()))-1,E45)</f>
        <v>-1.1673151750972721E-2</v>
      </c>
      <c r="F46" s="110">
        <f>表2_36716262930389121314152324252627283132[[#This Row],[累计净值]]</f>
        <v>1.044</v>
      </c>
      <c r="G46" s="20">
        <f>IF(表2_36716262930389121314152324252627283132[[#This Row],[累计净值]]&gt;0.998,0.8*(表2_36716262930389121314152324252627283132[[#This Row],[累计净值]]/$B$22-1),表2_36716262930389121314152324252627283132[[#This Row],[累计净值]]/$B$22-1)</f>
        <v>3.6873747494989929E-2</v>
      </c>
    </row>
    <row r="47" spans="1:7">
      <c r="A47" s="15">
        <v>44187</v>
      </c>
      <c r="B47" s="112">
        <v>1.0329999999999999</v>
      </c>
      <c r="C47" s="108">
        <f>IFERROR(B47-B46,0)</f>
        <v>-1.1000000000000121E-2</v>
      </c>
      <c r="D47" s="109">
        <f>IF(C47&lt;0,C47,"/")</f>
        <v>-1.1000000000000121E-2</v>
      </c>
      <c r="E47" s="109">
        <f ca="1">IF(表2_36716262930389121314152324252627283132[[#This Row],[累计净值]]/MAX(INDIRECT("B21:B" &amp; ROW()))-1&lt;E46,表2_36716262930389121314152324252627283132[[#This Row],[累计净值]]/MAX(INDIRECT("B21:B" &amp; ROW()))-1,E46)</f>
        <v>-1.1673151750972721E-2</v>
      </c>
      <c r="F47" s="110">
        <f>表2_36716262930389121314152324252627283132[[#This Row],[累计净值]]</f>
        <v>1.0329999999999999</v>
      </c>
      <c r="G47" s="20">
        <f>IF(表2_36716262930389121314152324252627283132[[#This Row],[累计净值]]&gt;0.998,0.8*(表2_36716262930389121314152324252627283132[[#This Row],[累计净值]]/$B$22-1),表2_36716262930389121314152324252627283132[[#This Row],[累计净值]]/$B$22-1)</f>
        <v>2.8056112224448884E-2</v>
      </c>
    </row>
    <row r="48" spans="1:7">
      <c r="A48" s="15">
        <v>44188</v>
      </c>
      <c r="B48" s="112">
        <v>1.016</v>
      </c>
      <c r="C48" s="108">
        <f>IFERROR(B48-B47,0)</f>
        <v>-1.6999999999999904E-2</v>
      </c>
      <c r="D48" s="109">
        <f>IF(C48&lt;0,C48,"/")</f>
        <v>-1.6999999999999904E-2</v>
      </c>
      <c r="E48" s="109">
        <f ca="1">IF(表2_36716262930389121314152324252627283132[[#This Row],[累计净值]]/MAX(INDIRECT("B21:B" &amp; ROW()))-1&lt;E47,表2_36716262930389121314152324252627283132[[#This Row],[累计净值]]/MAX(INDIRECT("B21:B" &amp; ROW()))-1,E47)</f>
        <v>-2.6819923371647514E-2</v>
      </c>
      <c r="F48" s="110">
        <f>表2_36716262930389121314152324252627283132[[#This Row],[累计净值]]</f>
        <v>1.016</v>
      </c>
      <c r="G48" s="20">
        <f>IF(表2_36716262930389121314152324252627283132[[#This Row],[累计净值]]&gt;0.998,0.8*(表2_36716262930389121314152324252627283132[[#This Row],[累计净值]]/$B$22-1),表2_36716262930389121314152324252627283132[[#This Row],[累计净值]]/$B$22-1)</f>
        <v>1.4428857715430787E-2</v>
      </c>
    </row>
    <row r="49" spans="1:9">
      <c r="A49" s="15">
        <v>44189</v>
      </c>
      <c r="B49" s="112">
        <v>1.0209999999999999</v>
      </c>
      <c r="C49" s="108">
        <f t="shared" ref="C49:C50" si="9">IFERROR(B49-B48,0)</f>
        <v>4.9999999999998934E-3</v>
      </c>
      <c r="D49" s="109" t="str">
        <f t="shared" ref="D49:D50" si="10">IF(C49&lt;0,C49,"/")</f>
        <v>/</v>
      </c>
      <c r="E49" s="109">
        <f ca="1">IF(表2_36716262930389121314152324252627283132[[#This Row],[累计净值]]/MAX(INDIRECT("B21:B" &amp; ROW()))-1&lt;E48,表2_36716262930389121314152324252627283132[[#This Row],[累计净值]]/MAX(INDIRECT("B21:B" &amp; ROW()))-1,E48)</f>
        <v>-2.6819923371647514E-2</v>
      </c>
      <c r="F49" s="110">
        <f>表2_36716262930389121314152324252627283132[[#This Row],[累计净值]]</f>
        <v>1.0209999999999999</v>
      </c>
      <c r="G49" s="20">
        <f>IF(表2_36716262930389121314152324252627283132[[#This Row],[累计净值]]&gt;0.998,0.8*(表2_36716262930389121314152324252627283132[[#This Row],[累计净值]]/$B$22-1),表2_36716262930389121314152324252627283132[[#This Row],[累计净值]]/$B$22-1)</f>
        <v>1.8436873747494965E-2</v>
      </c>
    </row>
    <row r="50" spans="1:9">
      <c r="A50" s="15">
        <v>44190</v>
      </c>
      <c r="B50" s="208">
        <v>1.0189999999999999</v>
      </c>
      <c r="C50" s="108">
        <f t="shared" si="9"/>
        <v>-2.0000000000000018E-3</v>
      </c>
      <c r="D50" s="109">
        <f t="shared" si="10"/>
        <v>-2.0000000000000018E-3</v>
      </c>
      <c r="E50" s="109">
        <f ca="1">IF(表2_36716262930389121314152324252627283132[[#This Row],[累计净值]]/MAX(INDIRECT("B21:B" &amp; ROW()))-1&lt;E49,表2_36716262930389121314152324252627283132[[#This Row],[累计净值]]/MAX(INDIRECT("B21:B" &amp; ROW()))-1,E49)</f>
        <v>-2.6819923371647514E-2</v>
      </c>
      <c r="F50" s="110">
        <f>表2_36716262930389121314152324252627283132[[#This Row],[累计净值]]</f>
        <v>1.0189999999999999</v>
      </c>
      <c r="G50" s="20">
        <f>IF(表2_36716262930389121314152324252627283132[[#This Row],[累计净值]]&gt;0.998,0.8*(表2_36716262930389121314152324252627283132[[#This Row],[累计净值]]/$B$22-1),表2_36716262930389121314152324252627283132[[#This Row],[累计净值]]/$B$22-1)</f>
        <v>1.6833667334669223E-2</v>
      </c>
    </row>
    <row r="51" spans="1:9">
      <c r="A51" s="15">
        <v>44193</v>
      </c>
      <c r="B51" s="208">
        <v>1.018</v>
      </c>
      <c r="C51" s="108">
        <f>IFERROR(B51-B50,0)</f>
        <v>-9.9999999999988987E-4</v>
      </c>
      <c r="D51" s="109">
        <f>IF(C51&lt;0,C51,"/")</f>
        <v>-9.9999999999988987E-4</v>
      </c>
      <c r="E51" s="109">
        <f ca="1">IF(表2_36716262930389121314152324252627283132[[#This Row],[累计净值]]/MAX(INDIRECT("B21:B" &amp; ROW()))-1&lt;E50,表2_36716262930389121314152324252627283132[[#This Row],[累计净值]]/MAX(INDIRECT("B21:B" &amp; ROW()))-1,E50)</f>
        <v>-2.6819923371647514E-2</v>
      </c>
      <c r="F51" s="110">
        <f>表2_36716262930389121314152324252627283132[[#This Row],[累计净值]]</f>
        <v>1.018</v>
      </c>
      <c r="G51" s="20">
        <f>IF(表2_36716262930389121314152324252627283132[[#This Row],[累计净值]]&gt;0.998,0.8*(表2_36716262930389121314152324252627283132[[#This Row],[累计净值]]/$B$22-1),表2_36716262930389121314152324252627283132[[#This Row],[累计净值]]/$B$22-1)</f>
        <v>1.6032064128256529E-2</v>
      </c>
    </row>
    <row r="52" spans="1:9">
      <c r="A52" s="15">
        <v>44194</v>
      </c>
      <c r="B52" s="112">
        <v>1.0189999999999999</v>
      </c>
      <c r="C52" s="108">
        <f>IFERROR(B52-B51,0)</f>
        <v>9.9999999999988987E-4</v>
      </c>
      <c r="D52" s="109" t="str">
        <f>IF(C52&lt;0,C52,"/")</f>
        <v>/</v>
      </c>
      <c r="E52" s="109">
        <f ca="1">IF(表2_36716262930389121314152324252627283132[[#This Row],[累计净值]]/MAX(INDIRECT("B21:B" &amp; ROW()))-1&lt;E51,表2_36716262930389121314152324252627283132[[#This Row],[累计净值]]/MAX(INDIRECT("B21:B" &amp; ROW()))-1,E51)</f>
        <v>-2.6819923371647514E-2</v>
      </c>
      <c r="F52" s="110">
        <f>表2_36716262930389121314152324252627283132[[#This Row],[累计净值]]</f>
        <v>1.0189999999999999</v>
      </c>
      <c r="G52" s="20">
        <f>IF(表2_36716262930389121314152324252627283132[[#This Row],[累计净值]]&gt;0.998,0.8*(表2_36716262930389121314152324252627283132[[#This Row],[累计净值]]/$B$22-1),表2_36716262930389121314152324252627283132[[#This Row],[累计净值]]/$B$22-1)</f>
        <v>1.6833667334669223E-2</v>
      </c>
    </row>
    <row r="53" spans="1:9">
      <c r="A53" s="15">
        <v>44195</v>
      </c>
      <c r="B53" s="112">
        <v>1.016</v>
      </c>
      <c r="C53" s="108">
        <f t="shared" ref="C53:C54" si="11">IFERROR(B53-B52,0)</f>
        <v>-2.9999999999998916E-3</v>
      </c>
      <c r="D53" s="109">
        <f t="shared" ref="D53:D54" si="12">IF(C53&lt;0,C53,"/")</f>
        <v>-2.9999999999998916E-3</v>
      </c>
      <c r="E53" s="109">
        <f ca="1">IF(表2_36716262930389121314152324252627283132[[#This Row],[累计净值]]/MAX(INDIRECT("B21:B" &amp; ROW()))-1&lt;E52,表2_36716262930389121314152324252627283132[[#This Row],[累计净值]]/MAX(INDIRECT("B21:B" &amp; ROW()))-1,E52)</f>
        <v>-2.6819923371647514E-2</v>
      </c>
      <c r="F53" s="110">
        <f>表2_36716262930389121314152324252627283132[[#This Row],[累计净值]]</f>
        <v>1.016</v>
      </c>
      <c r="G53" s="20">
        <f>IF(表2_36716262930389121314152324252627283132[[#This Row],[累计净值]]&gt;0.998,0.8*(表2_36716262930389121314152324252627283132[[#This Row],[累计净值]]/$B$22-1),表2_36716262930389121314152324252627283132[[#This Row],[累计净值]]/$B$22-1)</f>
        <v>1.4428857715430787E-2</v>
      </c>
    </row>
    <row r="54" spans="1:9">
      <c r="A54" s="15">
        <v>44196</v>
      </c>
      <c r="B54" s="112">
        <v>1.0209999999999999</v>
      </c>
      <c r="C54" s="108">
        <f t="shared" si="11"/>
        <v>4.9999999999998934E-3</v>
      </c>
      <c r="D54" s="109" t="str">
        <f t="shared" si="12"/>
        <v>/</v>
      </c>
      <c r="E54" s="109">
        <f ca="1">IF(表2_36716262930389121314152324252627283132[[#This Row],[累计净值]]/MAX(INDIRECT("B21:B" &amp; ROW()))-1&lt;E53,表2_36716262930389121314152324252627283132[[#This Row],[累计净值]]/MAX(INDIRECT("B21:B" &amp; ROW()))-1,E53)</f>
        <v>-2.6819923371647514E-2</v>
      </c>
      <c r="F54" s="110">
        <f>表2_36716262930389121314152324252627283132[[#This Row],[累计净值]]</f>
        <v>1.0209999999999999</v>
      </c>
      <c r="G54" s="20">
        <f>IF(表2_36716262930389121314152324252627283132[[#This Row],[累计净值]]&gt;0.998,0.8*(表2_36716262930389121314152324252627283132[[#This Row],[累计净值]]/$B$22-1),表2_36716262930389121314152324252627283132[[#This Row],[累计净值]]/$B$22-1)</f>
        <v>1.8436873747494965E-2</v>
      </c>
      <c r="I54" s="210" t="s">
        <v>47</v>
      </c>
    </row>
    <row r="55" spans="1:9">
      <c r="A55" s="15">
        <v>44200</v>
      </c>
      <c r="B55" s="112">
        <v>1.0289999999999999</v>
      </c>
      <c r="C55" s="108">
        <f>IFERROR(B55-B54,0)</f>
        <v>8.0000000000000071E-3</v>
      </c>
      <c r="D55" s="109" t="str">
        <f>IF(C55&lt;0,C55,"/")</f>
        <v>/</v>
      </c>
      <c r="E55" s="109">
        <f ca="1">IF(表2_36716262930389121314152324252627283132[[#This Row],[累计净值]]/MAX(INDIRECT("B21:B" &amp; ROW()))-1&lt;E54,表2_36716262930389121314152324252627283132[[#This Row],[累计净值]]/MAX(INDIRECT("B21:B" &amp; ROW()))-1,E54)</f>
        <v>-2.6819923371647514E-2</v>
      </c>
      <c r="F55" s="110">
        <f>表2_36716262930389121314152324252627283132[[#This Row],[累计净值]]</f>
        <v>1.0289999999999999</v>
      </c>
      <c r="G55" s="20">
        <f>IF(表2_36716262930389121314152324252627283132[[#This Row],[累计净值]]&gt;0.998,0.8*(表2_36716262930389121314152324252627283132[[#This Row],[累计净值]]/$B$22-1),表2_36716262930389121314152324252627283132[[#This Row],[累计净值]]/$B$22-1)</f>
        <v>2.4849699398797578E-2</v>
      </c>
    </row>
    <row r="56" spans="1:9">
      <c r="A56" s="15">
        <v>44201</v>
      </c>
      <c r="B56" s="112">
        <v>1.024</v>
      </c>
      <c r="C56" s="108">
        <f>IFERROR(B56-B55,0)</f>
        <v>-4.9999999999998934E-3</v>
      </c>
      <c r="D56" s="109">
        <f>IF(C56&lt;0,C56,"/")</f>
        <v>-4.9999999999998934E-3</v>
      </c>
      <c r="E56" s="109">
        <f ca="1">IF(表2_36716262930389121314152324252627283132[[#This Row],[累计净值]]/MAX(INDIRECT("B21:B" &amp; ROW()))-1&lt;E55,表2_36716262930389121314152324252627283132[[#This Row],[累计净值]]/MAX(INDIRECT("B21:B" &amp; ROW()))-1,E55)</f>
        <v>-2.6819923371647514E-2</v>
      </c>
      <c r="F56" s="110">
        <f>表2_36716262930389121314152324252627283132[[#This Row],[累计净值]]</f>
        <v>1.024</v>
      </c>
      <c r="G56" s="20">
        <f>IF(表2_36716262930389121314152324252627283132[[#This Row],[累计净值]]&gt;0.998,0.8*(表2_36716262930389121314152324252627283132[[#This Row],[累计净值]]/$B$22-1),表2_36716262930389121314152324252627283132[[#This Row],[累计净值]]/$B$22-1)</f>
        <v>2.08416833667334E-2</v>
      </c>
    </row>
    <row r="57" spans="1:9">
      <c r="A57" s="15">
        <v>44202</v>
      </c>
      <c r="B57" s="112">
        <v>1.0329999999999999</v>
      </c>
      <c r="C57" s="108">
        <f>IFERROR(B57-B56,0)</f>
        <v>8.999999999999897E-3</v>
      </c>
      <c r="D57" s="109" t="str">
        <f>IF(C57&lt;0,C57,"/")</f>
        <v>/</v>
      </c>
      <c r="E57" s="109">
        <f ca="1">IF(表2_36716262930389121314152324252627283132[[#This Row],[累计净值]]/MAX(INDIRECT("B21:B" &amp; ROW()))-1&lt;E56,表2_36716262930389121314152324252627283132[[#This Row],[累计净值]]/MAX(INDIRECT("B21:B" &amp; ROW()))-1,E56)</f>
        <v>-2.6819923371647514E-2</v>
      </c>
      <c r="F57" s="110">
        <f>表2_36716262930389121314152324252627283132[[#This Row],[累计净值]]</f>
        <v>1.0329999999999999</v>
      </c>
      <c r="G57" s="20">
        <f>IF(表2_36716262930389121314152324252627283132[[#This Row],[累计净值]]&gt;0.998,0.8*(表2_36716262930389121314152324252627283132[[#This Row],[累计净值]]/$B$22-1),表2_36716262930389121314152324252627283132[[#This Row],[累计净值]]/$B$22-1)</f>
        <v>2.8056112224448884E-2</v>
      </c>
    </row>
    <row r="58" spans="1:9">
      <c r="A58" s="15">
        <v>44203</v>
      </c>
      <c r="B58" s="112">
        <v>1.0409999999999999</v>
      </c>
      <c r="C58" s="108">
        <f t="shared" ref="C58:C59" si="13">IFERROR(B58-B57,0)</f>
        <v>8.0000000000000071E-3</v>
      </c>
      <c r="D58" s="109" t="str">
        <f t="shared" ref="D58:D59" si="14">IF(C58&lt;0,C58,"/")</f>
        <v>/</v>
      </c>
      <c r="E58" s="109">
        <f ca="1">IF(表2_36716262930389121314152324252627283132[[#This Row],[累计净值]]/MAX(INDIRECT("B21:B" &amp; ROW()))-1&lt;E57,表2_36716262930389121314152324252627283132[[#This Row],[累计净值]]/MAX(INDIRECT("B21:B" &amp; ROW()))-1,E57)</f>
        <v>-2.6819923371647514E-2</v>
      </c>
      <c r="F58" s="110">
        <f>表2_36716262930389121314152324252627283132[[#This Row],[累计净值]]</f>
        <v>1.0409999999999999</v>
      </c>
      <c r="G58" s="20">
        <f>IF(表2_36716262930389121314152324252627283132[[#This Row],[累计净值]]&gt;0.998,0.8*(表2_36716262930389121314152324252627283132[[#This Row],[累计净值]]/$B$22-1),表2_36716262930389121314152324252627283132[[#This Row],[累计净值]]/$B$22-1)</f>
        <v>3.4468937875751497E-2</v>
      </c>
    </row>
    <row r="59" spans="1:9">
      <c r="A59" s="15">
        <v>44204</v>
      </c>
      <c r="B59" s="112">
        <v>1.0409999999999999</v>
      </c>
      <c r="C59" s="108">
        <f t="shared" si="13"/>
        <v>0</v>
      </c>
      <c r="D59" s="109" t="str">
        <f t="shared" si="14"/>
        <v>/</v>
      </c>
      <c r="E59" s="109">
        <f ca="1">IF(表2_36716262930389121314152324252627283132[[#This Row],[累计净值]]/MAX(INDIRECT("B21:B" &amp; ROW()))-1&lt;E58,表2_36716262930389121314152324252627283132[[#This Row],[累计净值]]/MAX(INDIRECT("B21:B" &amp; ROW()))-1,E58)</f>
        <v>-2.6819923371647514E-2</v>
      </c>
      <c r="F59" s="110">
        <f>表2_36716262930389121314152324252627283132[[#This Row],[累计净值]]</f>
        <v>1.0409999999999999</v>
      </c>
      <c r="G59" s="20">
        <f>IF(表2_36716262930389121314152324252627283132[[#This Row],[累计净值]]&gt;0.998,0.8*(表2_36716262930389121314152324252627283132[[#This Row],[累计净值]]/$B$22-1),表2_36716262930389121314152324252627283132[[#This Row],[累计净值]]/$B$22-1)</f>
        <v>3.4468937875751497E-2</v>
      </c>
    </row>
    <row r="60" spans="1:9">
      <c r="A60" s="15">
        <v>44207</v>
      </c>
      <c r="B60" s="112">
        <v>1.0389999999999999</v>
      </c>
      <c r="C60" s="108">
        <f t="shared" ref="C60:C66" si="15">IFERROR(B60-B59,0)</f>
        <v>-2.0000000000000018E-3</v>
      </c>
      <c r="D60" s="109">
        <f t="shared" ref="D60:D66" si="16">IF(C60&lt;0,C60,"/")</f>
        <v>-2.0000000000000018E-3</v>
      </c>
      <c r="E60" s="109">
        <f ca="1">IF(表2_36716262930389121314152324252627283132[[#This Row],[累计净值]]/MAX(INDIRECT("B21:B" &amp; ROW()))-1&lt;E59,表2_36716262930389121314152324252627283132[[#This Row],[累计净值]]/MAX(INDIRECT("B21:B" &amp; ROW()))-1,E59)</f>
        <v>-2.6819923371647514E-2</v>
      </c>
      <c r="F60" s="110">
        <f>表2_36716262930389121314152324252627283132[[#This Row],[累计净值]]</f>
        <v>1.0389999999999999</v>
      </c>
      <c r="G60" s="20">
        <f>IF(表2_36716262930389121314152324252627283132[[#This Row],[累计净值]]&gt;0.998,0.8*(表2_36716262930389121314152324252627283132[[#This Row],[累计净值]]/$B$22-1),表2_36716262930389121314152324252627283132[[#This Row],[累计净值]]/$B$22-1)</f>
        <v>3.2865731462925755E-2</v>
      </c>
    </row>
    <row r="61" spans="1:9">
      <c r="A61" s="15">
        <v>44208</v>
      </c>
      <c r="B61" s="112">
        <v>1.032</v>
      </c>
      <c r="C61" s="108">
        <f t="shared" si="15"/>
        <v>-6.9999999999998952E-3</v>
      </c>
      <c r="D61" s="109">
        <f t="shared" si="16"/>
        <v>-6.9999999999998952E-3</v>
      </c>
      <c r="E61" s="109">
        <f ca="1">IF(表2_36716262930389121314152324252627283132[[#This Row],[累计净值]]/MAX(INDIRECT("B21:B" &amp; ROW()))-1&lt;E60,表2_36716262930389121314152324252627283132[[#This Row],[累计净值]]/MAX(INDIRECT("B21:B" &amp; ROW()))-1,E60)</f>
        <v>-2.6819923371647514E-2</v>
      </c>
      <c r="F61" s="110">
        <f>表2_36716262930389121314152324252627283132[[#This Row],[累计净值]]</f>
        <v>1.032</v>
      </c>
      <c r="G61" s="20">
        <f>IF(表2_36716262930389121314152324252627283132[[#This Row],[累计净值]]&gt;0.998,0.8*(表2_36716262930389121314152324252627283132[[#This Row],[累计净值]]/$B$22-1),表2_36716262930389121314152324252627283132[[#This Row],[累计净值]]/$B$22-1)</f>
        <v>2.7254509018036013E-2</v>
      </c>
    </row>
    <row r="62" spans="1:9">
      <c r="A62" s="15">
        <v>44209</v>
      </c>
      <c r="B62" s="112">
        <v>1.0389999999999999</v>
      </c>
      <c r="C62" s="108">
        <f t="shared" si="15"/>
        <v>6.9999999999998952E-3</v>
      </c>
      <c r="D62" s="109" t="str">
        <f t="shared" si="16"/>
        <v>/</v>
      </c>
      <c r="E62" s="109">
        <f ca="1">IF(表2_36716262930389121314152324252627283132[[#This Row],[累计净值]]/MAX(INDIRECT("B21:B" &amp; ROW()))-1&lt;E61,表2_36716262930389121314152324252627283132[[#This Row],[累计净值]]/MAX(INDIRECT("B21:B" &amp; ROW()))-1,E61)</f>
        <v>-2.6819923371647514E-2</v>
      </c>
      <c r="F62" s="110">
        <f>表2_36716262930389121314152324252627283132[[#This Row],[累计净值]]</f>
        <v>1.0389999999999999</v>
      </c>
      <c r="G62" s="20">
        <f>IF(表2_36716262930389121314152324252627283132[[#This Row],[累计净值]]&gt;0.998,0.8*(表2_36716262930389121314152324252627283132[[#This Row],[累计净值]]/$B$22-1),表2_36716262930389121314152324252627283132[[#This Row],[累计净值]]/$B$22-1)</f>
        <v>3.2865731462925755E-2</v>
      </c>
    </row>
    <row r="63" spans="1:9">
      <c r="A63" s="15">
        <v>44210</v>
      </c>
      <c r="B63" s="112">
        <v>1.0389999999999999</v>
      </c>
      <c r="C63" s="108">
        <f t="shared" si="15"/>
        <v>0</v>
      </c>
      <c r="D63" s="109" t="str">
        <f t="shared" si="16"/>
        <v>/</v>
      </c>
      <c r="E63" s="109">
        <f ca="1">IF(表2_36716262930389121314152324252627283132[[#This Row],[累计净值]]/MAX(INDIRECT("B21:B" &amp; ROW()))-1&lt;E62,表2_36716262930389121314152324252627283132[[#This Row],[累计净值]]/MAX(INDIRECT("B21:B" &amp; ROW()))-1,E62)</f>
        <v>-2.6819923371647514E-2</v>
      </c>
      <c r="F63" s="110">
        <f>表2_36716262930389121314152324252627283132[[#This Row],[累计净值]]</f>
        <v>1.0389999999999999</v>
      </c>
      <c r="G63" s="20">
        <f>IF(表2_36716262930389121314152324252627283132[[#This Row],[累计净值]]&gt;0.998,0.8*(表2_36716262930389121314152324252627283132[[#This Row],[累计净值]]/$B$22-1),表2_36716262930389121314152324252627283132[[#This Row],[累计净值]]/$B$22-1)</f>
        <v>3.2865731462925755E-2</v>
      </c>
    </row>
    <row r="64" spans="1:9">
      <c r="A64" s="15">
        <v>44211</v>
      </c>
      <c r="B64" s="112">
        <v>1.034</v>
      </c>
      <c r="C64" s="108">
        <f t="shared" si="15"/>
        <v>-4.9999999999998934E-3</v>
      </c>
      <c r="D64" s="109">
        <f t="shared" si="16"/>
        <v>-4.9999999999998934E-3</v>
      </c>
      <c r="E64" s="109">
        <f ca="1">IF(表2_36716262930389121314152324252627283132[[#This Row],[累计净值]]/MAX(INDIRECT("B21:B" &amp; ROW()))-1&lt;E63,表2_36716262930389121314152324252627283132[[#This Row],[累计净值]]/MAX(INDIRECT("B21:B" &amp; ROW()))-1,E63)</f>
        <v>-2.6819923371647514E-2</v>
      </c>
      <c r="F64" s="110">
        <f>表2_36716262930389121314152324252627283132[[#This Row],[累计净值]]</f>
        <v>1.034</v>
      </c>
      <c r="G64" s="20">
        <f>IF(表2_36716262930389121314152324252627283132[[#This Row],[累计净值]]&gt;0.998,0.8*(表2_36716262930389121314152324252627283132[[#This Row],[累计净值]]/$B$22-1),表2_36716262930389121314152324252627283132[[#This Row],[累计净值]]/$B$22-1)</f>
        <v>2.8857715430861755E-2</v>
      </c>
    </row>
    <row r="65" spans="1:7">
      <c r="A65" s="15">
        <v>44214</v>
      </c>
      <c r="B65" s="112">
        <v>1.0349999999999999</v>
      </c>
      <c r="C65" s="108">
        <f t="shared" si="15"/>
        <v>9.9999999999988987E-4</v>
      </c>
      <c r="D65" s="109" t="str">
        <f t="shared" si="16"/>
        <v>/</v>
      </c>
      <c r="E65" s="109">
        <f ca="1">IF(表2_36716262930389121314152324252627283132[[#This Row],[累计净值]]/MAX(INDIRECT("B21:B" &amp; ROW()))-1&lt;E64,表2_36716262930389121314152324252627283132[[#This Row],[累计净值]]/MAX(INDIRECT("B21:B" &amp; ROW()))-1,E64)</f>
        <v>-2.6819923371647514E-2</v>
      </c>
      <c r="F65" s="110">
        <f>表2_36716262930389121314152324252627283132[[#This Row],[累计净值]]</f>
        <v>1.0349999999999999</v>
      </c>
      <c r="G65" s="20">
        <f>IF(表2_36716262930389121314152324252627283132[[#This Row],[累计净值]]&gt;0.998,0.8*(表2_36716262930389121314152324252627283132[[#This Row],[累计净值]]/$B$22-1),表2_36716262930389121314152324252627283132[[#This Row],[累计净值]]/$B$22-1)</f>
        <v>2.9659318637274446E-2</v>
      </c>
    </row>
    <row r="66" spans="1:7">
      <c r="A66" s="15">
        <v>44215</v>
      </c>
      <c r="B66" s="112">
        <v>1.034</v>
      </c>
      <c r="C66" s="108">
        <f t="shared" si="15"/>
        <v>-9.9999999999988987E-4</v>
      </c>
      <c r="D66" s="109">
        <f t="shared" si="16"/>
        <v>-9.9999999999988987E-4</v>
      </c>
      <c r="E66" s="109">
        <f ca="1">IF(表2_36716262930389121314152324252627283132[[#This Row],[累计净值]]/MAX(INDIRECT("B21:B" &amp; ROW()))-1&lt;E65,表2_36716262930389121314152324252627283132[[#This Row],[累计净值]]/MAX(INDIRECT("B21:B" &amp; ROW()))-1,E65)</f>
        <v>-2.6819923371647514E-2</v>
      </c>
      <c r="F66" s="110">
        <f>表2_36716262930389121314152324252627283132[[#This Row],[累计净值]]</f>
        <v>1.034</v>
      </c>
      <c r="G66" s="20">
        <f>IF(表2_36716262930389121314152324252627283132[[#This Row],[累计净值]]&gt;0.998,0.8*(表2_36716262930389121314152324252627283132[[#This Row],[累计净值]]/$B$22-1),表2_36716262930389121314152324252627283132[[#This Row],[累计净值]]/$B$22-1)</f>
        <v>2.8857715430861755E-2</v>
      </c>
    </row>
    <row r="67" spans="1:7">
      <c r="A67" s="15">
        <v>44216</v>
      </c>
      <c r="B67" s="112">
        <v>1.042</v>
      </c>
      <c r="C67" s="108">
        <f t="shared" ref="C67:C72" si="17">IFERROR(B67-B66,0)</f>
        <v>8.0000000000000071E-3</v>
      </c>
      <c r="D67" s="109" t="str">
        <f t="shared" ref="D67:D72" si="18">IF(C67&lt;0,C67,"/")</f>
        <v>/</v>
      </c>
      <c r="E67" s="109">
        <f ca="1">IF(表2_36716262930389121314152324252627283132[[#This Row],[累计净值]]/MAX(INDIRECT("B21:B" &amp; ROW()))-1&lt;E66,表2_36716262930389121314152324252627283132[[#This Row],[累计净值]]/MAX(INDIRECT("B21:B" &amp; ROW()))-1,E66)</f>
        <v>-2.6819923371647514E-2</v>
      </c>
      <c r="F67" s="110">
        <f>表2_36716262930389121314152324252627283132[[#This Row],[累计净值]]</f>
        <v>1.042</v>
      </c>
      <c r="G67" s="20">
        <f>IF(表2_36716262930389121314152324252627283132[[#This Row],[累计净值]]&gt;0.998,0.8*(表2_36716262930389121314152324252627283132[[#This Row],[累计净值]]/$B$22-1),表2_36716262930389121314152324252627283132[[#This Row],[累计净值]]/$B$22-1)</f>
        <v>3.5270541082164368E-2</v>
      </c>
    </row>
    <row r="68" spans="1:7">
      <c r="A68" s="15">
        <v>44217</v>
      </c>
      <c r="B68" s="112">
        <v>1.048</v>
      </c>
      <c r="C68" s="108">
        <f t="shared" si="17"/>
        <v>6.0000000000000053E-3</v>
      </c>
      <c r="D68" s="109" t="str">
        <f t="shared" si="18"/>
        <v>/</v>
      </c>
      <c r="E68" s="109">
        <f ca="1">IF(表2_36716262930389121314152324252627283132[[#This Row],[累计净值]]/MAX(INDIRECT("B21:B" &amp; ROW()))-1&lt;E67,表2_36716262930389121314152324252627283132[[#This Row],[累计净值]]/MAX(INDIRECT("B21:B" &amp; ROW()))-1,E67)</f>
        <v>-2.6819923371647514E-2</v>
      </c>
      <c r="F68" s="110">
        <f>表2_36716262930389121314152324252627283132[[#This Row],[累计净值]]</f>
        <v>1.048</v>
      </c>
      <c r="G68" s="20">
        <f>IF(表2_36716262930389121314152324252627283132[[#This Row],[累计净值]]&gt;0.998,0.8*(表2_36716262930389121314152324252627283132[[#This Row],[累计净值]]/$B$22-1),表2_36716262930389121314152324252627283132[[#This Row],[累计净值]]/$B$22-1)</f>
        <v>4.0080160320641239E-2</v>
      </c>
    </row>
    <row r="69" spans="1:7">
      <c r="A69" s="15">
        <v>44218</v>
      </c>
      <c r="B69" s="112">
        <v>1.0389999999999999</v>
      </c>
      <c r="C69" s="108">
        <f t="shared" si="17"/>
        <v>-9.000000000000119E-3</v>
      </c>
      <c r="D69" s="109">
        <f t="shared" si="18"/>
        <v>-9.000000000000119E-3</v>
      </c>
      <c r="E69" s="109">
        <f ca="1">IF(表2_36716262930389121314152324252627283132[[#This Row],[累计净值]]/MAX(INDIRECT("B21:B" &amp; ROW()))-1&lt;E68,表2_36716262930389121314152324252627283132[[#This Row],[累计净值]]/MAX(INDIRECT("B21:B" &amp; ROW()))-1,E68)</f>
        <v>-2.6819923371647514E-2</v>
      </c>
      <c r="F69" s="110">
        <f>表2_36716262930389121314152324252627283132[[#This Row],[累计净值]]</f>
        <v>1.0389999999999999</v>
      </c>
      <c r="G69" s="20">
        <f>IF(表2_36716262930389121314152324252627283132[[#This Row],[累计净值]]&gt;0.998,0.8*(表2_36716262930389121314152324252627283132[[#This Row],[累计净值]]/$B$22-1),表2_36716262930389121314152324252627283132[[#This Row],[累计净值]]/$B$22-1)</f>
        <v>3.2865731462925755E-2</v>
      </c>
    </row>
    <row r="70" spans="1:7">
      <c r="A70" s="15">
        <v>44221</v>
      </c>
      <c r="B70" s="112">
        <v>1.056</v>
      </c>
      <c r="C70" s="108">
        <f t="shared" si="17"/>
        <v>1.7000000000000126E-2</v>
      </c>
      <c r="D70" s="109" t="str">
        <f t="shared" si="18"/>
        <v>/</v>
      </c>
      <c r="E70" s="109">
        <f ca="1">IF(表2_36716262930389121314152324252627283132[[#This Row],[累计净值]]/MAX(INDIRECT("B21:B" &amp; ROW()))-1&lt;E69,表2_36716262930389121314152324252627283132[[#This Row],[累计净值]]/MAX(INDIRECT("B21:B" &amp; ROW()))-1,E69)</f>
        <v>-2.6819923371647514E-2</v>
      </c>
      <c r="F70" s="110">
        <f>表2_36716262930389121314152324252627283132[[#This Row],[累计净值]]</f>
        <v>1.056</v>
      </c>
      <c r="G70" s="20">
        <f>IF(表2_36716262930389121314152324252627283132[[#This Row],[累计净值]]&gt;0.998,0.8*(表2_36716262930389121314152324252627283132[[#This Row],[累计净值]]/$B$22-1),表2_36716262930389121314152324252627283132[[#This Row],[累计净值]]/$B$22-1)</f>
        <v>4.6492985971943845E-2</v>
      </c>
    </row>
    <row r="71" spans="1:7">
      <c r="A71" s="9">
        <v>44222</v>
      </c>
      <c r="B71" s="117">
        <v>1.0580000000000001</v>
      </c>
      <c r="C71" s="191">
        <f t="shared" si="17"/>
        <v>2.0000000000000018E-3</v>
      </c>
      <c r="D71" s="192" t="str">
        <f t="shared" si="18"/>
        <v>/</v>
      </c>
      <c r="E71" s="192">
        <f ca="1">IF(表2_36716262930389121314152324252627283132[[#This Row],[累计净值]]/MAX(INDIRECT("B21:B" &amp; ROW()))-1&lt;E70,表2_36716262930389121314152324252627283132[[#This Row],[累计净值]]/MAX(INDIRECT("B21:B" &amp; ROW()))-1,E70)</f>
        <v>-2.6819923371647514E-2</v>
      </c>
      <c r="F71" s="193">
        <f>表2_36716262930389121314152324252627283132[[#This Row],[累计净值]]</f>
        <v>1.0580000000000001</v>
      </c>
      <c r="G71" s="82">
        <f>IF(表2_36716262930389121314152324252627283132[[#This Row],[累计净值]]&gt;0.998,0.8*(表2_36716262930389121314152324252627283132[[#This Row],[累计净值]]/$B$22-1),表2_36716262930389121314152324252627283132[[#This Row],[累计净值]]/$B$22-1)</f>
        <v>4.8096192384769587E-2</v>
      </c>
    </row>
    <row r="72" spans="1:7">
      <c r="A72" s="15">
        <v>44223</v>
      </c>
      <c r="B72" s="112">
        <v>1.056</v>
      </c>
      <c r="C72" s="108">
        <f t="shared" si="17"/>
        <v>-2.0000000000000018E-3</v>
      </c>
      <c r="D72" s="109">
        <f t="shared" si="18"/>
        <v>-2.0000000000000018E-3</v>
      </c>
      <c r="E72" s="109">
        <f ca="1">IF(表2_36716262930389121314152324252627283132[[#This Row],[累计净值]]/MAX(INDIRECT("B21:B" &amp; ROW()))-1&lt;E71,表2_36716262930389121314152324252627283132[[#This Row],[累计净值]]/MAX(INDIRECT("B21:B" &amp; ROW()))-1,E71)</f>
        <v>-2.6819923371647514E-2</v>
      </c>
      <c r="F72" s="110">
        <f>表2_36716262930389121314152324252627283132[[#This Row],[累计净值]]</f>
        <v>1.056</v>
      </c>
      <c r="G72" s="20">
        <f>IF(表2_36716262930389121314152324252627283132[[#This Row],[累计净值]]&gt;0.998,0.8*(表2_36716262930389121314152324252627283132[[#This Row],[累计净值]]/$B$22-1),表2_36716262930389121314152324252627283132[[#This Row],[累计净值]]/$B$22-1)</f>
        <v>4.6492985971943845E-2</v>
      </c>
    </row>
    <row r="73" spans="1:7">
      <c r="A73" s="15">
        <v>44224</v>
      </c>
      <c r="B73" s="112">
        <v>1.0429999999999999</v>
      </c>
      <c r="C73" s="108">
        <f t="shared" ref="C73:C78" si="19">IFERROR(B73-B72,0)</f>
        <v>-1.3000000000000123E-2</v>
      </c>
      <c r="D73" s="109">
        <f t="shared" ref="D73:D78" si="20">IF(C73&lt;0,C73,"/")</f>
        <v>-1.3000000000000123E-2</v>
      </c>
      <c r="E73" s="109">
        <f ca="1">IF(表2_36716262930389121314152324252627283132[[#This Row],[累计净值]]/MAX(INDIRECT("B21:B" &amp; ROW()))-1&lt;E72,表2_36716262930389121314152324252627283132[[#This Row],[累计净值]]/MAX(INDIRECT("B21:B" &amp; ROW()))-1,E72)</f>
        <v>-2.6819923371647514E-2</v>
      </c>
      <c r="F73" s="110">
        <f>表2_36716262930389121314152324252627283132[[#This Row],[累计净值]]</f>
        <v>1.0429999999999999</v>
      </c>
      <c r="G73" s="20">
        <f>IF(表2_36716262930389121314152324252627283132[[#This Row],[累计净值]]&gt;0.998,0.8*(表2_36716262930389121314152324252627283132[[#This Row],[累计净值]]/$B$22-1),表2_36716262930389121314152324252627283132[[#This Row],[累计净值]]/$B$22-1)</f>
        <v>3.6072144288577059E-2</v>
      </c>
    </row>
    <row r="74" spans="1:7">
      <c r="A74" s="15">
        <v>44225</v>
      </c>
      <c r="B74" s="112">
        <v>1.0429999999999999</v>
      </c>
      <c r="C74" s="108">
        <f t="shared" si="19"/>
        <v>0</v>
      </c>
      <c r="D74" s="109" t="str">
        <f t="shared" si="20"/>
        <v>/</v>
      </c>
      <c r="E74" s="109">
        <f ca="1">IF(表2_36716262930389121314152324252627283132[[#This Row],[累计净值]]/MAX(INDIRECT("B21:B" &amp; ROW()))-1&lt;E73,表2_36716262930389121314152324252627283132[[#This Row],[累计净值]]/MAX(INDIRECT("B21:B" &amp; ROW()))-1,E73)</f>
        <v>-2.6819923371647514E-2</v>
      </c>
      <c r="F74" s="110">
        <f>表2_36716262930389121314152324252627283132[[#This Row],[累计净值]]</f>
        <v>1.0429999999999999</v>
      </c>
      <c r="G74" s="20">
        <f>IF(表2_36716262930389121314152324252627283132[[#This Row],[累计净值]]&gt;0.998,0.8*(表2_36716262930389121314152324252627283132[[#This Row],[累计净值]]/$B$22-1),表2_36716262930389121314152324252627283132[[#This Row],[累计净值]]/$B$22-1)</f>
        <v>3.6072144288577059E-2</v>
      </c>
    </row>
    <row r="75" spans="1:7">
      <c r="A75" s="15">
        <v>44228</v>
      </c>
      <c r="B75" s="112">
        <v>1.0449999999999999</v>
      </c>
      <c r="C75" s="108">
        <f t="shared" si="19"/>
        <v>2.0000000000000018E-3</v>
      </c>
      <c r="D75" s="109" t="str">
        <f t="shared" si="20"/>
        <v>/</v>
      </c>
      <c r="E75" s="109">
        <f ca="1">IF(表2_36716262930389121314152324252627283132[[#This Row],[累计净值]]/MAX(INDIRECT("B21:B" &amp; ROW()))-1&lt;E74,表2_36716262930389121314152324252627283132[[#This Row],[累计净值]]/MAX(INDIRECT("B21:B" &amp; ROW()))-1,E74)</f>
        <v>-2.6819923371647514E-2</v>
      </c>
      <c r="F75" s="110">
        <f>表2_36716262930389121314152324252627283132[[#This Row],[累计净值]]</f>
        <v>1.0449999999999999</v>
      </c>
      <c r="G75" s="20">
        <f>IF(表2_36716262930389121314152324252627283132[[#This Row],[累计净值]]&gt;0.998,0.8*(表2_36716262930389121314152324252627283132[[#This Row],[累计净值]]/$B$22-1),表2_36716262930389121314152324252627283132[[#This Row],[累计净值]]/$B$22-1)</f>
        <v>3.76753507014028E-2</v>
      </c>
    </row>
    <row r="76" spans="1:7">
      <c r="A76" s="15">
        <v>44229</v>
      </c>
      <c r="B76" s="112">
        <v>1.0580000000000001</v>
      </c>
      <c r="C76" s="108">
        <f t="shared" si="19"/>
        <v>1.3000000000000123E-2</v>
      </c>
      <c r="D76" s="109" t="str">
        <f t="shared" si="20"/>
        <v>/</v>
      </c>
      <c r="E76" s="109">
        <f ca="1">IF(表2_36716262930389121314152324252627283132[[#This Row],[累计净值]]/MAX(INDIRECT("B21:B" &amp; ROW()))-1&lt;E75,表2_36716262930389121314152324252627283132[[#This Row],[累计净值]]/MAX(INDIRECT("B21:B" &amp; ROW()))-1,E75)</f>
        <v>-2.6819923371647514E-2</v>
      </c>
      <c r="F76" s="110">
        <f>表2_36716262930389121314152324252627283132[[#This Row],[累计净值]]</f>
        <v>1.0580000000000001</v>
      </c>
      <c r="G76" s="20">
        <f>IF(表2_36716262930389121314152324252627283132[[#This Row],[累计净值]]&gt;0.998,0.8*(表2_36716262930389121314152324252627283132[[#This Row],[累计净值]]/$B$22-1),表2_36716262930389121314152324252627283132[[#This Row],[累计净值]]/$B$22-1)</f>
        <v>4.8096192384769587E-2</v>
      </c>
    </row>
    <row r="77" spans="1:7">
      <c r="A77" s="15">
        <v>44230</v>
      </c>
      <c r="B77" s="117">
        <v>1.0640000000000001</v>
      </c>
      <c r="C77" s="108">
        <f t="shared" si="19"/>
        <v>6.0000000000000053E-3</v>
      </c>
      <c r="D77" s="109" t="str">
        <f t="shared" si="20"/>
        <v>/</v>
      </c>
      <c r="E77" s="109">
        <f ca="1">IF(表2_36716262930389121314152324252627283132[[#This Row],[累计净值]]/MAX(INDIRECT("B21:B" &amp; ROW()))-1&lt;E76,表2_36716262930389121314152324252627283132[[#This Row],[累计净值]]/MAX(INDIRECT("B21:B" &amp; ROW()))-1,E76)</f>
        <v>-2.6819923371647514E-2</v>
      </c>
      <c r="F77" s="110">
        <f>表2_36716262930389121314152324252627283132[[#This Row],[累计净值]]</f>
        <v>1.0640000000000001</v>
      </c>
      <c r="G77" s="20">
        <f>IF(表2_36716262930389121314152324252627283132[[#This Row],[累计净值]]&gt;0.998,0.8*(表2_36716262930389121314152324252627283132[[#This Row],[累计净值]]/$B$22-1),表2_36716262930389121314152324252627283132[[#This Row],[累计净值]]/$B$22-1)</f>
        <v>5.2905811623246458E-2</v>
      </c>
    </row>
    <row r="78" spans="1:7">
      <c r="A78" s="15">
        <v>44231</v>
      </c>
      <c r="B78" s="112">
        <v>1.0529999999999999</v>
      </c>
      <c r="C78" s="108">
        <f t="shared" si="19"/>
        <v>-1.1000000000000121E-2</v>
      </c>
      <c r="D78" s="109">
        <f t="shared" si="20"/>
        <v>-1.1000000000000121E-2</v>
      </c>
      <c r="E78" s="109">
        <f ca="1">IF(表2_36716262930389121314152324252627283132[[#This Row],[累计净值]]/MAX(INDIRECT("B21:B" &amp; ROW()))-1&lt;E77,表2_36716262930389121314152324252627283132[[#This Row],[累计净值]]/MAX(INDIRECT("B21:B" &amp; ROW()))-1,E77)</f>
        <v>-2.6819923371647514E-2</v>
      </c>
      <c r="F78" s="110">
        <f>表2_36716262930389121314152324252627283132[[#This Row],[累计净值]]</f>
        <v>1.0529999999999999</v>
      </c>
      <c r="G78" s="20">
        <f>IF(表2_36716262930389121314152324252627283132[[#This Row],[累计净值]]&gt;0.998,0.8*(表2_36716262930389121314152324252627283132[[#This Row],[累计净值]]/$B$22-1),表2_36716262930389121314152324252627283132[[#This Row],[累计净值]]/$B$22-1)</f>
        <v>4.4088176352705413E-2</v>
      </c>
    </row>
    <row r="79" spans="1:7">
      <c r="A79" s="15">
        <v>44232</v>
      </c>
      <c r="B79" s="112">
        <v>1.0469999999999999</v>
      </c>
      <c r="C79" s="108">
        <f>IFERROR(B79-B78,0)</f>
        <v>-6.0000000000000053E-3</v>
      </c>
      <c r="D79" s="109">
        <f>IF(C79&lt;0,C79,"/")</f>
        <v>-6.0000000000000053E-3</v>
      </c>
      <c r="E79" s="109">
        <f ca="1">IF(表2_36716262930389121314152324252627283132[[#This Row],[累计净值]]/MAX(INDIRECT("B21:B" &amp; ROW()))-1&lt;E78,表2_36716262930389121314152324252627283132[[#This Row],[累计净值]]/MAX(INDIRECT("B21:B" &amp; ROW()))-1,E78)</f>
        <v>-2.6819923371647514E-2</v>
      </c>
      <c r="F79" s="110">
        <f>表2_36716262930389121314152324252627283132[[#This Row],[累计净值]]</f>
        <v>1.0469999999999999</v>
      </c>
      <c r="G79" s="20">
        <f>IF(表2_36716262930389121314152324252627283132[[#This Row],[累计净值]]&gt;0.998,0.8*(表2_36716262930389121314152324252627283132[[#This Row],[累计净值]]/$B$22-1),表2_36716262930389121314152324252627283132[[#This Row],[累计净值]]/$B$22-1)</f>
        <v>3.9278557114228368E-2</v>
      </c>
    </row>
    <row r="80" spans="1:7">
      <c r="A80" s="15">
        <v>44235</v>
      </c>
      <c r="B80" s="112">
        <v>1.046</v>
      </c>
      <c r="C80" s="108">
        <f>IFERROR(B80-B79,0)</f>
        <v>-9.9999999999988987E-4</v>
      </c>
      <c r="D80" s="109">
        <f>IF(C80&lt;0,C80,"/")</f>
        <v>-9.9999999999988987E-4</v>
      </c>
      <c r="E80" s="109">
        <f ca="1">IF(表2_36716262930389121314152324252627283132[[#This Row],[累计净值]]/MAX(INDIRECT("B21:B" &amp; ROW()))-1&lt;E79,表2_36716262930389121314152324252627283132[[#This Row],[累计净值]]/MAX(INDIRECT("B21:B" &amp; ROW()))-1,E79)</f>
        <v>-2.6819923371647514E-2</v>
      </c>
      <c r="F80" s="110">
        <f>表2_36716262930389121314152324252627283132[[#This Row],[累计净值]]</f>
        <v>1.046</v>
      </c>
      <c r="G80" s="20">
        <f>IF(表2_36716262930389121314152324252627283132[[#This Row],[累计净值]]&gt;0.998,0.8*(表2_36716262930389121314152324252627283132[[#This Row],[累计净值]]/$B$22-1),表2_36716262930389121314152324252627283132[[#This Row],[累计净值]]/$B$22-1)</f>
        <v>3.8476953907815671E-2</v>
      </c>
    </row>
    <row r="81" spans="1:7">
      <c r="A81" s="15">
        <v>44236</v>
      </c>
      <c r="B81" s="112">
        <v>1.0389999999999999</v>
      </c>
      <c r="C81" s="108">
        <f t="shared" ref="C81:C82" si="21">IFERROR(B81-B80,0)</f>
        <v>-7.0000000000001172E-3</v>
      </c>
      <c r="D81" s="109">
        <f t="shared" ref="D81:D82" si="22">IF(C81&lt;0,C81,"/")</f>
        <v>-7.0000000000001172E-3</v>
      </c>
      <c r="E81" s="109">
        <f ca="1">IF(表2_36716262930389121314152324252627283132[[#This Row],[累计净值]]/MAX(INDIRECT("B21:B" &amp; ROW()))-1&lt;E80,表2_36716262930389121314152324252627283132[[#This Row],[累计净值]]/MAX(INDIRECT("B21:B" &amp; ROW()))-1,E80)</f>
        <v>-2.6819923371647514E-2</v>
      </c>
      <c r="F81" s="110">
        <f>表2_36716262930389121314152324252627283132[[#This Row],[累计净值]]</f>
        <v>1.0389999999999999</v>
      </c>
      <c r="G81" s="20">
        <f>IF(表2_36716262930389121314152324252627283132[[#This Row],[累计净值]]&gt;0.998,0.8*(表2_36716262930389121314152324252627283132[[#This Row],[累计净值]]/$B$22-1),表2_36716262930389121314152324252627283132[[#This Row],[累计净值]]/$B$22-1)</f>
        <v>3.2865731462925755E-2</v>
      </c>
    </row>
    <row r="82" spans="1:7">
      <c r="A82" s="15">
        <v>44237</v>
      </c>
      <c r="B82" s="112">
        <v>1.0329999999999999</v>
      </c>
      <c r="C82" s="108">
        <f t="shared" si="21"/>
        <v>-6.0000000000000053E-3</v>
      </c>
      <c r="D82" s="109">
        <f t="shared" si="22"/>
        <v>-6.0000000000000053E-3</v>
      </c>
      <c r="E82" s="109">
        <f ca="1">IF(表2_36716262930389121314152324252627283132[[#This Row],[累计净值]]/MAX(INDIRECT("B21:B" &amp; ROW()))-1&lt;E81,表2_36716262930389121314152324252627283132[[#This Row],[累计净值]]/MAX(INDIRECT("B21:B" &amp; ROW()))-1,E81)</f>
        <v>-2.9135338345864792E-2</v>
      </c>
      <c r="F82" s="110">
        <f>表2_36716262930389121314152324252627283132[[#This Row],[累计净值]]</f>
        <v>1.0329999999999999</v>
      </c>
      <c r="G82" s="20">
        <f>IF(表2_36716262930389121314152324252627283132[[#This Row],[累计净值]]&gt;0.998,0.8*(表2_36716262930389121314152324252627283132[[#This Row],[累计净值]]/$B$22-1),表2_36716262930389121314152324252627283132[[#This Row],[累计净值]]/$B$22-1)</f>
        <v>2.8056112224448884E-2</v>
      </c>
    </row>
    <row r="83" spans="1:7">
      <c r="A83" s="15">
        <v>44245</v>
      </c>
      <c r="B83" s="112">
        <v>1.024</v>
      </c>
      <c r="C83" s="108">
        <f>IFERROR(B83-B82,0)</f>
        <v>-8.999999999999897E-3</v>
      </c>
      <c r="D83" s="109">
        <f>IF(C83&lt;0,C83,"/")</f>
        <v>-8.999999999999897E-3</v>
      </c>
      <c r="E83" s="109">
        <f ca="1">IF(表2_36716262930389121314152324252627283132[[#This Row],[累计净值]]/MAX(INDIRECT("B21:B" &amp; ROW()))-1&lt;E82,表2_36716262930389121314152324252627283132[[#This Row],[累计净值]]/MAX(INDIRECT("B21:B" &amp; ROW()))-1,E82)</f>
        <v>-3.7593984962406068E-2</v>
      </c>
      <c r="F83" s="110">
        <f>表2_36716262930389121314152324252627283132[[#This Row],[累计净值]]</f>
        <v>1.024</v>
      </c>
      <c r="G83" s="20">
        <f>IF(表2_36716262930389121314152324252627283132[[#This Row],[累计净值]]&gt;0.998,0.8*(表2_36716262930389121314152324252627283132[[#This Row],[累计净值]]/$B$22-1),表2_36716262930389121314152324252627283132[[#This Row],[累计净值]]/$B$22-1)</f>
        <v>2.08416833667334E-2</v>
      </c>
    </row>
    <row r="84" spans="1:7">
      <c r="A84" s="15">
        <v>44246</v>
      </c>
      <c r="B84" s="112">
        <v>1.026</v>
      </c>
      <c r="C84" s="108">
        <f>IFERROR(B84-B83,0)</f>
        <v>2.0000000000000018E-3</v>
      </c>
      <c r="D84" s="109" t="str">
        <f>IF(C84&lt;0,C84,"/")</f>
        <v>/</v>
      </c>
      <c r="E84" s="109">
        <f ca="1">IF(表2_36716262930389121314152324252627283132[[#This Row],[累计净值]]/MAX(INDIRECT("B21:B" &amp; ROW()))-1&lt;E83,表2_36716262930389121314152324252627283132[[#This Row],[累计净值]]/MAX(INDIRECT("B21:B" &amp; ROW()))-1,E83)</f>
        <v>-3.7593984962406068E-2</v>
      </c>
      <c r="F84" s="110">
        <f>表2_36716262930389121314152324252627283132[[#This Row],[累计净值]]</f>
        <v>1.026</v>
      </c>
      <c r="G84" s="20">
        <f>IF(表2_36716262930389121314152324252627283132[[#This Row],[累计净值]]&gt;0.998,0.8*(表2_36716262930389121314152324252627283132[[#This Row],[累计净值]]/$B$22-1),表2_36716262930389121314152324252627283132[[#This Row],[累计净值]]/$B$22-1)</f>
        <v>2.2444889779559142E-2</v>
      </c>
    </row>
    <row r="85" spans="1:7">
      <c r="A85" s="15">
        <v>44249</v>
      </c>
      <c r="B85" s="112">
        <v>1.026</v>
      </c>
      <c r="C85" s="108">
        <f>IFERROR(B85-B84,0)</f>
        <v>0</v>
      </c>
      <c r="D85" s="109" t="str">
        <f>IF(C85&lt;0,C85,"/")</f>
        <v>/</v>
      </c>
      <c r="E85" s="109">
        <f ca="1">IF(表2_36716262930389121314152324252627283132[[#This Row],[累计净值]]/MAX(INDIRECT("B21:B" &amp; ROW()))-1&lt;E84,表2_36716262930389121314152324252627283132[[#This Row],[累计净值]]/MAX(INDIRECT("B21:B" &amp; ROW()))-1,E84)</f>
        <v>-3.7593984962406068E-2</v>
      </c>
      <c r="F85" s="110">
        <f>表2_36716262930389121314152324252627283132[[#This Row],[累计净值]]</f>
        <v>1.026</v>
      </c>
      <c r="G85" s="20">
        <f>IF(表2_36716262930389121314152324252627283132[[#This Row],[累计净值]]&gt;0.998,0.8*(表2_36716262930389121314152324252627283132[[#This Row],[累计净值]]/$B$22-1),表2_36716262930389121314152324252627283132[[#This Row],[累计净值]]/$B$22-1)</f>
        <v>2.2444889779559142E-2</v>
      </c>
    </row>
    <row r="86" spans="1:7">
      <c r="A86" s="15">
        <v>44250</v>
      </c>
      <c r="B86" s="112">
        <v>1.03</v>
      </c>
      <c r="C86" s="108">
        <f t="shared" ref="C86:C87" si="23">IFERROR(B86-B85,0)</f>
        <v>4.0000000000000036E-3</v>
      </c>
      <c r="D86" s="109" t="str">
        <f t="shared" ref="D86:D87" si="24">IF(C86&lt;0,C86,"/")</f>
        <v>/</v>
      </c>
      <c r="E86" s="109">
        <f ca="1">IF(表2_36716262930389121314152324252627283132[[#This Row],[累计净值]]/MAX(INDIRECT("B21:B" &amp; ROW()))-1&lt;E85,表2_36716262930389121314152324252627283132[[#This Row],[累计净值]]/MAX(INDIRECT("B21:B" &amp; ROW()))-1,E85)</f>
        <v>-3.7593984962406068E-2</v>
      </c>
      <c r="F86" s="110">
        <f>表2_36716262930389121314152324252627283132[[#This Row],[累计净值]]</f>
        <v>1.03</v>
      </c>
      <c r="G86" s="20">
        <f>IF(表2_36716262930389121314152324252627283132[[#This Row],[累计净值]]&gt;0.998,0.8*(表2_36716262930389121314152324252627283132[[#This Row],[累计净值]]/$B$22-1),表2_36716262930389121314152324252627283132[[#This Row],[累计净值]]/$B$22-1)</f>
        <v>2.5651302605210449E-2</v>
      </c>
    </row>
    <row r="87" spans="1:7">
      <c r="A87" s="15">
        <v>44251</v>
      </c>
      <c r="B87" s="112">
        <v>1.03</v>
      </c>
      <c r="C87" s="108">
        <f t="shared" si="23"/>
        <v>0</v>
      </c>
      <c r="D87" s="109" t="str">
        <f t="shared" si="24"/>
        <v>/</v>
      </c>
      <c r="E87" s="109">
        <f ca="1">IF(表2_36716262930389121314152324252627283132[[#This Row],[累计净值]]/MAX(INDIRECT("B21:B" &amp; ROW()))-1&lt;E86,表2_36716262930389121314152324252627283132[[#This Row],[累计净值]]/MAX(INDIRECT("B21:B" &amp; ROW()))-1,E86)</f>
        <v>-3.7593984962406068E-2</v>
      </c>
      <c r="F87" s="110">
        <f>表2_36716262930389121314152324252627283132[[#This Row],[累计净值]]</f>
        <v>1.03</v>
      </c>
      <c r="G87" s="20">
        <f>IF(表2_36716262930389121314152324252627283132[[#This Row],[累计净值]]&gt;0.998,0.8*(表2_36716262930389121314152324252627283132[[#This Row],[累计净值]]/$B$22-1),表2_36716262930389121314152324252627283132[[#This Row],[累计净值]]/$B$22-1)</f>
        <v>2.5651302605210449E-2</v>
      </c>
    </row>
    <row r="88" spans="1:7">
      <c r="A88" s="15">
        <v>44252</v>
      </c>
      <c r="B88" s="112">
        <v>1.06</v>
      </c>
      <c r="C88" s="108">
        <f t="shared" ref="C88:C89" si="25">IFERROR(B88-B87,0)</f>
        <v>3.0000000000000027E-2</v>
      </c>
      <c r="D88" s="109" t="str">
        <f t="shared" ref="D88:D89" si="26">IF(C88&lt;0,C88,"/")</f>
        <v>/</v>
      </c>
      <c r="E88" s="109">
        <f ca="1">IF(表2_36716262930389121314152324252627283132[[#This Row],[累计净值]]/MAX(INDIRECT("B21:B" &amp; ROW()))-1&lt;E87,表2_36716262930389121314152324252627283132[[#This Row],[累计净值]]/MAX(INDIRECT("B21:B" &amp; ROW()))-1,E87)</f>
        <v>-3.7593984962406068E-2</v>
      </c>
      <c r="F88" s="110">
        <f>表2_36716262930389121314152324252627283132[[#This Row],[累计净值]]</f>
        <v>1.06</v>
      </c>
      <c r="G88" s="20">
        <f>IF(表2_36716262930389121314152324252627283132[[#This Row],[累计净值]]&gt;0.998,0.8*(表2_36716262930389121314152324252627283132[[#This Row],[累计净值]]/$B$22-1),表2_36716262930389121314152324252627283132[[#This Row],[累计净值]]/$B$22-1)</f>
        <v>4.9699398797595155E-2</v>
      </c>
    </row>
    <row r="89" spans="1:7">
      <c r="A89" s="15">
        <v>44253</v>
      </c>
      <c r="B89" s="112">
        <v>1.0580000000000001</v>
      </c>
      <c r="C89" s="108">
        <f t="shared" si="25"/>
        <v>-2.0000000000000018E-3</v>
      </c>
      <c r="D89" s="109">
        <f t="shared" si="26"/>
        <v>-2.0000000000000018E-3</v>
      </c>
      <c r="E89" s="109">
        <f ca="1">IF(表2_36716262930389121314152324252627283132[[#This Row],[累计净值]]/MAX(INDIRECT("B21:B" &amp; ROW()))-1&lt;E88,表2_36716262930389121314152324252627283132[[#This Row],[累计净值]]/MAX(INDIRECT("B21:B" &amp; ROW()))-1,E88)</f>
        <v>-3.7593984962406068E-2</v>
      </c>
      <c r="F89" s="110">
        <f>表2_36716262930389121314152324252627283132[[#This Row],[累计净值]]</f>
        <v>1.0580000000000001</v>
      </c>
      <c r="G89" s="20">
        <f>IF(表2_36716262930389121314152324252627283132[[#This Row],[累计净值]]&gt;0.998,0.8*(表2_36716262930389121314152324252627283132[[#This Row],[累计净值]]/$B$22-1),表2_36716262930389121314152324252627283132[[#This Row],[累计净值]]/$B$22-1)</f>
        <v>4.8096192384769587E-2</v>
      </c>
    </row>
    <row r="90" spans="1:7">
      <c r="A90" s="15">
        <v>44256</v>
      </c>
      <c r="B90" s="112">
        <v>1.0469999999999999</v>
      </c>
      <c r="C90" s="108">
        <f t="shared" ref="C90:C91" si="27">IFERROR(B90-B89,0)</f>
        <v>-1.1000000000000121E-2</v>
      </c>
      <c r="D90" s="109">
        <f t="shared" ref="D90:D91" si="28">IF(C90&lt;0,C90,"/")</f>
        <v>-1.1000000000000121E-2</v>
      </c>
      <c r="E90" s="109">
        <f ca="1">IF(表2_36716262930389121314152324252627283132[[#This Row],[累计净值]]/MAX(INDIRECT("B21:B" &amp; ROW()))-1&lt;E89,表2_36716262930389121314152324252627283132[[#This Row],[累计净值]]/MAX(INDIRECT("B21:B" &amp; ROW()))-1,E89)</f>
        <v>-3.7593984962406068E-2</v>
      </c>
      <c r="F90" s="110">
        <f>表2_36716262930389121314152324252627283132[[#This Row],[累计净值]]</f>
        <v>1.0469999999999999</v>
      </c>
      <c r="G90" s="20">
        <f>IF(表2_36716262930389121314152324252627283132[[#This Row],[累计净值]]&gt;0.998,0.8*(表2_36716262930389121314152324252627283132[[#This Row],[累计净值]]/$B$22-1),表2_36716262930389121314152324252627283132[[#This Row],[累计净值]]/$B$22-1)</f>
        <v>3.9278557114228368E-2</v>
      </c>
    </row>
    <row r="91" spans="1:7">
      <c r="A91" s="15">
        <v>44257</v>
      </c>
      <c r="B91" s="112">
        <v>1.0349999999999999</v>
      </c>
      <c r="C91" s="108">
        <f t="shared" si="27"/>
        <v>-1.2000000000000011E-2</v>
      </c>
      <c r="D91" s="109">
        <f t="shared" si="28"/>
        <v>-1.2000000000000011E-2</v>
      </c>
      <c r="E91" s="109">
        <f ca="1">IF(表2_36716262930389121314152324252627283132[[#This Row],[累计净值]]/MAX(INDIRECT("B21:B" &amp; ROW()))-1&lt;E90,表2_36716262930389121314152324252627283132[[#This Row],[累计净值]]/MAX(INDIRECT("B21:B" &amp; ROW()))-1,E90)</f>
        <v>-3.7593984962406068E-2</v>
      </c>
      <c r="F91" s="110">
        <f>表2_36716262930389121314152324252627283132[[#This Row],[累计净值]]</f>
        <v>1.0349999999999999</v>
      </c>
      <c r="G91" s="20">
        <f>IF(表2_36716262930389121314152324252627283132[[#This Row],[累计净值]]&gt;0.998,0.8*(表2_36716262930389121314152324252627283132[[#This Row],[累计净值]]/$B$22-1),表2_36716262930389121314152324252627283132[[#This Row],[累计净值]]/$B$22-1)</f>
        <v>2.9659318637274446E-2</v>
      </c>
    </row>
    <row r="92" spans="1:7">
      <c r="A92" s="15">
        <v>44258</v>
      </c>
      <c r="B92" s="112">
        <v>1.054</v>
      </c>
      <c r="C92" s="108">
        <f t="shared" ref="C92" si="29">IFERROR(B92-B91,0)</f>
        <v>1.9000000000000128E-2</v>
      </c>
      <c r="D92" s="109" t="str">
        <f t="shared" ref="D92" si="30">IF(C92&lt;0,C92,"/")</f>
        <v>/</v>
      </c>
      <c r="E92" s="109">
        <f ca="1">IF(表2_36716262930389121314152324252627283132[[#This Row],[累计净值]]/MAX(INDIRECT("B21:B" &amp; ROW()))-1&lt;E91,表2_36716262930389121314152324252627283132[[#This Row],[累计净值]]/MAX(INDIRECT("B21:B" &amp; ROW()))-1,E91)</f>
        <v>-3.7593984962406068E-2</v>
      </c>
      <c r="F92" s="110">
        <f>表2_36716262930389121314152324252627283132[[#This Row],[累计净值]]</f>
        <v>1.054</v>
      </c>
      <c r="G92" s="20">
        <f>IF(表2_36716262930389121314152324252627283132[[#This Row],[累计净值]]&gt;0.998,0.8*(表2_36716262930389121314152324252627283132[[#This Row],[累计净值]]/$B$22-1),表2_36716262930389121314152324252627283132[[#This Row],[累计净值]]/$B$22-1)</f>
        <v>4.4889779559118284E-2</v>
      </c>
    </row>
    <row r="93" spans="1:7">
      <c r="A93" s="15">
        <v>44259</v>
      </c>
      <c r="B93" s="112">
        <v>1.0509999999999999</v>
      </c>
      <c r="C93" s="108">
        <f t="shared" ref="C93:C94" si="31">IFERROR(B93-B92,0)</f>
        <v>-3.0000000000001137E-3</v>
      </c>
      <c r="D93" s="109">
        <f t="shared" ref="D93:D94" si="32">IF(C93&lt;0,C93,"/")</f>
        <v>-3.0000000000001137E-3</v>
      </c>
      <c r="E93" s="109">
        <f ca="1">IF(表2_36716262930389121314152324252627283132[[#This Row],[累计净值]]/MAX(INDIRECT("B21:B" &amp; ROW()))-1&lt;E92,表2_36716262930389121314152324252627283132[[#This Row],[累计净值]]/MAX(INDIRECT("B21:B" &amp; ROW()))-1,E92)</f>
        <v>-3.7593984962406068E-2</v>
      </c>
      <c r="F93" s="110">
        <f>表2_36716262930389121314152324252627283132[[#This Row],[累计净值]]</f>
        <v>1.0509999999999999</v>
      </c>
      <c r="G93" s="20">
        <f>IF(表2_36716262930389121314152324252627283132[[#This Row],[累计净值]]&gt;0.998,0.8*(表2_36716262930389121314152324252627283132[[#This Row],[累计净值]]/$B$22-1),表2_36716262930389121314152324252627283132[[#This Row],[累计净值]]/$B$22-1)</f>
        <v>4.2484969939879672E-2</v>
      </c>
    </row>
    <row r="94" spans="1:7">
      <c r="A94" s="15">
        <v>44260</v>
      </c>
      <c r="B94" s="112">
        <v>1.0449999999999999</v>
      </c>
      <c r="C94" s="108">
        <f t="shared" si="31"/>
        <v>-6.0000000000000053E-3</v>
      </c>
      <c r="D94" s="109">
        <f t="shared" si="32"/>
        <v>-6.0000000000000053E-3</v>
      </c>
      <c r="E94" s="109">
        <f ca="1">IF(表2_36716262930389121314152324252627283132[[#This Row],[累计净值]]/MAX(INDIRECT("B21:B" &amp; ROW()))-1&lt;E93,表2_36716262930389121314152324252627283132[[#This Row],[累计净值]]/MAX(INDIRECT("B21:B" &amp; ROW()))-1,E93)</f>
        <v>-3.7593984962406068E-2</v>
      </c>
      <c r="F94" s="110">
        <f>表2_36716262930389121314152324252627283132[[#This Row],[累计净值]]</f>
        <v>1.0449999999999999</v>
      </c>
      <c r="G94" s="20">
        <f>IF(表2_36716262930389121314152324252627283132[[#This Row],[累计净值]]&gt;0.998,0.8*(表2_36716262930389121314152324252627283132[[#This Row],[累计净值]]/$B$22-1),表2_36716262930389121314152324252627283132[[#This Row],[累计净值]]/$B$22-1)</f>
        <v>3.76753507014028E-2</v>
      </c>
    </row>
    <row r="95" spans="1:7">
      <c r="A95" s="15">
        <v>44263</v>
      </c>
      <c r="B95" s="117">
        <v>1.081</v>
      </c>
      <c r="C95" s="108">
        <f t="shared" ref="C95:C96" si="33">IFERROR(B95-B94,0)</f>
        <v>3.6000000000000032E-2</v>
      </c>
      <c r="D95" s="109" t="str">
        <f t="shared" ref="D95:D96" si="34">IF(C95&lt;0,C95,"/")</f>
        <v>/</v>
      </c>
      <c r="E95" s="109">
        <f ca="1">IF(表2_36716262930389121314152324252627283132[[#This Row],[累计净值]]/MAX(INDIRECT("B21:B" &amp; ROW()))-1&lt;E94,表2_36716262930389121314152324252627283132[[#This Row],[累计净值]]/MAX(INDIRECT("B21:B" &amp; ROW()))-1,E94)</f>
        <v>-3.7593984962406068E-2</v>
      </c>
      <c r="F95" s="110">
        <f>表2_36716262930389121314152324252627283132[[#This Row],[累计净值]]</f>
        <v>1.081</v>
      </c>
      <c r="G95" s="20">
        <f>IF(表2_36716262930389121314152324252627283132[[#This Row],[累计净值]]&gt;0.998,0.8*(表2_36716262930389121314152324252627283132[[#This Row],[累计净值]]/$B$22-1),表2_36716262930389121314152324252627283132[[#This Row],[累计净值]]/$B$22-1)</f>
        <v>6.6533066132264548E-2</v>
      </c>
    </row>
    <row r="96" spans="1:7">
      <c r="A96" s="15">
        <v>44264</v>
      </c>
      <c r="B96" s="112">
        <v>1.06</v>
      </c>
      <c r="C96" s="108">
        <f t="shared" si="33"/>
        <v>-2.0999999999999908E-2</v>
      </c>
      <c r="D96" s="109">
        <f t="shared" si="34"/>
        <v>-2.0999999999999908E-2</v>
      </c>
      <c r="E96" s="109">
        <f ca="1">IF(表2_36716262930389121314152324252627283132[[#This Row],[累计净值]]/MAX(INDIRECT("B21:B" &amp; ROW()))-1&lt;E95,表2_36716262930389121314152324252627283132[[#This Row],[累计净值]]/MAX(INDIRECT("B21:B" &amp; ROW()))-1,E95)</f>
        <v>-3.7593984962406068E-2</v>
      </c>
      <c r="F96" s="110">
        <f>表2_36716262930389121314152324252627283132[[#This Row],[累计净值]]</f>
        <v>1.06</v>
      </c>
      <c r="G96" s="20">
        <f>IF(表2_36716262930389121314152324252627283132[[#This Row],[累计净值]]&gt;0.998,0.8*(表2_36716262930389121314152324252627283132[[#This Row],[累计净值]]/$B$22-1),表2_36716262930389121314152324252627283132[[#This Row],[累计净值]]/$B$22-1)</f>
        <v>4.9699398797595155E-2</v>
      </c>
    </row>
    <row r="97" spans="1:7">
      <c r="A97" s="15">
        <v>44265</v>
      </c>
      <c r="B97" s="112">
        <v>1.0509999999999999</v>
      </c>
      <c r="C97" s="108">
        <f t="shared" ref="C97:C102" si="35">IFERROR(B97-B96,0)</f>
        <v>-9.000000000000119E-3</v>
      </c>
      <c r="D97" s="109">
        <f t="shared" ref="D97:D102" si="36">IF(C97&lt;0,C97,"/")</f>
        <v>-9.000000000000119E-3</v>
      </c>
      <c r="E97" s="109">
        <f ca="1">IF(表2_36716262930389121314152324252627283132[[#This Row],[累计净值]]/MAX(INDIRECT("B21:B" &amp; ROW()))-1&lt;E96,表2_36716262930389121314152324252627283132[[#This Row],[累计净值]]/MAX(INDIRECT("B21:B" &amp; ROW()))-1,E96)</f>
        <v>-3.7593984962406068E-2</v>
      </c>
      <c r="F97" s="110">
        <f>表2_36716262930389121314152324252627283132[[#This Row],[累计净值]]</f>
        <v>1.0509999999999999</v>
      </c>
      <c r="G97" s="20">
        <f>IF(表2_36716262930389121314152324252627283132[[#This Row],[累计净值]]&gt;0.998,0.8*(表2_36716262930389121314152324252627283132[[#This Row],[累计净值]]/$B$22-1),表2_36716262930389121314152324252627283132[[#This Row],[累计净值]]/$B$22-1)</f>
        <v>4.2484969939879672E-2</v>
      </c>
    </row>
    <row r="98" spans="1:7">
      <c r="A98" s="15">
        <v>44266</v>
      </c>
      <c r="B98" s="112">
        <v>1.054</v>
      </c>
      <c r="C98" s="108">
        <f t="shared" si="35"/>
        <v>3.0000000000001137E-3</v>
      </c>
      <c r="D98" s="109" t="str">
        <f t="shared" si="36"/>
        <v>/</v>
      </c>
      <c r="E98" s="109">
        <f ca="1">IF(表2_36716262930389121314152324252627283132[[#This Row],[累计净值]]/MAX(INDIRECT("B21:B" &amp; ROW()))-1&lt;E97,表2_36716262930389121314152324252627283132[[#This Row],[累计净值]]/MAX(INDIRECT("B21:B" &amp; ROW()))-1,E97)</f>
        <v>-3.7593984962406068E-2</v>
      </c>
      <c r="F98" s="110">
        <f>表2_36716262930389121314152324252627283132[[#This Row],[累计净值]]</f>
        <v>1.054</v>
      </c>
      <c r="G98" s="20">
        <f>IF(表2_36716262930389121314152324252627283132[[#This Row],[累计净值]]&gt;0.998,0.8*(表2_36716262930389121314152324252627283132[[#This Row],[累计净值]]/$B$22-1),表2_36716262930389121314152324252627283132[[#This Row],[累计净值]]/$B$22-1)</f>
        <v>4.4889779559118284E-2</v>
      </c>
    </row>
    <row r="99" spans="1:7">
      <c r="A99" s="15">
        <v>44267</v>
      </c>
      <c r="B99" s="112">
        <v>1.069</v>
      </c>
      <c r="C99" s="108">
        <f t="shared" si="35"/>
        <v>1.4999999999999902E-2</v>
      </c>
      <c r="D99" s="109" t="str">
        <f t="shared" si="36"/>
        <v>/</v>
      </c>
      <c r="E99" s="109">
        <f ca="1">IF(表2_36716262930389121314152324252627283132[[#This Row],[累计净值]]/MAX(INDIRECT("B21:B" &amp; ROW()))-1&lt;E98,表2_36716262930389121314152324252627283132[[#This Row],[累计净值]]/MAX(INDIRECT("B21:B" &amp; ROW()))-1,E98)</f>
        <v>-3.7593984962406068E-2</v>
      </c>
      <c r="F99" s="110">
        <f>表2_36716262930389121314152324252627283132[[#This Row],[累计净值]]</f>
        <v>1.069</v>
      </c>
      <c r="G99" s="20">
        <f>IF(表2_36716262930389121314152324252627283132[[#This Row],[累计净值]]&gt;0.998,0.8*(表2_36716262930389121314152324252627283132[[#This Row],[累计净值]]/$B$22-1),表2_36716262930389121314152324252627283132[[#This Row],[累计净值]]/$B$22-1)</f>
        <v>5.6913827655310639E-2</v>
      </c>
    </row>
    <row r="100" spans="1:7">
      <c r="A100" s="15">
        <v>44270</v>
      </c>
      <c r="B100" s="112">
        <v>1.069</v>
      </c>
      <c r="C100" s="108">
        <f t="shared" si="35"/>
        <v>0</v>
      </c>
      <c r="D100" s="109" t="str">
        <f t="shared" si="36"/>
        <v>/</v>
      </c>
      <c r="E100" s="109">
        <f ca="1">IF(表2_36716262930389121314152324252627283132[[#This Row],[累计净值]]/MAX(INDIRECT("B21:B" &amp; ROW()))-1&lt;E99,表2_36716262930389121314152324252627283132[[#This Row],[累计净值]]/MAX(INDIRECT("B21:B" &amp; ROW()))-1,E99)</f>
        <v>-3.7593984962406068E-2</v>
      </c>
      <c r="F100" s="110">
        <f>表2_36716262930389121314152324252627283132[[#This Row],[累计净值]]</f>
        <v>1.069</v>
      </c>
      <c r="G100" s="20">
        <f>IF(表2_36716262930389121314152324252627283132[[#This Row],[累计净值]]&gt;0.998,0.8*(表2_36716262930389121314152324252627283132[[#This Row],[累计净值]]/$B$22-1),表2_36716262930389121314152324252627283132[[#This Row],[累计净值]]/$B$22-1)</f>
        <v>5.6913827655310639E-2</v>
      </c>
    </row>
    <row r="101" spans="1:7">
      <c r="A101" s="15">
        <v>44271</v>
      </c>
      <c r="B101" s="112">
        <v>1.0740000000000001</v>
      </c>
      <c r="C101" s="108">
        <f t="shared" si="35"/>
        <v>5.0000000000001155E-3</v>
      </c>
      <c r="D101" s="109" t="str">
        <f t="shared" si="36"/>
        <v>/</v>
      </c>
      <c r="E101" s="109">
        <f ca="1">IF(表2_36716262930389121314152324252627283132[[#This Row],[累计净值]]/MAX(INDIRECT("B21:B" &amp; ROW()))-1&lt;E100,表2_36716262930389121314152324252627283132[[#This Row],[累计净值]]/MAX(INDIRECT("B21:B" &amp; ROW()))-1,E100)</f>
        <v>-3.7593984962406068E-2</v>
      </c>
      <c r="F101" s="110">
        <f>表2_36716262930389121314152324252627283132[[#This Row],[累计净值]]</f>
        <v>1.0740000000000001</v>
      </c>
      <c r="G101" s="20">
        <f>IF(表2_36716262930389121314152324252627283132[[#This Row],[累计净值]]&gt;0.998,0.8*(表2_36716262930389121314152324252627283132[[#This Row],[累计净值]]/$B$22-1),表2_36716262930389121314152324252627283132[[#This Row],[累计净值]]/$B$22-1)</f>
        <v>6.0921843687374813E-2</v>
      </c>
    </row>
    <row r="102" spans="1:7">
      <c r="A102" s="15">
        <v>44272</v>
      </c>
      <c r="B102" s="112">
        <v>1.0620000000000001</v>
      </c>
      <c r="C102" s="108">
        <f t="shared" si="35"/>
        <v>-1.2000000000000011E-2</v>
      </c>
      <c r="D102" s="109">
        <f t="shared" si="36"/>
        <v>-1.2000000000000011E-2</v>
      </c>
      <c r="E102" s="109">
        <f ca="1">IF(表2_36716262930389121314152324252627283132[[#This Row],[累计净值]]/MAX(INDIRECT("B21:B" &amp; ROW()))-1&lt;E101,表2_36716262930389121314152324252627283132[[#This Row],[累计净值]]/MAX(INDIRECT("B21:B" &amp; ROW()))-1,E101)</f>
        <v>-3.7593984962406068E-2</v>
      </c>
      <c r="F102" s="110">
        <f>表2_36716262930389121314152324252627283132[[#This Row],[累计净值]]</f>
        <v>1.0620000000000001</v>
      </c>
      <c r="G102" s="20">
        <f>IF(表2_36716262930389121314152324252627283132[[#This Row],[累计净值]]&gt;0.998,0.8*(表2_36716262930389121314152324252627283132[[#This Row],[累计净值]]/$B$22-1),表2_36716262930389121314152324252627283132[[#This Row],[累计净值]]/$B$22-1)</f>
        <v>5.1302605210420897E-2</v>
      </c>
    </row>
    <row r="103" spans="1:7">
      <c r="A103" s="15">
        <v>44273</v>
      </c>
      <c r="B103" s="112">
        <v>1.0640000000000001</v>
      </c>
      <c r="C103" s="108">
        <f>IFERROR(B103-B102,0)</f>
        <v>2.0000000000000018E-3</v>
      </c>
      <c r="D103" s="109" t="str">
        <f>IF(C103&lt;0,C103,"/")</f>
        <v>/</v>
      </c>
      <c r="E103" s="109">
        <f ca="1">IF(表2_36716262930389121314152324252627283132[[#This Row],[累计净值]]/MAX(INDIRECT("B21:B" &amp; ROW()))-1&lt;E102,表2_36716262930389121314152324252627283132[[#This Row],[累计净值]]/MAX(INDIRECT("B21:B" &amp; ROW()))-1,E102)</f>
        <v>-3.7593984962406068E-2</v>
      </c>
      <c r="F103" s="110">
        <f>表2_36716262930389121314152324252627283132[[#This Row],[累计净值]]</f>
        <v>1.0640000000000001</v>
      </c>
      <c r="G103" s="20">
        <f>IF(表2_36716262930389121314152324252627283132[[#This Row],[累计净值]]&gt;0.998,0.8*(表2_36716262930389121314152324252627283132[[#This Row],[累计净值]]/$B$22-1),表2_36716262930389121314152324252627283132[[#This Row],[累计净值]]/$B$22-1)</f>
        <v>5.2905811623246458E-2</v>
      </c>
    </row>
    <row r="104" spans="1:7">
      <c r="A104" s="15">
        <v>44274</v>
      </c>
      <c r="B104" s="112">
        <v>1.07</v>
      </c>
      <c r="C104" s="108">
        <f>IFERROR(B104-B103,0)</f>
        <v>6.0000000000000053E-3</v>
      </c>
      <c r="D104" s="109" t="str">
        <f>IF(C104&lt;0,C104,"/")</f>
        <v>/</v>
      </c>
      <c r="E104" s="109">
        <f ca="1">IF(表2_36716262930389121314152324252627283132[[#This Row],[累计净值]]/MAX(INDIRECT("B21:B" &amp; ROW()))-1&lt;E103,表2_36716262930389121314152324252627283132[[#This Row],[累计净值]]/MAX(INDIRECT("B21:B" &amp; ROW()))-1,E103)</f>
        <v>-3.7593984962406068E-2</v>
      </c>
      <c r="F104" s="110">
        <f>表2_36716262930389121314152324252627283132[[#This Row],[累计净值]]</f>
        <v>1.07</v>
      </c>
      <c r="G104" s="20">
        <f>IF(表2_36716262930389121314152324252627283132[[#This Row],[累计净值]]&gt;0.998,0.8*(表2_36716262930389121314152324252627283132[[#This Row],[累计净值]]/$B$22-1),表2_36716262930389121314152324252627283132[[#This Row],[累计净值]]/$B$22-1)</f>
        <v>5.771543086172351E-2</v>
      </c>
    </row>
    <row r="105" spans="1:7">
      <c r="A105" s="15">
        <v>44277</v>
      </c>
      <c r="B105" s="112">
        <v>1.085</v>
      </c>
      <c r="C105" s="108">
        <f>IFERROR(B105-B104,0)</f>
        <v>1.4999999999999902E-2</v>
      </c>
      <c r="D105" s="109" t="str">
        <f>IF(C105&lt;0,C105,"/")</f>
        <v>/</v>
      </c>
      <c r="E105" s="109">
        <f ca="1">IF(表2_36716262930389121314152324252627283132[[#This Row],[累计净值]]/MAX(INDIRECT("B21:B" &amp; ROW()))-1&lt;E104,表2_36716262930389121314152324252627283132[[#This Row],[累计净值]]/MAX(INDIRECT("B21:B" &amp; ROW()))-1,E104)</f>
        <v>-3.7593984962406068E-2</v>
      </c>
      <c r="F105" s="110">
        <f>表2_36716262930389121314152324252627283132[[#This Row],[累计净值]]</f>
        <v>1.085</v>
      </c>
      <c r="G105" s="20">
        <f>IF(表2_36716262930389121314152324252627283132[[#This Row],[累计净值]]&gt;0.998,0.8*(表2_36716262930389121314152324252627283132[[#This Row],[累计净值]]/$B$22-1),表2_36716262930389121314152324252627283132[[#This Row],[累计净值]]/$B$22-1)</f>
        <v>6.9739478957915865E-2</v>
      </c>
    </row>
    <row r="106" spans="1:7">
      <c r="A106" s="15">
        <v>44278</v>
      </c>
      <c r="B106" s="112">
        <v>1.097</v>
      </c>
      <c r="C106" s="108">
        <f t="shared" ref="C106:C109" si="37">IFERROR(B106-B105,0)</f>
        <v>1.2000000000000011E-2</v>
      </c>
      <c r="D106" s="109" t="str">
        <f t="shared" ref="D106:D109" si="38">IF(C106&lt;0,C106,"/")</f>
        <v>/</v>
      </c>
      <c r="E106" s="109">
        <f ca="1">IF(表2_36716262930389121314152324252627283132[[#This Row],[累计净值]]/MAX(INDIRECT("B21:B" &amp; ROW()))-1&lt;E105,表2_36716262930389121314152324252627283132[[#This Row],[累计净值]]/MAX(INDIRECT("B21:B" &amp; ROW()))-1,E105)</f>
        <v>-3.7593984962406068E-2</v>
      </c>
      <c r="F106" s="110">
        <f>表2_36716262930389121314152324252627283132[[#This Row],[累计净值]]</f>
        <v>1.097</v>
      </c>
      <c r="G106" s="20">
        <f>IF(表2_36716262930389121314152324252627283132[[#This Row],[累计净值]]&gt;0.998,0.8*(表2_36716262930389121314152324252627283132[[#This Row],[累计净值]]/$B$22-1),表2_36716262930389121314152324252627283132[[#This Row],[累计净值]]/$B$22-1)</f>
        <v>7.9358717434869774E-2</v>
      </c>
    </row>
    <row r="107" spans="1:7">
      <c r="A107" s="15">
        <v>44279</v>
      </c>
      <c r="B107" s="117">
        <v>1.099</v>
      </c>
      <c r="C107" s="108">
        <f t="shared" si="37"/>
        <v>2.0000000000000018E-3</v>
      </c>
      <c r="D107" s="109" t="str">
        <f t="shared" si="38"/>
        <v>/</v>
      </c>
      <c r="E107" s="109">
        <f ca="1">IF(表2_36716262930389121314152324252627283132[[#This Row],[累计净值]]/MAX(INDIRECT("B21:B" &amp; ROW()))-1&lt;E106,表2_36716262930389121314152324252627283132[[#This Row],[累计净值]]/MAX(INDIRECT("B21:B" &amp; ROW()))-1,E106)</f>
        <v>-3.7593984962406068E-2</v>
      </c>
      <c r="F107" s="110">
        <f>表2_36716262930389121314152324252627283132[[#This Row],[累计净值]]</f>
        <v>1.099</v>
      </c>
      <c r="G107" s="20">
        <f>IF(表2_36716262930389121314152324252627283132[[#This Row],[累计净值]]&gt;0.998,0.8*(表2_36716262930389121314152324252627283132[[#This Row],[累计净值]]/$B$22-1),表2_36716262930389121314152324252627283132[[#This Row],[累计净值]]/$B$22-1)</f>
        <v>8.096192384769535E-2</v>
      </c>
    </row>
    <row r="108" spans="1:7">
      <c r="A108" s="15">
        <v>44280</v>
      </c>
      <c r="B108" s="112">
        <v>1.099</v>
      </c>
      <c r="C108" s="108">
        <f t="shared" si="37"/>
        <v>0</v>
      </c>
      <c r="D108" s="109" t="str">
        <f t="shared" si="38"/>
        <v>/</v>
      </c>
      <c r="E108" s="109">
        <f ca="1">IF(表2_36716262930389121314152324252627283132[[#This Row],[累计净值]]/MAX(INDIRECT("B21:B" &amp; ROW()))-1&lt;E107,表2_36716262930389121314152324252627283132[[#This Row],[累计净值]]/MAX(INDIRECT("B21:B" &amp; ROW()))-1,E107)</f>
        <v>-3.7593984962406068E-2</v>
      </c>
      <c r="F108" s="110">
        <f>表2_36716262930389121314152324252627283132[[#This Row],[累计净值]]</f>
        <v>1.099</v>
      </c>
      <c r="G108" s="20">
        <f>IF(表2_36716262930389121314152324252627283132[[#This Row],[累计净值]]&gt;0.998,0.8*(表2_36716262930389121314152324252627283132[[#This Row],[累计净值]]/$B$22-1),表2_36716262930389121314152324252627283132[[#This Row],[累计净值]]/$B$22-1)</f>
        <v>8.096192384769535E-2</v>
      </c>
    </row>
    <row r="109" spans="1:7">
      <c r="A109" s="15">
        <v>44281</v>
      </c>
      <c r="B109" s="112">
        <v>1.097</v>
      </c>
      <c r="C109" s="108">
        <f t="shared" si="37"/>
        <v>-2.0000000000000018E-3</v>
      </c>
      <c r="D109" s="109">
        <f t="shared" si="38"/>
        <v>-2.0000000000000018E-3</v>
      </c>
      <c r="E109" s="109">
        <f ca="1">IF(表2_36716262930389121314152324252627283132[[#This Row],[累计净值]]/MAX(INDIRECT("B21:B" &amp; ROW()))-1&lt;E108,表2_36716262930389121314152324252627283132[[#This Row],[累计净值]]/MAX(INDIRECT("B21:B" &amp; ROW()))-1,E108)</f>
        <v>-3.7593984962406068E-2</v>
      </c>
      <c r="F109" s="110">
        <f>表2_36716262930389121314152324252627283132[[#This Row],[累计净值]]</f>
        <v>1.097</v>
      </c>
      <c r="G109" s="20">
        <f>IF(表2_36716262930389121314152324252627283132[[#This Row],[累计净值]]&gt;0.998,0.8*(表2_36716262930389121314152324252627283132[[#This Row],[累计净值]]/$B$22-1),表2_36716262930389121314152324252627283132[[#This Row],[累计净值]]/$B$22-1)</f>
        <v>7.9358717434869774E-2</v>
      </c>
    </row>
    <row r="110" spans="1:7">
      <c r="A110" s="15">
        <v>44284</v>
      </c>
      <c r="B110" s="112">
        <v>1.0840000000000001</v>
      </c>
      <c r="C110" s="108">
        <f t="shared" ref="C110:C115" si="39">IFERROR(B110-B109,0)</f>
        <v>-1.2999999999999901E-2</v>
      </c>
      <c r="D110" s="109">
        <f t="shared" ref="D110:D115" si="40">IF(C110&lt;0,C110,"/")</f>
        <v>-1.2999999999999901E-2</v>
      </c>
      <c r="E110" s="109">
        <f ca="1">IF(表2_36716262930389121314152324252627283132[[#This Row],[累计净值]]/MAX(INDIRECT("B21:B" &amp; ROW()))-1&lt;E109,表2_36716262930389121314152324252627283132[[#This Row],[累计净值]]/MAX(INDIRECT("B21:B" &amp; ROW()))-1,E109)</f>
        <v>-3.7593984962406068E-2</v>
      </c>
      <c r="F110" s="110">
        <f>表2_36716262930389121314152324252627283132[[#This Row],[累计净值]]</f>
        <v>1.0840000000000001</v>
      </c>
      <c r="G110" s="20">
        <f>IF(表2_36716262930389121314152324252627283132[[#This Row],[累计净值]]&gt;0.998,0.8*(表2_36716262930389121314152324252627283132[[#This Row],[累计净值]]/$B$22-1),表2_36716262930389121314152324252627283132[[#This Row],[累计净值]]/$B$22-1)</f>
        <v>6.8937875751502994E-2</v>
      </c>
    </row>
    <row r="111" spans="1:7">
      <c r="A111" s="15">
        <v>44285</v>
      </c>
      <c r="B111" s="112">
        <v>1.0840000000000001</v>
      </c>
      <c r="C111" s="108">
        <f t="shared" si="39"/>
        <v>0</v>
      </c>
      <c r="D111" s="109" t="str">
        <f t="shared" si="40"/>
        <v>/</v>
      </c>
      <c r="E111" s="109">
        <f ca="1">IF(表2_36716262930389121314152324252627283132[[#This Row],[累计净值]]/MAX(INDIRECT("B21:B" &amp; ROW()))-1&lt;E110,表2_36716262930389121314152324252627283132[[#This Row],[累计净值]]/MAX(INDIRECT("B21:B" &amp; ROW()))-1,E110)</f>
        <v>-3.7593984962406068E-2</v>
      </c>
      <c r="F111" s="110">
        <f>表2_36716262930389121314152324252627283132[[#This Row],[累计净值]]</f>
        <v>1.0840000000000001</v>
      </c>
      <c r="G111" s="20">
        <f>IF(表2_36716262930389121314152324252627283132[[#This Row],[累计净值]]&gt;0.998,0.8*(表2_36716262930389121314152324252627283132[[#This Row],[累计净值]]/$B$22-1),表2_36716262930389121314152324252627283132[[#This Row],[累计净值]]/$B$22-1)</f>
        <v>6.8937875751502994E-2</v>
      </c>
    </row>
    <row r="112" spans="1:7">
      <c r="A112" s="15">
        <v>44286</v>
      </c>
      <c r="B112" s="112">
        <v>1.083</v>
      </c>
      <c r="C112" s="108">
        <f t="shared" si="39"/>
        <v>-1.0000000000001119E-3</v>
      </c>
      <c r="D112" s="109">
        <f t="shared" si="40"/>
        <v>-1.0000000000001119E-3</v>
      </c>
      <c r="E112" s="109">
        <f ca="1">IF(表2_36716262930389121314152324252627283132[[#This Row],[累计净值]]/MAX(INDIRECT("B21:B" &amp; ROW()))-1&lt;E111,表2_36716262930389121314152324252627283132[[#This Row],[累计净值]]/MAX(INDIRECT("B21:B" &amp; ROW()))-1,E111)</f>
        <v>-3.7593984962406068E-2</v>
      </c>
      <c r="F112" s="110">
        <f>表2_36716262930389121314152324252627283132[[#This Row],[累计净值]]</f>
        <v>1.083</v>
      </c>
      <c r="G112" s="20">
        <f>IF(表2_36716262930389121314152324252627283132[[#This Row],[累计净值]]&gt;0.998,0.8*(表2_36716262930389121314152324252627283132[[#This Row],[累计净值]]/$B$22-1),表2_36716262930389121314152324252627283132[[#This Row],[累计净值]]/$B$22-1)</f>
        <v>6.8136272545090124E-2</v>
      </c>
    </row>
    <row r="113" spans="1:7">
      <c r="A113" s="15">
        <v>44287</v>
      </c>
      <c r="B113" s="112">
        <v>1.081</v>
      </c>
      <c r="C113" s="108">
        <f t="shared" si="39"/>
        <v>-2.0000000000000018E-3</v>
      </c>
      <c r="D113" s="109">
        <f t="shared" si="40"/>
        <v>-2.0000000000000018E-3</v>
      </c>
      <c r="E113" s="109">
        <f ca="1">IF(表2_36716262930389121314152324252627283132[[#This Row],[累计净值]]/MAX(INDIRECT("B21:B" &amp; ROW()))-1&lt;E112,表2_36716262930389121314152324252627283132[[#This Row],[累计净值]]/MAX(INDIRECT("B21:B" &amp; ROW()))-1,E112)</f>
        <v>-3.7593984962406068E-2</v>
      </c>
      <c r="F113" s="110">
        <f>表2_36716262930389121314152324252627283132[[#This Row],[累计净值]]</f>
        <v>1.081</v>
      </c>
      <c r="G113" s="20">
        <f>IF(表2_36716262930389121314152324252627283132[[#This Row],[累计净值]]&gt;0.998,0.8*(表2_36716262930389121314152324252627283132[[#This Row],[累计净值]]/$B$22-1),表2_36716262930389121314152324252627283132[[#This Row],[累计净值]]/$B$22-1)</f>
        <v>6.6533066132264548E-2</v>
      </c>
    </row>
    <row r="114" spans="1:7">
      <c r="A114" s="15">
        <v>44288</v>
      </c>
      <c r="B114" s="112">
        <v>1.077</v>
      </c>
      <c r="C114" s="108">
        <f t="shared" si="39"/>
        <v>-4.0000000000000036E-3</v>
      </c>
      <c r="D114" s="109">
        <f t="shared" si="40"/>
        <v>-4.0000000000000036E-3</v>
      </c>
      <c r="E114" s="109">
        <f ca="1">IF(表2_36716262930389121314152324252627283132[[#This Row],[累计净值]]/MAX(INDIRECT("B21:B" &amp; ROW()))-1&lt;E113,表2_36716262930389121314152324252627283132[[#This Row],[累计净值]]/MAX(INDIRECT("B21:B" &amp; ROW()))-1,E113)</f>
        <v>-3.7593984962406068E-2</v>
      </c>
      <c r="F114" s="110">
        <f>表2_36716262930389121314152324252627283132[[#This Row],[累计净值]]</f>
        <v>1.077</v>
      </c>
      <c r="G114" s="20">
        <f>IF(表2_36716262930389121314152324252627283132[[#This Row],[累计净值]]&gt;0.998,0.8*(表2_36716262930389121314152324252627283132[[#This Row],[累计净值]]/$B$22-1),表2_36716262930389121314152324252627283132[[#This Row],[累计净值]]/$B$22-1)</f>
        <v>6.3326653306613245E-2</v>
      </c>
    </row>
    <row r="115" spans="1:7">
      <c r="A115" s="15">
        <v>44292</v>
      </c>
      <c r="B115" s="112">
        <v>1.0720000000000001</v>
      </c>
      <c r="C115" s="108">
        <f t="shared" si="39"/>
        <v>-4.9999999999998934E-3</v>
      </c>
      <c r="D115" s="109">
        <f t="shared" si="40"/>
        <v>-4.9999999999998934E-3</v>
      </c>
      <c r="E115" s="109">
        <f ca="1">IF(表2_36716262930389121314152324252627283132[[#This Row],[累计净值]]/MAX(INDIRECT("B21:B" &amp; ROW()))-1&lt;E114,表2_36716262930389121314152324252627283132[[#This Row],[累计净值]]/MAX(INDIRECT("B21:B" &amp; ROW()))-1,E114)</f>
        <v>-3.7593984962406068E-2</v>
      </c>
      <c r="F115" s="110">
        <f>表2_36716262930389121314152324252627283132[[#This Row],[累计净值]]</f>
        <v>1.0720000000000001</v>
      </c>
      <c r="G115" s="20">
        <f>IF(表2_36716262930389121314152324252627283132[[#This Row],[累计净值]]&gt;0.998,0.8*(表2_36716262930389121314152324252627283132[[#This Row],[累计净值]]/$B$22-1),表2_36716262930389121314152324252627283132[[#This Row],[累计净值]]/$B$22-1)</f>
        <v>5.9318637274549071E-2</v>
      </c>
    </row>
    <row r="116" spans="1:7">
      <c r="A116" s="15">
        <v>44293</v>
      </c>
      <c r="B116" s="112">
        <v>1.06</v>
      </c>
      <c r="C116" s="108">
        <f t="shared" ref="C116:C121" si="41">IFERROR(B116-B115,0)</f>
        <v>-1.2000000000000011E-2</v>
      </c>
      <c r="D116" s="109">
        <f t="shared" ref="D116:D121" si="42">IF(C116&lt;0,C116,"/")</f>
        <v>-1.2000000000000011E-2</v>
      </c>
      <c r="E116" s="109">
        <f ca="1">IF(表2_36716262930389121314152324252627283132[[#This Row],[累计净值]]/MAX(INDIRECT("B21:B" &amp; ROW()))-1&lt;E115,表2_36716262930389121314152324252627283132[[#This Row],[累计净值]]/MAX(INDIRECT("B21:B" &amp; ROW()))-1,E115)</f>
        <v>-3.7593984962406068E-2</v>
      </c>
      <c r="F116" s="110">
        <f>表2_36716262930389121314152324252627283132[[#This Row],[累计净值]]</f>
        <v>1.06</v>
      </c>
      <c r="G116" s="20">
        <f>IF(表2_36716262930389121314152324252627283132[[#This Row],[累计净值]]&gt;0.998,0.8*(表2_36716262930389121314152324252627283132[[#This Row],[累计净值]]/$B$22-1),表2_36716262930389121314152324252627283132[[#This Row],[累计净值]]/$B$22-1)</f>
        <v>4.9699398797595155E-2</v>
      </c>
    </row>
    <row r="117" spans="1:7">
      <c r="A117" s="15">
        <v>44294</v>
      </c>
      <c r="B117" s="112">
        <v>1.0660000000000001</v>
      </c>
      <c r="C117" s="108">
        <f t="shared" si="41"/>
        <v>6.0000000000000053E-3</v>
      </c>
      <c r="D117" s="109" t="str">
        <f t="shared" si="42"/>
        <v>/</v>
      </c>
      <c r="E117" s="109">
        <f ca="1">IF(表2_36716262930389121314152324252627283132[[#This Row],[累计净值]]/MAX(INDIRECT("B21:B" &amp; ROW()))-1&lt;E116,表2_36716262930389121314152324252627283132[[#This Row],[累计净值]]/MAX(INDIRECT("B21:B" &amp; ROW()))-1,E116)</f>
        <v>-3.7593984962406068E-2</v>
      </c>
      <c r="F117" s="110">
        <f>表2_36716262930389121314152324252627283132[[#This Row],[累计净值]]</f>
        <v>1.0660000000000001</v>
      </c>
      <c r="G117" s="20">
        <f>IF(表2_36716262930389121314152324252627283132[[#This Row],[累计净值]]&gt;0.998,0.8*(表2_36716262930389121314152324252627283132[[#This Row],[累计净值]]/$B$22-1),表2_36716262930389121314152324252627283132[[#This Row],[累计净值]]/$B$22-1)</f>
        <v>5.45090180360722E-2</v>
      </c>
    </row>
    <row r="118" spans="1:7">
      <c r="A118" s="15">
        <v>44295</v>
      </c>
      <c r="B118" s="112">
        <v>1.0629999999999999</v>
      </c>
      <c r="C118" s="108">
        <f t="shared" si="41"/>
        <v>-3.0000000000001137E-3</v>
      </c>
      <c r="D118" s="109">
        <f t="shared" si="42"/>
        <v>-3.0000000000001137E-3</v>
      </c>
      <c r="E118" s="109">
        <f ca="1">IF(表2_36716262930389121314152324252627283132[[#This Row],[累计净值]]/MAX(INDIRECT("B21:B" &amp; ROW()))-1&lt;E117,表2_36716262930389121314152324252627283132[[#This Row],[累计净值]]/MAX(INDIRECT("B21:B" &amp; ROW()))-1,E117)</f>
        <v>-3.7593984962406068E-2</v>
      </c>
      <c r="F118" s="110">
        <f>表2_36716262930389121314152324252627283132[[#This Row],[累计净值]]</f>
        <v>1.0629999999999999</v>
      </c>
      <c r="G118" s="20">
        <f>IF(表2_36716262930389121314152324252627283132[[#This Row],[累计净值]]&gt;0.998,0.8*(表2_36716262930389121314152324252627283132[[#This Row],[累计净值]]/$B$22-1),表2_36716262930389121314152324252627283132[[#This Row],[累计净值]]/$B$22-1)</f>
        <v>5.2104208416833588E-2</v>
      </c>
    </row>
    <row r="119" spans="1:7">
      <c r="A119" s="15">
        <v>44298</v>
      </c>
      <c r="B119" s="112">
        <v>1.0669999999999999</v>
      </c>
      <c r="C119" s="108">
        <f t="shared" si="41"/>
        <v>4.0000000000000036E-3</v>
      </c>
      <c r="D119" s="109" t="str">
        <f t="shared" si="42"/>
        <v>/</v>
      </c>
      <c r="E119" s="109">
        <f ca="1">IF(表2_36716262930389121314152324252627283132[[#This Row],[累计净值]]/MAX(INDIRECT("B21:B" &amp; ROW()))-1&lt;E118,表2_36716262930389121314152324252627283132[[#This Row],[累计净值]]/MAX(INDIRECT("B21:B" &amp; ROW()))-1,E118)</f>
        <v>-3.7593984962406068E-2</v>
      </c>
      <c r="F119" s="110">
        <f>表2_36716262930389121314152324252627283132[[#This Row],[累计净值]]</f>
        <v>1.0669999999999999</v>
      </c>
      <c r="G119" s="20">
        <f>IF(表2_36716262930389121314152324252627283132[[#This Row],[累计净值]]&gt;0.998,0.8*(表2_36716262930389121314152324252627283132[[#This Row],[累计净值]]/$B$22-1),表2_36716262930389121314152324252627283132[[#This Row],[累计净值]]/$B$22-1)</f>
        <v>5.5310621242484898E-2</v>
      </c>
    </row>
    <row r="120" spans="1:7">
      <c r="A120" s="15">
        <v>44299</v>
      </c>
      <c r="B120" s="112">
        <v>1.079</v>
      </c>
      <c r="C120" s="108">
        <f t="shared" si="41"/>
        <v>1.2000000000000011E-2</v>
      </c>
      <c r="D120" s="109" t="str">
        <f t="shared" si="42"/>
        <v>/</v>
      </c>
      <c r="E120" s="109">
        <f ca="1">IF(表2_36716262930389121314152324252627283132[[#This Row],[累计净值]]/MAX(INDIRECT("B21:B" &amp; ROW()))-1&lt;E119,表2_36716262930389121314152324252627283132[[#This Row],[累计净值]]/MAX(INDIRECT("B21:B" &amp; ROW()))-1,E119)</f>
        <v>-3.7593984962406068E-2</v>
      </c>
      <c r="F120" s="110">
        <f>表2_36716262930389121314152324252627283132[[#This Row],[累计净值]]</f>
        <v>1.079</v>
      </c>
      <c r="G120" s="20">
        <f>IF(表2_36716262930389121314152324252627283132[[#This Row],[累计净值]]&gt;0.998,0.8*(表2_36716262930389121314152324252627283132[[#This Row],[累计净值]]/$B$22-1),表2_36716262930389121314152324252627283132[[#This Row],[累计净值]]/$B$22-1)</f>
        <v>6.4929859719438807E-2</v>
      </c>
    </row>
    <row r="121" spans="1:7">
      <c r="A121" s="15">
        <v>44300</v>
      </c>
      <c r="B121" s="112">
        <v>1.077</v>
      </c>
      <c r="C121" s="108">
        <f t="shared" si="41"/>
        <v>-2.0000000000000018E-3</v>
      </c>
      <c r="D121" s="109">
        <f t="shared" si="42"/>
        <v>-2.0000000000000018E-3</v>
      </c>
      <c r="E121" s="109">
        <f ca="1">IF(表2_36716262930389121314152324252627283132[[#This Row],[累计净值]]/MAX(INDIRECT("B21:B" &amp; ROW()))-1&lt;E120,表2_36716262930389121314152324252627283132[[#This Row],[累计净值]]/MAX(INDIRECT("B21:B" &amp; ROW()))-1,E120)</f>
        <v>-3.7593984962406068E-2</v>
      </c>
      <c r="F121" s="110">
        <f>表2_36716262930389121314152324252627283132[[#This Row],[累计净值]]</f>
        <v>1.077</v>
      </c>
      <c r="G121" s="20">
        <f>IF(表2_36716262930389121314152324252627283132[[#This Row],[累计净值]]&gt;0.998,0.8*(表2_36716262930389121314152324252627283132[[#This Row],[累计净值]]/$B$22-1),表2_36716262930389121314152324252627283132[[#This Row],[累计净值]]/$B$22-1)</f>
        <v>6.3326653306613245E-2</v>
      </c>
    </row>
    <row r="122" spans="1:7">
      <c r="A122" s="15">
        <v>44301</v>
      </c>
      <c r="B122" s="112">
        <v>1.0649999999999999</v>
      </c>
      <c r="C122" s="108">
        <f t="shared" ref="C122:C127" si="43">IFERROR(B122-B121,0)</f>
        <v>-1.2000000000000011E-2</v>
      </c>
      <c r="D122" s="109">
        <f t="shared" ref="D122:D127" si="44">IF(C122&lt;0,C122,"/")</f>
        <v>-1.2000000000000011E-2</v>
      </c>
      <c r="E122" s="109">
        <f ca="1">IF(表2_36716262930389121314152324252627283132[[#This Row],[累计净值]]/MAX(INDIRECT("B21:B" &amp; ROW()))-1&lt;E121,表2_36716262930389121314152324252627283132[[#This Row],[累计净值]]/MAX(INDIRECT("B21:B" &amp; ROW()))-1,E121)</f>
        <v>-3.7593984962406068E-2</v>
      </c>
      <c r="F122" s="110">
        <f>表2_36716262930389121314152324252627283132[[#This Row],[累计净值]]</f>
        <v>1.0649999999999999</v>
      </c>
      <c r="G122" s="20">
        <f>IF(表2_36716262930389121314152324252627283132[[#This Row],[累计净值]]&gt;0.998,0.8*(表2_36716262930389121314152324252627283132[[#This Row],[累计净值]]/$B$22-1),表2_36716262930389121314152324252627283132[[#This Row],[累计净值]]/$B$22-1)</f>
        <v>5.3707414829659329E-2</v>
      </c>
    </row>
    <row r="123" spans="1:7">
      <c r="A123" s="15">
        <v>44302</v>
      </c>
      <c r="B123" s="112">
        <v>1.0569999999999999</v>
      </c>
      <c r="C123" s="108">
        <f t="shared" si="43"/>
        <v>-8.0000000000000071E-3</v>
      </c>
      <c r="D123" s="109">
        <f t="shared" si="44"/>
        <v>-8.0000000000000071E-3</v>
      </c>
      <c r="E123" s="109">
        <f ca="1">IF(表2_36716262930389121314152324252627283132[[#This Row],[累计净值]]/MAX(INDIRECT("B21:B" &amp; ROW()))-1&lt;E122,表2_36716262930389121314152324252627283132[[#This Row],[累计净值]]/MAX(INDIRECT("B21:B" &amp; ROW()))-1,E122)</f>
        <v>-3.8216560509554132E-2</v>
      </c>
      <c r="F123" s="110">
        <f>表2_36716262930389121314152324252627283132[[#This Row],[累计净值]]</f>
        <v>1.0569999999999999</v>
      </c>
      <c r="G123" s="20">
        <f>IF(表2_36716262930389121314152324252627283132[[#This Row],[累计净值]]&gt;0.998,0.8*(表2_36716262930389121314152324252627283132[[#This Row],[累计净值]]/$B$22-1),表2_36716262930389121314152324252627283132[[#This Row],[累计净值]]/$B$22-1)</f>
        <v>4.7294589178356716E-2</v>
      </c>
    </row>
    <row r="124" spans="1:7">
      <c r="A124" s="15">
        <v>44305</v>
      </c>
      <c r="B124" s="112">
        <v>1.0569999999999999</v>
      </c>
      <c r="C124" s="108">
        <f t="shared" si="43"/>
        <v>0</v>
      </c>
      <c r="D124" s="109" t="str">
        <f t="shared" si="44"/>
        <v>/</v>
      </c>
      <c r="E124" s="109">
        <f ca="1">IF(表2_36716262930389121314152324252627283132[[#This Row],[累计净值]]/MAX(INDIRECT("B21:B" &amp; ROW()))-1&lt;E123,表2_36716262930389121314152324252627283132[[#This Row],[累计净值]]/MAX(INDIRECT("B21:B" &amp; ROW()))-1,E123)</f>
        <v>-3.8216560509554132E-2</v>
      </c>
      <c r="F124" s="110">
        <f>表2_36716262930389121314152324252627283132[[#This Row],[累计净值]]</f>
        <v>1.0569999999999999</v>
      </c>
      <c r="G124" s="20">
        <f>IF(表2_36716262930389121314152324252627283132[[#This Row],[累计净值]]&gt;0.998,0.8*(表2_36716262930389121314152324252627283132[[#This Row],[累计净值]]/$B$22-1),表2_36716262930389121314152324252627283132[[#This Row],[累计净值]]/$B$22-1)</f>
        <v>4.7294589178356716E-2</v>
      </c>
    </row>
    <row r="125" spans="1:7">
      <c r="A125" s="15">
        <v>44306</v>
      </c>
      <c r="B125" s="112">
        <v>1.0529999999999999</v>
      </c>
      <c r="C125" s="108">
        <f t="shared" si="43"/>
        <v>-4.0000000000000036E-3</v>
      </c>
      <c r="D125" s="109">
        <f t="shared" si="44"/>
        <v>-4.0000000000000036E-3</v>
      </c>
      <c r="E125" s="109">
        <f ca="1">IF(表2_36716262930389121314152324252627283132[[#This Row],[累计净值]]/MAX(INDIRECT("B21:B" &amp; ROW()))-1&lt;E124,表2_36716262930389121314152324252627283132[[#This Row],[累计净值]]/MAX(INDIRECT("B21:B" &amp; ROW()))-1,E124)</f>
        <v>-4.1856232939035509E-2</v>
      </c>
      <c r="F125" s="110">
        <f>表2_36716262930389121314152324252627283132[[#This Row],[累计净值]]</f>
        <v>1.0529999999999999</v>
      </c>
      <c r="G125" s="20">
        <f>IF(表2_36716262930389121314152324252627283132[[#This Row],[累计净值]]&gt;0.998,0.8*(表2_36716262930389121314152324252627283132[[#This Row],[累计净值]]/$B$22-1),表2_36716262930389121314152324252627283132[[#This Row],[累计净值]]/$B$22-1)</f>
        <v>4.4088176352705413E-2</v>
      </c>
    </row>
    <row r="126" spans="1:7">
      <c r="A126" s="15">
        <v>44307</v>
      </c>
      <c r="B126" s="112">
        <v>1.0489999999999999</v>
      </c>
      <c r="C126" s="108">
        <f t="shared" si="43"/>
        <v>-4.0000000000000036E-3</v>
      </c>
      <c r="D126" s="109">
        <f t="shared" si="44"/>
        <v>-4.0000000000000036E-3</v>
      </c>
      <c r="E126" s="109">
        <f ca="1">IF(表2_36716262930389121314152324252627283132[[#This Row],[累计净值]]/MAX(INDIRECT("B21:B" &amp; ROW()))-1&lt;E125,表2_36716262930389121314152324252627283132[[#This Row],[累计净值]]/MAX(INDIRECT("B21:B" &amp; ROW()))-1,E125)</f>
        <v>-4.5495905368516887E-2</v>
      </c>
      <c r="F126" s="110">
        <f>表2_36716262930389121314152324252627283132[[#This Row],[累计净值]]</f>
        <v>1.0489999999999999</v>
      </c>
      <c r="G126" s="20">
        <f>IF(表2_36716262930389121314152324252627283132[[#This Row],[累计净值]]&gt;0.998,0.8*(表2_36716262930389121314152324252627283132[[#This Row],[累计净值]]/$B$22-1),表2_36716262930389121314152324252627283132[[#This Row],[累计净值]]/$B$22-1)</f>
        <v>4.088176352705411E-2</v>
      </c>
    </row>
    <row r="127" spans="1:7">
      <c r="A127" s="15">
        <v>44308</v>
      </c>
      <c r="B127" s="112">
        <v>1.0489999999999999</v>
      </c>
      <c r="C127" s="108">
        <f t="shared" si="43"/>
        <v>0</v>
      </c>
      <c r="D127" s="109" t="str">
        <f t="shared" si="44"/>
        <v>/</v>
      </c>
      <c r="E127" s="109">
        <f ca="1">IF(表2_36716262930389121314152324252627283132[[#This Row],[累计净值]]/MAX(INDIRECT("B21:B" &amp; ROW()))-1&lt;E126,表2_36716262930389121314152324252627283132[[#This Row],[累计净值]]/MAX(INDIRECT("B21:B" &amp; ROW()))-1,E126)</f>
        <v>-4.5495905368516887E-2</v>
      </c>
      <c r="F127" s="110">
        <f>表2_36716262930389121314152324252627283132[[#This Row],[累计净值]]</f>
        <v>1.0489999999999999</v>
      </c>
      <c r="G127" s="20">
        <f>IF(表2_36716262930389121314152324252627283132[[#This Row],[累计净值]]&gt;0.998,0.8*(表2_36716262930389121314152324252627283132[[#This Row],[累计净值]]/$B$22-1),表2_36716262930389121314152324252627283132[[#This Row],[累计净值]]/$B$22-1)</f>
        <v>4.088176352705411E-2</v>
      </c>
    </row>
    <row r="128" spans="1:7">
      <c r="A128" s="15">
        <v>44309</v>
      </c>
      <c r="B128" s="112">
        <v>1.046</v>
      </c>
      <c r="C128" s="108">
        <f>IFERROR(B128-B127,0)</f>
        <v>-2.9999999999998916E-3</v>
      </c>
      <c r="D128" s="109">
        <f>IF(C128&lt;0,C128,"/")</f>
        <v>-2.9999999999998916E-3</v>
      </c>
      <c r="E128" s="109">
        <f ca="1">IF(表2_36716262930389121314152324252627283132[[#This Row],[累计净值]]/MAX(INDIRECT("B21:B" &amp; ROW()))-1&lt;E127,表2_36716262930389121314152324252627283132[[#This Row],[累计净值]]/MAX(INDIRECT("B21:B" &amp; ROW()))-1,E127)</f>
        <v>-4.8225659690627753E-2</v>
      </c>
      <c r="F128" s="110">
        <f>表2_36716262930389121314152324252627283132[[#This Row],[累计净值]]</f>
        <v>1.046</v>
      </c>
      <c r="G128" s="20">
        <f>IF(表2_36716262930389121314152324252627283132[[#This Row],[累计净值]]&gt;0.998,0.8*(表2_36716262930389121314152324252627283132[[#This Row],[累计净值]]/$B$22-1),表2_36716262930389121314152324252627283132[[#This Row],[累计净值]]/$B$22-1)</f>
        <v>3.8476953907815671E-2</v>
      </c>
    </row>
    <row r="129" spans="1:7">
      <c r="A129" s="15">
        <v>44312</v>
      </c>
      <c r="B129" s="112">
        <v>1.0569999999999999</v>
      </c>
      <c r="C129" s="108">
        <f>IFERROR(B129-B128,0)</f>
        <v>1.0999999999999899E-2</v>
      </c>
      <c r="D129" s="109" t="str">
        <f>IF(C129&lt;0,C129,"/")</f>
        <v>/</v>
      </c>
      <c r="E129" s="109">
        <f ca="1">IF(表2_36716262930389121314152324252627283132[[#This Row],[累计净值]]/MAX(INDIRECT("B21:B" &amp; ROW()))-1&lt;E128,表2_36716262930389121314152324252627283132[[#This Row],[累计净值]]/MAX(INDIRECT("B21:B" &amp; ROW()))-1,E128)</f>
        <v>-4.8225659690627753E-2</v>
      </c>
      <c r="F129" s="110">
        <f>表2_36716262930389121314152324252627283132[[#This Row],[累计净值]]</f>
        <v>1.0569999999999999</v>
      </c>
      <c r="G129" s="20">
        <f>IF(表2_36716262930389121314152324252627283132[[#This Row],[累计净值]]&gt;0.998,0.8*(表2_36716262930389121314152324252627283132[[#This Row],[累计净值]]/$B$22-1),表2_36716262930389121314152324252627283132[[#This Row],[累计净值]]/$B$22-1)</f>
        <v>4.7294589178356716E-2</v>
      </c>
    </row>
    <row r="130" spans="1:7">
      <c r="A130" s="15">
        <v>44313</v>
      </c>
      <c r="B130" s="112">
        <v>1.069</v>
      </c>
      <c r="C130" s="108">
        <f>IFERROR(B130-B129,0)</f>
        <v>1.2000000000000011E-2</v>
      </c>
      <c r="D130" s="109" t="str">
        <f>IF(C130&lt;0,C130,"/")</f>
        <v>/</v>
      </c>
      <c r="E130" s="109">
        <f ca="1">IF(表2_36716262930389121314152324252627283132[[#This Row],[累计净值]]/MAX(INDIRECT("B21:B" &amp; ROW()))-1&lt;E129,表2_36716262930389121314152324252627283132[[#This Row],[累计净值]]/MAX(INDIRECT("B21:B" &amp; ROW()))-1,E129)</f>
        <v>-4.8225659690627753E-2</v>
      </c>
      <c r="F130" s="110">
        <f>表2_36716262930389121314152324252627283132[[#This Row],[累计净值]]</f>
        <v>1.069</v>
      </c>
      <c r="G130" s="20">
        <f>IF(表2_36716262930389121314152324252627283132[[#This Row],[累计净值]]&gt;0.998,0.8*(表2_36716262930389121314152324252627283132[[#This Row],[累计净值]]/$B$22-1),表2_36716262930389121314152324252627283132[[#This Row],[累计净值]]/$B$22-1)</f>
        <v>5.6913827655310639E-2</v>
      </c>
    </row>
    <row r="131" spans="1:7">
      <c r="A131" s="15">
        <v>44314</v>
      </c>
      <c r="B131" s="391">
        <v>1.0509999999999999</v>
      </c>
      <c r="C131" s="108">
        <f>IFERROR(B131-B130,0)</f>
        <v>-1.8000000000000016E-2</v>
      </c>
      <c r="D131" s="109">
        <f>IF(C131&lt;0,C131,"/")</f>
        <v>-1.8000000000000016E-2</v>
      </c>
      <c r="E131" s="109">
        <f ca="1">IF(表2_36716262930389121314152324252627283132[[#This Row],[累计净值]]/MAX(INDIRECT("B21:B" &amp; ROW()))-1&lt;E130,表2_36716262930389121314152324252627283132[[#This Row],[累计净值]]/MAX(INDIRECT("B21:B" &amp; ROW()))-1,E130)</f>
        <v>-4.8225659690627753E-2</v>
      </c>
      <c r="F131" s="110">
        <f>表2_36716262930389121314152324252627283132[[#This Row],[累计净值]]</f>
        <v>1.0509999999999999</v>
      </c>
      <c r="G131" s="20">
        <f>IF(表2_36716262930389121314152324252627283132[[#This Row],[累计净值]]&gt;0.998,0.8*(表2_36716262930389121314152324252627283132[[#This Row],[累计净值]]/$B$22-1),表2_36716262930389121314152324252627283132[[#This Row],[累计净值]]/$B$22-1)</f>
        <v>4.2484969939879672E-2</v>
      </c>
    </row>
    <row r="132" spans="1:7">
      <c r="A132" s="15">
        <v>44315</v>
      </c>
      <c r="B132" s="112">
        <v>1.0580000000000001</v>
      </c>
      <c r="C132" s="108">
        <f t="shared" ref="C132:C134" si="45">IFERROR(B132-B131,0)</f>
        <v>7.0000000000001172E-3</v>
      </c>
      <c r="D132" s="109" t="str">
        <f t="shared" ref="D132:D134" si="46">IF(C132&lt;0,C132,"/")</f>
        <v>/</v>
      </c>
      <c r="E132" s="109">
        <f ca="1">IF(表2_36716262930389121314152324252627283132[[#This Row],[累计净值]]/MAX(INDIRECT("B21:B" &amp; ROW()))-1&lt;E131,表2_36716262930389121314152324252627283132[[#This Row],[累计净值]]/MAX(INDIRECT("B21:B" &amp; ROW()))-1,E131)</f>
        <v>-4.8225659690627753E-2</v>
      </c>
      <c r="F132" s="110">
        <f>表2_36716262930389121314152324252627283132[[#This Row],[累计净值]]</f>
        <v>1.0580000000000001</v>
      </c>
      <c r="G132" s="20">
        <f>IF(表2_36716262930389121314152324252627283132[[#This Row],[累计净值]]&gt;0.998,0.8*(表2_36716262930389121314152324252627283132[[#This Row],[累计净值]]/$B$22-1),表2_36716262930389121314152324252627283132[[#This Row],[累计净值]]/$B$22-1)</f>
        <v>4.8096192384769587E-2</v>
      </c>
    </row>
    <row r="133" spans="1:7">
      <c r="A133" s="15">
        <v>44316</v>
      </c>
      <c r="B133" s="112">
        <v>1.0580000000000001</v>
      </c>
      <c r="C133" s="108">
        <f t="shared" si="45"/>
        <v>0</v>
      </c>
      <c r="D133" s="109" t="str">
        <f t="shared" si="46"/>
        <v>/</v>
      </c>
      <c r="E133" s="109">
        <f ca="1">IF(表2_36716262930389121314152324252627283132[[#This Row],[累计净值]]/MAX(INDIRECT("B21:B" &amp; ROW()))-1&lt;E132,表2_36716262930389121314152324252627283132[[#This Row],[累计净值]]/MAX(INDIRECT("B21:B" &amp; ROW()))-1,E132)</f>
        <v>-4.8225659690627753E-2</v>
      </c>
      <c r="F133" s="110">
        <f>表2_36716262930389121314152324252627283132[[#This Row],[累计净值]]</f>
        <v>1.0580000000000001</v>
      </c>
      <c r="G133" s="20">
        <f>IF(表2_36716262930389121314152324252627283132[[#This Row],[累计净值]]&gt;0.998,0.8*(表2_36716262930389121314152324252627283132[[#This Row],[累计净值]]/$B$22-1),表2_36716262930389121314152324252627283132[[#This Row],[累计净值]]/$B$22-1)</f>
        <v>4.8096192384769587E-2</v>
      </c>
    </row>
    <row r="134" spans="1:7">
      <c r="A134" s="15">
        <v>44322</v>
      </c>
      <c r="B134" s="112">
        <v>1.101</v>
      </c>
      <c r="C134" s="108">
        <f t="shared" si="45"/>
        <v>4.2999999999999927E-2</v>
      </c>
      <c r="D134" s="109" t="str">
        <f t="shared" si="46"/>
        <v>/</v>
      </c>
      <c r="E134" s="109">
        <f ca="1">IF(表2_36716262930389121314152324252627283132[[#This Row],[累计净值]]/MAX(INDIRECT("B21:B" &amp; ROW()))-1&lt;E133,表2_36716262930389121314152324252627283132[[#This Row],[累计净值]]/MAX(INDIRECT("B21:B" &amp; ROW()))-1,E133)</f>
        <v>-4.8225659690627753E-2</v>
      </c>
      <c r="F134" s="110">
        <f>表2_36716262930389121314152324252627283132[[#This Row],[累计净值]]</f>
        <v>1.101</v>
      </c>
      <c r="G134" s="20">
        <f>IF(表2_36716262930389121314152324252627283132[[#This Row],[累计净值]]&gt;0.998,0.8*(表2_36716262930389121314152324252627283132[[#This Row],[累计净值]]/$B$22-1),表2_36716262930389121314152324252627283132[[#This Row],[累计净值]]/$B$22-1)</f>
        <v>8.2565130260521091E-2</v>
      </c>
    </row>
    <row r="135" spans="1:7">
      <c r="A135" s="15">
        <v>44323</v>
      </c>
      <c r="B135" s="112">
        <v>1.1379999999999999</v>
      </c>
      <c r="C135" s="108">
        <f t="shared" ref="C135:C140" si="47">IFERROR(B135-B134,0)</f>
        <v>3.6999999999999922E-2</v>
      </c>
      <c r="D135" s="109" t="str">
        <f t="shared" ref="D135:D140" si="48">IF(C135&lt;0,C135,"/")</f>
        <v>/</v>
      </c>
      <c r="E135" s="109">
        <f ca="1">IF(表2_36716262930389121314152324252627283132[[#This Row],[累计净值]]/MAX(INDIRECT("B21:B" &amp; ROW()))-1&lt;E134,表2_36716262930389121314152324252627283132[[#This Row],[累计净值]]/MAX(INDIRECT("B21:B" &amp; ROW()))-1,E134)</f>
        <v>-4.8225659690627753E-2</v>
      </c>
      <c r="F135" s="110">
        <f>表2_36716262930389121314152324252627283132[[#This Row],[累计净值]]</f>
        <v>1.1379999999999999</v>
      </c>
      <c r="G135" s="20">
        <f>IF(表2_36716262930389121314152324252627283132[[#This Row],[累计净值]]&gt;0.998,0.8*(表2_36716262930389121314152324252627283132[[#This Row],[累计净值]]/$B$22-1),表2_36716262930389121314152324252627283132[[#This Row],[累计净值]]/$B$22-1)</f>
        <v>0.11222444889779554</v>
      </c>
    </row>
    <row r="136" spans="1:7">
      <c r="A136" s="15">
        <v>44326</v>
      </c>
      <c r="B136" s="112">
        <v>1.181</v>
      </c>
      <c r="C136" s="108">
        <f t="shared" si="47"/>
        <v>4.3000000000000149E-2</v>
      </c>
      <c r="D136" s="109" t="str">
        <f t="shared" si="48"/>
        <v>/</v>
      </c>
      <c r="E136" s="109">
        <f ca="1">IF(表2_36716262930389121314152324252627283132[[#This Row],[累计净值]]/MAX(INDIRECT("B21:B" &amp; ROW()))-1&lt;E135,表2_36716262930389121314152324252627283132[[#This Row],[累计净值]]/MAX(INDIRECT("B21:B" &amp; ROW()))-1,E135)</f>
        <v>-4.8225659690627753E-2</v>
      </c>
      <c r="F136" s="110">
        <f>表2_36716262930389121314152324252627283132[[#This Row],[累计净值]]</f>
        <v>1.181</v>
      </c>
      <c r="G136" s="20">
        <f>IF(表2_36716262930389121314152324252627283132[[#This Row],[累计净值]]&gt;0.998,0.8*(表2_36716262930389121314152324252627283132[[#This Row],[累计净值]]/$B$22-1),表2_36716262930389121314152324252627283132[[#This Row],[累计净值]]/$B$22-1)</f>
        <v>0.14669338677354721</v>
      </c>
    </row>
    <row r="137" spans="1:7">
      <c r="A137" s="15">
        <v>44327</v>
      </c>
      <c r="B137" s="112">
        <v>1.177</v>
      </c>
      <c r="C137" s="108">
        <f t="shared" si="47"/>
        <v>-4.0000000000000036E-3</v>
      </c>
      <c r="D137" s="109">
        <f t="shared" si="48"/>
        <v>-4.0000000000000036E-3</v>
      </c>
      <c r="E137" s="109">
        <f ca="1">IF(表2_36716262930389121314152324252627283132[[#This Row],[累计净值]]/MAX(INDIRECT("B21:B" &amp; ROW()))-1&lt;E136,表2_36716262930389121314152324252627283132[[#This Row],[累计净值]]/MAX(INDIRECT("B21:B" &amp; ROW()))-1,E136)</f>
        <v>-4.8225659690627753E-2</v>
      </c>
      <c r="F137" s="110">
        <f>表2_36716262930389121314152324252627283132[[#This Row],[累计净值]]</f>
        <v>1.177</v>
      </c>
      <c r="G137" s="20">
        <f>IF(表2_36716262930389121314152324252627283132[[#This Row],[累计净值]]&gt;0.998,0.8*(表2_36716262930389121314152324252627283132[[#This Row],[累计净值]]/$B$22-1),表2_36716262930389121314152324252627283132[[#This Row],[累计净值]]/$B$22-1)</f>
        <v>0.14348697394789589</v>
      </c>
    </row>
    <row r="138" spans="1:7">
      <c r="A138" s="15">
        <v>44328</v>
      </c>
      <c r="B138" s="112">
        <v>1.2150000000000001</v>
      </c>
      <c r="C138" s="108">
        <f t="shared" si="47"/>
        <v>3.8000000000000034E-2</v>
      </c>
      <c r="D138" s="109" t="str">
        <f t="shared" si="48"/>
        <v>/</v>
      </c>
      <c r="E138" s="109">
        <f ca="1">IF(表2_36716262930389121314152324252627283132[[#This Row],[累计净值]]/MAX(INDIRECT("B21:B" &amp; ROW()))-1&lt;E137,表2_36716262930389121314152324252627283132[[#This Row],[累计净值]]/MAX(INDIRECT("B21:B" &amp; ROW()))-1,E137)</f>
        <v>-4.8225659690627753E-2</v>
      </c>
      <c r="F138" s="110">
        <f>表2_36716262930389121314152324252627283132[[#This Row],[累计净值]]</f>
        <v>1.2150000000000001</v>
      </c>
      <c r="G138" s="20">
        <f>IF(表2_36716262930389121314152324252627283132[[#This Row],[累计净值]]&gt;0.998,0.8*(表2_36716262930389121314152324252627283132[[#This Row],[累计净值]]/$B$22-1),表2_36716262930389121314152324252627283132[[#This Row],[累计净值]]/$B$22-1)</f>
        <v>0.17394789579158321</v>
      </c>
    </row>
    <row r="139" spans="1:7">
      <c r="A139" s="15">
        <v>44329</v>
      </c>
      <c r="B139" s="112">
        <v>1.232</v>
      </c>
      <c r="C139" s="108">
        <f t="shared" si="47"/>
        <v>1.6999999999999904E-2</v>
      </c>
      <c r="D139" s="109" t="str">
        <f t="shared" si="48"/>
        <v>/</v>
      </c>
      <c r="E139" s="109">
        <f ca="1">IF(表2_36716262930389121314152324252627283132[[#This Row],[累计净值]]/MAX(INDIRECT("B21:B" &amp; ROW()))-1&lt;E138,表2_36716262930389121314152324252627283132[[#This Row],[累计净值]]/MAX(INDIRECT("B21:B" &amp; ROW()))-1,E138)</f>
        <v>-4.8225659690627753E-2</v>
      </c>
      <c r="F139" s="110">
        <f>表2_36716262930389121314152324252627283132[[#This Row],[累计净值]]</f>
        <v>1.232</v>
      </c>
      <c r="G139" s="20">
        <f>IF(表2_36716262930389121314152324252627283132[[#This Row],[累计净值]]&gt;0.998,0.8*(表2_36716262930389121314152324252627283132[[#This Row],[累计净值]]/$B$22-1),表2_36716262930389121314152324252627283132[[#This Row],[累计净值]]/$B$22-1)</f>
        <v>0.18757515030060112</v>
      </c>
    </row>
    <row r="140" spans="1:7">
      <c r="A140" s="15">
        <v>44330</v>
      </c>
      <c r="B140" s="112">
        <v>1.1439999999999999</v>
      </c>
      <c r="C140" s="108">
        <f t="shared" si="47"/>
        <v>-8.8000000000000078E-2</v>
      </c>
      <c r="D140" s="109">
        <f t="shared" si="48"/>
        <v>-8.8000000000000078E-2</v>
      </c>
      <c r="E140" s="109">
        <f ca="1">IF(表2_36716262930389121314152324252627283132[[#This Row],[累计净值]]/MAX(INDIRECT("B21:B" &amp; ROW()))-1&lt;E139,表2_36716262930389121314152324252627283132[[#This Row],[累计净值]]/MAX(INDIRECT("B21:B" &amp; ROW()))-1,E139)</f>
        <v>-7.1428571428571508E-2</v>
      </c>
      <c r="F140" s="110">
        <f>表2_36716262930389121314152324252627283132[[#This Row],[累计净值]]</f>
        <v>1.1439999999999999</v>
      </c>
      <c r="G140" s="20">
        <f>IF(表2_36716262930389121314152324252627283132[[#This Row],[累计净值]]&gt;0.998,0.8*(表2_36716262930389121314152324252627283132[[#This Row],[累计净值]]/$B$22-1),表2_36716262930389121314152324252627283132[[#This Row],[累计净值]]/$B$22-1)</f>
        <v>0.1170340681362724</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200"/>
  <sheetViews>
    <sheetView workbookViewId="0">
      <pane xSplit="1" ySplit="20" topLeftCell="B186" activePane="bottomRight" state="frozen"/>
      <selection pane="topRight" activeCell="B1" sqref="B1"/>
      <selection pane="bottomLeft" activeCell="A21" sqref="A21"/>
      <selection pane="bottomRight" activeCell="L197" sqref="L197"/>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COUNT(表2_367162629303891213141523242526272835[每日盈亏])</f>
        <v>180</v>
      </c>
      <c r="C2" s="27"/>
      <c r="D2" s="3" t="s">
        <v>1</v>
      </c>
      <c r="E2" s="28"/>
      <c r="F2" s="1" t="s">
        <v>2</v>
      </c>
      <c r="G2" s="400" t="s">
        <v>3</v>
      </c>
    </row>
    <row r="3" spans="1:7">
      <c r="A3" s="25" t="s">
        <v>4</v>
      </c>
      <c r="B3" s="26">
        <f>COUNTIF(表2_367162629303891213141523242526272835[每日盈亏],"&gt;0")</f>
        <v>119</v>
      </c>
      <c r="C3" s="29"/>
      <c r="D3" s="30" t="s">
        <v>5</v>
      </c>
      <c r="E3" s="31">
        <f>245^0.5*(B10-0.025/365)/E10</f>
        <v>2.9129762126765195</v>
      </c>
      <c r="G3" s="400"/>
    </row>
    <row r="4" spans="1:7">
      <c r="A4" s="25" t="s">
        <v>6</v>
      </c>
      <c r="B4" s="26">
        <f>COUNTIF(表2_367162629303891213141523242526272835[每日盈亏],"&lt;0")</f>
        <v>56</v>
      </c>
      <c r="C4" s="29"/>
      <c r="D4" s="32" t="s">
        <v>7</v>
      </c>
      <c r="E4" s="31">
        <f ca="1">-B9/E8</f>
        <v>8.3163722561665647</v>
      </c>
      <c r="G4" s="2">
        <f>LOOKUP(999^10,表2_367162629303891213141523242526272835[累计净值])</f>
        <v>1.2443</v>
      </c>
    </row>
    <row r="5" spans="1:7">
      <c r="A5" s="25" t="s">
        <v>8</v>
      </c>
      <c r="B5" s="26">
        <f>B2-B3-B4</f>
        <v>5</v>
      </c>
      <c r="C5" s="29"/>
      <c r="D5" s="33" t="s">
        <v>9</v>
      </c>
      <c r="E5" s="4">
        <f>245^0.5*(B10-0.025/365)/E9</f>
        <v>3.3745124360082599</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LOOKUP(999^10,表2_367162629303891213141523242526272835[累计净值])/$B$21-1</f>
        <v>0.24429999999999996</v>
      </c>
      <c r="C8" s="40"/>
      <c r="D8" s="30" t="s">
        <v>13</v>
      </c>
      <c r="E8" s="41">
        <f ca="1">MIN(表2_367162629303891213141523242526272835[最大回撤])</f>
        <v>-3.99837133550488E-2</v>
      </c>
    </row>
    <row r="9" spans="1:7">
      <c r="A9" s="25" t="s">
        <v>14</v>
      </c>
      <c r="B9" s="32">
        <f>B8*245/B2</f>
        <v>0.33251944444444437</v>
      </c>
      <c r="C9" s="40"/>
      <c r="D9" s="33" t="s">
        <v>15</v>
      </c>
      <c r="E9" s="6">
        <f>STDEV(表2_367162629303891213141523242526272835[下跌幅度])</f>
        <v>5.9776933830548848E-3</v>
      </c>
    </row>
    <row r="10" spans="1:7">
      <c r="A10" s="42" t="s">
        <v>16</v>
      </c>
      <c r="B10" s="43">
        <f>AVERAGE(表2_367162629303891213141523242526272835[每日盈亏])</f>
        <v>1.3572222222222219E-3</v>
      </c>
      <c r="C10" s="44"/>
      <c r="D10" s="33" t="s">
        <v>17</v>
      </c>
      <c r="E10" s="6">
        <f>STDEV(表2_367162629303891213141523242526272835[每日盈亏])</f>
        <v>6.9248078896012033E-3</v>
      </c>
    </row>
    <row r="11" spans="1:7">
      <c r="A11" s="7" t="s">
        <v>18</v>
      </c>
      <c r="B11" s="32">
        <f>B3/B2</f>
        <v>0.66111111111111109</v>
      </c>
      <c r="C11" s="40"/>
      <c r="D11" s="32" t="s">
        <v>19</v>
      </c>
      <c r="E11" s="41">
        <f>245^0.5*E10</f>
        <v>0.10839038820592606</v>
      </c>
    </row>
    <row r="12" spans="1:7" ht="16" thickBot="1">
      <c r="A12" s="45" t="s">
        <v>20</v>
      </c>
      <c r="B12" s="46">
        <f>-(SUMIF(表2_367162629303891213141523242526272835[每日盈亏],"&gt;=0")/B3)/(SUMIF(表2_367162629303891213141523242526272835[每日盈亏],"&lt;0")/B4)</f>
        <v>0.85611709472521591</v>
      </c>
      <c r="C12" s="47"/>
      <c r="D12" s="48"/>
      <c r="E12" s="49"/>
    </row>
    <row r="14" spans="1:7" ht="32">
      <c r="A14" s="50" t="s">
        <v>21</v>
      </c>
      <c r="B14" s="50" t="s">
        <v>14</v>
      </c>
      <c r="C14" s="51" t="s">
        <v>19</v>
      </c>
      <c r="D14" s="51" t="s">
        <v>13</v>
      </c>
      <c r="E14" s="51" t="s">
        <v>5</v>
      </c>
      <c r="F14" s="51" t="s">
        <v>7</v>
      </c>
    </row>
    <row r="15" spans="1:7">
      <c r="A15" s="78">
        <f>B2</f>
        <v>180</v>
      </c>
      <c r="B15" s="53">
        <f>B9</f>
        <v>0.33251944444444437</v>
      </c>
      <c r="C15" s="53">
        <f>E11</f>
        <v>0.10839038820592606</v>
      </c>
      <c r="D15" s="53">
        <f ca="1">E8</f>
        <v>-3.99837133550488E-2</v>
      </c>
      <c r="E15" s="54">
        <f>E3</f>
        <v>2.9129762126765195</v>
      </c>
      <c r="F15" s="54">
        <f ca="1">E4</f>
        <v>8.3163722561665647</v>
      </c>
    </row>
    <row r="19" spans="1:7">
      <c r="A19" s="8"/>
      <c r="B19" s="1" t="s">
        <v>22</v>
      </c>
    </row>
    <row r="20" spans="1:7" ht="16">
      <c r="A20" s="22" t="s">
        <v>23</v>
      </c>
      <c r="B20" s="22" t="s">
        <v>24</v>
      </c>
      <c r="C20" s="22" t="s">
        <v>25</v>
      </c>
      <c r="D20" s="22" t="s">
        <v>26</v>
      </c>
      <c r="E20" s="22" t="s">
        <v>27</v>
      </c>
      <c r="F20" s="22" t="s">
        <v>28</v>
      </c>
      <c r="G20" s="22" t="s">
        <v>29</v>
      </c>
    </row>
    <row r="21" spans="1:7">
      <c r="A21" s="212">
        <v>44060</v>
      </c>
      <c r="B21" s="169">
        <v>1</v>
      </c>
      <c r="C21" s="11">
        <f t="shared" ref="C21:C33" si="0">IFERROR(B21-B20,0)</f>
        <v>0</v>
      </c>
      <c r="D21" s="12" t="str">
        <f>IF(C21&lt;0,C21,"/")</f>
        <v>/</v>
      </c>
      <c r="E21" s="12">
        <f ca="1">IF(表2_367162629303891213141523242526272835[[#This Row],[累计净值]]/MAX(INDIRECT("B21:B" &amp; ROW()))-1&lt;E20,表2_367162629303891213141523242526272835[[#This Row],[累计净值]]/MAX(INDIRECT("B21:B" &amp; ROW()))-1,E20)</f>
        <v>0</v>
      </c>
      <c r="F21" s="13">
        <f>表2_367162629303891213141523242526272835[[#This Row],[累计净值]]</f>
        <v>1</v>
      </c>
      <c r="G21" s="194" t="s">
        <v>30</v>
      </c>
    </row>
    <row r="22" spans="1:7">
      <c r="A22" s="212">
        <v>44061</v>
      </c>
      <c r="B22" s="169">
        <v>0.99990000000000001</v>
      </c>
      <c r="C22" s="17">
        <f t="shared" si="0"/>
        <v>-9.9999999999988987E-5</v>
      </c>
      <c r="D22" s="18">
        <f>IF(C22&lt;0,C22,"/")</f>
        <v>-9.9999999999988987E-5</v>
      </c>
      <c r="E22" s="18">
        <f ca="1">IF(表2_367162629303891213141523242526272835[[#This Row],[累计净值]]/MAX(INDIRECT("B21:B" &amp; ROW()))-1&lt;E21,表2_367162629303891213141523242526272835[[#This Row],[累计净值]]/MAX(INDIRECT("B21:B" &amp; ROW()))-1,E21)</f>
        <v>-9.9999999999988987E-5</v>
      </c>
      <c r="F22" s="19">
        <f>表2_367162629303891213141523242526272835[[#This Row],[累计净值]]</f>
        <v>0.99990000000000001</v>
      </c>
      <c r="G22" s="20"/>
    </row>
    <row r="23" spans="1:7">
      <c r="A23" s="212">
        <v>44062</v>
      </c>
      <c r="B23" s="169">
        <v>0.99990000000000001</v>
      </c>
      <c r="C23" s="17">
        <f t="shared" si="0"/>
        <v>0</v>
      </c>
      <c r="D23" s="109" t="str">
        <f>IF(C23&lt;0,C23,"/")</f>
        <v>/</v>
      </c>
      <c r="E23" s="18">
        <f ca="1">IF(表2_367162629303891213141523242526272835[[#This Row],[累计净值]]/MAX(INDIRECT("B21:B" &amp; ROW()))-1&lt;E22,表2_367162629303891213141523242526272835[[#This Row],[累计净值]]/MAX(INDIRECT("B21:B" &amp; ROW()))-1,E22)</f>
        <v>-9.9999999999988987E-5</v>
      </c>
      <c r="F23" s="110">
        <f>表2_367162629303891213141523242526272835[[#This Row],[累计净值]]</f>
        <v>0.99990000000000001</v>
      </c>
      <c r="G23" s="20"/>
    </row>
    <row r="24" spans="1:7">
      <c r="A24" s="212">
        <v>44063</v>
      </c>
      <c r="B24" s="169">
        <v>0.99980000000000002</v>
      </c>
      <c r="C24" s="17">
        <f t="shared" si="0"/>
        <v>-9.9999999999988987E-5</v>
      </c>
      <c r="D24" s="109">
        <f>IF(C24&lt;0,C24,"/")</f>
        <v>-9.9999999999988987E-5</v>
      </c>
      <c r="E24" s="18">
        <f ca="1">IF(表2_367162629303891213141523242526272835[[#This Row],[累计净值]]/MAX(INDIRECT("B21:B" &amp; ROW()))-1&lt;E23,表2_367162629303891213141523242526272835[[#This Row],[累计净值]]/MAX(INDIRECT("B21:B" &amp; ROW()))-1,E23)</f>
        <v>-1.9999999999997797E-4</v>
      </c>
      <c r="F24" s="110">
        <f>表2_367162629303891213141523242526272835[[#This Row],[累计净值]]</f>
        <v>0.99980000000000002</v>
      </c>
      <c r="G24" s="20"/>
    </row>
    <row r="25" spans="1:7">
      <c r="A25" s="212">
        <v>44064</v>
      </c>
      <c r="B25" s="169">
        <v>0.99939999999999996</v>
      </c>
      <c r="C25" s="17">
        <f t="shared" si="0"/>
        <v>-4.0000000000006697E-4</v>
      </c>
      <c r="D25" s="109">
        <f>IF(C25&lt;0,C25,"/")</f>
        <v>-4.0000000000006697E-4</v>
      </c>
      <c r="E25" s="18">
        <f ca="1">IF(表2_367162629303891213141523242526272835[[#This Row],[累计净值]]/MAX(INDIRECT("B21:B" &amp; ROW()))-1&lt;E24,表2_367162629303891213141523242526272835[[#This Row],[累计净值]]/MAX(INDIRECT("B21:B" &amp; ROW()))-1,E24)</f>
        <v>-6.0000000000004494E-4</v>
      </c>
      <c r="F25" s="110">
        <f>表2_367162629303891213141523242526272835[[#This Row],[累计净值]]</f>
        <v>0.99939999999999996</v>
      </c>
      <c r="G25" s="20"/>
    </row>
    <row r="26" spans="1:7">
      <c r="A26" s="212">
        <v>44067</v>
      </c>
      <c r="B26" s="169">
        <v>1.0018</v>
      </c>
      <c r="C26" s="17">
        <f t="shared" si="0"/>
        <v>2.4000000000000687E-3</v>
      </c>
      <c r="D26" s="109" t="str">
        <f t="shared" ref="D26:D64" si="1">IF(C26&lt;0,C26,"/")</f>
        <v>/</v>
      </c>
      <c r="E26" s="18">
        <f ca="1">IF(表2_367162629303891213141523242526272835[[#This Row],[累计净值]]/MAX(INDIRECT("B21:B" &amp; ROW()))-1&lt;E25,表2_367162629303891213141523242526272835[[#This Row],[累计净值]]/MAX(INDIRECT("B21:B" &amp; ROW()))-1,E25)</f>
        <v>-6.0000000000004494E-4</v>
      </c>
      <c r="F26" s="110">
        <f>表2_367162629303891213141523242526272835[[#This Row],[累计净值]]</f>
        <v>1.0018</v>
      </c>
      <c r="G26" s="20"/>
    </row>
    <row r="27" spans="1:7">
      <c r="A27" s="212">
        <v>44068</v>
      </c>
      <c r="B27" s="169">
        <v>1.0048999999999999</v>
      </c>
      <c r="C27" s="17">
        <f t="shared" si="0"/>
        <v>3.0999999999998806E-3</v>
      </c>
      <c r="D27" s="109" t="str">
        <f t="shared" si="1"/>
        <v>/</v>
      </c>
      <c r="E27" s="18">
        <f ca="1">IF(表2_367162629303891213141523242526272835[[#This Row],[累计净值]]/MAX(INDIRECT("B21:B" &amp; ROW()))-1&lt;E26,表2_367162629303891213141523242526272835[[#This Row],[累计净值]]/MAX(INDIRECT("B21:B" &amp; ROW()))-1,E26)</f>
        <v>-6.0000000000004494E-4</v>
      </c>
      <c r="F27" s="110">
        <f>表2_367162629303891213141523242526272835[[#This Row],[累计净值]]</f>
        <v>1.0048999999999999</v>
      </c>
      <c r="G27" s="20"/>
    </row>
    <row r="28" spans="1:7">
      <c r="A28" s="212">
        <v>44069</v>
      </c>
      <c r="B28" s="169">
        <v>0.99950000000000006</v>
      </c>
      <c r="C28" s="108">
        <f t="shared" si="0"/>
        <v>-5.3999999999998494E-3</v>
      </c>
      <c r="D28" s="109">
        <f t="shared" si="1"/>
        <v>-5.3999999999998494E-3</v>
      </c>
      <c r="E28" s="109">
        <f ca="1">IF(表2_367162629303891213141523242526272835[[#This Row],[累计净值]]/MAX(INDIRECT("B21:B" &amp; ROW()))-1&lt;E27,表2_367162629303891213141523242526272835[[#This Row],[累计净值]]/MAX(INDIRECT("B21:B" &amp; ROW()))-1,E27)</f>
        <v>-5.3736690217930372E-3</v>
      </c>
      <c r="F28" s="110">
        <f>表2_367162629303891213141523242526272835[[#This Row],[累计净值]]</f>
        <v>0.99950000000000006</v>
      </c>
      <c r="G28" s="20"/>
    </row>
    <row r="29" spans="1:7">
      <c r="A29" s="212">
        <v>44070</v>
      </c>
      <c r="B29" s="169">
        <v>1.0055000000000001</v>
      </c>
      <c r="C29" s="108">
        <f t="shared" si="0"/>
        <v>6.0000000000000053E-3</v>
      </c>
      <c r="D29" s="109" t="str">
        <f t="shared" si="1"/>
        <v>/</v>
      </c>
      <c r="E29" s="109">
        <f ca="1">IF(表2_367162629303891213141523242526272835[[#This Row],[累计净值]]/MAX(INDIRECT("B21:B" &amp; ROW()))-1&lt;E28,表2_367162629303891213141523242526272835[[#This Row],[累计净值]]/MAX(INDIRECT("B21:B" &amp; ROW()))-1,E28)</f>
        <v>-5.3736690217930372E-3</v>
      </c>
      <c r="F29" s="110">
        <f>表2_367162629303891213141523242526272835[[#This Row],[累计净值]]</f>
        <v>1.0055000000000001</v>
      </c>
      <c r="G29" s="20"/>
    </row>
    <row r="30" spans="1:7">
      <c r="A30" s="212">
        <v>44071</v>
      </c>
      <c r="B30" s="169">
        <v>1.0128999999999999</v>
      </c>
      <c r="C30" s="108">
        <f t="shared" si="0"/>
        <v>7.3999999999998511E-3</v>
      </c>
      <c r="D30" s="109" t="str">
        <f t="shared" si="1"/>
        <v>/</v>
      </c>
      <c r="E30" s="109">
        <f ca="1">IF(表2_367162629303891213141523242526272835[[#This Row],[累计净值]]/MAX(INDIRECT("B21:B" &amp; ROW()))-1&lt;E29,表2_367162629303891213141523242526272835[[#This Row],[累计净值]]/MAX(INDIRECT("B21:B" &amp; ROW()))-1,E29)</f>
        <v>-5.3736690217930372E-3</v>
      </c>
      <c r="F30" s="110">
        <f>表2_367162629303891213141523242526272835[[#This Row],[累计净值]]</f>
        <v>1.0128999999999999</v>
      </c>
      <c r="G30" s="20"/>
    </row>
    <row r="31" spans="1:7">
      <c r="A31" s="212">
        <v>44074</v>
      </c>
      <c r="B31" s="169">
        <v>1.0122</v>
      </c>
      <c r="C31" s="108">
        <f t="shared" si="0"/>
        <v>-6.9999999999992291E-4</v>
      </c>
      <c r="D31" s="109">
        <f t="shared" si="1"/>
        <v>-6.9999999999992291E-4</v>
      </c>
      <c r="E31" s="109">
        <f ca="1">IF(表2_367162629303891213141523242526272835[[#This Row],[累计净值]]/MAX(INDIRECT("B21:B" &amp; ROW()))-1&lt;E30,表2_367162629303891213141523242526272835[[#This Row],[累计净值]]/MAX(INDIRECT("B21:B" &amp; ROW()))-1,E30)</f>
        <v>-5.3736690217930372E-3</v>
      </c>
      <c r="F31" s="110">
        <f>表2_367162629303891213141523242526272835[[#This Row],[累计净值]]</f>
        <v>1.0122</v>
      </c>
      <c r="G31" s="20"/>
    </row>
    <row r="32" spans="1:7">
      <c r="A32" s="212">
        <v>44075</v>
      </c>
      <c r="B32" s="169">
        <v>1.0154000000000001</v>
      </c>
      <c r="C32" s="108">
        <f t="shared" si="0"/>
        <v>3.2000000000000917E-3</v>
      </c>
      <c r="D32" s="109" t="str">
        <f t="shared" si="1"/>
        <v>/</v>
      </c>
      <c r="E32" s="109">
        <f ca="1">IF(表2_367162629303891213141523242526272835[[#This Row],[累计净值]]/MAX(INDIRECT("B21:B" &amp; ROW()))-1&lt;E31,表2_367162629303891213141523242526272835[[#This Row],[累计净值]]/MAX(INDIRECT("B21:B" &amp; ROW()))-1,E31)</f>
        <v>-5.3736690217930372E-3</v>
      </c>
      <c r="F32" s="110">
        <f>表2_367162629303891213141523242526272835[[#This Row],[累计净值]]</f>
        <v>1.0154000000000001</v>
      </c>
      <c r="G32" s="20"/>
    </row>
    <row r="33" spans="1:7">
      <c r="A33" s="212">
        <v>44076</v>
      </c>
      <c r="B33" s="169">
        <v>1.0155000000000001</v>
      </c>
      <c r="C33" s="108">
        <f t="shared" si="0"/>
        <v>9.9999999999988987E-5</v>
      </c>
      <c r="D33" s="109" t="str">
        <f t="shared" si="1"/>
        <v>/</v>
      </c>
      <c r="E33" s="109">
        <f ca="1">IF(表2_367162629303891213141523242526272835[[#This Row],[累计净值]]/MAX(INDIRECT("B21:B" &amp; ROW()))-1&lt;E32,表2_367162629303891213141523242526272835[[#This Row],[累计净值]]/MAX(INDIRECT("B21:B" &amp; ROW()))-1,E32)</f>
        <v>-5.3736690217930372E-3</v>
      </c>
      <c r="F33" s="110">
        <f>表2_367162629303891213141523242526272835[[#This Row],[累计净值]]</f>
        <v>1.0155000000000001</v>
      </c>
      <c r="G33" s="20"/>
    </row>
    <row r="34" spans="1:7">
      <c r="A34" s="212">
        <v>44077</v>
      </c>
      <c r="B34" s="169">
        <v>1.0148999999999999</v>
      </c>
      <c r="C34" s="108">
        <f>IFERROR(B34-B33,0)</f>
        <v>-6.0000000000015596E-4</v>
      </c>
      <c r="D34" s="109">
        <f t="shared" si="1"/>
        <v>-6.0000000000015596E-4</v>
      </c>
      <c r="E34" s="109">
        <f ca="1">IF(表2_367162629303891213141523242526272835[[#This Row],[累计净值]]/MAX(INDIRECT("B21:B" &amp; ROW()))-1&lt;E33,表2_367162629303891213141523242526272835[[#This Row],[累计净值]]/MAX(INDIRECT("B21:B" &amp; ROW()))-1,E33)</f>
        <v>-5.3736690217930372E-3</v>
      </c>
      <c r="F34" s="110">
        <f>表2_367162629303891213141523242526272835[[#This Row],[累计净值]]</f>
        <v>1.0148999999999999</v>
      </c>
      <c r="G34" s="20"/>
    </row>
    <row r="35" spans="1:7">
      <c r="A35" s="212">
        <v>44078</v>
      </c>
      <c r="B35" s="169">
        <v>1.0143</v>
      </c>
      <c r="C35" s="108">
        <f>IFERROR(B35-B34,0)</f>
        <v>-5.9999999999993392E-4</v>
      </c>
      <c r="D35" s="109">
        <f t="shared" si="1"/>
        <v>-5.9999999999993392E-4</v>
      </c>
      <c r="E35" s="109">
        <f ca="1">IF(表2_367162629303891213141523242526272835[[#This Row],[累计净值]]/MAX(INDIRECT("B21:B" &amp; ROW()))-1&lt;E34,表2_367162629303891213141523242526272835[[#This Row],[累计净值]]/MAX(INDIRECT("B21:B" &amp; ROW()))-1,E34)</f>
        <v>-5.3736690217930372E-3</v>
      </c>
      <c r="F35" s="110">
        <f>表2_367162629303891213141523242526272835[[#This Row],[累计净值]]</f>
        <v>1.0143</v>
      </c>
      <c r="G35" s="20"/>
    </row>
    <row r="36" spans="1:7">
      <c r="A36" s="212">
        <v>44081</v>
      </c>
      <c r="B36" s="169">
        <v>1.0031000000000001</v>
      </c>
      <c r="C36" s="108">
        <f>IFERROR(B36-B35,0)</f>
        <v>-1.1199999999999877E-2</v>
      </c>
      <c r="D36" s="109">
        <f t="shared" si="1"/>
        <v>-1.1199999999999877E-2</v>
      </c>
      <c r="E36" s="109">
        <f ca="1">IF(表2_367162629303891213141523242526272835[[#This Row],[累计净值]]/MAX(INDIRECT("B21:B" &amp; ROW()))-1&lt;E35,表2_367162629303891213141523242526272835[[#This Row],[累计净值]]/MAX(INDIRECT("B21:B" &amp; ROW()))-1,E35)</f>
        <v>-1.2210733628754245E-2</v>
      </c>
      <c r="F36" s="110">
        <f>表2_367162629303891213141523242526272835[[#This Row],[累计净值]]</f>
        <v>1.0031000000000001</v>
      </c>
      <c r="G36" s="20"/>
    </row>
    <row r="37" spans="1:7">
      <c r="A37" s="212">
        <v>44082</v>
      </c>
      <c r="B37" s="169">
        <v>1.0124</v>
      </c>
      <c r="C37" s="108">
        <f>IFERROR(B37-B36,0)</f>
        <v>9.2999999999998639E-3</v>
      </c>
      <c r="D37" s="109" t="str">
        <f t="shared" si="1"/>
        <v>/</v>
      </c>
      <c r="E37" s="109">
        <f ca="1">IF(表2_367162629303891213141523242526272835[[#This Row],[累计净值]]/MAX(INDIRECT("B21:B" &amp; ROW()))-1&lt;E36,表2_367162629303891213141523242526272835[[#This Row],[累计净值]]/MAX(INDIRECT("B21:B" &amp; ROW()))-1,E36)</f>
        <v>-1.2210733628754245E-2</v>
      </c>
      <c r="F37" s="110">
        <f>表2_367162629303891213141523242526272835[[#This Row],[累计净值]]</f>
        <v>1.0124</v>
      </c>
      <c r="G37" s="20"/>
    </row>
    <row r="38" spans="1:7">
      <c r="A38" s="212">
        <v>44083</v>
      </c>
      <c r="B38" s="169">
        <v>0.99319999999999997</v>
      </c>
      <c r="C38" s="108">
        <f>IFERROR(B38-B37,0)</f>
        <v>-1.9199999999999995E-2</v>
      </c>
      <c r="D38" s="109">
        <f t="shared" si="1"/>
        <v>-1.9199999999999995E-2</v>
      </c>
      <c r="E38" s="109">
        <f ca="1">IF(表2_367162629303891213141523242526272835[[#This Row],[累计净值]]/MAX(INDIRECT("B21:B" &amp; ROW()))-1&lt;E37,表2_367162629303891213141523242526272835[[#This Row],[累计净值]]/MAX(INDIRECT("B21:B" &amp; ROW()))-1,E37)</f>
        <v>-2.1959625800098581E-2</v>
      </c>
      <c r="F38" s="110">
        <f>表2_367162629303891213141523242526272835[[#This Row],[累计净值]]</f>
        <v>0.99319999999999997</v>
      </c>
      <c r="G38" s="20"/>
    </row>
    <row r="39" spans="1:7">
      <c r="A39" s="212">
        <v>44084</v>
      </c>
      <c r="B39" s="169">
        <v>1.0004999999999999</v>
      </c>
      <c r="C39" s="108">
        <f t="shared" ref="C39:C64" si="2">IFERROR(B39-B38,0)</f>
        <v>7.2999999999999732E-3</v>
      </c>
      <c r="D39" s="109" t="str">
        <f t="shared" si="1"/>
        <v>/</v>
      </c>
      <c r="E39" s="109">
        <f ca="1">IF(表2_367162629303891213141523242526272835[[#This Row],[累计净值]]/MAX(INDIRECT("B21:B" &amp; ROW()))-1&lt;E38,表2_367162629303891213141523242526272835[[#This Row],[累计净值]]/MAX(INDIRECT("B21:B" &amp; ROW()))-1,E38)</f>
        <v>-2.1959625800098581E-2</v>
      </c>
      <c r="F39" s="110">
        <f>表2_367162629303891213141523242526272835[[#This Row],[累计净值]]</f>
        <v>1.0004999999999999</v>
      </c>
      <c r="G39" s="20"/>
    </row>
    <row r="40" spans="1:7">
      <c r="A40" s="212">
        <v>44085</v>
      </c>
      <c r="B40" s="169">
        <v>1.0139</v>
      </c>
      <c r="C40" s="108">
        <f t="shared" si="2"/>
        <v>1.3400000000000079E-2</v>
      </c>
      <c r="D40" s="109" t="str">
        <f t="shared" si="1"/>
        <v>/</v>
      </c>
      <c r="E40" s="109">
        <f ca="1">IF(表2_367162629303891213141523242526272835[[#This Row],[累计净值]]/MAX(INDIRECT("B21:B" &amp; ROW()))-1&lt;E39,表2_367162629303891213141523242526272835[[#This Row],[累计净值]]/MAX(INDIRECT("B21:B" &amp; ROW()))-1,E39)</f>
        <v>-2.1959625800098581E-2</v>
      </c>
      <c r="F40" s="110">
        <f>表2_367162629303891213141523242526272835[[#This Row],[累计净值]]</f>
        <v>1.0139</v>
      </c>
      <c r="G40" s="20"/>
    </row>
    <row r="41" spans="1:7">
      <c r="A41" s="212">
        <v>44088</v>
      </c>
      <c r="B41" s="169">
        <v>1.0289999999999999</v>
      </c>
      <c r="C41" s="108">
        <f t="shared" si="2"/>
        <v>1.5099999999999891E-2</v>
      </c>
      <c r="D41" s="109" t="str">
        <f t="shared" si="1"/>
        <v>/</v>
      </c>
      <c r="E41" s="109">
        <f ca="1">IF(表2_367162629303891213141523242526272835[[#This Row],[累计净值]]/MAX(INDIRECT("B21:B" &amp; ROW()))-1&lt;E40,表2_367162629303891213141523242526272835[[#This Row],[累计净值]]/MAX(INDIRECT("B21:B" &amp; ROW()))-1,E40)</f>
        <v>-2.1959625800098581E-2</v>
      </c>
      <c r="F41" s="110">
        <f>表2_367162629303891213141523242526272835[[#This Row],[累计净值]]</f>
        <v>1.0289999999999999</v>
      </c>
      <c r="G41" s="20"/>
    </row>
    <row r="42" spans="1:7">
      <c r="A42" s="212">
        <v>44089</v>
      </c>
      <c r="B42" s="169">
        <v>1.0367999999999999</v>
      </c>
      <c r="C42" s="108">
        <f t="shared" si="2"/>
        <v>7.8000000000000291E-3</v>
      </c>
      <c r="D42" s="109" t="str">
        <f t="shared" si="1"/>
        <v>/</v>
      </c>
      <c r="E42" s="109">
        <f ca="1">IF(表2_367162629303891213141523242526272835[[#This Row],[累计净值]]/MAX(INDIRECT("B21:B" &amp; ROW()))-1&lt;E41,表2_367162629303891213141523242526272835[[#This Row],[累计净值]]/MAX(INDIRECT("B21:B" &amp; ROW()))-1,E41)</f>
        <v>-2.1959625800098581E-2</v>
      </c>
      <c r="F42" s="110">
        <f>表2_367162629303891213141523242526272835[[#This Row],[累计净值]]</f>
        <v>1.0367999999999999</v>
      </c>
      <c r="G42" s="20"/>
    </row>
    <row r="43" spans="1:7">
      <c r="A43" s="212">
        <v>44090</v>
      </c>
      <c r="B43" s="169">
        <v>1.0358000000000001</v>
      </c>
      <c r="C43" s="108">
        <f t="shared" si="2"/>
        <v>-9.9999999999988987E-4</v>
      </c>
      <c r="D43" s="109">
        <f t="shared" si="1"/>
        <v>-9.9999999999988987E-4</v>
      </c>
      <c r="E43" s="109">
        <f ca="1">IF(表2_367162629303891213141523242526272835[[#This Row],[累计净值]]/MAX(INDIRECT("B21:B" &amp; ROW()))-1&lt;E42,表2_367162629303891213141523242526272835[[#This Row],[累计净值]]/MAX(INDIRECT("B21:B" &amp; ROW()))-1,E42)</f>
        <v>-2.1959625800098581E-2</v>
      </c>
      <c r="F43" s="110">
        <f>表2_367162629303891213141523242526272835[[#This Row],[累计净值]]</f>
        <v>1.0358000000000001</v>
      </c>
      <c r="G43" s="20"/>
    </row>
    <row r="44" spans="1:7">
      <c r="A44" s="212">
        <v>44091</v>
      </c>
      <c r="B44" s="169">
        <v>1.0326</v>
      </c>
      <c r="C44" s="108">
        <f t="shared" si="2"/>
        <v>-3.2000000000000917E-3</v>
      </c>
      <c r="D44" s="109">
        <f t="shared" si="1"/>
        <v>-3.2000000000000917E-3</v>
      </c>
      <c r="E44" s="109">
        <f ca="1">IF(表2_367162629303891213141523242526272835[[#This Row],[累计净值]]/MAX(INDIRECT("B21:B" &amp; ROW()))-1&lt;E43,表2_367162629303891213141523242526272835[[#This Row],[累计净值]]/MAX(INDIRECT("B21:B" &amp; ROW()))-1,E43)</f>
        <v>-2.1959625800098581E-2</v>
      </c>
      <c r="F44" s="110">
        <f>表2_367162629303891213141523242526272835[[#This Row],[累计净值]]</f>
        <v>1.0326</v>
      </c>
      <c r="G44" s="20"/>
    </row>
    <row r="45" spans="1:7">
      <c r="A45" s="212">
        <v>44092</v>
      </c>
      <c r="B45" s="169">
        <v>1.0485</v>
      </c>
      <c r="C45" s="108">
        <f t="shared" si="2"/>
        <v>1.5900000000000025E-2</v>
      </c>
      <c r="D45" s="109" t="str">
        <f t="shared" si="1"/>
        <v>/</v>
      </c>
      <c r="E45" s="109">
        <f ca="1">IF(表2_367162629303891213141523242526272835[[#This Row],[累计净值]]/MAX(INDIRECT("B21:B" &amp; ROW()))-1&lt;E44,表2_367162629303891213141523242526272835[[#This Row],[累计净值]]/MAX(INDIRECT("B21:B" &amp; ROW()))-1,E44)</f>
        <v>-2.1959625800098581E-2</v>
      </c>
      <c r="F45" s="110">
        <f>表2_367162629303891213141523242526272835[[#This Row],[累计净值]]</f>
        <v>1.0485</v>
      </c>
      <c r="G45" s="20"/>
    </row>
    <row r="46" spans="1:7">
      <c r="A46" s="212">
        <v>44095</v>
      </c>
      <c r="B46" s="169">
        <v>1.0458000000000001</v>
      </c>
      <c r="C46" s="108">
        <f t="shared" si="2"/>
        <v>-2.6999999999999247E-3</v>
      </c>
      <c r="D46" s="109">
        <f t="shared" si="1"/>
        <v>-2.6999999999999247E-3</v>
      </c>
      <c r="E46" s="109">
        <f ca="1">IF(表2_367162629303891213141523242526272835[[#This Row],[累计净值]]/MAX(INDIRECT("B21:B" &amp; ROW()))-1&lt;E45,表2_367162629303891213141523242526272835[[#This Row],[累计净值]]/MAX(INDIRECT("B21:B" &amp; ROW()))-1,E45)</f>
        <v>-2.1959625800098581E-2</v>
      </c>
      <c r="F46" s="110">
        <f>表2_367162629303891213141523242526272835[[#This Row],[累计净值]]</f>
        <v>1.0458000000000001</v>
      </c>
      <c r="G46" s="20"/>
    </row>
    <row r="47" spans="1:7">
      <c r="A47" s="212">
        <v>44096</v>
      </c>
      <c r="B47" s="169">
        <v>1.0363</v>
      </c>
      <c r="C47" s="108">
        <f t="shared" si="2"/>
        <v>-9.5000000000000639E-3</v>
      </c>
      <c r="D47" s="109">
        <f t="shared" si="1"/>
        <v>-9.5000000000000639E-3</v>
      </c>
      <c r="E47" s="109">
        <f ca="1">IF(表2_367162629303891213141523242526272835[[#This Row],[累计净值]]/MAX(INDIRECT("B21:B" &amp; ROW()))-1&lt;E46,表2_367162629303891213141523242526272835[[#This Row],[累计净值]]/MAX(INDIRECT("B21:B" &amp; ROW()))-1,E46)</f>
        <v>-2.1959625800098581E-2</v>
      </c>
      <c r="F47" s="110">
        <f>表2_367162629303891213141523242526272835[[#This Row],[累计净值]]</f>
        <v>1.0363</v>
      </c>
      <c r="G47" s="20"/>
    </row>
    <row r="48" spans="1:7">
      <c r="A48" s="212">
        <v>44097</v>
      </c>
      <c r="B48" s="169">
        <v>1.0428999999999999</v>
      </c>
      <c r="C48" s="108">
        <f t="shared" si="2"/>
        <v>6.5999999999999392E-3</v>
      </c>
      <c r="D48" s="109" t="str">
        <f t="shared" si="1"/>
        <v>/</v>
      </c>
      <c r="E48" s="109">
        <f ca="1">IF(表2_367162629303891213141523242526272835[[#This Row],[累计净值]]/MAX(INDIRECT("B21:B" &amp; ROW()))-1&lt;E47,表2_367162629303891213141523242526272835[[#This Row],[累计净值]]/MAX(INDIRECT("B21:B" &amp; ROW()))-1,E47)</f>
        <v>-2.1959625800098581E-2</v>
      </c>
      <c r="F48" s="110">
        <f>表2_367162629303891213141523242526272835[[#This Row],[累计净值]]</f>
        <v>1.0428999999999999</v>
      </c>
      <c r="G48" s="20"/>
    </row>
    <row r="49" spans="1:7">
      <c r="A49" s="212">
        <v>44098</v>
      </c>
      <c r="B49" s="169">
        <v>1.0246999999999999</v>
      </c>
      <c r="C49" s="108">
        <f t="shared" si="2"/>
        <v>-1.8199999999999994E-2</v>
      </c>
      <c r="D49" s="109">
        <f t="shared" si="1"/>
        <v>-1.8199999999999994E-2</v>
      </c>
      <c r="E49" s="109">
        <f ca="1">IF(表2_367162629303891213141523242526272835[[#This Row],[累计净值]]/MAX(INDIRECT("B21:B" &amp; ROW()))-1&lt;E48,表2_367162629303891213141523242526272835[[#This Row],[累计净值]]/MAX(INDIRECT("B21:B" &amp; ROW()))-1,E48)</f>
        <v>-2.2699093943729154E-2</v>
      </c>
      <c r="F49" s="110">
        <f>表2_367162629303891213141523242526272835[[#This Row],[累计净值]]</f>
        <v>1.0246999999999999</v>
      </c>
      <c r="G49" s="20"/>
    </row>
    <row r="50" spans="1:7">
      <c r="A50" s="212">
        <v>44099</v>
      </c>
      <c r="B50" s="169">
        <v>1.0277000000000001</v>
      </c>
      <c r="C50" s="108">
        <f t="shared" si="2"/>
        <v>3.0000000000001137E-3</v>
      </c>
      <c r="D50" s="109" t="str">
        <f t="shared" si="1"/>
        <v>/</v>
      </c>
      <c r="E50" s="109">
        <f ca="1">IF(表2_367162629303891213141523242526272835[[#This Row],[累计净值]]/MAX(INDIRECT("B21:B" &amp; ROW()))-1&lt;E49,表2_367162629303891213141523242526272835[[#This Row],[累计净值]]/MAX(INDIRECT("B21:B" &amp; ROW()))-1,E49)</f>
        <v>-2.2699093943729154E-2</v>
      </c>
      <c r="F50" s="110">
        <f>表2_367162629303891213141523242526272835[[#This Row],[累计净值]]</f>
        <v>1.0277000000000001</v>
      </c>
      <c r="G50" s="20"/>
    </row>
    <row r="51" spans="1:7">
      <c r="A51" s="212">
        <v>44102</v>
      </c>
      <c r="B51" s="169">
        <v>1.0294000000000001</v>
      </c>
      <c r="C51" s="108">
        <f t="shared" si="2"/>
        <v>1.7000000000000348E-3</v>
      </c>
      <c r="D51" s="109" t="str">
        <f t="shared" si="1"/>
        <v>/</v>
      </c>
      <c r="E51" s="109">
        <f ca="1">IF(表2_367162629303891213141523242526272835[[#This Row],[累计净值]]/MAX(INDIRECT("B21:B" &amp; ROW()))-1&lt;E50,表2_367162629303891213141523242526272835[[#This Row],[累计净值]]/MAX(INDIRECT("B21:B" &amp; ROW()))-1,E50)</f>
        <v>-2.2699093943729154E-2</v>
      </c>
      <c r="F51" s="110">
        <f>表2_367162629303891213141523242526272835[[#This Row],[累计净值]]</f>
        <v>1.0294000000000001</v>
      </c>
      <c r="G51" s="20"/>
    </row>
    <row r="52" spans="1:7">
      <c r="A52" s="212">
        <v>44103</v>
      </c>
      <c r="B52" s="169">
        <v>1.0298</v>
      </c>
      <c r="C52" s="108">
        <f t="shared" si="2"/>
        <v>3.9999999999995595E-4</v>
      </c>
      <c r="D52" s="109" t="str">
        <f t="shared" si="1"/>
        <v>/</v>
      </c>
      <c r="E52" s="109">
        <f ca="1">IF(表2_367162629303891213141523242526272835[[#This Row],[累计净值]]/MAX(INDIRECT("B21:B" &amp; ROW()))-1&lt;E51,表2_367162629303891213141523242526272835[[#This Row],[累计净值]]/MAX(INDIRECT("B21:B" &amp; ROW()))-1,E51)</f>
        <v>-2.2699093943729154E-2</v>
      </c>
      <c r="F52" s="110">
        <f>表2_367162629303891213141523242526272835[[#This Row],[累计净值]]</f>
        <v>1.0298</v>
      </c>
      <c r="G52" s="20"/>
    </row>
    <row r="53" spans="1:7">
      <c r="A53" s="212">
        <v>44104</v>
      </c>
      <c r="B53" s="169">
        <v>1.0241</v>
      </c>
      <c r="C53" s="108">
        <f t="shared" si="2"/>
        <v>-5.7000000000000384E-3</v>
      </c>
      <c r="D53" s="109">
        <f t="shared" si="1"/>
        <v>-5.7000000000000384E-3</v>
      </c>
      <c r="E53" s="109">
        <f ca="1">IF(表2_367162629303891213141523242526272835[[#This Row],[累计净值]]/MAX(INDIRECT("B21:B" &amp; ROW()))-1&lt;E52,表2_367162629303891213141523242526272835[[#This Row],[累计净值]]/MAX(INDIRECT("B21:B" &amp; ROW()))-1,E52)</f>
        <v>-2.3271340009537456E-2</v>
      </c>
      <c r="F53" s="110">
        <f>表2_367162629303891213141523242526272835[[#This Row],[累计净值]]</f>
        <v>1.0241</v>
      </c>
      <c r="G53" s="20"/>
    </row>
    <row r="54" spans="1:7">
      <c r="A54" s="212">
        <v>44113</v>
      </c>
      <c r="B54" s="169">
        <v>1.0687</v>
      </c>
      <c r="C54" s="108">
        <f t="shared" si="2"/>
        <v>4.4599999999999973E-2</v>
      </c>
      <c r="D54" s="109" t="str">
        <f t="shared" si="1"/>
        <v>/</v>
      </c>
      <c r="E54" s="109">
        <f ca="1">IF(表2_367162629303891213141523242526272835[[#This Row],[累计净值]]/MAX(INDIRECT("B21:B" &amp; ROW()))-1&lt;E53,表2_367162629303891213141523242526272835[[#This Row],[累计净值]]/MAX(INDIRECT("B21:B" &amp; ROW()))-1,E53)</f>
        <v>-2.3271340009537456E-2</v>
      </c>
      <c r="F54" s="110">
        <f>表2_367162629303891213141523242526272835[[#This Row],[累计净值]]</f>
        <v>1.0687</v>
      </c>
      <c r="G54" s="20"/>
    </row>
    <row r="55" spans="1:7">
      <c r="A55" s="212">
        <v>44116</v>
      </c>
      <c r="B55" s="169">
        <v>1.0805</v>
      </c>
      <c r="C55" s="108">
        <f t="shared" si="2"/>
        <v>1.1800000000000033E-2</v>
      </c>
      <c r="D55" s="109" t="str">
        <f t="shared" si="1"/>
        <v>/</v>
      </c>
      <c r="E55" s="109">
        <f ca="1">IF(表2_367162629303891213141523242526272835[[#This Row],[累计净值]]/MAX(INDIRECT("B21:B" &amp; ROW()))-1&lt;E54,表2_367162629303891213141523242526272835[[#This Row],[累计净值]]/MAX(INDIRECT("B21:B" &amp; ROW()))-1,E54)</f>
        <v>-2.3271340009537456E-2</v>
      </c>
      <c r="F55" s="110">
        <f>表2_367162629303891213141523242526272835[[#This Row],[累计净值]]</f>
        <v>1.0805</v>
      </c>
      <c r="G55" s="20"/>
    </row>
    <row r="56" spans="1:7">
      <c r="A56" s="212">
        <v>44117</v>
      </c>
      <c r="B56" s="169">
        <v>1.0842000000000001</v>
      </c>
      <c r="C56" s="108">
        <f t="shared" si="2"/>
        <v>3.7000000000000366E-3</v>
      </c>
      <c r="D56" s="109" t="str">
        <f t="shared" si="1"/>
        <v>/</v>
      </c>
      <c r="E56" s="109">
        <f ca="1">IF(表2_367162629303891213141523242526272835[[#This Row],[累计净值]]/MAX(INDIRECT("B21:B" &amp; ROW()))-1&lt;E55,表2_367162629303891213141523242526272835[[#This Row],[累计净值]]/MAX(INDIRECT("B21:B" &amp; ROW()))-1,E55)</f>
        <v>-2.3271340009537456E-2</v>
      </c>
      <c r="F56" s="110">
        <f>表2_367162629303891213141523242526272835[[#This Row],[累计净值]]</f>
        <v>1.0842000000000001</v>
      </c>
      <c r="G56" s="20"/>
    </row>
    <row r="57" spans="1:7">
      <c r="A57" s="212">
        <v>44118</v>
      </c>
      <c r="B57" s="169">
        <v>1.0848</v>
      </c>
      <c r="C57" s="108">
        <f t="shared" si="2"/>
        <v>5.9999999999993392E-4</v>
      </c>
      <c r="D57" s="109" t="str">
        <f t="shared" si="1"/>
        <v>/</v>
      </c>
      <c r="E57" s="109">
        <f ca="1">IF(表2_367162629303891213141523242526272835[[#This Row],[累计净值]]/MAX(INDIRECT("B21:B" &amp; ROW()))-1&lt;E56,表2_367162629303891213141523242526272835[[#This Row],[累计净值]]/MAX(INDIRECT("B21:B" &amp; ROW()))-1,E56)</f>
        <v>-2.3271340009537456E-2</v>
      </c>
      <c r="F57" s="110">
        <f>表2_367162629303891213141523242526272835[[#This Row],[累计净值]]</f>
        <v>1.0848</v>
      </c>
      <c r="G57" s="20"/>
    </row>
    <row r="58" spans="1:7">
      <c r="A58" s="212">
        <v>44119</v>
      </c>
      <c r="B58" s="169">
        <v>1.0851999999999999</v>
      </c>
      <c r="C58" s="108">
        <f t="shared" si="2"/>
        <v>3.9999999999995595E-4</v>
      </c>
      <c r="D58" s="109" t="str">
        <f t="shared" si="1"/>
        <v>/</v>
      </c>
      <c r="E58" s="109">
        <f ca="1">IF(表2_367162629303891213141523242526272835[[#This Row],[累计净值]]/MAX(INDIRECT("B21:B" &amp; ROW()))-1&lt;E57,表2_367162629303891213141523242526272835[[#This Row],[累计净值]]/MAX(INDIRECT("B21:B" &amp; ROW()))-1,E57)</f>
        <v>-2.3271340009537456E-2</v>
      </c>
      <c r="F58" s="110">
        <f>表2_367162629303891213141523242526272835[[#This Row],[累计净值]]</f>
        <v>1.0851999999999999</v>
      </c>
      <c r="G58" s="20"/>
    </row>
    <row r="59" spans="1:7">
      <c r="A59" s="212">
        <v>44120</v>
      </c>
      <c r="B59" s="169">
        <v>1.0867</v>
      </c>
      <c r="C59" s="108">
        <f t="shared" si="2"/>
        <v>1.5000000000000568E-3</v>
      </c>
      <c r="D59" s="109" t="str">
        <f t="shared" si="1"/>
        <v>/</v>
      </c>
      <c r="E59" s="109">
        <f ca="1">IF(表2_367162629303891213141523242526272835[[#This Row],[累计净值]]/MAX(INDIRECT("B21:B" &amp; ROW()))-1&lt;E58,表2_367162629303891213141523242526272835[[#This Row],[累计净值]]/MAX(INDIRECT("B21:B" &amp; ROW()))-1,E58)</f>
        <v>-2.3271340009537456E-2</v>
      </c>
      <c r="F59" s="110">
        <f>表2_367162629303891213141523242526272835[[#This Row],[累计净值]]</f>
        <v>1.0867</v>
      </c>
      <c r="G59" s="20"/>
    </row>
    <row r="60" spans="1:7">
      <c r="A60" s="212">
        <v>44123</v>
      </c>
      <c r="B60" s="169">
        <v>1.0925</v>
      </c>
      <c r="C60" s="108">
        <f t="shared" si="2"/>
        <v>5.8000000000000274E-3</v>
      </c>
      <c r="D60" s="109" t="str">
        <f t="shared" si="1"/>
        <v>/</v>
      </c>
      <c r="E60" s="109">
        <f ca="1">IF(表2_367162629303891213141523242526272835[[#This Row],[累计净值]]/MAX(INDIRECT("B21:B" &amp; ROW()))-1&lt;E59,表2_367162629303891213141523242526272835[[#This Row],[累计净值]]/MAX(INDIRECT("B21:B" &amp; ROW()))-1,E59)</f>
        <v>-2.3271340009537456E-2</v>
      </c>
      <c r="F60" s="110">
        <f>表2_367162629303891213141523242526272835[[#This Row],[累计净值]]</f>
        <v>1.0925</v>
      </c>
      <c r="G60" s="20"/>
    </row>
    <row r="61" spans="1:7">
      <c r="A61" s="213">
        <v>44124</v>
      </c>
      <c r="B61" s="169">
        <v>1.0952999999999999</v>
      </c>
      <c r="C61" s="108">
        <f t="shared" si="2"/>
        <v>2.7999999999999137E-3</v>
      </c>
      <c r="D61" s="109" t="str">
        <f t="shared" si="1"/>
        <v>/</v>
      </c>
      <c r="E61" s="109">
        <f ca="1">IF(表2_367162629303891213141523242526272835[[#This Row],[累计净值]]/MAX(INDIRECT("B21:B" &amp; ROW()))-1&lt;E60,表2_367162629303891213141523242526272835[[#This Row],[累计净值]]/MAX(INDIRECT("B21:B" &amp; ROW()))-1,E60)</f>
        <v>-2.3271340009537456E-2</v>
      </c>
      <c r="F61" s="110">
        <f>表2_367162629303891213141523242526272835[[#This Row],[累计净值]]</f>
        <v>1.0952999999999999</v>
      </c>
      <c r="G61" s="20"/>
    </row>
    <row r="62" spans="1:7">
      <c r="A62" s="213">
        <v>44125</v>
      </c>
      <c r="B62" s="169">
        <v>1.0945</v>
      </c>
      <c r="C62" s="108">
        <f t="shared" si="2"/>
        <v>-7.9999999999991189E-4</v>
      </c>
      <c r="D62" s="109">
        <f t="shared" si="1"/>
        <v>-7.9999999999991189E-4</v>
      </c>
      <c r="E62" s="109">
        <f ca="1">IF(表2_367162629303891213141523242526272835[[#This Row],[累计净值]]/MAX(INDIRECT("B21:B" &amp; ROW()))-1&lt;E61,表2_367162629303891213141523242526272835[[#This Row],[累计净值]]/MAX(INDIRECT("B21:B" &amp; ROW()))-1,E61)</f>
        <v>-2.3271340009537456E-2</v>
      </c>
      <c r="F62" s="110">
        <f>表2_367162629303891213141523242526272835[[#This Row],[累计净值]]</f>
        <v>1.0945</v>
      </c>
      <c r="G62" s="20"/>
    </row>
    <row r="63" spans="1:7">
      <c r="A63" s="213">
        <v>44126</v>
      </c>
      <c r="B63" s="169">
        <v>1.0924</v>
      </c>
      <c r="C63" s="108">
        <f t="shared" si="2"/>
        <v>-2.0999999999999908E-3</v>
      </c>
      <c r="D63" s="109">
        <f t="shared" si="1"/>
        <v>-2.0999999999999908E-3</v>
      </c>
      <c r="E63" s="109">
        <f ca="1">IF(表2_367162629303891213141523242526272835[[#This Row],[累计净值]]/MAX(INDIRECT("B21:B" &amp; ROW()))-1&lt;E62,表2_367162629303891213141523242526272835[[#This Row],[累计净值]]/MAX(INDIRECT("B21:B" &amp; ROW()))-1,E62)</f>
        <v>-2.3271340009537456E-2</v>
      </c>
      <c r="F63" s="110">
        <f>表2_367162629303891213141523242526272835[[#This Row],[累计净值]]</f>
        <v>1.0924</v>
      </c>
      <c r="G63" s="20"/>
    </row>
    <row r="64" spans="1:7">
      <c r="A64" s="213">
        <v>44127</v>
      </c>
      <c r="B64" s="169">
        <v>1.0899000000000001</v>
      </c>
      <c r="C64" s="108">
        <f t="shared" si="2"/>
        <v>-2.4999999999999467E-3</v>
      </c>
      <c r="D64" s="109">
        <f t="shared" si="1"/>
        <v>-2.4999999999999467E-3</v>
      </c>
      <c r="E64" s="109">
        <f ca="1">IF(表2_367162629303891213141523242526272835[[#This Row],[累计净值]]/MAX(INDIRECT("B21:B" &amp; ROW()))-1&lt;E63,表2_367162629303891213141523242526272835[[#This Row],[累计净值]]/MAX(INDIRECT("B21:B" &amp; ROW()))-1,E63)</f>
        <v>-2.3271340009537456E-2</v>
      </c>
      <c r="F64" s="110">
        <f>表2_367162629303891213141523242526272835[[#This Row],[累计净值]]</f>
        <v>1.0899000000000001</v>
      </c>
      <c r="G64" s="20"/>
    </row>
    <row r="65" spans="1:7">
      <c r="A65" s="212">
        <v>44130</v>
      </c>
      <c r="B65" s="169">
        <f>VLOOKUP(A65,[1]瑾尚二号净值!A:B,2,FALSE)</f>
        <v>1.0872999999999999</v>
      </c>
      <c r="C65" s="108">
        <f>IFERROR(B65-B64,0)</f>
        <v>-2.6000000000001577E-3</v>
      </c>
      <c r="D65" s="109">
        <f>IF(C65&lt;0,C65,"/")</f>
        <v>-2.6000000000001577E-3</v>
      </c>
      <c r="E65" s="109">
        <f ca="1">IF(表2_367162629303891213141523242526272835[[#This Row],[累计净值]]/MAX(INDIRECT("B21:B" &amp; ROW()))-1&lt;E64,表2_367162629303891213141523242526272835[[#This Row],[累计净值]]/MAX(INDIRECT("B21:B" &amp; ROW()))-1,E64)</f>
        <v>-2.3271340009537456E-2</v>
      </c>
      <c r="F65" s="110">
        <f>表2_367162629303891213141523242526272835[[#This Row],[累计净值]]</f>
        <v>1.0872999999999999</v>
      </c>
      <c r="G65" s="20"/>
    </row>
    <row r="66" spans="1:7">
      <c r="A66" s="212">
        <v>44131</v>
      </c>
      <c r="B66" s="169">
        <f>VLOOKUP(A66,[1]瑾尚二号净值!A:B,2,FALSE)</f>
        <v>1.0891</v>
      </c>
      <c r="C66" s="108">
        <f>IFERROR(B66-B65,0)</f>
        <v>1.8000000000000238E-3</v>
      </c>
      <c r="D66" s="109" t="str">
        <f>IF(C66&lt;0,C66,"/")</f>
        <v>/</v>
      </c>
      <c r="E66" s="109">
        <f ca="1">IF(表2_367162629303891213141523242526272835[[#This Row],[累计净值]]/MAX(INDIRECT("B21:B" &amp; ROW()))-1&lt;E65,表2_367162629303891213141523242526272835[[#This Row],[累计净值]]/MAX(INDIRECT("B21:B" &amp; ROW()))-1,E65)</f>
        <v>-2.3271340009537456E-2</v>
      </c>
      <c r="F66" s="110">
        <f>表2_367162629303891213141523242526272835[[#This Row],[累计净值]]</f>
        <v>1.0891</v>
      </c>
      <c r="G66" s="20"/>
    </row>
    <row r="67" spans="1:7">
      <c r="A67" s="212">
        <v>44132</v>
      </c>
      <c r="B67" s="169">
        <f>VLOOKUP(A67,[1]瑾尚二号净值!A:B,2,FALSE)</f>
        <v>1.0968</v>
      </c>
      <c r="C67" s="108">
        <f>IFERROR(B67-B66,0)</f>
        <v>7.7000000000000401E-3</v>
      </c>
      <c r="D67" s="109" t="str">
        <f>IF(C67&lt;0,C67,"/")</f>
        <v>/</v>
      </c>
      <c r="E67" s="109">
        <f ca="1">IF(表2_367162629303891213141523242526272835[[#This Row],[累计净值]]/MAX(INDIRECT("B21:B" &amp; ROW()))-1&lt;E66,表2_367162629303891213141523242526272835[[#This Row],[累计净值]]/MAX(INDIRECT("B21:B" &amp; ROW()))-1,E66)</f>
        <v>-2.3271340009537456E-2</v>
      </c>
      <c r="F67" s="110">
        <f>表2_367162629303891213141523242526272835[[#This Row],[累计净值]]</f>
        <v>1.0968</v>
      </c>
      <c r="G67" s="20"/>
    </row>
    <row r="68" spans="1:7">
      <c r="A68" s="212">
        <v>44133</v>
      </c>
      <c r="B68" s="169">
        <f>VLOOKUP(A68,[1]瑾尚二号净值!A:B,2,FALSE)</f>
        <v>1.1032</v>
      </c>
      <c r="C68" s="108">
        <f t="shared" ref="C68:C89" si="3">IFERROR(B68-B67,0)</f>
        <v>6.3999999999999613E-3</v>
      </c>
      <c r="D68" s="109" t="str">
        <f t="shared" ref="D68:D89" si="4">IF(C68&lt;0,C68,"/")</f>
        <v>/</v>
      </c>
      <c r="E68" s="109">
        <f ca="1">IF(表2_367162629303891213141523242526272835[[#This Row],[累计净值]]/MAX(INDIRECT("B21:B" &amp; ROW()))-1&lt;E67,表2_367162629303891213141523242526272835[[#This Row],[累计净值]]/MAX(INDIRECT("B21:B" &amp; ROW()))-1,E67)</f>
        <v>-2.3271340009537456E-2</v>
      </c>
      <c r="F68" s="110">
        <f>表2_367162629303891213141523242526272835[[#This Row],[累计净值]]</f>
        <v>1.1032</v>
      </c>
      <c r="G68" s="20"/>
    </row>
    <row r="69" spans="1:7">
      <c r="A69" s="212">
        <v>44134</v>
      </c>
      <c r="B69" s="169">
        <f>VLOOKUP(A69,[1]瑾尚二号净值!A:B,2,FALSE)</f>
        <v>1.0911</v>
      </c>
      <c r="C69" s="108">
        <f t="shared" si="3"/>
        <v>-1.21E-2</v>
      </c>
      <c r="D69" s="109">
        <f t="shared" si="4"/>
        <v>-1.21E-2</v>
      </c>
      <c r="E69" s="109">
        <f ca="1">IF(表2_367162629303891213141523242526272835[[#This Row],[累计净值]]/MAX(INDIRECT("B21:B" &amp; ROW()))-1&lt;E68,表2_367162629303891213141523242526272835[[#This Row],[累计净值]]/MAX(INDIRECT("B21:B" &amp; ROW()))-1,E68)</f>
        <v>-2.3271340009537456E-2</v>
      </c>
      <c r="F69" s="110">
        <f>表2_367162629303891213141523242526272835[[#This Row],[累计净值]]</f>
        <v>1.0911</v>
      </c>
      <c r="G69" s="20"/>
    </row>
    <row r="70" spans="1:7">
      <c r="A70" s="212">
        <v>44137</v>
      </c>
      <c r="B70" s="169">
        <v>1.0965</v>
      </c>
      <c r="C70" s="108">
        <f t="shared" si="3"/>
        <v>5.4000000000000714E-3</v>
      </c>
      <c r="D70" s="109" t="str">
        <f t="shared" si="4"/>
        <v>/</v>
      </c>
      <c r="E70" s="109">
        <f ca="1">IF(表2_367162629303891213141523242526272835[[#This Row],[累计净值]]/MAX(INDIRECT("B21:B" &amp; ROW()))-1&lt;E69,表2_367162629303891213141523242526272835[[#This Row],[累计净值]]/MAX(INDIRECT("B21:B" &amp; ROW()))-1,E69)</f>
        <v>-2.3271340009537456E-2</v>
      </c>
      <c r="F70" s="110">
        <f>表2_367162629303891213141523242526272835[[#This Row],[累计净值]]</f>
        <v>1.0965</v>
      </c>
      <c r="G70" s="20"/>
    </row>
    <row r="71" spans="1:7">
      <c r="A71" s="212">
        <v>44138</v>
      </c>
      <c r="B71" s="169">
        <v>1.1032999999999999</v>
      </c>
      <c r="C71" s="108">
        <f t="shared" si="3"/>
        <v>6.7999999999999172E-3</v>
      </c>
      <c r="D71" s="109" t="str">
        <f t="shared" si="4"/>
        <v>/</v>
      </c>
      <c r="E71" s="109">
        <f ca="1">IF(表2_367162629303891213141523242526272835[[#This Row],[累计净值]]/MAX(INDIRECT("B21:B" &amp; ROW()))-1&lt;E70,表2_367162629303891213141523242526272835[[#This Row],[累计净值]]/MAX(INDIRECT("B21:B" &amp; ROW()))-1,E70)</f>
        <v>-2.3271340009537456E-2</v>
      </c>
      <c r="F71" s="110">
        <f>表2_367162629303891213141523242526272835[[#This Row],[累计净值]]</f>
        <v>1.1032999999999999</v>
      </c>
      <c r="G71" s="20"/>
    </row>
    <row r="72" spans="1:7">
      <c r="A72" s="212">
        <v>44139</v>
      </c>
      <c r="B72" s="169">
        <v>1.1109</v>
      </c>
      <c r="C72" s="108">
        <f t="shared" si="3"/>
        <v>7.6000000000000512E-3</v>
      </c>
      <c r="D72" s="109" t="str">
        <f t="shared" si="4"/>
        <v>/</v>
      </c>
      <c r="E72" s="109">
        <f ca="1">IF(表2_367162629303891213141523242526272835[[#This Row],[累计净值]]/MAX(INDIRECT("B21:B" &amp; ROW()))-1&lt;E71,表2_367162629303891213141523242526272835[[#This Row],[累计净值]]/MAX(INDIRECT("B21:B" &amp; ROW()))-1,E71)</f>
        <v>-2.3271340009537456E-2</v>
      </c>
      <c r="F72" s="110">
        <f>表2_367162629303891213141523242526272835[[#This Row],[累计净值]]</f>
        <v>1.1109</v>
      </c>
      <c r="G72" s="20"/>
    </row>
    <row r="73" spans="1:7">
      <c r="A73" s="212">
        <v>44140</v>
      </c>
      <c r="B73" s="169">
        <v>1.1166</v>
      </c>
      <c r="C73" s="108">
        <f t="shared" si="3"/>
        <v>5.7000000000000384E-3</v>
      </c>
      <c r="D73" s="109" t="str">
        <f t="shared" si="4"/>
        <v>/</v>
      </c>
      <c r="E73" s="109">
        <f ca="1">IF(表2_367162629303891213141523242526272835[[#This Row],[累计净值]]/MAX(INDIRECT("B21:B" &amp; ROW()))-1&lt;E72,表2_367162629303891213141523242526272835[[#This Row],[累计净值]]/MAX(INDIRECT("B21:B" &amp; ROW()))-1,E72)</f>
        <v>-2.3271340009537456E-2</v>
      </c>
      <c r="F73" s="110">
        <f>表2_367162629303891213141523242526272835[[#This Row],[累计净值]]</f>
        <v>1.1166</v>
      </c>
      <c r="G73" s="20"/>
    </row>
    <row r="74" spans="1:7">
      <c r="A74" s="213">
        <v>44141</v>
      </c>
      <c r="B74" s="169">
        <v>1.1188</v>
      </c>
      <c r="C74" s="108">
        <f t="shared" si="3"/>
        <v>2.1999999999999797E-3</v>
      </c>
      <c r="D74" s="109" t="str">
        <f t="shared" si="4"/>
        <v>/</v>
      </c>
      <c r="E74" s="109">
        <f ca="1">IF(表2_367162629303891213141523242526272835[[#This Row],[累计净值]]/MAX(INDIRECT("B21:B" &amp; ROW()))-1&lt;E73,表2_367162629303891213141523242526272835[[#This Row],[累计净值]]/MAX(INDIRECT("B21:B" &amp; ROW()))-1,E73)</f>
        <v>-2.3271340009537456E-2</v>
      </c>
      <c r="F74" s="110">
        <f>表2_367162629303891213141523242526272835[[#This Row],[累计净值]]</f>
        <v>1.1188</v>
      </c>
      <c r="G74" s="20"/>
    </row>
    <row r="75" spans="1:7">
      <c r="A75" s="213">
        <v>44144</v>
      </c>
      <c r="B75" s="169">
        <v>1.1198999999999999</v>
      </c>
      <c r="C75" s="108">
        <f t="shared" si="3"/>
        <v>1.0999999999998789E-3</v>
      </c>
      <c r="D75" s="109" t="str">
        <f t="shared" si="4"/>
        <v>/</v>
      </c>
      <c r="E75" s="109">
        <f ca="1">IF(表2_367162629303891213141523242526272835[[#This Row],[累计净值]]/MAX(INDIRECT("B21:B" &amp; ROW()))-1&lt;E74,表2_367162629303891213141523242526272835[[#This Row],[累计净值]]/MAX(INDIRECT("B21:B" &amp; ROW()))-1,E74)</f>
        <v>-2.3271340009537456E-2</v>
      </c>
      <c r="F75" s="110">
        <f>表2_367162629303891213141523242526272835[[#This Row],[累计净值]]</f>
        <v>1.1198999999999999</v>
      </c>
      <c r="G75" s="20"/>
    </row>
    <row r="76" spans="1:7">
      <c r="A76" s="213">
        <v>44145</v>
      </c>
      <c r="B76" s="169">
        <v>1.1204000000000001</v>
      </c>
      <c r="C76" s="108">
        <f t="shared" si="3"/>
        <v>5.0000000000016698E-4</v>
      </c>
      <c r="D76" s="109" t="str">
        <f t="shared" si="4"/>
        <v>/</v>
      </c>
      <c r="E76" s="109">
        <f ca="1">IF(表2_367162629303891213141523242526272835[[#This Row],[累计净值]]/MAX(INDIRECT("B21:B" &amp; ROW()))-1&lt;E75,表2_367162629303891213141523242526272835[[#This Row],[累计净值]]/MAX(INDIRECT("B21:B" &amp; ROW()))-1,E75)</f>
        <v>-2.3271340009537456E-2</v>
      </c>
      <c r="F76" s="110">
        <f>表2_367162629303891213141523242526272835[[#This Row],[累计净值]]</f>
        <v>1.1204000000000001</v>
      </c>
      <c r="G76" s="20"/>
    </row>
    <row r="77" spans="1:7">
      <c r="A77" s="214">
        <v>44146</v>
      </c>
      <c r="B77" s="169">
        <v>1.1208</v>
      </c>
      <c r="C77" s="108">
        <f t="shared" si="3"/>
        <v>3.9999999999995595E-4</v>
      </c>
      <c r="D77" s="109" t="str">
        <f t="shared" si="4"/>
        <v>/</v>
      </c>
      <c r="E77" s="109">
        <f ca="1">IF(表2_367162629303891213141523242526272835[[#This Row],[累计净值]]/MAX(INDIRECT("B21:B" &amp; ROW()))-1&lt;E76,表2_367162629303891213141523242526272835[[#This Row],[累计净值]]/MAX(INDIRECT("B21:B" &amp; ROW()))-1,E76)</f>
        <v>-2.3271340009537456E-2</v>
      </c>
      <c r="F77" s="110">
        <f>表2_367162629303891213141523242526272835[[#This Row],[累计净值]]</f>
        <v>1.1208</v>
      </c>
      <c r="G77" s="20"/>
    </row>
    <row r="78" spans="1:7">
      <c r="A78" s="214">
        <v>44147</v>
      </c>
      <c r="B78" s="169">
        <v>1.1228</v>
      </c>
      <c r="C78" s="108">
        <f t="shared" si="3"/>
        <v>2.0000000000000018E-3</v>
      </c>
      <c r="D78" s="109" t="str">
        <f t="shared" si="4"/>
        <v>/</v>
      </c>
      <c r="E78" s="109">
        <f ca="1">IF(表2_367162629303891213141523242526272835[[#This Row],[累计净值]]/MAX(INDIRECT("B21:B" &amp; ROW()))-1&lt;E77,表2_367162629303891213141523242526272835[[#This Row],[累计净值]]/MAX(INDIRECT("B21:B" &amp; ROW()))-1,E77)</f>
        <v>-2.3271340009537456E-2</v>
      </c>
      <c r="F78" s="110">
        <f>表2_367162629303891213141523242526272835[[#This Row],[累计净值]]</f>
        <v>1.1228</v>
      </c>
      <c r="G78" s="20"/>
    </row>
    <row r="79" spans="1:7">
      <c r="A79" s="214">
        <v>44148</v>
      </c>
      <c r="B79" s="169">
        <v>1.1214999999999999</v>
      </c>
      <c r="C79" s="108">
        <f t="shared" si="3"/>
        <v>-1.3000000000000789E-3</v>
      </c>
      <c r="D79" s="109">
        <f t="shared" si="4"/>
        <v>-1.3000000000000789E-3</v>
      </c>
      <c r="E79" s="109">
        <f ca="1">IF(表2_367162629303891213141523242526272835[[#This Row],[累计净值]]/MAX(INDIRECT("B21:B" &amp; ROW()))-1&lt;E78,表2_367162629303891213141523242526272835[[#This Row],[累计净值]]/MAX(INDIRECT("B21:B" &amp; ROW()))-1,E78)</f>
        <v>-2.3271340009537456E-2</v>
      </c>
      <c r="F79" s="110">
        <f>表2_367162629303891213141523242526272835[[#This Row],[累计净值]]</f>
        <v>1.1214999999999999</v>
      </c>
      <c r="G79" s="20"/>
    </row>
    <row r="80" spans="1:7">
      <c r="A80" s="214">
        <v>44151</v>
      </c>
      <c r="B80" s="169">
        <v>1.1287</v>
      </c>
      <c r="C80" s="108">
        <f t="shared" si="3"/>
        <v>7.2000000000000952E-3</v>
      </c>
      <c r="D80" s="109" t="str">
        <f t="shared" si="4"/>
        <v>/</v>
      </c>
      <c r="E80" s="109">
        <f ca="1">IF(表2_367162629303891213141523242526272835[[#This Row],[累计净值]]/MAX(INDIRECT("B21:B" &amp; ROW()))-1&lt;E79,表2_367162629303891213141523242526272835[[#This Row],[累计净值]]/MAX(INDIRECT("B21:B" &amp; ROW()))-1,E79)</f>
        <v>-2.3271340009537456E-2</v>
      </c>
      <c r="F80" s="110">
        <f>表2_367162629303891213141523242526272835[[#This Row],[累计净值]]</f>
        <v>1.1287</v>
      </c>
      <c r="G80" s="20"/>
    </row>
    <row r="81" spans="1:7">
      <c r="A81" s="214">
        <v>44152</v>
      </c>
      <c r="B81" s="169">
        <v>1.1309</v>
      </c>
      <c r="C81" s="108">
        <f t="shared" si="3"/>
        <v>2.1999999999999797E-3</v>
      </c>
      <c r="D81" s="109" t="str">
        <f t="shared" si="4"/>
        <v>/</v>
      </c>
      <c r="E81" s="109">
        <f ca="1">IF(表2_367162629303891213141523242526272835[[#This Row],[累计净值]]/MAX(INDIRECT("B21:B" &amp; ROW()))-1&lt;E80,表2_367162629303891213141523242526272835[[#This Row],[累计净值]]/MAX(INDIRECT("B21:B" &amp; ROW()))-1,E80)</f>
        <v>-2.3271340009537456E-2</v>
      </c>
      <c r="F81" s="110">
        <f>表2_367162629303891213141523242526272835[[#This Row],[累计净值]]</f>
        <v>1.1309</v>
      </c>
      <c r="G81" s="20"/>
    </row>
    <row r="82" spans="1:7">
      <c r="A82" s="214">
        <v>44153</v>
      </c>
      <c r="B82" s="169">
        <v>1.1303000000000001</v>
      </c>
      <c r="C82" s="108">
        <f t="shared" si="3"/>
        <v>-5.9999999999993392E-4</v>
      </c>
      <c r="D82" s="109">
        <f t="shared" si="4"/>
        <v>-5.9999999999993392E-4</v>
      </c>
      <c r="E82" s="109">
        <f ca="1">IF(表2_367162629303891213141523242526272835[[#This Row],[累计净值]]/MAX(INDIRECT("B21:B" &amp; ROW()))-1&lt;E81,表2_367162629303891213141523242526272835[[#This Row],[累计净值]]/MAX(INDIRECT("B21:B" &amp; ROW()))-1,E81)</f>
        <v>-2.3271340009537456E-2</v>
      </c>
      <c r="F82" s="110">
        <f>表2_367162629303891213141523242526272835[[#This Row],[累计净值]]</f>
        <v>1.1303000000000001</v>
      </c>
      <c r="G82" s="20"/>
    </row>
    <row r="83" spans="1:7">
      <c r="A83" s="214">
        <v>44154</v>
      </c>
      <c r="B83" s="169">
        <v>1.1338999999999999</v>
      </c>
      <c r="C83" s="108">
        <f t="shared" si="3"/>
        <v>3.5999999999998256E-3</v>
      </c>
      <c r="D83" s="109" t="str">
        <f t="shared" si="4"/>
        <v>/</v>
      </c>
      <c r="E83" s="109">
        <f ca="1">IF(表2_367162629303891213141523242526272835[[#This Row],[累计净值]]/MAX(INDIRECT("B21:B" &amp; ROW()))-1&lt;E82,表2_367162629303891213141523242526272835[[#This Row],[累计净值]]/MAX(INDIRECT("B21:B" &amp; ROW()))-1,E82)</f>
        <v>-2.3271340009537456E-2</v>
      </c>
      <c r="F83" s="110">
        <f>表2_367162629303891213141523242526272835[[#This Row],[累计净值]]</f>
        <v>1.1338999999999999</v>
      </c>
      <c r="G83" s="20"/>
    </row>
    <row r="84" spans="1:7">
      <c r="A84" s="214">
        <v>44155</v>
      </c>
      <c r="B84" s="169">
        <v>1.137</v>
      </c>
      <c r="C84" s="108">
        <f t="shared" si="3"/>
        <v>3.1000000000001027E-3</v>
      </c>
      <c r="D84" s="109" t="str">
        <f t="shared" si="4"/>
        <v>/</v>
      </c>
      <c r="E84" s="109">
        <f ca="1">IF(表2_367162629303891213141523242526272835[[#This Row],[累计净值]]/MAX(INDIRECT("B21:B" &amp; ROW()))-1&lt;E83,表2_367162629303891213141523242526272835[[#This Row],[累计净值]]/MAX(INDIRECT("B21:B" &amp; ROW()))-1,E83)</f>
        <v>-2.3271340009537456E-2</v>
      </c>
      <c r="F84" s="110">
        <f>表2_367162629303891213141523242526272835[[#This Row],[累计净值]]</f>
        <v>1.137</v>
      </c>
      <c r="G84" s="20"/>
    </row>
    <row r="85" spans="1:7">
      <c r="A85" s="214">
        <v>44158</v>
      </c>
      <c r="B85" s="169">
        <v>1.1417999999999999</v>
      </c>
      <c r="C85" s="108">
        <f t="shared" si="3"/>
        <v>4.7999999999999154E-3</v>
      </c>
      <c r="D85" s="109" t="str">
        <f t="shared" si="4"/>
        <v>/</v>
      </c>
      <c r="E85" s="109">
        <f ca="1">IF(表2_367162629303891213141523242526272835[[#This Row],[累计净值]]/MAX(INDIRECT("B21:B" &amp; ROW()))-1&lt;E84,表2_367162629303891213141523242526272835[[#This Row],[累计净值]]/MAX(INDIRECT("B21:B" &amp; ROW()))-1,E84)</f>
        <v>-2.3271340009537456E-2</v>
      </c>
      <c r="F85" s="110">
        <f>表2_367162629303891213141523242526272835[[#This Row],[累计净值]]</f>
        <v>1.1417999999999999</v>
      </c>
      <c r="G85" s="20"/>
    </row>
    <row r="86" spans="1:7">
      <c r="A86" s="214">
        <v>44159</v>
      </c>
      <c r="B86" s="169">
        <v>1.1424000000000001</v>
      </c>
      <c r="C86" s="108">
        <f t="shared" si="3"/>
        <v>6.0000000000015596E-4</v>
      </c>
      <c r="D86" s="109" t="str">
        <f t="shared" si="4"/>
        <v>/</v>
      </c>
      <c r="E86" s="109">
        <f ca="1">IF(表2_367162629303891213141523242526272835[[#This Row],[累计净值]]/MAX(INDIRECT("B21:B" &amp; ROW()))-1&lt;E85,表2_367162629303891213141523242526272835[[#This Row],[累计净值]]/MAX(INDIRECT("B21:B" &amp; ROW()))-1,E85)</f>
        <v>-2.3271340009537456E-2</v>
      </c>
      <c r="F86" s="110">
        <f>表2_367162629303891213141523242526272835[[#This Row],[累计净值]]</f>
        <v>1.1424000000000001</v>
      </c>
      <c r="G86" s="20"/>
    </row>
    <row r="87" spans="1:7">
      <c r="A87" s="214">
        <v>44160</v>
      </c>
      <c r="B87" s="169">
        <v>1.1403000000000001</v>
      </c>
      <c r="C87" s="108">
        <f t="shared" si="3"/>
        <v>-2.0999999999999908E-3</v>
      </c>
      <c r="D87" s="109">
        <f t="shared" si="4"/>
        <v>-2.0999999999999908E-3</v>
      </c>
      <c r="E87" s="109">
        <f ca="1">IF(表2_367162629303891213141523242526272835[[#This Row],[累计净值]]/MAX(INDIRECT("B21:B" &amp; ROW()))-1&lt;E86,表2_367162629303891213141523242526272835[[#This Row],[累计净值]]/MAX(INDIRECT("B21:B" &amp; ROW()))-1,E86)</f>
        <v>-2.3271340009537456E-2</v>
      </c>
      <c r="F87" s="110">
        <f>表2_367162629303891213141523242526272835[[#This Row],[累计净值]]</f>
        <v>1.1403000000000001</v>
      </c>
      <c r="G87" s="20"/>
    </row>
    <row r="88" spans="1:7">
      <c r="A88" s="214">
        <v>44161</v>
      </c>
      <c r="B88" s="169">
        <v>1.1442000000000001</v>
      </c>
      <c r="C88" s="108">
        <f t="shared" si="3"/>
        <v>3.9000000000000146E-3</v>
      </c>
      <c r="D88" s="109" t="str">
        <f t="shared" si="4"/>
        <v>/</v>
      </c>
      <c r="E88" s="109">
        <f ca="1">IF(表2_367162629303891213141523242526272835[[#This Row],[累计净值]]/MAX(INDIRECT("B21:B" &amp; ROW()))-1&lt;E87,表2_367162629303891213141523242526272835[[#This Row],[累计净值]]/MAX(INDIRECT("B21:B" &amp; ROW()))-1,E87)</f>
        <v>-2.3271340009537456E-2</v>
      </c>
      <c r="F88" s="110">
        <f>表2_367162629303891213141523242526272835[[#This Row],[累计净值]]</f>
        <v>1.1442000000000001</v>
      </c>
      <c r="G88" s="20"/>
    </row>
    <row r="89" spans="1:7">
      <c r="A89" s="214">
        <v>44162</v>
      </c>
      <c r="B89" s="169">
        <v>1.1494</v>
      </c>
      <c r="C89" s="108">
        <f t="shared" si="3"/>
        <v>5.1999999999998714E-3</v>
      </c>
      <c r="D89" s="109" t="str">
        <f t="shared" si="4"/>
        <v>/</v>
      </c>
      <c r="E89" s="109">
        <f ca="1">IF(表2_367162629303891213141523242526272835[[#This Row],[累计净值]]/MAX(INDIRECT("B21:B" &amp; ROW()))-1&lt;E88,表2_367162629303891213141523242526272835[[#This Row],[累计净值]]/MAX(INDIRECT("B21:B" &amp; ROW()))-1,E88)</f>
        <v>-2.3271340009537456E-2</v>
      </c>
      <c r="F89" s="110">
        <f>表2_367162629303891213141523242526272835[[#This Row],[累计净值]]</f>
        <v>1.1494</v>
      </c>
      <c r="G89" s="20"/>
    </row>
    <row r="90" spans="1:7">
      <c r="A90" s="214">
        <v>44165</v>
      </c>
      <c r="B90" s="169">
        <v>1.1494</v>
      </c>
      <c r="C90" s="108">
        <f>IFERROR(B90-B89,0)</f>
        <v>0</v>
      </c>
      <c r="D90" s="109" t="str">
        <f>IF(C90&lt;0,C90,"/")</f>
        <v>/</v>
      </c>
      <c r="E90" s="109">
        <f ca="1">IF(表2_367162629303891213141523242526272835[[#This Row],[累计净值]]/MAX(INDIRECT("B21:B" &amp; ROW()))-1&lt;E89,表2_367162629303891213141523242526272835[[#This Row],[累计净值]]/MAX(INDIRECT("B21:B" &amp; ROW()))-1,E89)</f>
        <v>-2.3271340009537456E-2</v>
      </c>
      <c r="F90" s="110">
        <f>表2_367162629303891213141523242526272835[[#This Row],[累计净值]]</f>
        <v>1.1494</v>
      </c>
      <c r="G90" s="20"/>
    </row>
    <row r="91" spans="1:7">
      <c r="A91" s="214">
        <v>44166</v>
      </c>
      <c r="B91" s="169">
        <v>1.1497999999999999</v>
      </c>
      <c r="C91" s="108">
        <f t="shared" ref="C91:C92" si="5">IFERROR(B91-B90,0)</f>
        <v>3.9999999999995595E-4</v>
      </c>
      <c r="D91" s="109" t="str">
        <f t="shared" ref="D91:D92" si="6">IF(C91&lt;0,C91,"/")</f>
        <v>/</v>
      </c>
      <c r="E91" s="109">
        <f ca="1">IF(表2_367162629303891213141523242526272835[[#This Row],[累计净值]]/MAX(INDIRECT("B21:B" &amp; ROW()))-1&lt;E90,表2_367162629303891213141523242526272835[[#This Row],[累计净值]]/MAX(INDIRECT("B21:B" &amp; ROW()))-1,E90)</f>
        <v>-2.3271340009537456E-2</v>
      </c>
      <c r="F91" s="110">
        <f>表2_367162629303891213141523242526272835[[#This Row],[累计净值]]</f>
        <v>1.1497999999999999</v>
      </c>
      <c r="G91" s="20"/>
    </row>
    <row r="92" spans="1:7">
      <c r="A92" s="214">
        <v>44167</v>
      </c>
      <c r="B92" s="169">
        <v>1.1497999999999999</v>
      </c>
      <c r="C92" s="108">
        <f t="shared" si="5"/>
        <v>0</v>
      </c>
      <c r="D92" s="109" t="str">
        <f t="shared" si="6"/>
        <v>/</v>
      </c>
      <c r="E92" s="109">
        <f ca="1">IF(表2_367162629303891213141523242526272835[[#This Row],[累计净值]]/MAX(INDIRECT("B21:B" &amp; ROW()))-1&lt;E91,表2_367162629303891213141523242526272835[[#This Row],[累计净值]]/MAX(INDIRECT("B21:B" &amp; ROW()))-1,E91)</f>
        <v>-2.3271340009537456E-2</v>
      </c>
      <c r="F92" s="110">
        <f>表2_367162629303891213141523242526272835[[#This Row],[累计净值]]</f>
        <v>1.1497999999999999</v>
      </c>
      <c r="G92" s="20"/>
    </row>
    <row r="93" spans="1:7">
      <c r="A93" s="214">
        <v>44168</v>
      </c>
      <c r="B93" s="169">
        <v>1.1512</v>
      </c>
      <c r="C93" s="108">
        <f>IFERROR(B93-B92,0)</f>
        <v>1.4000000000000679E-3</v>
      </c>
      <c r="D93" s="109" t="str">
        <f>IF(C93&lt;0,C93,"/")</f>
        <v>/</v>
      </c>
      <c r="E93" s="109">
        <f ca="1">IF(表2_367162629303891213141523242526272835[[#This Row],[累计净值]]/MAX(INDIRECT("B21:B" &amp; ROW()))-1&lt;E92,表2_367162629303891213141523242526272835[[#This Row],[累计净值]]/MAX(INDIRECT("B21:B" &amp; ROW()))-1,E92)</f>
        <v>-2.3271340009537456E-2</v>
      </c>
      <c r="F93" s="110">
        <f>表2_367162629303891213141523242526272835[[#This Row],[累计净值]]</f>
        <v>1.1512</v>
      </c>
      <c r="G93" s="20"/>
    </row>
    <row r="94" spans="1:7">
      <c r="A94" s="214">
        <v>44169</v>
      </c>
      <c r="B94" s="169">
        <v>1.1557999999999999</v>
      </c>
      <c r="C94" s="108">
        <f>IFERROR(B94-B93,0)</f>
        <v>4.5999999999999375E-3</v>
      </c>
      <c r="D94" s="109" t="str">
        <f>IF(C94&lt;0,C94,"/")</f>
        <v>/</v>
      </c>
      <c r="E94" s="109">
        <f ca="1">IF(表2_367162629303891213141523242526272835[[#This Row],[累计净值]]/MAX(INDIRECT("B21:B" &amp; ROW()))-1&lt;E93,表2_367162629303891213141523242526272835[[#This Row],[累计净值]]/MAX(INDIRECT("B21:B" &amp; ROW()))-1,E93)</f>
        <v>-2.3271340009537456E-2</v>
      </c>
      <c r="F94" s="110">
        <f>表2_367162629303891213141523242526272835[[#This Row],[累计净值]]</f>
        <v>1.1557999999999999</v>
      </c>
      <c r="G94" s="20"/>
    </row>
    <row r="95" spans="1:7">
      <c r="A95" s="214">
        <v>44172</v>
      </c>
      <c r="B95" s="169">
        <v>1.1580999999999999</v>
      </c>
      <c r="C95" s="108">
        <f>IFERROR(B95-B94,0)</f>
        <v>2.2999999999999687E-3</v>
      </c>
      <c r="D95" s="109" t="str">
        <f>IF(C95&lt;0,C95,"/")</f>
        <v>/</v>
      </c>
      <c r="E95" s="109">
        <f ca="1">IF(表2_367162629303891213141523242526272835[[#This Row],[累计净值]]/MAX(INDIRECT("B21:B" &amp; ROW()))-1&lt;E94,表2_367162629303891213141523242526272835[[#This Row],[累计净值]]/MAX(INDIRECT("B21:B" &amp; ROW()))-1,E94)</f>
        <v>-2.3271340009537456E-2</v>
      </c>
      <c r="F95" s="110">
        <f>表2_367162629303891213141523242526272835[[#This Row],[累计净值]]</f>
        <v>1.1580999999999999</v>
      </c>
      <c r="G95" s="20"/>
    </row>
    <row r="96" spans="1:7">
      <c r="A96" s="213">
        <v>44173</v>
      </c>
      <c r="B96" s="169">
        <v>1.1614</v>
      </c>
      <c r="C96" s="108">
        <f t="shared" ref="C96:C109" si="7">IFERROR(B96-B95,0)</f>
        <v>3.3000000000000806E-3</v>
      </c>
      <c r="D96" s="109" t="str">
        <f t="shared" ref="D96:D109" si="8">IF(C96&lt;0,C96,"/")</f>
        <v>/</v>
      </c>
      <c r="E96" s="109">
        <f ca="1">IF(表2_367162629303891213141523242526272835[[#This Row],[累计净值]]/MAX(INDIRECT("B21:B" &amp; ROW()))-1&lt;E95,表2_367162629303891213141523242526272835[[#This Row],[累计净值]]/MAX(INDIRECT("B21:B" &amp; ROW()))-1,E95)</f>
        <v>-2.3271340009537456E-2</v>
      </c>
      <c r="F96" s="110">
        <f>表2_367162629303891213141523242526272835[[#This Row],[累计净值]]</f>
        <v>1.1614</v>
      </c>
      <c r="G96" s="20"/>
    </row>
    <row r="97" spans="1:7">
      <c r="A97" s="213">
        <v>44174</v>
      </c>
      <c r="B97" s="169">
        <v>1.1575</v>
      </c>
      <c r="C97" s="108">
        <f t="shared" si="7"/>
        <v>-3.9000000000000146E-3</v>
      </c>
      <c r="D97" s="109">
        <f t="shared" si="8"/>
        <v>-3.9000000000000146E-3</v>
      </c>
      <c r="E97" s="109">
        <f ca="1">IF(表2_367162629303891213141523242526272835[[#This Row],[累计净值]]/MAX(INDIRECT("B21:B" &amp; ROW()))-1&lt;E96,表2_367162629303891213141523242526272835[[#This Row],[累计净值]]/MAX(INDIRECT("B21:B" &amp; ROW()))-1,E96)</f>
        <v>-2.3271340009537456E-2</v>
      </c>
      <c r="F97" s="110">
        <f>表2_367162629303891213141523242526272835[[#This Row],[累计净值]]</f>
        <v>1.1575</v>
      </c>
      <c r="G97" s="20"/>
    </row>
    <row r="98" spans="1:7">
      <c r="A98" s="213">
        <v>44175</v>
      </c>
      <c r="B98" s="169">
        <v>1.159</v>
      </c>
      <c r="C98" s="108">
        <f t="shared" si="7"/>
        <v>1.5000000000000568E-3</v>
      </c>
      <c r="D98" s="109" t="str">
        <f t="shared" si="8"/>
        <v>/</v>
      </c>
      <c r="E98" s="109">
        <f ca="1">IF(表2_367162629303891213141523242526272835[[#This Row],[累计净值]]/MAX(INDIRECT("B21:B" &amp; ROW()))-1&lt;E97,表2_367162629303891213141523242526272835[[#This Row],[累计净值]]/MAX(INDIRECT("B21:B" &amp; ROW()))-1,E97)</f>
        <v>-2.3271340009537456E-2</v>
      </c>
      <c r="F98" s="110">
        <f>表2_367162629303891213141523242526272835[[#This Row],[累计净值]]</f>
        <v>1.159</v>
      </c>
      <c r="G98" s="20"/>
    </row>
    <row r="99" spans="1:7">
      <c r="A99" s="213">
        <v>44176</v>
      </c>
      <c r="B99" s="169">
        <v>1.1448</v>
      </c>
      <c r="C99" s="108">
        <f t="shared" si="7"/>
        <v>-1.419999999999999E-2</v>
      </c>
      <c r="D99" s="109">
        <f t="shared" si="8"/>
        <v>-1.419999999999999E-2</v>
      </c>
      <c r="E99" s="109">
        <f ca="1">IF(表2_367162629303891213141523242526272835[[#This Row],[累计净值]]/MAX(INDIRECT("B21:B" &amp; ROW()))-1&lt;E98,表2_367162629303891213141523242526272835[[#This Row],[累计净值]]/MAX(INDIRECT("B21:B" &amp; ROW()))-1,E98)</f>
        <v>-2.3271340009537456E-2</v>
      </c>
      <c r="F99" s="110">
        <f>表2_367162629303891213141523242526272835[[#This Row],[累计净值]]</f>
        <v>1.1448</v>
      </c>
      <c r="G99" s="20"/>
    </row>
    <row r="100" spans="1:7">
      <c r="A100" s="213">
        <v>44179</v>
      </c>
      <c r="B100" s="169">
        <v>1.1568000000000001</v>
      </c>
      <c r="C100" s="108">
        <f t="shared" si="7"/>
        <v>1.2000000000000011E-2</v>
      </c>
      <c r="D100" s="109" t="str">
        <f t="shared" si="8"/>
        <v>/</v>
      </c>
      <c r="E100" s="109">
        <f ca="1">IF(表2_367162629303891213141523242526272835[[#This Row],[累计净值]]/MAX(INDIRECT("B21:B" &amp; ROW()))-1&lt;E99,表2_367162629303891213141523242526272835[[#This Row],[累计净值]]/MAX(INDIRECT("B21:B" &amp; ROW()))-1,E99)</f>
        <v>-2.3271340009537456E-2</v>
      </c>
      <c r="F100" s="110">
        <f>表2_367162629303891213141523242526272835[[#This Row],[累计净值]]</f>
        <v>1.1568000000000001</v>
      </c>
      <c r="G100" s="20"/>
    </row>
    <row r="101" spans="1:7">
      <c r="A101" s="213">
        <v>44180</v>
      </c>
      <c r="B101" s="169">
        <v>1.159</v>
      </c>
      <c r="C101" s="108">
        <f t="shared" si="7"/>
        <v>2.1999999999999797E-3</v>
      </c>
      <c r="D101" s="109" t="str">
        <f t="shared" si="8"/>
        <v>/</v>
      </c>
      <c r="E101" s="109">
        <f ca="1">IF(表2_367162629303891213141523242526272835[[#This Row],[累计净值]]/MAX(INDIRECT("B21:B" &amp; ROW()))-1&lt;E100,表2_367162629303891213141523242526272835[[#This Row],[累计净值]]/MAX(INDIRECT("B21:B" &amp; ROW()))-1,E100)</f>
        <v>-2.3271340009537456E-2</v>
      </c>
      <c r="F101" s="110">
        <f>表2_367162629303891213141523242526272835[[#This Row],[累计净值]]</f>
        <v>1.159</v>
      </c>
      <c r="G101" s="20"/>
    </row>
    <row r="102" spans="1:7">
      <c r="A102" s="213">
        <v>44181</v>
      </c>
      <c r="B102" s="169">
        <v>1.1595</v>
      </c>
      <c r="C102" s="108">
        <f t="shared" si="7"/>
        <v>4.9999999999994493E-4</v>
      </c>
      <c r="D102" s="109" t="str">
        <f t="shared" si="8"/>
        <v>/</v>
      </c>
      <c r="E102" s="109">
        <f ca="1">IF(表2_367162629303891213141523242526272835[[#This Row],[累计净值]]/MAX(INDIRECT("B21:B" &amp; ROW()))-1&lt;E101,表2_367162629303891213141523242526272835[[#This Row],[累计净值]]/MAX(INDIRECT("B21:B" &amp; ROW()))-1,E101)</f>
        <v>-2.3271340009537456E-2</v>
      </c>
      <c r="F102" s="110">
        <f>表2_367162629303891213141523242526272835[[#This Row],[累计净值]]</f>
        <v>1.1595</v>
      </c>
      <c r="G102" s="20"/>
    </row>
    <row r="103" spans="1:7">
      <c r="A103" s="213">
        <v>44182</v>
      </c>
      <c r="B103" s="169">
        <v>1.1659999999999999</v>
      </c>
      <c r="C103" s="108">
        <f t="shared" si="7"/>
        <v>6.4999999999999503E-3</v>
      </c>
      <c r="D103" s="109" t="str">
        <f t="shared" si="8"/>
        <v>/</v>
      </c>
      <c r="E103" s="109">
        <f ca="1">IF(表2_367162629303891213141523242526272835[[#This Row],[累计净值]]/MAX(INDIRECT("B21:B" &amp; ROW()))-1&lt;E102,表2_367162629303891213141523242526272835[[#This Row],[累计净值]]/MAX(INDIRECT("B21:B" &amp; ROW()))-1,E102)</f>
        <v>-2.3271340009537456E-2</v>
      </c>
      <c r="F103" s="110">
        <f>表2_367162629303891213141523242526272835[[#This Row],[累计净值]]</f>
        <v>1.1659999999999999</v>
      </c>
      <c r="G103" s="20"/>
    </row>
    <row r="104" spans="1:7">
      <c r="A104" s="213">
        <v>44183</v>
      </c>
      <c r="B104" s="169">
        <v>1.167</v>
      </c>
      <c r="C104" s="108">
        <f t="shared" si="7"/>
        <v>1.0000000000001119E-3</v>
      </c>
      <c r="D104" s="109" t="str">
        <f t="shared" si="8"/>
        <v>/</v>
      </c>
      <c r="E104" s="109">
        <f ca="1">IF(表2_367162629303891213141523242526272835[[#This Row],[累计净值]]/MAX(INDIRECT("B21:B" &amp; ROW()))-1&lt;E103,表2_367162629303891213141523242526272835[[#This Row],[累计净值]]/MAX(INDIRECT("B21:B" &amp; ROW()))-1,E103)</f>
        <v>-2.3271340009537456E-2</v>
      </c>
      <c r="F104" s="110">
        <f>表2_367162629303891213141523242526272835[[#This Row],[累计净值]]</f>
        <v>1.167</v>
      </c>
      <c r="G104" s="20"/>
    </row>
    <row r="105" spans="1:7">
      <c r="A105" s="213">
        <v>44186</v>
      </c>
      <c r="B105" s="169">
        <v>1.1697</v>
      </c>
      <c r="C105" s="108">
        <f t="shared" si="7"/>
        <v>2.6999999999999247E-3</v>
      </c>
      <c r="D105" s="109" t="str">
        <f t="shared" si="8"/>
        <v>/</v>
      </c>
      <c r="E105" s="109">
        <f ca="1">IF(表2_367162629303891213141523242526272835[[#This Row],[累计净值]]/MAX(INDIRECT("B21:B" &amp; ROW()))-1&lt;E104,表2_367162629303891213141523242526272835[[#This Row],[累计净值]]/MAX(INDIRECT("B21:B" &amp; ROW()))-1,E104)</f>
        <v>-2.3271340009537456E-2</v>
      </c>
      <c r="F105" s="110">
        <f>表2_367162629303891213141523242526272835[[#This Row],[累计净值]]</f>
        <v>1.1697</v>
      </c>
      <c r="G105" s="20"/>
    </row>
    <row r="106" spans="1:7">
      <c r="A106" s="213">
        <v>44187</v>
      </c>
      <c r="B106" s="169">
        <v>1.1635</v>
      </c>
      <c r="C106" s="108">
        <f t="shared" si="7"/>
        <v>-6.1999999999999833E-3</v>
      </c>
      <c r="D106" s="109">
        <f t="shared" si="8"/>
        <v>-6.1999999999999833E-3</v>
      </c>
      <c r="E106" s="109">
        <f ca="1">IF(表2_367162629303891213141523242526272835[[#This Row],[累计净值]]/MAX(INDIRECT("B21:B" &amp; ROW()))-1&lt;E105,表2_367162629303891213141523242526272835[[#This Row],[累计净值]]/MAX(INDIRECT("B21:B" &amp; ROW()))-1,E105)</f>
        <v>-2.3271340009537456E-2</v>
      </c>
      <c r="F106" s="110">
        <f>表2_367162629303891213141523242526272835[[#This Row],[累计净值]]</f>
        <v>1.1635</v>
      </c>
      <c r="G106" s="20"/>
    </row>
    <row r="107" spans="1:7">
      <c r="A107" s="213">
        <v>44188</v>
      </c>
      <c r="B107" s="169">
        <v>1.1673</v>
      </c>
      <c r="C107" s="108">
        <f t="shared" si="7"/>
        <v>3.8000000000000256E-3</v>
      </c>
      <c r="D107" s="109" t="str">
        <f t="shared" si="8"/>
        <v>/</v>
      </c>
      <c r="E107" s="109">
        <f ca="1">IF(表2_367162629303891213141523242526272835[[#This Row],[累计净值]]/MAX(INDIRECT("B21:B" &amp; ROW()))-1&lt;E106,表2_367162629303891213141523242526272835[[#This Row],[累计净值]]/MAX(INDIRECT("B21:B" &amp; ROW()))-1,E106)</f>
        <v>-2.3271340009537456E-2</v>
      </c>
      <c r="F107" s="110">
        <f>表2_367162629303891213141523242526272835[[#This Row],[累计净值]]</f>
        <v>1.1673</v>
      </c>
      <c r="G107" s="20"/>
    </row>
    <row r="108" spans="1:7">
      <c r="A108" s="213">
        <v>44189</v>
      </c>
      <c r="B108" s="169">
        <v>1.169</v>
      </c>
      <c r="C108" s="108">
        <f t="shared" si="7"/>
        <v>1.7000000000000348E-3</v>
      </c>
      <c r="D108" s="109" t="str">
        <f t="shared" si="8"/>
        <v>/</v>
      </c>
      <c r="E108" s="109">
        <f ca="1">IF(表2_367162629303891213141523242526272835[[#This Row],[累计净值]]/MAX(INDIRECT("B21:B" &amp; ROW()))-1&lt;E107,表2_367162629303891213141523242526272835[[#This Row],[累计净值]]/MAX(INDIRECT("B21:B" &amp; ROW()))-1,E107)</f>
        <v>-2.3271340009537456E-2</v>
      </c>
      <c r="F108" s="110">
        <f>表2_367162629303891213141523242526272835[[#This Row],[累计净值]]</f>
        <v>1.169</v>
      </c>
      <c r="G108" s="20"/>
    </row>
    <row r="109" spans="1:7">
      <c r="A109" s="213">
        <v>44190</v>
      </c>
      <c r="B109" s="169">
        <v>1.1731</v>
      </c>
      <c r="C109" s="108">
        <f t="shared" si="7"/>
        <v>4.0999999999999925E-3</v>
      </c>
      <c r="D109" s="109" t="str">
        <f t="shared" si="8"/>
        <v>/</v>
      </c>
      <c r="E109" s="109">
        <f ca="1">IF(表2_367162629303891213141523242526272835[[#This Row],[累计净值]]/MAX(INDIRECT("B21:B" &amp; ROW()))-1&lt;E108,表2_367162629303891213141523242526272835[[#This Row],[累计净值]]/MAX(INDIRECT("B21:B" &amp; ROW()))-1,E108)</f>
        <v>-2.3271340009537456E-2</v>
      </c>
      <c r="F109" s="110">
        <f>表2_367162629303891213141523242526272835[[#This Row],[累计净值]]</f>
        <v>1.1731</v>
      </c>
      <c r="G109" s="20"/>
    </row>
    <row r="110" spans="1:7">
      <c r="A110" s="213">
        <v>44193</v>
      </c>
      <c r="B110" s="169">
        <v>1.1755</v>
      </c>
      <c r="C110" s="108">
        <f>IFERROR(B110-B109,0)</f>
        <v>2.3999999999999577E-3</v>
      </c>
      <c r="D110" s="109" t="str">
        <f>IF(C110&lt;0,C110,"/")</f>
        <v>/</v>
      </c>
      <c r="E110" s="109">
        <f ca="1">IF(表2_367162629303891213141523242526272835[[#This Row],[累计净值]]/MAX(INDIRECT("B21:B" &amp; ROW()))-1&lt;E109,表2_367162629303891213141523242526272835[[#This Row],[累计净值]]/MAX(INDIRECT("B21:B" &amp; ROW()))-1,E109)</f>
        <v>-2.3271340009537456E-2</v>
      </c>
      <c r="F110" s="110">
        <f>表2_367162629303891213141523242526272835[[#This Row],[累计净值]]</f>
        <v>1.1755</v>
      </c>
      <c r="G110" s="20"/>
    </row>
    <row r="111" spans="1:7">
      <c r="A111" s="213">
        <v>44194</v>
      </c>
      <c r="B111" s="169">
        <v>1.1736</v>
      </c>
      <c r="C111" s="108">
        <f>IFERROR(B111-B110,0)</f>
        <v>-1.9000000000000128E-3</v>
      </c>
      <c r="D111" s="109">
        <f>IF(C111&lt;0,C111,"/")</f>
        <v>-1.9000000000000128E-3</v>
      </c>
      <c r="E111" s="109">
        <f ca="1">IF(表2_367162629303891213141523242526272835[[#This Row],[累计净值]]/MAX(INDIRECT("B21:B" &amp; ROW()))-1&lt;E110,表2_367162629303891213141523242526272835[[#This Row],[累计净值]]/MAX(INDIRECT("B21:B" &amp; ROW()))-1,E110)</f>
        <v>-2.3271340009537456E-2</v>
      </c>
      <c r="F111" s="110">
        <f>表2_367162629303891213141523242526272835[[#This Row],[累计净值]]</f>
        <v>1.1736</v>
      </c>
      <c r="G111" s="20"/>
    </row>
    <row r="112" spans="1:7">
      <c r="A112" s="213">
        <v>44195</v>
      </c>
      <c r="B112" s="169">
        <v>1.1763999999999999</v>
      </c>
      <c r="C112" s="108">
        <f>IFERROR(B112-B111,0)</f>
        <v>2.7999999999999137E-3</v>
      </c>
      <c r="D112" s="109" t="str">
        <f>IF(C112&lt;0,C112,"/")</f>
        <v>/</v>
      </c>
      <c r="E112" s="109">
        <f ca="1">IF(表2_367162629303891213141523242526272835[[#This Row],[累计净值]]/MAX(INDIRECT("B21:B" &amp; ROW()))-1&lt;E111,表2_367162629303891213141523242526272835[[#This Row],[累计净值]]/MAX(INDIRECT("B21:B" &amp; ROW()))-1,E111)</f>
        <v>-2.3271340009537456E-2</v>
      </c>
      <c r="F112" s="110">
        <f>表2_367162629303891213141523242526272835[[#This Row],[累计净值]]</f>
        <v>1.1763999999999999</v>
      </c>
      <c r="G112" s="20"/>
    </row>
    <row r="113" spans="1:7">
      <c r="A113" s="213">
        <v>44196</v>
      </c>
      <c r="B113" s="169">
        <v>1.1778999999999999</v>
      </c>
      <c r="C113" s="108">
        <f t="shared" ref="C113:C116" si="9">IFERROR(B113-B112,0)</f>
        <v>1.5000000000000568E-3</v>
      </c>
      <c r="D113" s="109" t="str">
        <f t="shared" ref="D113:D116" si="10">IF(C113&lt;0,C113,"/")</f>
        <v>/</v>
      </c>
      <c r="E113" s="109">
        <f ca="1">IF(表2_367162629303891213141523242526272835[[#This Row],[累计净值]]/MAX(INDIRECT("B21:B" &amp; ROW()))-1&lt;E112,表2_367162629303891213141523242526272835[[#This Row],[累计净值]]/MAX(INDIRECT("B21:B" &amp; ROW()))-1,E112)</f>
        <v>-2.3271340009537456E-2</v>
      </c>
      <c r="F113" s="110">
        <f>表2_367162629303891213141523242526272835[[#This Row],[累计净值]]</f>
        <v>1.1778999999999999</v>
      </c>
      <c r="G113" s="20"/>
    </row>
    <row r="114" spans="1:7">
      <c r="A114" s="222">
        <v>44200</v>
      </c>
      <c r="B114" s="165">
        <v>1.1827000000000001</v>
      </c>
      <c r="C114" s="191">
        <f t="shared" si="9"/>
        <v>4.8000000000001375E-3</v>
      </c>
      <c r="D114" s="192" t="str">
        <f t="shared" si="10"/>
        <v>/</v>
      </c>
      <c r="E114" s="192">
        <f ca="1">IF(表2_367162629303891213141523242526272835[[#This Row],[累计净值]]/MAX(INDIRECT("B21:B" &amp; ROW()))-1&lt;E113,表2_367162629303891213141523242526272835[[#This Row],[累计净值]]/MAX(INDIRECT("B21:B" &amp; ROW()))-1,E113)</f>
        <v>-2.3271340009537456E-2</v>
      </c>
      <c r="F114" s="193">
        <f>表2_367162629303891213141523242526272835[[#This Row],[累计净值]]</f>
        <v>1.1827000000000001</v>
      </c>
      <c r="G114" s="194" t="s">
        <v>30</v>
      </c>
    </row>
    <row r="115" spans="1:7">
      <c r="A115" s="213">
        <v>44201</v>
      </c>
      <c r="B115" s="169">
        <v>1.1879999999999999</v>
      </c>
      <c r="C115" s="108">
        <f t="shared" si="9"/>
        <v>5.2999999999998604E-3</v>
      </c>
      <c r="D115" s="109" t="str">
        <f t="shared" si="10"/>
        <v>/</v>
      </c>
      <c r="E115" s="109">
        <f ca="1">IF(表2_367162629303891213141523242526272835[[#This Row],[累计净值]]/MAX(INDIRECT("B21:B" &amp; ROW()))-1&lt;E114,表2_367162629303891213141523242526272835[[#This Row],[累计净值]]/MAX(INDIRECT("B21:B" &amp; ROW()))-1,E114)</f>
        <v>-2.3271340009537456E-2</v>
      </c>
      <c r="F115" s="110">
        <f>表2_367162629303891213141523242526272835[[#This Row],[累计净值]]</f>
        <v>1.1879999999999999</v>
      </c>
      <c r="G115" s="20">
        <f>IF(表2_367162629303891213141523242526272835[[#This Row],[单位净值]]&gt;1.1827,0.7*(表2_367162629303891213141523242526272835[[#This Row],[累计净值]]/$B$114-1),表2_367162629303891213141523242526272835[[#This Row],[单位净值]]/$F$114-1)</f>
        <v>3.1368901665679736E-3</v>
      </c>
    </row>
    <row r="116" spans="1:7">
      <c r="A116" s="213">
        <v>44202</v>
      </c>
      <c r="B116" s="169">
        <v>1.1884999999999999</v>
      </c>
      <c r="C116" s="108">
        <f t="shared" si="9"/>
        <v>4.9999999999994493E-4</v>
      </c>
      <c r="D116" s="109" t="str">
        <f t="shared" si="10"/>
        <v>/</v>
      </c>
      <c r="E116" s="109">
        <f ca="1">IF(表2_367162629303891213141523242526272835[[#This Row],[累计净值]]/MAX(INDIRECT("B21:B" &amp; ROW()))-1&lt;E115,表2_367162629303891213141523242526272835[[#This Row],[累计净值]]/MAX(INDIRECT("B21:B" &amp; ROW()))-1,E115)</f>
        <v>-2.3271340009537456E-2</v>
      </c>
      <c r="F116" s="110">
        <f>表2_367162629303891213141523242526272835[[#This Row],[累计净值]]</f>
        <v>1.1884999999999999</v>
      </c>
      <c r="G116" s="20">
        <f>IF(表2_367162629303891213141523242526272835[[#This Row],[单位净值]]&gt;1.1827,0.7*(表2_367162629303891213141523242526272835[[#This Row],[累计净值]]/$B$114-1),表2_367162629303891213141523242526272835[[#This Row],[单位净值]]/$F$114-1)</f>
        <v>3.432823201149726E-3</v>
      </c>
    </row>
    <row r="117" spans="1:7">
      <c r="A117" s="213">
        <v>44203</v>
      </c>
      <c r="B117" s="169">
        <v>1.1899</v>
      </c>
      <c r="C117" s="108">
        <f t="shared" ref="C117:C119" si="11">IFERROR(B117-B116,0)</f>
        <v>1.4000000000000679E-3</v>
      </c>
      <c r="D117" s="109" t="str">
        <f t="shared" ref="D117:D119" si="12">IF(C117&lt;0,C117,"/")</f>
        <v>/</v>
      </c>
      <c r="E117" s="109">
        <f ca="1">IF(表2_367162629303891213141523242526272835[[#This Row],[累计净值]]/MAX(INDIRECT("B21:B" &amp; ROW()))-1&lt;E116,表2_367162629303891213141523242526272835[[#This Row],[累计净值]]/MAX(INDIRECT("B21:B" &amp; ROW()))-1,E116)</f>
        <v>-2.3271340009537456E-2</v>
      </c>
      <c r="F117" s="110">
        <f>表2_367162629303891213141523242526272835[[#This Row],[累计净值]]</f>
        <v>1.1899</v>
      </c>
      <c r="G117" s="20">
        <f>IF(表2_367162629303891213141523242526272835[[#This Row],[单位净值]]&gt;1.1827,0.7*(表2_367162629303891213141523242526272835[[#This Row],[累计净值]]/$B$114-1),表2_367162629303891213141523242526272835[[#This Row],[单位净值]]/$F$114-1)</f>
        <v>4.261435697979099E-3</v>
      </c>
    </row>
    <row r="118" spans="1:7">
      <c r="A118" s="213">
        <v>44204</v>
      </c>
      <c r="B118" s="169">
        <v>1.1871</v>
      </c>
      <c r="C118" s="108">
        <f t="shared" si="11"/>
        <v>-2.7999999999999137E-3</v>
      </c>
      <c r="D118" s="109">
        <f t="shared" si="12"/>
        <v>-2.7999999999999137E-3</v>
      </c>
      <c r="E118" s="109">
        <f ca="1">IF(表2_367162629303891213141523242526272835[[#This Row],[累计净值]]/MAX(INDIRECT("B21:B" &amp; ROW()))-1&lt;E117,表2_367162629303891213141523242526272835[[#This Row],[累计净值]]/MAX(INDIRECT("B21:B" &amp; ROW()))-1,E117)</f>
        <v>-2.3271340009537456E-2</v>
      </c>
      <c r="F118" s="110">
        <f>表2_367162629303891213141523242526272835[[#This Row],[累计净值]]</f>
        <v>1.1871</v>
      </c>
      <c r="G118" s="20">
        <f>IF(表2_367162629303891213141523242526272835[[#This Row],[单位净值]]&gt;1.1827,0.7*(表2_367162629303891213141523242526272835[[#This Row],[累计净值]]/$B$114-1),表2_367162629303891213141523242526272835[[#This Row],[单位净值]]/$F$114-1)</f>
        <v>2.6042107043206639E-3</v>
      </c>
    </row>
    <row r="119" spans="1:7">
      <c r="A119" s="213">
        <v>44207</v>
      </c>
      <c r="B119" s="169">
        <v>1.1888000000000001</v>
      </c>
      <c r="C119" s="108">
        <f t="shared" si="11"/>
        <v>1.7000000000000348E-3</v>
      </c>
      <c r="D119" s="109" t="str">
        <f t="shared" si="12"/>
        <v>/</v>
      </c>
      <c r="E119" s="109">
        <f ca="1">IF(表2_367162629303891213141523242526272835[[#This Row],[累计净值]]/MAX(INDIRECT("B21:B" &amp; ROW()))-1&lt;E118,表2_367162629303891213141523242526272835[[#This Row],[累计净值]]/MAX(INDIRECT("B21:B" &amp; ROW()))-1,E118)</f>
        <v>-2.3271340009537456E-2</v>
      </c>
      <c r="F119" s="110">
        <f>表2_367162629303891213141523242526272835[[#This Row],[累计净值]]</f>
        <v>1.1888000000000001</v>
      </c>
      <c r="G119" s="20">
        <f>IF(表2_367162629303891213141523242526272835[[#This Row],[单位净值]]&gt;1.1827,0.7*(表2_367162629303891213141523242526272835[[#This Row],[累计净值]]/$B$114-1),表2_367162629303891213141523242526272835[[#This Row],[单位净值]]/$F$114-1)</f>
        <v>3.610383021899088E-3</v>
      </c>
    </row>
    <row r="120" spans="1:7">
      <c r="A120" s="213">
        <v>44208</v>
      </c>
      <c r="B120" s="215">
        <v>1.2004999999999999</v>
      </c>
      <c r="C120" s="108">
        <f t="shared" ref="C120:C125" si="13">IFERROR(B120-B119,0)</f>
        <v>1.1699999999999822E-2</v>
      </c>
      <c r="D120" s="109" t="str">
        <f t="shared" ref="D120:D125" si="14">IF(C120&lt;0,C120,"/")</f>
        <v>/</v>
      </c>
      <c r="E120" s="109">
        <f ca="1">IF(表2_367162629303891213141523242526272835[[#This Row],[累计净值]]/MAX(INDIRECT("B21:B" &amp; ROW()))-1&lt;E119,表2_367162629303891213141523242526272835[[#This Row],[累计净值]]/MAX(INDIRECT("B21:B" &amp; ROW()))-1,E119)</f>
        <v>-2.3271340009537456E-2</v>
      </c>
      <c r="F120" s="110">
        <f>表2_367162629303891213141523242526272835[[#This Row],[累计净值]]</f>
        <v>1.2004999999999999</v>
      </c>
      <c r="G120" s="20">
        <f>IF(表2_367162629303891213141523242526272835[[#This Row],[单位净值]]&gt;1.1827,0.7*(表2_367162629303891213141523242526272835[[#This Row],[累计净值]]/$B$114-1),表2_367162629303891213141523242526272835[[#This Row],[单位净值]]/$F$114-1)</f>
        <v>1.0535216031115201E-2</v>
      </c>
    </row>
    <row r="121" spans="1:7">
      <c r="A121" s="213">
        <v>44209</v>
      </c>
      <c r="B121" s="169">
        <v>1.1989000000000001</v>
      </c>
      <c r="C121" s="108">
        <f t="shared" si="13"/>
        <v>-1.5999999999998238E-3</v>
      </c>
      <c r="D121" s="109">
        <f t="shared" si="14"/>
        <v>-1.5999999999998238E-3</v>
      </c>
      <c r="E121" s="109">
        <f ca="1">IF(表2_367162629303891213141523242526272835[[#This Row],[累计净值]]/MAX(INDIRECT("B21:B" &amp; ROW()))-1&lt;E120,表2_367162629303891213141523242526272835[[#This Row],[累计净值]]/MAX(INDIRECT("B21:B" &amp; ROW()))-1,E120)</f>
        <v>-2.3271340009537456E-2</v>
      </c>
      <c r="F121" s="110">
        <f>表2_367162629303891213141523242526272835[[#This Row],[累计净值]]</f>
        <v>1.1989000000000001</v>
      </c>
      <c r="G121" s="20">
        <f>IF(表2_367162629303891213141523242526272835[[#This Row],[单位净值]]&gt;1.1827,0.7*(表2_367162629303891213141523242526272835[[#This Row],[累计净值]]/$B$114-1),表2_367162629303891213141523242526272835[[#This Row],[单位净值]]/$F$114-1)</f>
        <v>9.5882303204531272E-3</v>
      </c>
    </row>
    <row r="122" spans="1:7">
      <c r="A122" s="213">
        <v>44210</v>
      </c>
      <c r="B122" s="169">
        <v>1.1876</v>
      </c>
      <c r="C122" s="108">
        <f t="shared" si="13"/>
        <v>-1.1300000000000088E-2</v>
      </c>
      <c r="D122" s="109">
        <f t="shared" si="14"/>
        <v>-1.1300000000000088E-2</v>
      </c>
      <c r="E122" s="109">
        <f ca="1">IF(表2_367162629303891213141523242526272835[[#This Row],[累计净值]]/MAX(INDIRECT("B21:B" &amp; ROW()))-1&lt;E121,表2_367162629303891213141523242526272835[[#This Row],[累计净值]]/MAX(INDIRECT("B21:B" &amp; ROW()))-1,E121)</f>
        <v>-2.3271340009537456E-2</v>
      </c>
      <c r="F122" s="110">
        <f>表2_367162629303891213141523242526272835[[#This Row],[累计净值]]</f>
        <v>1.1876</v>
      </c>
      <c r="G122" s="20">
        <f>IF(表2_367162629303891213141523242526272835[[#This Row],[单位净值]]&gt;1.1827,0.7*(表2_367162629303891213141523242526272835[[#This Row],[累计净值]]/$B$114-1),表2_367162629303891213141523242526272835[[#This Row],[单位净值]]/$F$114-1)</f>
        <v>2.9001437389024162E-3</v>
      </c>
    </row>
    <row r="123" spans="1:7">
      <c r="A123" s="213">
        <v>44211</v>
      </c>
      <c r="B123" s="169">
        <v>1.1914</v>
      </c>
      <c r="C123" s="108">
        <f t="shared" si="13"/>
        <v>3.8000000000000256E-3</v>
      </c>
      <c r="D123" s="109" t="str">
        <f t="shared" si="14"/>
        <v>/</v>
      </c>
      <c r="E123" s="109">
        <f ca="1">IF(表2_367162629303891213141523242526272835[[#This Row],[累计净值]]/MAX(INDIRECT("B21:B" &amp; ROW()))-1&lt;E122,表2_367162629303891213141523242526272835[[#This Row],[累计净值]]/MAX(INDIRECT("B21:B" &amp; ROW()))-1,E122)</f>
        <v>-2.3271340009537456E-2</v>
      </c>
      <c r="F123" s="110">
        <f>表2_367162629303891213141523242526272835[[#This Row],[累计净值]]</f>
        <v>1.1914</v>
      </c>
      <c r="G123" s="20">
        <f>IF(表2_367162629303891213141523242526272835[[#This Row],[单位净值]]&gt;1.1827,0.7*(表2_367162629303891213141523242526272835[[#This Row],[累计净值]]/$B$114-1),表2_367162629303891213141523242526272835[[#This Row],[单位净值]]/$F$114-1)</f>
        <v>5.1492348017248219E-3</v>
      </c>
    </row>
    <row r="124" spans="1:7">
      <c r="A124" s="213">
        <v>44214</v>
      </c>
      <c r="B124" s="169">
        <v>1.2014</v>
      </c>
      <c r="C124" s="108">
        <f t="shared" si="13"/>
        <v>1.0000000000000009E-2</v>
      </c>
      <c r="D124" s="109" t="str">
        <f t="shared" si="14"/>
        <v>/</v>
      </c>
      <c r="E124" s="109">
        <f ca="1">IF(表2_367162629303891213141523242526272835[[#This Row],[累计净值]]/MAX(INDIRECT("B21:B" &amp; ROW()))-1&lt;E123,表2_367162629303891213141523242526272835[[#This Row],[累计净值]]/MAX(INDIRECT("B21:B" &amp; ROW()))-1,E123)</f>
        <v>-2.3271340009537456E-2</v>
      </c>
      <c r="F124" s="110">
        <f>表2_367162629303891213141523242526272835[[#This Row],[累计净值]]</f>
        <v>1.2014</v>
      </c>
      <c r="G124" s="20">
        <f>IF(表2_367162629303891213141523242526272835[[#This Row],[单位净值]]&gt;1.1827,0.7*(表2_367162629303891213141523242526272835[[#This Row],[累计净值]]/$B$114-1),表2_367162629303891213141523242526272835[[#This Row],[单位净值]]/$F$114-1)</f>
        <v>1.1067895493362666E-2</v>
      </c>
    </row>
    <row r="125" spans="1:7">
      <c r="A125" s="213">
        <v>44215</v>
      </c>
      <c r="B125" s="112">
        <v>1.1869000000000001</v>
      </c>
      <c r="C125" s="108">
        <f t="shared" si="13"/>
        <v>-1.4499999999999957E-2</v>
      </c>
      <c r="D125" s="109">
        <f t="shared" si="14"/>
        <v>-1.4499999999999957E-2</v>
      </c>
      <c r="E125" s="109">
        <f ca="1">IF(表2_367162629303891213141523242526272835[[#This Row],[累计净值]]/MAX(INDIRECT("B21:B" &amp; ROW()))-1&lt;E124,表2_367162629303891213141523242526272835[[#This Row],[累计净值]]/MAX(INDIRECT("B21:B" &amp; ROW()))-1,E124)</f>
        <v>-2.3271340009537456E-2</v>
      </c>
      <c r="F125" s="110">
        <f>表2_367162629303891213141523242526272835[[#This Row],[累计净值]]</f>
        <v>1.1869000000000001</v>
      </c>
      <c r="G125" s="20">
        <f>IF(表2_367162629303891213141523242526272835[[#This Row],[单位净值]]&gt;1.1827,0.7*(表2_367162629303891213141523242526272835[[#This Row],[累计净值]]/$B$114-1),表2_367162629303891213141523242526272835[[#This Row],[单位净值]]/$F$114-1)</f>
        <v>2.4858374904878078E-3</v>
      </c>
    </row>
    <row r="126" spans="1:7">
      <c r="A126" s="213">
        <v>44216</v>
      </c>
      <c r="B126" s="112">
        <v>1.1955</v>
      </c>
      <c r="C126" s="108">
        <f t="shared" ref="C126:C131" si="15">IFERROR(B126-B125,0)</f>
        <v>8.599999999999941E-3</v>
      </c>
      <c r="D126" s="109" t="str">
        <f t="shared" ref="D126:D131" si="16">IF(C126&lt;0,C126,"/")</f>
        <v>/</v>
      </c>
      <c r="E126" s="109">
        <f ca="1">IF(表2_367162629303891213141523242526272835[[#This Row],[累计净值]]/MAX(INDIRECT("B21:B" &amp; ROW()))-1&lt;E125,表2_367162629303891213141523242526272835[[#This Row],[累计净值]]/MAX(INDIRECT("B21:B" &amp; ROW()))-1,E125)</f>
        <v>-2.3271340009537456E-2</v>
      </c>
      <c r="F126" s="110">
        <f>表2_367162629303891213141523242526272835[[#This Row],[累计净值]]</f>
        <v>1.1955</v>
      </c>
      <c r="G126" s="20">
        <f>IF(表2_367162629303891213141523242526272835[[#This Row],[单位净值]]&gt;1.1827,0.7*(表2_367162629303891213141523242526272835[[#This Row],[累计净值]]/$B$114-1),表2_367162629303891213141523242526272835[[#This Row],[单位净值]]/$F$114-1)</f>
        <v>7.575885685296279E-3</v>
      </c>
    </row>
    <row r="127" spans="1:7">
      <c r="A127" s="213">
        <v>44217</v>
      </c>
      <c r="B127" s="112">
        <v>1.2036</v>
      </c>
      <c r="C127" s="108">
        <f t="shared" si="15"/>
        <v>8.0999999999999961E-3</v>
      </c>
      <c r="D127" s="109" t="str">
        <f t="shared" si="16"/>
        <v>/</v>
      </c>
      <c r="E127" s="109">
        <f ca="1">IF(表2_367162629303891213141523242526272835[[#This Row],[累计净值]]/MAX(INDIRECT("B21:B" &amp; ROW()))-1&lt;E126,表2_367162629303891213141523242526272835[[#This Row],[累计净值]]/MAX(INDIRECT("B21:B" &amp; ROW()))-1,E126)</f>
        <v>-2.3271340009537456E-2</v>
      </c>
      <c r="F127" s="110">
        <f>表2_367162629303891213141523242526272835[[#This Row],[累计净值]]</f>
        <v>1.2036</v>
      </c>
      <c r="G127" s="20">
        <f>IF(表2_367162629303891213141523242526272835[[#This Row],[单位净值]]&gt;1.1827,0.7*(表2_367162629303891213141523242526272835[[#This Row],[累计净值]]/$B$114-1),表2_367162629303891213141523242526272835[[#This Row],[单位净值]]/$F$114-1)</f>
        <v>1.2370000845522843E-2</v>
      </c>
    </row>
    <row r="128" spans="1:7">
      <c r="A128" s="213">
        <v>44218</v>
      </c>
      <c r="B128" s="112">
        <v>1.2097</v>
      </c>
      <c r="C128" s="108">
        <f t="shared" si="15"/>
        <v>6.0999999999999943E-3</v>
      </c>
      <c r="D128" s="109" t="str">
        <f t="shared" si="16"/>
        <v>/</v>
      </c>
      <c r="E128" s="109">
        <f ca="1">IF(表2_367162629303891213141523242526272835[[#This Row],[累计净值]]/MAX(INDIRECT("B21:B" &amp; ROW()))-1&lt;E127,表2_367162629303891213141523242526272835[[#This Row],[累计净值]]/MAX(INDIRECT("B21:B" &amp; ROW()))-1,E127)</f>
        <v>-2.3271340009537456E-2</v>
      </c>
      <c r="F128" s="110">
        <f>表2_367162629303891213141523242526272835[[#This Row],[累计净值]]</f>
        <v>1.2097</v>
      </c>
      <c r="G128" s="20">
        <f>IF(表2_367162629303891213141523242526272835[[#This Row],[单位净值]]&gt;1.1827,0.7*(表2_367162629303891213141523242526272835[[#This Row],[累计净值]]/$B$114-1),表2_367162629303891213141523242526272835[[#This Row],[单位净值]]/$F$114-1)</f>
        <v>1.598038386742193E-2</v>
      </c>
    </row>
    <row r="129" spans="1:7">
      <c r="A129" s="213">
        <v>44221</v>
      </c>
      <c r="B129" s="215">
        <v>1.2141999999999999</v>
      </c>
      <c r="C129" s="108">
        <f t="shared" si="15"/>
        <v>4.4999999999999485E-3</v>
      </c>
      <c r="D129" s="109" t="str">
        <f t="shared" si="16"/>
        <v>/</v>
      </c>
      <c r="E129" s="109">
        <f ca="1">IF(表2_367162629303891213141523242526272835[[#This Row],[累计净值]]/MAX(INDIRECT("B21:B" &amp; ROW()))-1&lt;E128,表2_367162629303891213141523242526272835[[#This Row],[累计净值]]/MAX(INDIRECT("B21:B" &amp; ROW()))-1,E128)</f>
        <v>-2.3271340009537456E-2</v>
      </c>
      <c r="F129" s="110">
        <f>表2_367162629303891213141523242526272835[[#This Row],[累计净值]]</f>
        <v>1.2141999999999999</v>
      </c>
      <c r="G129" s="20">
        <f>IF(表2_367162629303891213141523242526272835[[#This Row],[单位净值]]&gt;1.1827,0.7*(表2_367162629303891213141523242526272835[[#This Row],[累计净值]]/$B$114-1),表2_367162629303891213141523242526272835[[#This Row],[单位净值]]/$F$114-1)</f>
        <v>1.8643781178658947E-2</v>
      </c>
    </row>
    <row r="130" spans="1:7">
      <c r="A130" s="213">
        <v>44222</v>
      </c>
      <c r="B130" s="112">
        <v>1.2075</v>
      </c>
      <c r="C130" s="108">
        <f t="shared" si="15"/>
        <v>-6.6999999999999282E-3</v>
      </c>
      <c r="D130" s="109">
        <f t="shared" si="16"/>
        <v>-6.6999999999999282E-3</v>
      </c>
      <c r="E130" s="109">
        <f ca="1">IF(表2_367162629303891213141523242526272835[[#This Row],[累计净值]]/MAX(INDIRECT("B21:B" &amp; ROW()))-1&lt;E129,表2_367162629303891213141523242526272835[[#This Row],[累计净值]]/MAX(INDIRECT("B21:B" &amp; ROW()))-1,E129)</f>
        <v>-2.3271340009537456E-2</v>
      </c>
      <c r="F130" s="110">
        <f>表2_367162629303891213141523242526272835[[#This Row],[累计净值]]</f>
        <v>1.2075</v>
      </c>
      <c r="G130" s="20">
        <f>IF(表2_367162629303891213141523242526272835[[#This Row],[单位净值]]&gt;1.1827,0.7*(表2_367162629303891213141523242526272835[[#This Row],[累计净值]]/$B$114-1),表2_367162629303891213141523242526272835[[#This Row],[单位净值]]/$F$114-1)</f>
        <v>1.4678278515261598E-2</v>
      </c>
    </row>
    <row r="131" spans="1:7">
      <c r="A131" s="213">
        <v>44223</v>
      </c>
      <c r="B131" s="112">
        <v>1.2081999999999999</v>
      </c>
      <c r="C131" s="108">
        <f t="shared" si="15"/>
        <v>6.9999999999992291E-4</v>
      </c>
      <c r="D131" s="109" t="str">
        <f t="shared" si="16"/>
        <v>/</v>
      </c>
      <c r="E131" s="109">
        <f ca="1">IF(表2_367162629303891213141523242526272835[[#This Row],[累计净值]]/MAX(INDIRECT("B21:B" &amp; ROW()))-1&lt;E130,表2_367162629303891213141523242526272835[[#This Row],[累计净值]]/MAX(INDIRECT("B21:B" &amp; ROW()))-1,E130)</f>
        <v>-2.3271340009537456E-2</v>
      </c>
      <c r="F131" s="110">
        <f>表2_367162629303891213141523242526272835[[#This Row],[累计净值]]</f>
        <v>1.2081999999999999</v>
      </c>
      <c r="G131" s="20">
        <f>IF(表2_367162629303891213141523242526272835[[#This Row],[单位净值]]&gt;1.1827,0.7*(表2_367162629303891213141523242526272835[[#This Row],[累计净值]]/$B$114-1),表2_367162629303891213141523242526272835[[#This Row],[单位净值]]/$F$114-1)</f>
        <v>1.5092584763676208E-2</v>
      </c>
    </row>
    <row r="132" spans="1:7">
      <c r="A132" s="213">
        <v>44224</v>
      </c>
      <c r="B132" s="112">
        <v>1.1890000000000001</v>
      </c>
      <c r="C132" s="108">
        <f t="shared" ref="C132:C137" si="17">IFERROR(B132-B131,0)</f>
        <v>-1.9199999999999884E-2</v>
      </c>
      <c r="D132" s="109">
        <f t="shared" ref="D132:D137" si="18">IF(C132&lt;0,C132,"/")</f>
        <v>-1.9199999999999884E-2</v>
      </c>
      <c r="E132" s="109">
        <f ca="1">IF(表2_367162629303891213141523242526272835[[#This Row],[累计净值]]/MAX(INDIRECT("B21:B" &amp; ROW()))-1&lt;E131,表2_367162629303891213141523242526272835[[#This Row],[累计净值]]/MAX(INDIRECT("B21:B" &amp; ROW()))-1,E131)</f>
        <v>-2.3271340009537456E-2</v>
      </c>
      <c r="F132" s="110">
        <f>表2_367162629303891213141523242526272835[[#This Row],[累计净值]]</f>
        <v>1.1890000000000001</v>
      </c>
      <c r="G132" s="20">
        <f>IF(表2_367162629303891213141523242526272835[[#This Row],[单位净值]]&gt;1.1827,0.7*(表2_367162629303891213141523242526272835[[#This Row],[累计净值]]/$B$114-1),表2_367162629303891213141523242526272835[[#This Row],[单位净值]]/$F$114-1)</f>
        <v>3.7287562357317893E-3</v>
      </c>
    </row>
    <row r="133" spans="1:7">
      <c r="A133" s="213">
        <v>44225</v>
      </c>
      <c r="B133" s="112">
        <v>1.1878</v>
      </c>
      <c r="C133" s="108">
        <f t="shared" si="17"/>
        <v>-1.2000000000000899E-3</v>
      </c>
      <c r="D133" s="109">
        <f t="shared" si="18"/>
        <v>-1.2000000000000899E-3</v>
      </c>
      <c r="E133" s="109">
        <f ca="1">IF(表2_367162629303891213141523242526272835[[#This Row],[累计净值]]/MAX(INDIRECT("B21:B" &amp; ROW()))-1&lt;E132,表2_367162629303891213141523242526272835[[#This Row],[累计净值]]/MAX(INDIRECT("B21:B" &amp; ROW()))-1,E132)</f>
        <v>-2.3271340009537456E-2</v>
      </c>
      <c r="F133" s="110">
        <f>表2_367162629303891213141523242526272835[[#This Row],[累计净值]]</f>
        <v>1.1878</v>
      </c>
      <c r="G133" s="20">
        <f>IF(表2_367162629303891213141523242526272835[[#This Row],[单位净值]]&gt;1.1827,0.7*(表2_367162629303891213141523242526272835[[#This Row],[累计净值]]/$B$114-1),表2_367162629303891213141523242526272835[[#This Row],[单位净值]]/$F$114-1)</f>
        <v>3.0185169527352728E-3</v>
      </c>
    </row>
    <row r="134" spans="1:7">
      <c r="A134" s="213">
        <v>44228</v>
      </c>
      <c r="B134" s="112">
        <v>1.1931</v>
      </c>
      <c r="C134" s="108">
        <f t="shared" si="17"/>
        <v>5.3000000000000824E-3</v>
      </c>
      <c r="D134" s="109" t="str">
        <f t="shared" si="18"/>
        <v>/</v>
      </c>
      <c r="E134" s="109">
        <f ca="1">IF(表2_367162629303891213141523242526272835[[#This Row],[累计净值]]/MAX(INDIRECT("B21:B" &amp; ROW()))-1&lt;E133,表2_367162629303891213141523242526272835[[#This Row],[累计净值]]/MAX(INDIRECT("B21:B" &amp; ROW()))-1,E133)</f>
        <v>-2.3271340009537456E-2</v>
      </c>
      <c r="F134" s="110">
        <f>表2_367162629303891213141523242526272835[[#This Row],[累计净值]]</f>
        <v>1.1931</v>
      </c>
      <c r="G134" s="20">
        <f>IF(表2_367162629303891213141523242526272835[[#This Row],[单位净值]]&gt;1.1827,0.7*(表2_367162629303891213141523242526272835[[#This Row],[累计净值]]/$B$114-1),表2_367162629303891213141523242526272835[[#This Row],[单位净值]]/$F$114-1)</f>
        <v>6.155407119303246E-3</v>
      </c>
    </row>
    <row r="135" spans="1:7">
      <c r="A135" s="213">
        <v>44229</v>
      </c>
      <c r="B135" s="112">
        <v>1.2009000000000001</v>
      </c>
      <c r="C135" s="108">
        <f t="shared" si="17"/>
        <v>7.8000000000000291E-3</v>
      </c>
      <c r="D135" s="109" t="str">
        <f t="shared" si="18"/>
        <v>/</v>
      </c>
      <c r="E135" s="109">
        <f ca="1">IF(表2_367162629303891213141523242526272835[[#This Row],[累计净值]]/MAX(INDIRECT("B21:B" &amp; ROW()))-1&lt;E134,表2_367162629303891213141523242526272835[[#This Row],[累计净值]]/MAX(INDIRECT("B21:B" &amp; ROW()))-1,E134)</f>
        <v>-2.3271340009537456E-2</v>
      </c>
      <c r="F135" s="110">
        <f>表2_367162629303891213141523242526272835[[#This Row],[累计净值]]</f>
        <v>1.2009000000000001</v>
      </c>
      <c r="G135" s="20">
        <f>IF(表2_367162629303891213141523242526272835[[#This Row],[单位净值]]&gt;1.1827,0.7*(表2_367162629303891213141523242526272835[[#This Row],[累计净值]]/$B$114-1),表2_367162629303891213141523242526272835[[#This Row],[单位净值]]/$F$114-1)</f>
        <v>1.0771962458780759E-2</v>
      </c>
    </row>
    <row r="136" spans="1:7">
      <c r="A136" s="213">
        <v>44230</v>
      </c>
      <c r="B136" s="112">
        <v>1.2060999999999999</v>
      </c>
      <c r="C136" s="108">
        <f t="shared" si="17"/>
        <v>5.1999999999998714E-3</v>
      </c>
      <c r="D136" s="109" t="str">
        <f t="shared" si="18"/>
        <v>/</v>
      </c>
      <c r="E136" s="109">
        <f ca="1">IF(表2_367162629303891213141523242526272835[[#This Row],[累计净值]]/MAX(INDIRECT("B21:B" &amp; ROW()))-1&lt;E135,表2_367162629303891213141523242526272835[[#This Row],[累计净值]]/MAX(INDIRECT("B21:B" &amp; ROW()))-1,E135)</f>
        <v>-2.3271340009537456E-2</v>
      </c>
      <c r="F136" s="110">
        <f>表2_367162629303891213141523242526272835[[#This Row],[累计净值]]</f>
        <v>1.2060999999999999</v>
      </c>
      <c r="G136" s="20">
        <f>IF(表2_367162629303891213141523242526272835[[#This Row],[单位净值]]&gt;1.1827,0.7*(表2_367162629303891213141523242526272835[[#This Row],[累计净值]]/$B$114-1),表2_367162629303891213141523242526272835[[#This Row],[单位净值]]/$F$114-1)</f>
        <v>1.3849666018432382E-2</v>
      </c>
    </row>
    <row r="137" spans="1:7">
      <c r="A137" s="213">
        <v>44231</v>
      </c>
      <c r="B137" s="112">
        <v>1.2039</v>
      </c>
      <c r="C137" s="108">
        <f t="shared" si="17"/>
        <v>-2.1999999999999797E-3</v>
      </c>
      <c r="D137" s="109">
        <f t="shared" si="18"/>
        <v>-2.1999999999999797E-3</v>
      </c>
      <c r="E137" s="109">
        <f ca="1">IF(表2_367162629303891213141523242526272835[[#This Row],[累计净值]]/MAX(INDIRECT("B21:B" &amp; ROW()))-1&lt;E136,表2_367162629303891213141523242526272835[[#This Row],[累计净值]]/MAX(INDIRECT("B21:B" &amp; ROW()))-1,E136)</f>
        <v>-2.3271340009537456E-2</v>
      </c>
      <c r="F137" s="110">
        <f>表2_367162629303891213141523242526272835[[#This Row],[累计净值]]</f>
        <v>1.2039</v>
      </c>
      <c r="G137" s="20">
        <f>IF(表2_367162629303891213141523242526272835[[#This Row],[单位净值]]&gt;1.1827,0.7*(表2_367162629303891213141523242526272835[[#This Row],[累计净值]]/$B$114-1),表2_367162629303891213141523242526272835[[#This Row],[单位净值]]/$F$114-1)</f>
        <v>1.2547560666272051E-2</v>
      </c>
    </row>
    <row r="138" spans="1:7">
      <c r="A138" s="213">
        <v>44232</v>
      </c>
      <c r="B138" s="112">
        <v>1.2030000000000001</v>
      </c>
      <c r="C138" s="108">
        <f t="shared" ref="C138:C143" si="19">IFERROR(B138-B137,0)</f>
        <v>-8.9999999999990088E-4</v>
      </c>
      <c r="D138" s="109">
        <f t="shared" ref="D138:D143" si="20">IF(C138&lt;0,C138,"/")</f>
        <v>-8.9999999999990088E-4</v>
      </c>
      <c r="E138" s="109">
        <f ca="1">IF(表2_367162629303891213141523242526272835[[#This Row],[累计净值]]/MAX(INDIRECT("B21:B" &amp; ROW()))-1&lt;E137,表2_367162629303891213141523242526272835[[#This Row],[累计净值]]/MAX(INDIRECT("B21:B" &amp; ROW()))-1,E137)</f>
        <v>-2.3271340009537456E-2</v>
      </c>
      <c r="F138" s="110">
        <f>表2_367162629303891213141523242526272835[[#This Row],[累计净值]]</f>
        <v>1.2030000000000001</v>
      </c>
      <c r="G138" s="20">
        <f>IF(表2_367162629303891213141523242526272835[[#This Row],[单位净值]]&gt;1.1827,0.7*(表2_367162629303891213141523242526272835[[#This Row],[累计净值]]/$B$114-1),表2_367162629303891213141523242526272835[[#This Row],[单位净值]]/$F$114-1)</f>
        <v>1.201488120402474E-2</v>
      </c>
    </row>
    <row r="139" spans="1:7">
      <c r="A139" s="213">
        <v>44235</v>
      </c>
      <c r="B139" s="112">
        <v>1.2094</v>
      </c>
      <c r="C139" s="108">
        <f t="shared" si="19"/>
        <v>6.3999999999999613E-3</v>
      </c>
      <c r="D139" s="109" t="str">
        <f t="shared" si="20"/>
        <v>/</v>
      </c>
      <c r="E139" s="109">
        <f ca="1">IF(表2_367162629303891213141523242526272835[[#This Row],[累计净值]]/MAX(INDIRECT("B21:B" &amp; ROW()))-1&lt;E138,表2_367162629303891213141523242526272835[[#This Row],[累计净值]]/MAX(INDIRECT("B21:B" &amp; ROW()))-1,E138)</f>
        <v>-2.3271340009537456E-2</v>
      </c>
      <c r="F139" s="110">
        <f>表2_367162629303891213141523242526272835[[#This Row],[累计净值]]</f>
        <v>1.2094</v>
      </c>
      <c r="G139" s="20">
        <f>IF(表2_367162629303891213141523242526272835[[#This Row],[单位净值]]&gt;1.1827,0.7*(表2_367162629303891213141523242526272835[[#This Row],[累计净值]]/$B$114-1),表2_367162629303891213141523242526272835[[#This Row],[单位净值]]/$F$114-1)</f>
        <v>1.5802824046672881E-2</v>
      </c>
    </row>
    <row r="140" spans="1:7">
      <c r="A140" s="213">
        <v>44236</v>
      </c>
      <c r="B140" s="112">
        <v>1.2111000000000001</v>
      </c>
      <c r="C140" s="108">
        <f t="shared" si="19"/>
        <v>1.7000000000000348E-3</v>
      </c>
      <c r="D140" s="109" t="str">
        <f t="shared" si="20"/>
        <v>/</v>
      </c>
      <c r="E140" s="109">
        <f ca="1">IF(表2_367162629303891213141523242526272835[[#This Row],[累计净值]]/MAX(INDIRECT("B21:B" &amp; ROW()))-1&lt;E139,表2_367162629303891213141523242526272835[[#This Row],[累计净值]]/MAX(INDIRECT("B21:B" &amp; ROW()))-1,E139)</f>
        <v>-2.3271340009537456E-2</v>
      </c>
      <c r="F140" s="110">
        <f>表2_367162629303891213141523242526272835[[#This Row],[累计净值]]</f>
        <v>1.2111000000000001</v>
      </c>
      <c r="G140" s="20">
        <f>IF(表2_367162629303891213141523242526272835[[#This Row],[单位净值]]&gt;1.1827,0.7*(表2_367162629303891213141523242526272835[[#This Row],[累计净值]]/$B$114-1),表2_367162629303891213141523242526272835[[#This Row],[单位净值]]/$F$114-1)</f>
        <v>1.6808996364251302E-2</v>
      </c>
    </row>
    <row r="141" spans="1:7">
      <c r="A141" s="213">
        <v>44237</v>
      </c>
      <c r="B141" s="112">
        <v>1.2092000000000001</v>
      </c>
      <c r="C141" s="108">
        <f t="shared" si="19"/>
        <v>-1.9000000000000128E-3</v>
      </c>
      <c r="D141" s="109">
        <f t="shared" si="20"/>
        <v>-1.9000000000000128E-3</v>
      </c>
      <c r="E141" s="109">
        <f ca="1">IF(表2_367162629303891213141523242526272835[[#This Row],[累计净值]]/MAX(INDIRECT("B21:B" &amp; ROW()))-1&lt;E140,表2_367162629303891213141523242526272835[[#This Row],[累计净值]]/MAX(INDIRECT("B21:B" &amp; ROW()))-1,E140)</f>
        <v>-2.3271340009537456E-2</v>
      </c>
      <c r="F141" s="110">
        <f>表2_367162629303891213141523242526272835[[#This Row],[累计净值]]</f>
        <v>1.2092000000000001</v>
      </c>
      <c r="G141" s="20">
        <f>IF(表2_367162629303891213141523242526272835[[#This Row],[单位净值]]&gt;1.1827,0.7*(表2_367162629303891213141523242526272835[[#This Row],[累计净值]]/$B$114-1),表2_367162629303891213141523242526272835[[#This Row],[单位净值]]/$F$114-1)</f>
        <v>1.5684450832840025E-2</v>
      </c>
    </row>
    <row r="142" spans="1:7">
      <c r="A142" s="213">
        <v>44245</v>
      </c>
      <c r="B142" s="112">
        <v>1.2190000000000001</v>
      </c>
      <c r="C142" s="108">
        <f t="shared" si="19"/>
        <v>9.8000000000000309E-3</v>
      </c>
      <c r="D142" s="109" t="str">
        <f t="shared" si="20"/>
        <v>/</v>
      </c>
      <c r="E142" s="109">
        <f ca="1">IF(表2_367162629303891213141523242526272835[[#This Row],[累计净值]]/MAX(INDIRECT("B21:B" &amp; ROW()))-1&lt;E141,表2_367162629303891213141523242526272835[[#This Row],[累计净值]]/MAX(INDIRECT("B21:B" &amp; ROW()))-1,E141)</f>
        <v>-2.3271340009537456E-2</v>
      </c>
      <c r="F142" s="110">
        <f>表2_367162629303891213141523242526272835[[#This Row],[累计净值]]</f>
        <v>1.2190000000000001</v>
      </c>
      <c r="G142" s="20">
        <f>IF(表2_367162629303891213141523242526272835[[#This Row],[单位净值]]&gt;1.1827,0.7*(表2_367162629303891213141523242526272835[[#This Row],[累计净值]]/$B$114-1),表2_367162629303891213141523242526272835[[#This Row],[单位净值]]/$F$114-1)</f>
        <v>2.1484738310645166E-2</v>
      </c>
    </row>
    <row r="143" spans="1:7">
      <c r="A143" s="213">
        <v>44246</v>
      </c>
      <c r="B143" s="215">
        <v>1.228</v>
      </c>
      <c r="C143" s="108">
        <f t="shared" si="19"/>
        <v>8.999999999999897E-3</v>
      </c>
      <c r="D143" s="109" t="str">
        <f t="shared" si="20"/>
        <v>/</v>
      </c>
      <c r="E143" s="109">
        <f ca="1">IF(表2_367162629303891213141523242526272835[[#This Row],[累计净值]]/MAX(INDIRECT("B21:B" &amp; ROW()))-1&lt;E142,表2_367162629303891213141523242526272835[[#This Row],[累计净值]]/MAX(INDIRECT("B21:B" &amp; ROW()))-1,E142)</f>
        <v>-2.3271340009537456E-2</v>
      </c>
      <c r="F143" s="110">
        <f>表2_367162629303891213141523242526272835[[#This Row],[累计净值]]</f>
        <v>1.228</v>
      </c>
      <c r="G143" s="20">
        <f>IF(表2_367162629303891213141523242526272835[[#This Row],[单位净值]]&gt;1.1827,0.7*(表2_367162629303891213141523242526272835[[#This Row],[累计净值]]/$B$114-1),表2_367162629303891213141523242526272835[[#This Row],[单位净值]]/$F$114-1)</f>
        <v>2.6811532933119039E-2</v>
      </c>
    </row>
    <row r="144" spans="1:7">
      <c r="A144" s="213">
        <v>44249</v>
      </c>
      <c r="B144" s="112">
        <v>1.2072000000000001</v>
      </c>
      <c r="C144" s="108">
        <f>IFERROR(B144-B143,0)</f>
        <v>-2.079999999999993E-2</v>
      </c>
      <c r="D144" s="109">
        <f>IF(C144&lt;0,C144,"/")</f>
        <v>-2.079999999999993E-2</v>
      </c>
      <c r="E144" s="109">
        <f ca="1">IF(表2_367162629303891213141523242526272835[[#This Row],[累计净值]]/MAX(INDIRECT("B21:B" &amp; ROW()))-1&lt;E143,表2_367162629303891213141523242526272835[[#This Row],[累计净值]]/MAX(INDIRECT("B21:B" &amp; ROW()))-1,E143)</f>
        <v>-2.3271340009537456E-2</v>
      </c>
      <c r="F144" s="110">
        <f>表2_367162629303891213141523242526272835[[#This Row],[累计净值]]</f>
        <v>1.2072000000000001</v>
      </c>
      <c r="G144" s="20">
        <f>IF(表2_367162629303891213141523242526272835[[#This Row],[单位净值]]&gt;1.1827,0.7*(表2_367162629303891213141523242526272835[[#This Row],[累计净值]]/$B$114-1),表2_367162629303891213141523242526272835[[#This Row],[单位净值]]/$F$114-1)</f>
        <v>1.4500718694512547E-2</v>
      </c>
    </row>
    <row r="145" spans="1:7">
      <c r="A145" s="224">
        <v>44250</v>
      </c>
      <c r="B145" s="112">
        <v>1.2029000000000001</v>
      </c>
      <c r="C145" s="108">
        <f t="shared" ref="C145:C146" si="21">IFERROR(B145-B144,0)</f>
        <v>-4.2999999999999705E-3</v>
      </c>
      <c r="D145" s="109">
        <f t="shared" ref="D145:D146" si="22">IF(C145&lt;0,C145,"/")</f>
        <v>-4.2999999999999705E-3</v>
      </c>
      <c r="E145" s="109">
        <f ca="1">IF(表2_367162629303891213141523242526272835[[#This Row],[累计净值]]/MAX(INDIRECT("B21:B" &amp; ROW()))-1&lt;E144,表2_367162629303891213141523242526272835[[#This Row],[累计净值]]/MAX(INDIRECT("B21:B" &amp; ROW()))-1,E144)</f>
        <v>-2.3271340009537456E-2</v>
      </c>
      <c r="F145" s="110">
        <f>表2_367162629303891213141523242526272835[[#This Row],[累计净值]]</f>
        <v>1.2029000000000001</v>
      </c>
      <c r="G145" s="20">
        <f>IF(表2_367162629303891213141523242526272835[[#This Row],[单位净值]]&gt;1.1827,0.7*(表2_367162629303891213141523242526272835[[#This Row],[累计净值]]/$B$114-1),表2_367162629303891213141523242526272835[[#This Row],[单位净值]]/$F$114-1)</f>
        <v>1.1955694597108234E-2</v>
      </c>
    </row>
    <row r="146" spans="1:7">
      <c r="A146" s="225">
        <v>44251</v>
      </c>
      <c r="B146" s="63">
        <v>1.1789000000000001</v>
      </c>
      <c r="C146" s="64">
        <f t="shared" si="21"/>
        <v>-2.4000000000000021E-2</v>
      </c>
      <c r="D146" s="65">
        <f t="shared" si="22"/>
        <v>-2.4000000000000021E-2</v>
      </c>
      <c r="E146" s="65">
        <f ca="1">IF(表2_367162629303891213141523242526272835[[#This Row],[累计净值]]/MAX(INDIRECT("B21:B" &amp; ROW()))-1&lt;E145,表2_367162629303891213141523242526272835[[#This Row],[累计净值]]/MAX(INDIRECT("B21:B" &amp; ROW()))-1,E145)</f>
        <v>-3.99837133550488E-2</v>
      </c>
      <c r="F146" s="66">
        <f>表2_367162629303891213141523242526272835[[#This Row],[累计净值]]</f>
        <v>1.1789000000000001</v>
      </c>
      <c r="G146" s="20">
        <f>IF(表2_367162629303891213141523242526272835[[#This Row],[单位净值]]&gt;1.1827,0.7*(表2_367162629303891213141523242526272835[[#This Row],[累计净值]]/$B$114-1),表2_367162629303891213141523242526272835[[#This Row],[单位净值]]/$F$114-1)</f>
        <v>-3.212987232603437E-3</v>
      </c>
    </row>
    <row r="147" spans="1:7">
      <c r="A147" s="225">
        <v>44252</v>
      </c>
      <c r="B147" s="112">
        <v>1.1880999999999999</v>
      </c>
      <c r="C147" s="108">
        <f t="shared" ref="C147:C148" si="23">IFERROR(B147-B146,0)</f>
        <v>9.1999999999998749E-3</v>
      </c>
      <c r="D147" s="109" t="str">
        <f t="shared" ref="D147:D148" si="24">IF(C147&lt;0,C147,"/")</f>
        <v>/</v>
      </c>
      <c r="E147" s="109">
        <f ca="1">IF(表2_367162629303891213141523242526272835[[#This Row],[累计净值]]/MAX(INDIRECT("B21:B" &amp; ROW()))-1&lt;E146,表2_367162629303891213141523242526272835[[#This Row],[累计净值]]/MAX(INDIRECT("B21:B" &amp; ROW()))-1,E146)</f>
        <v>-3.99837133550488E-2</v>
      </c>
      <c r="F147" s="110">
        <f>表2_367162629303891213141523242526272835[[#This Row],[累计净值]]</f>
        <v>1.1880999999999999</v>
      </c>
      <c r="G147" s="20">
        <f>IF(表2_367162629303891213141523242526272835[[#This Row],[单位净值]]&gt;1.1827,0.7*(表2_367162629303891213141523242526272835[[#This Row],[累计净值]]/$B$114-1),表2_367162629303891213141523242526272835[[#This Row],[单位净值]]/$F$114-1)</f>
        <v>3.1960767734843243E-3</v>
      </c>
    </row>
    <row r="148" spans="1:7">
      <c r="A148" s="225">
        <v>44253</v>
      </c>
      <c r="B148" s="112">
        <v>1.1807000000000001</v>
      </c>
      <c r="C148" s="108">
        <f t="shared" si="23"/>
        <v>-7.3999999999998511E-3</v>
      </c>
      <c r="D148" s="109">
        <f t="shared" si="24"/>
        <v>-7.3999999999998511E-3</v>
      </c>
      <c r="E148" s="109">
        <f ca="1">IF(表2_367162629303891213141523242526272835[[#This Row],[累计净值]]/MAX(INDIRECT("B21:B" &amp; ROW()))-1&lt;E147,表2_367162629303891213141523242526272835[[#This Row],[累计净值]]/MAX(INDIRECT("B21:B" &amp; ROW()))-1,E147)</f>
        <v>-3.99837133550488E-2</v>
      </c>
      <c r="F148" s="110">
        <f>表2_367162629303891213141523242526272835[[#This Row],[累计净值]]</f>
        <v>1.1807000000000001</v>
      </c>
      <c r="G148" s="20">
        <f>IF(表2_367162629303891213141523242526272835[[#This Row],[单位净值]]&gt;1.1827,0.7*(表2_367162629303891213141523242526272835[[#This Row],[累计净值]]/$B$114-1),表2_367162629303891213141523242526272835[[#This Row],[单位净值]]/$F$114-1)</f>
        <v>-1.6910459118965049E-3</v>
      </c>
    </row>
    <row r="149" spans="1:7">
      <c r="A149" s="225">
        <v>44256</v>
      </c>
      <c r="B149" s="112">
        <v>1.1843999999999999</v>
      </c>
      <c r="C149" s="108">
        <f t="shared" ref="C149:C150" si="25">IFERROR(B149-B148,0)</f>
        <v>3.6999999999998145E-3</v>
      </c>
      <c r="D149" s="109" t="str">
        <f t="shared" ref="D149:D150" si="26">IF(C149&lt;0,C149,"/")</f>
        <v>/</v>
      </c>
      <c r="E149" s="109">
        <f ca="1">IF(表2_367162629303891213141523242526272835[[#This Row],[累计净值]]/MAX(INDIRECT("B21:B" &amp; ROW()))-1&lt;E148,表2_367162629303891213141523242526272835[[#This Row],[累计净值]]/MAX(INDIRECT("B21:B" &amp; ROW()))-1,E148)</f>
        <v>-3.99837133550488E-2</v>
      </c>
      <c r="F149" s="110">
        <f>表2_367162629303891213141523242526272835[[#This Row],[累计净值]]</f>
        <v>1.1843999999999999</v>
      </c>
      <c r="G149" s="20">
        <f>IF(表2_367162629303891213141523242526272835[[#This Row],[单位净值]]&gt;1.1827,0.7*(表2_367162629303891213141523242526272835[[#This Row],[累计净值]]/$B$114-1),表2_367162629303891213141523242526272835[[#This Row],[单位净值]]/$F$114-1)</f>
        <v>1.0061723175782689E-3</v>
      </c>
    </row>
    <row r="150" spans="1:7">
      <c r="A150" s="225">
        <v>44257</v>
      </c>
      <c r="B150" s="112">
        <v>1.1930000000000001</v>
      </c>
      <c r="C150" s="108">
        <f t="shared" si="25"/>
        <v>8.6000000000001631E-3</v>
      </c>
      <c r="D150" s="109" t="str">
        <f t="shared" si="26"/>
        <v>/</v>
      </c>
      <c r="E150" s="109">
        <f ca="1">IF(表2_367162629303891213141523242526272835[[#This Row],[累计净值]]/MAX(INDIRECT("B21:B" &amp; ROW()))-1&lt;E149,表2_367162629303891213141523242526272835[[#This Row],[累计净值]]/MAX(INDIRECT("B21:B" &amp; ROW()))-1,E149)</f>
        <v>-3.99837133550488E-2</v>
      </c>
      <c r="F150" s="110">
        <f>表2_367162629303891213141523242526272835[[#This Row],[累计净值]]</f>
        <v>1.1930000000000001</v>
      </c>
      <c r="G150" s="20">
        <f>IF(表2_367162629303891213141523242526272835[[#This Row],[单位净值]]&gt;1.1827,0.7*(表2_367162629303891213141523242526272835[[#This Row],[累计净值]]/$B$114-1),表2_367162629303891213141523242526272835[[#This Row],[单位净值]]/$F$114-1)</f>
        <v>6.0962205123868962E-3</v>
      </c>
    </row>
    <row r="151" spans="1:7">
      <c r="A151" s="225">
        <v>44258</v>
      </c>
      <c r="B151" s="112">
        <v>1.1847000000000001</v>
      </c>
      <c r="C151" s="108">
        <f t="shared" ref="C151:C152" si="27">IFERROR(B151-B150,0)</f>
        <v>-8.2999999999999741E-3</v>
      </c>
      <c r="D151" s="109">
        <f t="shared" ref="D151:D152" si="28">IF(C151&lt;0,C151,"/")</f>
        <v>-8.2999999999999741E-3</v>
      </c>
      <c r="E151" s="109">
        <f ca="1">IF(表2_367162629303891213141523242526272835[[#This Row],[累计净值]]/MAX(INDIRECT("B21:B" &amp; ROW()))-1&lt;E150,表2_367162629303891213141523242526272835[[#This Row],[累计净值]]/MAX(INDIRECT("B21:B" &amp; ROW()))-1,E150)</f>
        <v>-3.99837133550488E-2</v>
      </c>
      <c r="F151" s="110">
        <f>表2_367162629303891213141523242526272835[[#This Row],[累计净值]]</f>
        <v>1.1847000000000001</v>
      </c>
      <c r="G151" s="20">
        <f>IF(表2_367162629303891213141523242526272835[[#This Row],[单位净值]]&gt;1.1827,0.7*(表2_367162629303891213141523242526272835[[#This Row],[累计净值]]/$B$114-1),表2_367162629303891213141523242526272835[[#This Row],[单位净值]]/$F$114-1)</f>
        <v>1.1837321383276311E-3</v>
      </c>
    </row>
    <row r="152" spans="1:7">
      <c r="A152" s="225">
        <v>44259</v>
      </c>
      <c r="B152" s="112">
        <v>1.1868000000000001</v>
      </c>
      <c r="C152" s="108">
        <f t="shared" si="27"/>
        <v>2.0999999999999908E-3</v>
      </c>
      <c r="D152" s="109" t="str">
        <f t="shared" si="28"/>
        <v>/</v>
      </c>
      <c r="E152" s="109">
        <f ca="1">IF(表2_367162629303891213141523242526272835[[#This Row],[累计净值]]/MAX(INDIRECT("B21:B" &amp; ROW()))-1&lt;E151,表2_367162629303891213141523242526272835[[#This Row],[累计净值]]/MAX(INDIRECT("B21:B" &amp; ROW()))-1,E151)</f>
        <v>-3.99837133550488E-2</v>
      </c>
      <c r="F152" s="110">
        <f>表2_367162629303891213141523242526272835[[#This Row],[累计净值]]</f>
        <v>1.1868000000000001</v>
      </c>
      <c r="G152" s="20">
        <f>IF(表2_367162629303891213141523242526272835[[#This Row],[单位净值]]&gt;1.1827,0.7*(表2_367162629303891213141523242526272835[[#This Row],[累计净值]]/$B$114-1),表2_367162629303891213141523242526272835[[#This Row],[单位净值]]/$F$114-1)</f>
        <v>2.4266508835714571E-3</v>
      </c>
    </row>
    <row r="153" spans="1:7">
      <c r="A153" s="225">
        <v>44260</v>
      </c>
      <c r="B153" s="112">
        <v>1.1853</v>
      </c>
      <c r="C153" s="108">
        <f t="shared" ref="C153:C157" si="29">IFERROR(B153-B152,0)</f>
        <v>-1.5000000000000568E-3</v>
      </c>
      <c r="D153" s="109">
        <f t="shared" ref="D153:D157" si="30">IF(C153&lt;0,C153,"/")</f>
        <v>-1.5000000000000568E-3</v>
      </c>
      <c r="E153" s="109">
        <f ca="1">IF(表2_367162629303891213141523242526272835[[#This Row],[累计净值]]/MAX(INDIRECT("B21:B" &amp; ROW()))-1&lt;E152,表2_367162629303891213141523242526272835[[#This Row],[累计净值]]/MAX(INDIRECT("B21:B" &amp; ROW()))-1,E152)</f>
        <v>-3.99837133550488E-2</v>
      </c>
      <c r="F153" s="110">
        <f>表2_367162629303891213141523242526272835[[#This Row],[累计净值]]</f>
        <v>1.1853</v>
      </c>
      <c r="G153" s="20">
        <f>IF(表2_367162629303891213141523242526272835[[#This Row],[单位净值]]&gt;1.1827,0.7*(表2_367162629303891213141523242526272835[[#This Row],[累计净值]]/$B$114-1),表2_367162629303891213141523242526272835[[#This Row],[单位净值]]/$F$114-1)</f>
        <v>1.5388517798257339E-3</v>
      </c>
    </row>
    <row r="154" spans="1:7">
      <c r="A154" s="225">
        <v>44263</v>
      </c>
      <c r="B154" s="112">
        <v>1.1863999999999999</v>
      </c>
      <c r="C154" s="108">
        <f t="shared" si="29"/>
        <v>1.0999999999998789E-3</v>
      </c>
      <c r="D154" s="109" t="str">
        <f t="shared" si="30"/>
        <v>/</v>
      </c>
      <c r="E154" s="109">
        <f ca="1">IF(表2_367162629303891213141523242526272835[[#This Row],[累计净值]]/MAX(INDIRECT("B21:B" &amp; ROW()))-1&lt;E153,表2_367162629303891213141523242526272835[[#This Row],[累计净值]]/MAX(INDIRECT("B21:B" &amp; ROW()))-1,E153)</f>
        <v>-3.99837133550488E-2</v>
      </c>
      <c r="F154" s="110">
        <f>表2_367162629303891213141523242526272835[[#This Row],[累计净值]]</f>
        <v>1.1863999999999999</v>
      </c>
      <c r="G154" s="20">
        <f>IF(表2_367162629303891213141523242526272835[[#This Row],[单位净值]]&gt;1.1827,0.7*(表2_367162629303891213141523242526272835[[#This Row],[累计净值]]/$B$114-1),表2_367162629303891213141523242526272835[[#This Row],[单位净值]]/$F$114-1)</f>
        <v>2.1899044559058997E-3</v>
      </c>
    </row>
    <row r="155" spans="1:7">
      <c r="A155" s="225">
        <v>44264</v>
      </c>
      <c r="B155" s="112">
        <v>1.1875</v>
      </c>
      <c r="C155" s="108">
        <f t="shared" si="29"/>
        <v>1.1000000000001009E-3</v>
      </c>
      <c r="D155" s="109" t="str">
        <f t="shared" si="30"/>
        <v>/</v>
      </c>
      <c r="E155" s="109">
        <f ca="1">IF(表2_367162629303891213141523242526272835[[#This Row],[累计净值]]/MAX(INDIRECT("B21:B" &amp; ROW()))-1&lt;E154,表2_367162629303891213141523242526272835[[#This Row],[累计净值]]/MAX(INDIRECT("B21:B" &amp; ROW()))-1,E154)</f>
        <v>-3.99837133550488E-2</v>
      </c>
      <c r="F155" s="110">
        <f>表2_367162629303891213141523242526272835[[#This Row],[累计净值]]</f>
        <v>1.1875</v>
      </c>
      <c r="G155" s="20">
        <f>IF(表2_367162629303891213141523242526272835[[#This Row],[单位净值]]&gt;1.1827,0.7*(表2_367162629303891213141523242526272835[[#This Row],[累计净值]]/$B$114-1),表2_367162629303891213141523242526272835[[#This Row],[单位净值]]/$F$114-1)</f>
        <v>2.840957131986066E-3</v>
      </c>
    </row>
    <row r="156" spans="1:7">
      <c r="A156" s="225">
        <v>44265</v>
      </c>
      <c r="B156" s="112">
        <v>1.1918</v>
      </c>
      <c r="C156" s="108">
        <f t="shared" si="29"/>
        <v>4.2999999999999705E-3</v>
      </c>
      <c r="D156" s="109" t="str">
        <f t="shared" si="30"/>
        <v>/</v>
      </c>
      <c r="E156" s="109">
        <f ca="1">IF(表2_367162629303891213141523242526272835[[#This Row],[累计净值]]/MAX(INDIRECT("B21:B" &amp; ROW()))-1&lt;E155,表2_367162629303891213141523242526272835[[#This Row],[累计净值]]/MAX(INDIRECT("B21:B" &amp; ROW()))-1,E155)</f>
        <v>-3.99837133550488E-2</v>
      </c>
      <c r="F156" s="110">
        <f>表2_367162629303891213141523242526272835[[#This Row],[累计净值]]</f>
        <v>1.1918</v>
      </c>
      <c r="G156" s="20">
        <f>IF(表2_367162629303891213141523242526272835[[#This Row],[单位净值]]&gt;1.1827,0.7*(表2_367162629303891213141523242526272835[[#This Row],[累计净值]]/$B$114-1),表2_367162629303891213141523242526272835[[#This Row],[单位净值]]/$F$114-1)</f>
        <v>5.3859812293903797E-3</v>
      </c>
    </row>
    <row r="157" spans="1:7">
      <c r="A157" s="225">
        <v>44266</v>
      </c>
      <c r="B157" s="112">
        <v>1.1939</v>
      </c>
      <c r="C157" s="108">
        <f t="shared" si="29"/>
        <v>2.0999999999999908E-3</v>
      </c>
      <c r="D157" s="109" t="str">
        <f t="shared" si="30"/>
        <v>/</v>
      </c>
      <c r="E157" s="109">
        <f ca="1">IF(表2_367162629303891213141523242526272835[[#This Row],[累计净值]]/MAX(INDIRECT("B21:B" &amp; ROW()))-1&lt;E156,表2_367162629303891213141523242526272835[[#This Row],[累计净值]]/MAX(INDIRECT("B21:B" &amp; ROW()))-1,E156)</f>
        <v>-3.99837133550488E-2</v>
      </c>
      <c r="F157" s="110">
        <f>表2_367162629303891213141523242526272835[[#This Row],[累计净值]]</f>
        <v>1.1939</v>
      </c>
      <c r="G157" s="20">
        <f>IF(表2_367162629303891213141523242526272835[[#This Row],[单位净值]]&gt;1.1827,0.7*(表2_367162629303891213141523242526272835[[#This Row],[累计净值]]/$B$114-1),表2_367162629303891213141523242526272835[[#This Row],[单位净值]]/$F$114-1)</f>
        <v>6.6288999746342055E-3</v>
      </c>
    </row>
    <row r="158" spans="1:7">
      <c r="A158" s="225">
        <v>44267</v>
      </c>
      <c r="B158" s="112">
        <v>1.1997</v>
      </c>
      <c r="C158" s="108">
        <f t="shared" ref="C158:C163" si="31">IFERROR(B158-B157,0)</f>
        <v>5.8000000000000274E-3</v>
      </c>
      <c r="D158" s="109" t="str">
        <f t="shared" ref="D158:D163" si="32">IF(C158&lt;0,C158,"/")</f>
        <v>/</v>
      </c>
      <c r="E158" s="109">
        <f ca="1">IF(表2_367162629303891213141523242526272835[[#This Row],[累计净值]]/MAX(INDIRECT("B21:B" &amp; ROW()))-1&lt;E157,表2_367162629303891213141523242526272835[[#This Row],[累计净值]]/MAX(INDIRECT("B21:B" &amp; ROW()))-1,E157)</f>
        <v>-3.99837133550488E-2</v>
      </c>
      <c r="F158" s="110">
        <f>表2_367162629303891213141523242526272835[[#This Row],[累计净值]]</f>
        <v>1.1997</v>
      </c>
      <c r="G158" s="20">
        <f>IF(表2_367162629303891213141523242526272835[[#This Row],[单位净值]]&gt;1.1827,0.7*(表2_367162629303891213141523242526272835[[#This Row],[累计净值]]/$B$114-1),表2_367162629303891213141523242526272835[[#This Row],[单位净值]]/$F$114-1)</f>
        <v>1.0061723175784087E-2</v>
      </c>
    </row>
    <row r="159" spans="1:7">
      <c r="A159" s="225">
        <v>44270</v>
      </c>
      <c r="B159" s="112">
        <v>1.2043999999999999</v>
      </c>
      <c r="C159" s="108">
        <f t="shared" si="31"/>
        <v>4.6999999999999265E-3</v>
      </c>
      <c r="D159" s="109" t="str">
        <f t="shared" si="32"/>
        <v>/</v>
      </c>
      <c r="E159" s="109">
        <f ca="1">IF(表2_367162629303891213141523242526272835[[#This Row],[累计净值]]/MAX(INDIRECT("B21:B" &amp; ROW()))-1&lt;E158,表2_367162629303891213141523242526272835[[#This Row],[累计净值]]/MAX(INDIRECT("B21:B" &amp; ROW()))-1,E158)</f>
        <v>-3.99837133550488E-2</v>
      </c>
      <c r="F159" s="110">
        <f>表2_367162629303891213141523242526272835[[#This Row],[累计净值]]</f>
        <v>1.2043999999999999</v>
      </c>
      <c r="G159" s="20">
        <f>IF(表2_367162629303891213141523242526272835[[#This Row],[单位净值]]&gt;1.1827,0.7*(表2_367162629303891213141523242526272835[[#This Row],[累计净值]]/$B$114-1),表2_367162629303891213141523242526272835[[#This Row],[单位净值]]/$F$114-1)</f>
        <v>1.2843493700853803E-2</v>
      </c>
    </row>
    <row r="160" spans="1:7">
      <c r="A160" s="225">
        <v>44271</v>
      </c>
      <c r="B160" s="112">
        <v>1.2074</v>
      </c>
      <c r="C160" s="108">
        <f t="shared" si="31"/>
        <v>3.0000000000001137E-3</v>
      </c>
      <c r="D160" s="109" t="str">
        <f t="shared" si="32"/>
        <v>/</v>
      </c>
      <c r="E160" s="109">
        <f ca="1">IF(表2_367162629303891213141523242526272835[[#This Row],[累计净值]]/MAX(INDIRECT("B21:B" &amp; ROW()))-1&lt;E159,表2_367162629303891213141523242526272835[[#This Row],[累计净值]]/MAX(INDIRECT("B21:B" &amp; ROW()))-1,E159)</f>
        <v>-3.99837133550488E-2</v>
      </c>
      <c r="F160" s="110">
        <f>表2_367162629303891213141523242526272835[[#This Row],[累计净值]]</f>
        <v>1.2074</v>
      </c>
      <c r="G160" s="20">
        <f>IF(表2_367162629303891213141523242526272835[[#This Row],[单位净值]]&gt;1.1827,0.7*(表2_367162629303891213141523242526272835[[#This Row],[累计净值]]/$B$114-1),表2_367162629303891213141523242526272835[[#This Row],[单位净值]]/$F$114-1)</f>
        <v>1.4619091908345249E-2</v>
      </c>
    </row>
    <row r="161" spans="1:7">
      <c r="A161" s="225">
        <v>44272</v>
      </c>
      <c r="B161" s="112">
        <v>1.2073</v>
      </c>
      <c r="C161" s="108">
        <f t="shared" si="31"/>
        <v>-9.9999999999988987E-5</v>
      </c>
      <c r="D161" s="109">
        <f t="shared" si="32"/>
        <v>-9.9999999999988987E-5</v>
      </c>
      <c r="E161" s="109">
        <f ca="1">IF(表2_367162629303891213141523242526272835[[#This Row],[累计净值]]/MAX(INDIRECT("B21:B" &amp; ROW()))-1&lt;E160,表2_367162629303891213141523242526272835[[#This Row],[累计净值]]/MAX(INDIRECT("B21:B" &amp; ROW()))-1,E160)</f>
        <v>-3.99837133550488E-2</v>
      </c>
      <c r="F161" s="110">
        <f>表2_367162629303891213141523242526272835[[#This Row],[累计净值]]</f>
        <v>1.2073</v>
      </c>
      <c r="G161" s="20">
        <f>IF(表2_367162629303891213141523242526272835[[#This Row],[单位净值]]&gt;1.1827,0.7*(表2_367162629303891213141523242526272835[[#This Row],[累计净值]]/$B$114-1),表2_367162629303891213141523242526272835[[#This Row],[单位净值]]/$F$114-1)</f>
        <v>1.4559905301428899E-2</v>
      </c>
    </row>
    <row r="162" spans="1:7">
      <c r="A162" s="225">
        <v>44273</v>
      </c>
      <c r="B162" s="112">
        <v>1.2097</v>
      </c>
      <c r="C162" s="108">
        <f t="shared" si="31"/>
        <v>2.3999999999999577E-3</v>
      </c>
      <c r="D162" s="109" t="str">
        <f t="shared" si="32"/>
        <v>/</v>
      </c>
      <c r="E162" s="109">
        <f ca="1">IF(表2_367162629303891213141523242526272835[[#This Row],[累计净值]]/MAX(INDIRECT("B21:B" &amp; ROW()))-1&lt;E161,表2_367162629303891213141523242526272835[[#This Row],[累计净值]]/MAX(INDIRECT("B21:B" &amp; ROW()))-1,E161)</f>
        <v>-3.99837133550488E-2</v>
      </c>
      <c r="F162" s="110">
        <f>表2_367162629303891213141523242526272835[[#This Row],[累计净值]]</f>
        <v>1.2097</v>
      </c>
      <c r="G162" s="20">
        <f>IF(表2_367162629303891213141523242526272835[[#This Row],[单位净值]]&gt;1.1827,0.7*(表2_367162629303891213141523242526272835[[#This Row],[累计净值]]/$B$114-1),表2_367162629303891213141523242526272835[[#This Row],[单位净值]]/$F$114-1)</f>
        <v>1.598038386742193E-2</v>
      </c>
    </row>
    <row r="163" spans="1:7">
      <c r="A163" s="225">
        <v>44274</v>
      </c>
      <c r="B163" s="112">
        <v>1.2054</v>
      </c>
      <c r="C163" s="108">
        <f t="shared" si="31"/>
        <v>-4.2999999999999705E-3</v>
      </c>
      <c r="D163" s="109">
        <f t="shared" si="32"/>
        <v>-4.2999999999999705E-3</v>
      </c>
      <c r="E163" s="109">
        <f ca="1">IF(表2_367162629303891213141523242526272835[[#This Row],[累计净值]]/MAX(INDIRECT("B21:B" &amp; ROW()))-1&lt;E162,表2_367162629303891213141523242526272835[[#This Row],[累计净值]]/MAX(INDIRECT("B21:B" &amp; ROW()))-1,E162)</f>
        <v>-3.99837133550488E-2</v>
      </c>
      <c r="F163" s="110">
        <f>表2_367162629303891213141523242526272835[[#This Row],[累计净值]]</f>
        <v>1.2054</v>
      </c>
      <c r="G163" s="20">
        <f>IF(表2_367162629303891213141523242526272835[[#This Row],[单位净值]]&gt;1.1827,0.7*(表2_367162629303891213141523242526272835[[#This Row],[累计净值]]/$B$114-1),表2_367162629303891213141523242526272835[[#This Row],[单位净值]]/$F$114-1)</f>
        <v>1.3435359770017773E-2</v>
      </c>
    </row>
    <row r="164" spans="1:7">
      <c r="A164" s="225">
        <v>44277</v>
      </c>
      <c r="B164" s="112">
        <v>1.2136</v>
      </c>
      <c r="C164" s="108">
        <f>IFERROR(B164-B163,0)</f>
        <v>8.1999999999999851E-3</v>
      </c>
      <c r="D164" s="109" t="str">
        <f>IF(C164&lt;0,C164,"/")</f>
        <v>/</v>
      </c>
      <c r="E164" s="109">
        <f ca="1">IF(表2_367162629303891213141523242526272835[[#This Row],[累计净值]]/MAX(INDIRECT("B21:B" &amp; ROW()))-1&lt;E163,表2_367162629303891213141523242526272835[[#This Row],[累计净值]]/MAX(INDIRECT("B21:B" &amp; ROW()))-1,E163)</f>
        <v>-3.99837133550488E-2</v>
      </c>
      <c r="F164" s="110">
        <f>表2_367162629303891213141523242526272835[[#This Row],[累计净值]]</f>
        <v>1.2136</v>
      </c>
      <c r="G164" s="20">
        <f>IF(表2_367162629303891213141523242526272835[[#This Row],[单位净值]]&gt;1.1827,0.7*(表2_367162629303891213141523242526272835[[#This Row],[累计净值]]/$B$114-1),表2_367162629303891213141523242526272835[[#This Row],[单位净值]]/$F$114-1)</f>
        <v>1.8288661537160689E-2</v>
      </c>
    </row>
    <row r="165" spans="1:7">
      <c r="A165" s="225">
        <v>44278</v>
      </c>
      <c r="B165" s="112">
        <v>1.2143999999999999</v>
      </c>
      <c r="C165" s="108">
        <f t="shared" ref="C165:C168" si="33">IFERROR(B165-B164,0)</f>
        <v>7.9999999999991189E-4</v>
      </c>
      <c r="D165" s="109" t="str">
        <f t="shared" ref="D165:D168" si="34">IF(C165&lt;0,C165,"/")</f>
        <v>/</v>
      </c>
      <c r="E165" s="109">
        <f ca="1">IF(表2_367162629303891213141523242526272835[[#This Row],[累计净值]]/MAX(INDIRECT("B21:B" &amp; ROW()))-1&lt;E164,表2_367162629303891213141523242526272835[[#This Row],[累计净值]]/MAX(INDIRECT("B21:B" &amp; ROW()))-1,E164)</f>
        <v>-3.99837133550488E-2</v>
      </c>
      <c r="F165" s="110">
        <f>表2_367162629303891213141523242526272835[[#This Row],[累计净值]]</f>
        <v>1.2143999999999999</v>
      </c>
      <c r="G165" s="20">
        <f>IF(表2_367162629303891213141523242526272835[[#This Row],[单位净值]]&gt;1.1827,0.7*(表2_367162629303891213141523242526272835[[#This Row],[累计净值]]/$B$114-1),表2_367162629303891213141523242526272835[[#This Row],[单位净值]]/$F$114-1)</f>
        <v>1.8762154392491646E-2</v>
      </c>
    </row>
    <row r="166" spans="1:7">
      <c r="A166" s="225">
        <v>44279</v>
      </c>
      <c r="B166" s="112">
        <v>1.2102999999999999</v>
      </c>
      <c r="C166" s="108">
        <f t="shared" si="33"/>
        <v>-4.0999999999999925E-3</v>
      </c>
      <c r="D166" s="109">
        <f t="shared" si="34"/>
        <v>-4.0999999999999925E-3</v>
      </c>
      <c r="E166" s="109">
        <f ca="1">IF(表2_367162629303891213141523242526272835[[#This Row],[累计净值]]/MAX(INDIRECT("B21:B" &amp; ROW()))-1&lt;E165,表2_367162629303891213141523242526272835[[#This Row],[累计净值]]/MAX(INDIRECT("B21:B" &amp; ROW()))-1,E165)</f>
        <v>-3.99837133550488E-2</v>
      </c>
      <c r="F166" s="110">
        <f>表2_367162629303891213141523242526272835[[#This Row],[累计净值]]</f>
        <v>1.2102999999999999</v>
      </c>
      <c r="G166" s="20">
        <f>IF(表2_367162629303891213141523242526272835[[#This Row],[单位净值]]&gt;1.1827,0.7*(表2_367162629303891213141523242526272835[[#This Row],[累计净值]]/$B$114-1),表2_367162629303891213141523242526272835[[#This Row],[单位净值]]/$F$114-1)</f>
        <v>1.6335503508920188E-2</v>
      </c>
    </row>
    <row r="167" spans="1:7">
      <c r="A167" s="225">
        <v>44280</v>
      </c>
      <c r="B167" s="112">
        <v>1.2165999999999999</v>
      </c>
      <c r="C167" s="108">
        <f t="shared" si="33"/>
        <v>6.2999999999999723E-3</v>
      </c>
      <c r="D167" s="109" t="str">
        <f t="shared" si="34"/>
        <v>/</v>
      </c>
      <c r="E167" s="109">
        <f ca="1">IF(表2_367162629303891213141523242526272835[[#This Row],[累计净值]]/MAX(INDIRECT("B21:B" &amp; ROW()))-1&lt;E166,表2_367162629303891213141523242526272835[[#This Row],[累计净值]]/MAX(INDIRECT("B21:B" &amp; ROW()))-1,E166)</f>
        <v>-3.99837133550488E-2</v>
      </c>
      <c r="F167" s="110">
        <f>表2_367162629303891213141523242526272835[[#This Row],[累计净值]]</f>
        <v>1.2165999999999999</v>
      </c>
      <c r="G167" s="20">
        <f>IF(表2_367162629303891213141523242526272835[[#This Row],[单位净值]]&gt;1.1827,0.7*(表2_367162629303891213141523242526272835[[#This Row],[累计净值]]/$B$114-1),表2_367162629303891213141523242526272835[[#This Row],[单位净值]]/$F$114-1)</f>
        <v>2.006425974465198E-2</v>
      </c>
    </row>
    <row r="168" spans="1:7">
      <c r="A168" s="225">
        <v>44281</v>
      </c>
      <c r="B168" s="112">
        <v>1.2206999999999999</v>
      </c>
      <c r="C168" s="108">
        <f t="shared" si="33"/>
        <v>4.0999999999999925E-3</v>
      </c>
      <c r="D168" s="109" t="str">
        <f t="shared" si="34"/>
        <v>/</v>
      </c>
      <c r="E168" s="109">
        <f ca="1">IF(表2_367162629303891213141523242526272835[[#This Row],[累计净值]]/MAX(INDIRECT("B21:B" &amp; ROW()))-1&lt;E167,表2_367162629303891213141523242526272835[[#This Row],[累计净值]]/MAX(INDIRECT("B21:B" &amp; ROW()))-1,E167)</f>
        <v>-3.99837133550488E-2</v>
      </c>
      <c r="F168" s="110">
        <f>表2_367162629303891213141523242526272835[[#This Row],[累计净值]]</f>
        <v>1.2206999999999999</v>
      </c>
      <c r="G168" s="20">
        <f>IF(表2_367162629303891213141523242526272835[[#This Row],[单位净值]]&gt;1.1827,0.7*(表2_367162629303891213141523242526272835[[#This Row],[累计净值]]/$B$114-1),表2_367162629303891213141523242526272835[[#This Row],[单位净值]]/$F$114-1)</f>
        <v>2.2490910628223434E-2</v>
      </c>
    </row>
    <row r="169" spans="1:7">
      <c r="A169" s="225">
        <v>44284</v>
      </c>
      <c r="B169" s="112">
        <v>1.2224999999999999</v>
      </c>
      <c r="C169" s="108">
        <f t="shared" ref="C169:C174" si="35">IFERROR(B169-B168,0)</f>
        <v>1.8000000000000238E-3</v>
      </c>
      <c r="D169" s="109" t="str">
        <f t="shared" ref="D169:D174" si="36">IF(C169&lt;0,C169,"/")</f>
        <v>/</v>
      </c>
      <c r="E169" s="109">
        <f ca="1">IF(表2_367162629303891213141523242526272835[[#This Row],[累计净值]]/MAX(INDIRECT("B21:B" &amp; ROW()))-1&lt;E168,表2_367162629303891213141523242526272835[[#This Row],[累计净值]]/MAX(INDIRECT("B21:B" &amp; ROW()))-1,E168)</f>
        <v>-3.99837133550488E-2</v>
      </c>
      <c r="F169" s="110">
        <f>表2_367162629303891213141523242526272835[[#This Row],[累计净值]]</f>
        <v>1.2224999999999999</v>
      </c>
      <c r="G169" s="20">
        <f>IF(表2_367162629303891213141523242526272835[[#This Row],[单位净值]]&gt;1.1827,0.7*(表2_367162629303891213141523242526272835[[#This Row],[累计净值]]/$B$114-1),表2_367162629303891213141523242526272835[[#This Row],[单位净值]]/$F$114-1)</f>
        <v>2.3556269552718209E-2</v>
      </c>
    </row>
    <row r="170" spans="1:7">
      <c r="A170" s="225">
        <v>44285</v>
      </c>
      <c r="B170" s="112">
        <v>1.2238</v>
      </c>
      <c r="C170" s="108">
        <f t="shared" si="35"/>
        <v>1.3000000000000789E-3</v>
      </c>
      <c r="D170" s="109" t="str">
        <f t="shared" si="36"/>
        <v>/</v>
      </c>
      <c r="E170" s="109">
        <f ca="1">IF(表2_367162629303891213141523242526272835[[#This Row],[累计净值]]/MAX(INDIRECT("B21:B" &amp; ROW()))-1&lt;E169,表2_367162629303891213141523242526272835[[#This Row],[累计净值]]/MAX(INDIRECT("B21:B" &amp; ROW()))-1,E169)</f>
        <v>-3.99837133550488E-2</v>
      </c>
      <c r="F170" s="110">
        <f>表2_367162629303891213141523242526272835[[#This Row],[累计净值]]</f>
        <v>1.2238</v>
      </c>
      <c r="G170" s="20">
        <f>IF(表2_367162629303891213141523242526272835[[#This Row],[单位净值]]&gt;1.1827,0.7*(表2_367162629303891213141523242526272835[[#This Row],[累计净值]]/$B$114-1),表2_367162629303891213141523242526272835[[#This Row],[单位净值]]/$F$114-1)</f>
        <v>2.4325695442631232E-2</v>
      </c>
    </row>
    <row r="171" spans="1:7">
      <c r="A171" s="225">
        <v>44286</v>
      </c>
      <c r="B171" s="112">
        <v>1.2269000000000001</v>
      </c>
      <c r="C171" s="108">
        <f t="shared" si="35"/>
        <v>3.1000000000001027E-3</v>
      </c>
      <c r="D171" s="109" t="str">
        <f t="shared" si="36"/>
        <v>/</v>
      </c>
      <c r="E171" s="109">
        <f ca="1">IF(表2_367162629303891213141523242526272835[[#This Row],[累计净值]]/MAX(INDIRECT("B21:B" &amp; ROW()))-1&lt;E170,表2_367162629303891213141523242526272835[[#This Row],[累计净值]]/MAX(INDIRECT("B21:B" &amp; ROW()))-1,E170)</f>
        <v>-3.99837133550488E-2</v>
      </c>
      <c r="F171" s="110">
        <f>表2_367162629303891213141523242526272835[[#This Row],[累计净值]]</f>
        <v>1.2269000000000001</v>
      </c>
      <c r="G171" s="20">
        <f>IF(表2_367162629303891213141523242526272835[[#This Row],[单位净值]]&gt;1.1827,0.7*(表2_367162629303891213141523242526272835[[#This Row],[累计净值]]/$B$114-1),表2_367162629303891213141523242526272835[[#This Row],[单位净值]]/$F$114-1)</f>
        <v>2.6160480257039029E-2</v>
      </c>
    </row>
    <row r="172" spans="1:7">
      <c r="A172" s="225">
        <v>44287</v>
      </c>
      <c r="B172" s="117">
        <v>1.2313000000000001</v>
      </c>
      <c r="C172" s="108">
        <f t="shared" si="35"/>
        <v>4.3999999999999595E-3</v>
      </c>
      <c r="D172" s="109" t="str">
        <f t="shared" si="36"/>
        <v>/</v>
      </c>
      <c r="E172" s="109">
        <f ca="1">IF(表2_367162629303891213141523242526272835[[#This Row],[累计净值]]/MAX(INDIRECT("B21:B" &amp; ROW()))-1&lt;E171,表2_367162629303891213141523242526272835[[#This Row],[累计净值]]/MAX(INDIRECT("B21:B" &amp; ROW()))-1,E171)</f>
        <v>-3.99837133550488E-2</v>
      </c>
      <c r="F172" s="110">
        <f>表2_367162629303891213141523242526272835[[#This Row],[累计净值]]</f>
        <v>1.2313000000000001</v>
      </c>
      <c r="G172" s="20">
        <f>IF(表2_367162629303891213141523242526272835[[#This Row],[单位净值]]&gt;1.1827,0.7*(表2_367162629303891213141523242526272835[[#This Row],[累计净值]]/$B$114-1),表2_367162629303891213141523242526272835[[#This Row],[单位净值]]/$F$114-1)</f>
        <v>2.876469096135954E-2</v>
      </c>
    </row>
    <row r="173" spans="1:7">
      <c r="A173" s="225">
        <v>44288</v>
      </c>
      <c r="B173" s="112">
        <v>1.2302</v>
      </c>
      <c r="C173" s="108">
        <f t="shared" si="35"/>
        <v>-1.1000000000001009E-3</v>
      </c>
      <c r="D173" s="109">
        <f t="shared" si="36"/>
        <v>-1.1000000000001009E-3</v>
      </c>
      <c r="E173" s="109">
        <f ca="1">IF(表2_367162629303891213141523242526272835[[#This Row],[累计净值]]/MAX(INDIRECT("B21:B" &amp; ROW()))-1&lt;E172,表2_367162629303891213141523242526272835[[#This Row],[累计净值]]/MAX(INDIRECT("B21:B" &amp; ROW()))-1,E172)</f>
        <v>-3.99837133550488E-2</v>
      </c>
      <c r="F173" s="110">
        <f>表2_367162629303891213141523242526272835[[#This Row],[累计净值]]</f>
        <v>1.2302</v>
      </c>
      <c r="G173" s="20">
        <f>IF(表2_367162629303891213141523242526272835[[#This Row],[单位净值]]&gt;1.1827,0.7*(表2_367162629303891213141523242526272835[[#This Row],[累计净值]]/$B$114-1),表2_367162629303891213141523242526272835[[#This Row],[单位净值]]/$F$114-1)</f>
        <v>2.8113638285279373E-2</v>
      </c>
    </row>
    <row r="174" spans="1:7">
      <c r="A174" s="225">
        <v>44292</v>
      </c>
      <c r="B174" s="112">
        <v>1.2316</v>
      </c>
      <c r="C174" s="108">
        <f t="shared" si="35"/>
        <v>1.4000000000000679E-3</v>
      </c>
      <c r="D174" s="109" t="str">
        <f t="shared" si="36"/>
        <v>/</v>
      </c>
      <c r="E174" s="109">
        <f ca="1">IF(表2_367162629303891213141523242526272835[[#This Row],[累计净值]]/MAX(INDIRECT("B21:B" &amp; ROW()))-1&lt;E173,表2_367162629303891213141523242526272835[[#This Row],[累计净值]]/MAX(INDIRECT("B21:B" &amp; ROW()))-1,E173)</f>
        <v>-3.99837133550488E-2</v>
      </c>
      <c r="F174" s="110">
        <f>表2_367162629303891213141523242526272835[[#This Row],[累计净值]]</f>
        <v>1.2316</v>
      </c>
      <c r="G174" s="20">
        <f>IF(表2_367162629303891213141523242526272835[[#This Row],[单位净值]]&gt;1.1827,0.7*(表2_367162629303891213141523242526272835[[#This Row],[累计净值]]/$B$114-1),表2_367162629303891213141523242526272835[[#This Row],[单位净值]]/$F$114-1)</f>
        <v>2.8942250782108745E-2</v>
      </c>
    </row>
    <row r="175" spans="1:7">
      <c r="A175" s="225">
        <v>44293</v>
      </c>
      <c r="B175" s="112">
        <v>1.2329000000000001</v>
      </c>
      <c r="C175" s="108">
        <f t="shared" ref="C175:C180" si="37">IFERROR(B175-B174,0)</f>
        <v>1.3000000000000789E-3</v>
      </c>
      <c r="D175" s="109" t="str">
        <f t="shared" ref="D175:D180" si="38">IF(C175&lt;0,C175,"/")</f>
        <v>/</v>
      </c>
      <c r="E175" s="109">
        <f ca="1">IF(表2_367162629303891213141523242526272835[[#This Row],[累计净值]]/MAX(INDIRECT("B21:B" &amp; ROW()))-1&lt;E174,表2_367162629303891213141523242526272835[[#This Row],[累计净值]]/MAX(INDIRECT("B21:B" &amp; ROW()))-1,E174)</f>
        <v>-3.99837133550488E-2</v>
      </c>
      <c r="F175" s="110">
        <f>表2_367162629303891213141523242526272835[[#This Row],[累计净值]]</f>
        <v>1.2329000000000001</v>
      </c>
      <c r="G175" s="20">
        <f>IF(表2_367162629303891213141523242526272835[[#This Row],[单位净值]]&gt;1.1827,0.7*(表2_367162629303891213141523242526272835[[#This Row],[累计净值]]/$B$114-1),表2_367162629303891213141523242526272835[[#This Row],[单位净值]]/$F$114-1)</f>
        <v>2.9711676672021611E-2</v>
      </c>
    </row>
    <row r="176" spans="1:7">
      <c r="A176" s="225">
        <v>44294</v>
      </c>
      <c r="B176" s="117">
        <v>1.2367999999999999</v>
      </c>
      <c r="C176" s="108">
        <f t="shared" si="37"/>
        <v>3.8999999999997925E-3</v>
      </c>
      <c r="D176" s="109" t="str">
        <f t="shared" si="38"/>
        <v>/</v>
      </c>
      <c r="E176" s="109">
        <f ca="1">IF(表2_367162629303891213141523242526272835[[#This Row],[累计净值]]/MAX(INDIRECT("B21:B" &amp; ROW()))-1&lt;E175,表2_367162629303891213141523242526272835[[#This Row],[累计净值]]/MAX(INDIRECT("B21:B" &amp; ROW()))-1,E175)</f>
        <v>-3.99837133550488E-2</v>
      </c>
      <c r="F176" s="110">
        <f>表2_367162629303891213141523242526272835[[#This Row],[累计净值]]</f>
        <v>1.2367999999999999</v>
      </c>
      <c r="G176" s="20">
        <f>IF(表2_367162629303891213141523242526272835[[#This Row],[单位净值]]&gt;1.1827,0.7*(表2_367162629303891213141523242526272835[[#This Row],[累计净值]]/$B$114-1),表2_367162629303891213141523242526272835[[#This Row],[单位净值]]/$F$114-1)</f>
        <v>3.2019954341760214E-2</v>
      </c>
    </row>
    <row r="177" spans="1:7">
      <c r="A177" s="225">
        <v>44295</v>
      </c>
      <c r="B177" s="112">
        <v>1.2331000000000001</v>
      </c>
      <c r="C177" s="108">
        <f t="shared" si="37"/>
        <v>-3.6999999999998145E-3</v>
      </c>
      <c r="D177" s="109">
        <f t="shared" si="38"/>
        <v>-3.6999999999998145E-3</v>
      </c>
      <c r="E177" s="109">
        <f ca="1">IF(表2_367162629303891213141523242526272835[[#This Row],[累计净值]]/MAX(INDIRECT("B21:B" &amp; ROW()))-1&lt;E176,表2_367162629303891213141523242526272835[[#This Row],[累计净值]]/MAX(INDIRECT("B21:B" &amp; ROW()))-1,E176)</f>
        <v>-3.99837133550488E-2</v>
      </c>
      <c r="F177" s="110">
        <f>表2_367162629303891213141523242526272835[[#This Row],[累计净值]]</f>
        <v>1.2331000000000001</v>
      </c>
      <c r="G177" s="20">
        <f>IF(表2_367162629303891213141523242526272835[[#This Row],[单位净值]]&gt;1.1827,0.7*(表2_367162629303891213141523242526272835[[#This Row],[累计净值]]/$B$114-1),表2_367162629303891213141523242526272835[[#This Row],[单位净值]]/$F$114-1)</f>
        <v>2.9830049885854467E-2</v>
      </c>
    </row>
    <row r="178" spans="1:7">
      <c r="A178" s="225">
        <v>44298</v>
      </c>
      <c r="B178" s="112">
        <v>1.2235</v>
      </c>
      <c r="C178" s="108">
        <f t="shared" si="37"/>
        <v>-9.6000000000000529E-3</v>
      </c>
      <c r="D178" s="109">
        <f t="shared" si="38"/>
        <v>-9.6000000000000529E-3</v>
      </c>
      <c r="E178" s="109">
        <f ca="1">IF(表2_367162629303891213141523242526272835[[#This Row],[累计净值]]/MAX(INDIRECT("B21:B" &amp; ROW()))-1&lt;E177,表2_367162629303891213141523242526272835[[#This Row],[累计净值]]/MAX(INDIRECT("B21:B" &amp; ROW()))-1,E177)</f>
        <v>-3.99837133550488E-2</v>
      </c>
      <c r="F178" s="110">
        <f>表2_367162629303891213141523242526272835[[#This Row],[累计净值]]</f>
        <v>1.2235</v>
      </c>
      <c r="G178" s="20">
        <f>IF(表2_367162629303891213141523242526272835[[#This Row],[单位净值]]&gt;1.1827,0.7*(表2_367162629303891213141523242526272835[[#This Row],[累计净值]]/$B$114-1),表2_367162629303891213141523242526272835[[#This Row],[单位净值]]/$F$114-1)</f>
        <v>2.4148135621882026E-2</v>
      </c>
    </row>
    <row r="179" spans="1:7">
      <c r="A179" s="225">
        <v>44299</v>
      </c>
      <c r="B179" s="112">
        <v>1.2223999999999999</v>
      </c>
      <c r="C179" s="108">
        <f t="shared" si="37"/>
        <v>-1.1000000000001009E-3</v>
      </c>
      <c r="D179" s="109">
        <f t="shared" si="38"/>
        <v>-1.1000000000001009E-3</v>
      </c>
      <c r="E179" s="109">
        <f ca="1">IF(表2_367162629303891213141523242526272835[[#This Row],[累计净值]]/MAX(INDIRECT("B21:B" &amp; ROW()))-1&lt;E178,表2_367162629303891213141523242526272835[[#This Row],[累计净值]]/MAX(INDIRECT("B21:B" &amp; ROW()))-1,E178)</f>
        <v>-3.99837133550488E-2</v>
      </c>
      <c r="F179" s="110">
        <f>表2_367162629303891213141523242526272835[[#This Row],[累计净值]]</f>
        <v>1.2223999999999999</v>
      </c>
      <c r="G179" s="20">
        <f>IF(表2_367162629303891213141523242526272835[[#This Row],[单位净值]]&gt;1.1827,0.7*(表2_367162629303891213141523242526272835[[#This Row],[累计净值]]/$B$114-1),表2_367162629303891213141523242526272835[[#This Row],[单位净值]]/$F$114-1)</f>
        <v>2.3497082945801859E-2</v>
      </c>
    </row>
    <row r="180" spans="1:7">
      <c r="A180" s="225">
        <v>44300</v>
      </c>
      <c r="B180" s="112">
        <v>1.2265999999999999</v>
      </c>
      <c r="C180" s="108">
        <f t="shared" si="37"/>
        <v>4.1999999999999815E-3</v>
      </c>
      <c r="D180" s="109" t="str">
        <f t="shared" si="38"/>
        <v>/</v>
      </c>
      <c r="E180" s="109">
        <f ca="1">IF(表2_367162629303891213141523242526272835[[#This Row],[累计净值]]/MAX(INDIRECT("B21:B" &amp; ROW()))-1&lt;E179,表2_367162629303891213141523242526272835[[#This Row],[累计净值]]/MAX(INDIRECT("B21:B" &amp; ROW()))-1,E179)</f>
        <v>-3.99837133550488E-2</v>
      </c>
      <c r="F180" s="110">
        <f>表2_367162629303891213141523242526272835[[#This Row],[累计净值]]</f>
        <v>1.2265999999999999</v>
      </c>
      <c r="G180" s="20">
        <f>IF(表2_367162629303891213141523242526272835[[#This Row],[单位净值]]&gt;1.1827,0.7*(表2_367162629303891213141523242526272835[[#This Row],[累计净值]]/$B$114-1),表2_367162629303891213141523242526272835[[#This Row],[单位净值]]/$F$114-1)</f>
        <v>2.5982920436289667E-2</v>
      </c>
    </row>
    <row r="181" spans="1:7">
      <c r="A181" s="225">
        <v>44301</v>
      </c>
      <c r="B181" s="112">
        <v>1.2249000000000001</v>
      </c>
      <c r="C181" s="108">
        <f t="shared" ref="C181:C186" si="39">IFERROR(B181-B180,0)</f>
        <v>-1.6999999999998128E-3</v>
      </c>
      <c r="D181" s="109">
        <f t="shared" ref="D181:D186" si="40">IF(C181&lt;0,C181,"/")</f>
        <v>-1.6999999999998128E-3</v>
      </c>
      <c r="E181" s="109">
        <f ca="1">IF(表2_367162629303891213141523242526272835[[#This Row],[累计净值]]/MAX(INDIRECT("B21:B" &amp; ROW()))-1&lt;E180,表2_367162629303891213141523242526272835[[#This Row],[累计净值]]/MAX(INDIRECT("B21:B" &amp; ROW()))-1,E180)</f>
        <v>-3.99837133550488E-2</v>
      </c>
      <c r="F181" s="110">
        <f>表2_367162629303891213141523242526272835[[#This Row],[累计净值]]</f>
        <v>1.2249000000000001</v>
      </c>
      <c r="G181" s="20">
        <f>IF(表2_367162629303891213141523242526272835[[#This Row],[单位净值]]&gt;1.1827,0.7*(表2_367162629303891213141523242526272835[[#This Row],[累计净值]]/$B$114-1),表2_367162629303891213141523242526272835[[#This Row],[单位净值]]/$F$114-1)</f>
        <v>2.4976748118711398E-2</v>
      </c>
    </row>
    <row r="182" spans="1:7">
      <c r="A182" s="225">
        <v>44302</v>
      </c>
      <c r="B182" s="112">
        <v>1.2294</v>
      </c>
      <c r="C182" s="108">
        <f t="shared" si="39"/>
        <v>4.4999999999999485E-3</v>
      </c>
      <c r="D182" s="109" t="str">
        <f t="shared" si="40"/>
        <v>/</v>
      </c>
      <c r="E182" s="109">
        <f ca="1">IF(表2_367162629303891213141523242526272835[[#This Row],[累计净值]]/MAX(INDIRECT("B21:B" &amp; ROW()))-1&lt;E181,表2_367162629303891213141523242526272835[[#This Row],[累计净值]]/MAX(INDIRECT("B21:B" &amp; ROW()))-1,E181)</f>
        <v>-3.99837133550488E-2</v>
      </c>
      <c r="F182" s="110">
        <f>表2_367162629303891213141523242526272835[[#This Row],[累计净值]]</f>
        <v>1.2294</v>
      </c>
      <c r="G182" s="20">
        <f>IF(表2_367162629303891213141523242526272835[[#This Row],[单位净值]]&gt;1.1827,0.7*(表2_367162629303891213141523242526272835[[#This Row],[累计净值]]/$B$114-1),表2_367162629303891213141523242526272835[[#This Row],[单位净值]]/$F$114-1)</f>
        <v>2.7640145429948412E-2</v>
      </c>
    </row>
    <row r="183" spans="1:7">
      <c r="A183" s="225">
        <v>44305</v>
      </c>
      <c r="B183" s="112">
        <v>1.2270000000000001</v>
      </c>
      <c r="C183" s="108">
        <f t="shared" si="39"/>
        <v>-2.3999999999999577E-3</v>
      </c>
      <c r="D183" s="109">
        <f t="shared" si="40"/>
        <v>-2.3999999999999577E-3</v>
      </c>
      <c r="E183" s="109">
        <f ca="1">IF(表2_367162629303891213141523242526272835[[#This Row],[累计净值]]/MAX(INDIRECT("B21:B" &amp; ROW()))-1&lt;E182,表2_367162629303891213141523242526272835[[#This Row],[累计净值]]/MAX(INDIRECT("B21:B" &amp; ROW()))-1,E182)</f>
        <v>-3.99837133550488E-2</v>
      </c>
      <c r="F183" s="110">
        <f>表2_367162629303891213141523242526272835[[#This Row],[累计净值]]</f>
        <v>1.2270000000000001</v>
      </c>
      <c r="G183" s="20">
        <f>IF(表2_367162629303891213141523242526272835[[#This Row],[单位净值]]&gt;1.1827,0.7*(表2_367162629303891213141523242526272835[[#This Row],[累计净值]]/$B$114-1),表2_367162629303891213141523242526272835[[#This Row],[单位净值]]/$F$114-1)</f>
        <v>2.6219666863955382E-2</v>
      </c>
    </row>
    <row r="184" spans="1:7">
      <c r="A184" s="225">
        <v>44306</v>
      </c>
      <c r="B184" s="112">
        <v>1.2287999999999999</v>
      </c>
      <c r="C184" s="108">
        <f t="shared" si="39"/>
        <v>1.7999999999998018E-3</v>
      </c>
      <c r="D184" s="109" t="str">
        <f t="shared" si="40"/>
        <v>/</v>
      </c>
      <c r="E184" s="109">
        <f ca="1">IF(表2_367162629303891213141523242526272835[[#This Row],[累计净值]]/MAX(INDIRECT("B21:B" &amp; ROW()))-1&lt;E183,表2_367162629303891213141523242526272835[[#This Row],[累计净值]]/MAX(INDIRECT("B21:B" &amp; ROW()))-1,E183)</f>
        <v>-3.99837133550488E-2</v>
      </c>
      <c r="F184" s="110">
        <f>表2_367162629303891213141523242526272835[[#This Row],[累计净值]]</f>
        <v>1.2287999999999999</v>
      </c>
      <c r="G184" s="20">
        <f>IF(表2_367162629303891213141523242526272835[[#This Row],[单位净值]]&gt;1.1827,0.7*(表2_367162629303891213141523242526272835[[#This Row],[累计净值]]/$B$114-1),表2_367162629303891213141523242526272835[[#This Row],[单位净值]]/$F$114-1)</f>
        <v>2.7285025788450001E-2</v>
      </c>
    </row>
    <row r="185" spans="1:7">
      <c r="A185" s="225">
        <v>44307</v>
      </c>
      <c r="B185" s="112">
        <v>1.2287999999999999</v>
      </c>
      <c r="C185" s="108">
        <f t="shared" si="39"/>
        <v>0</v>
      </c>
      <c r="D185" s="109" t="str">
        <f t="shared" si="40"/>
        <v>/</v>
      </c>
      <c r="E185" s="109">
        <f ca="1">IF(表2_367162629303891213141523242526272835[[#This Row],[累计净值]]/MAX(INDIRECT("B21:B" &amp; ROW()))-1&lt;E184,表2_367162629303891213141523242526272835[[#This Row],[累计净值]]/MAX(INDIRECT("B21:B" &amp; ROW()))-1,E184)</f>
        <v>-3.99837133550488E-2</v>
      </c>
      <c r="F185" s="110">
        <f>表2_367162629303891213141523242526272835[[#This Row],[累计净值]]</f>
        <v>1.2287999999999999</v>
      </c>
      <c r="G185" s="20">
        <f>IF(表2_367162629303891213141523242526272835[[#This Row],[单位净值]]&gt;1.1827,0.7*(表2_367162629303891213141523242526272835[[#This Row],[累计净值]]/$B$114-1),表2_367162629303891213141523242526272835[[#This Row],[单位净值]]/$F$114-1)</f>
        <v>2.7285025788450001E-2</v>
      </c>
    </row>
    <row r="186" spans="1:7">
      <c r="A186" s="225">
        <v>44308</v>
      </c>
      <c r="B186" s="112">
        <v>1.2293000000000001</v>
      </c>
      <c r="C186" s="108">
        <f t="shared" si="39"/>
        <v>5.0000000000016698E-4</v>
      </c>
      <c r="D186" s="109" t="str">
        <f t="shared" si="40"/>
        <v>/</v>
      </c>
      <c r="E186" s="109">
        <f ca="1">IF(表2_367162629303891213141523242526272835[[#This Row],[累计净值]]/MAX(INDIRECT("B21:B" &amp; ROW()))-1&lt;E185,表2_367162629303891213141523242526272835[[#This Row],[累计净值]]/MAX(INDIRECT("B21:B" &amp; ROW()))-1,E185)</f>
        <v>-3.99837133550488E-2</v>
      </c>
      <c r="F186" s="110">
        <f>表2_367162629303891213141523242526272835[[#This Row],[累计净值]]</f>
        <v>1.2293000000000001</v>
      </c>
      <c r="G186" s="20">
        <f>IF(表2_367162629303891213141523242526272835[[#This Row],[单位净值]]&gt;1.1827,0.7*(表2_367162629303891213141523242526272835[[#This Row],[累计净值]]/$B$114-1),表2_367162629303891213141523242526272835[[#This Row],[单位净值]]/$F$114-1)</f>
        <v>2.7580958823032062E-2</v>
      </c>
    </row>
    <row r="187" spans="1:7">
      <c r="A187" s="225">
        <v>44309</v>
      </c>
      <c r="B187" s="112">
        <v>1.2315</v>
      </c>
      <c r="C187" s="108">
        <f>IFERROR(B187-B186,0)</f>
        <v>2.1999999999999797E-3</v>
      </c>
      <c r="D187" s="109" t="str">
        <f>IF(C187&lt;0,C187,"/")</f>
        <v>/</v>
      </c>
      <c r="E187" s="109">
        <f ca="1">IF(表2_367162629303891213141523242526272835[[#This Row],[累计净值]]/MAX(INDIRECT("B21:B" &amp; ROW()))-1&lt;E186,表2_367162629303891213141523242526272835[[#This Row],[累计净值]]/MAX(INDIRECT("B21:B" &amp; ROW()))-1,E186)</f>
        <v>-3.99837133550488E-2</v>
      </c>
      <c r="F187" s="110">
        <f>表2_367162629303891213141523242526272835[[#This Row],[累计净值]]</f>
        <v>1.2315</v>
      </c>
      <c r="G187" s="20">
        <f>IF(表2_367162629303891213141523242526272835[[#This Row],[单位净值]]&gt;1.1827,0.7*(表2_367162629303891213141523242526272835[[#This Row],[累计净值]]/$B$114-1),表2_367162629303891213141523242526272835[[#This Row],[单位净值]]/$F$114-1)</f>
        <v>2.8883064175192395E-2</v>
      </c>
    </row>
    <row r="188" spans="1:7">
      <c r="A188" s="225">
        <v>44312</v>
      </c>
      <c r="B188" s="112">
        <v>1.2290000000000001</v>
      </c>
      <c r="C188" s="108">
        <f>IFERROR(B188-B187,0)</f>
        <v>-2.4999999999999467E-3</v>
      </c>
      <c r="D188" s="109">
        <f>IF(C188&lt;0,C188,"/")</f>
        <v>-2.4999999999999467E-3</v>
      </c>
      <c r="E188" s="109">
        <f ca="1">IF(表2_367162629303891213141523242526272835[[#This Row],[累计净值]]/MAX(INDIRECT("B21:B" &amp; ROW()))-1&lt;E187,表2_367162629303891213141523242526272835[[#This Row],[累计净值]]/MAX(INDIRECT("B21:B" &amp; ROW()))-1,E187)</f>
        <v>-3.99837133550488E-2</v>
      </c>
      <c r="F188" s="110">
        <f>表2_367162629303891213141523242526272835[[#This Row],[累计净值]]</f>
        <v>1.2290000000000001</v>
      </c>
      <c r="G188" s="20">
        <f>IF(表2_367162629303891213141523242526272835[[#This Row],[单位净值]]&gt;1.1827,0.7*(表2_367162629303891213141523242526272835[[#This Row],[累计净值]]/$B$114-1),表2_367162629303891213141523242526272835[[#This Row],[单位净值]]/$F$114-1)</f>
        <v>2.7403399002282856E-2</v>
      </c>
    </row>
    <row r="189" spans="1:7">
      <c r="A189" s="225">
        <v>44313</v>
      </c>
      <c r="B189" s="112">
        <v>1.2326999999999999</v>
      </c>
      <c r="C189" s="108">
        <f>IFERROR(B189-B188,0)</f>
        <v>3.6999999999998145E-3</v>
      </c>
      <c r="D189" s="109" t="str">
        <f>IF(C189&lt;0,C189,"/")</f>
        <v>/</v>
      </c>
      <c r="E189" s="109">
        <f ca="1">IF(表2_367162629303891213141523242526272835[[#This Row],[累计净值]]/MAX(INDIRECT("B21:B" &amp; ROW()))-1&lt;E188,表2_367162629303891213141523242526272835[[#This Row],[累计净值]]/MAX(INDIRECT("B21:B" &amp; ROW()))-1,E188)</f>
        <v>-3.99837133550488E-2</v>
      </c>
      <c r="F189" s="110">
        <f>表2_367162629303891213141523242526272835[[#This Row],[累计净值]]</f>
        <v>1.2326999999999999</v>
      </c>
      <c r="G189" s="20">
        <f>IF(表2_367162629303891213141523242526272835[[#This Row],[单位净值]]&gt;1.1827,0.7*(表2_367162629303891213141523242526272835[[#This Row],[累计净值]]/$B$114-1),表2_367162629303891213141523242526272835[[#This Row],[单位净值]]/$F$114-1)</f>
        <v>2.9593303458188756E-2</v>
      </c>
    </row>
    <row r="190" spans="1:7">
      <c r="A190" s="225">
        <v>44314</v>
      </c>
      <c r="B190" s="112">
        <v>1.2371000000000001</v>
      </c>
      <c r="C190" s="108">
        <f>IFERROR(B190-B189,0)</f>
        <v>4.4000000000001815E-3</v>
      </c>
      <c r="D190" s="109" t="str">
        <f>IF(C190&lt;0,C190,"/")</f>
        <v>/</v>
      </c>
      <c r="E190" s="109">
        <f ca="1">IF(表2_367162629303891213141523242526272835[[#This Row],[累计净值]]/MAX(INDIRECT("B21:B" &amp; ROW()))-1&lt;E189,表2_367162629303891213141523242526272835[[#This Row],[累计净值]]/MAX(INDIRECT("B21:B" &amp; ROW()))-1,E189)</f>
        <v>-3.99837133550488E-2</v>
      </c>
      <c r="F190" s="110">
        <f>表2_367162629303891213141523242526272835[[#This Row],[累计净值]]</f>
        <v>1.2371000000000001</v>
      </c>
      <c r="G190" s="20">
        <f>IF(表2_367162629303891213141523242526272835[[#This Row],[单位净值]]&gt;1.1827,0.7*(表2_367162629303891213141523242526272835[[#This Row],[累计净值]]/$B$114-1),表2_367162629303891213141523242526272835[[#This Row],[单位净值]]/$F$114-1)</f>
        <v>3.2197514162509579E-2</v>
      </c>
    </row>
    <row r="191" spans="1:7">
      <c r="A191" s="225">
        <v>44315</v>
      </c>
      <c r="B191" s="112">
        <v>1.2401</v>
      </c>
      <c r="C191" s="108">
        <f>IFERROR(B191-B190,0)</f>
        <v>2.9999999999998916E-3</v>
      </c>
      <c r="D191" s="109" t="str">
        <f>IF(C191&lt;0,C191,"/")</f>
        <v>/</v>
      </c>
      <c r="E191" s="109">
        <f ca="1">IF(表2_367162629303891213141523242526272835[[#This Row],[累计净值]]/MAX(INDIRECT("B21:B" &amp; ROW()))-1&lt;E190,表2_367162629303891213141523242526272835[[#This Row],[累计净值]]/MAX(INDIRECT("B21:B" &amp; ROW()))-1,E190)</f>
        <v>-3.99837133550488E-2</v>
      </c>
      <c r="F191" s="110">
        <f>表2_367162629303891213141523242526272835[[#This Row],[累计净值]]</f>
        <v>1.2401</v>
      </c>
      <c r="G191" s="20">
        <f>IF(表2_367162629303891213141523242526272835[[#This Row],[单位净值]]&gt;1.1827,0.7*(表2_367162629303891213141523242526272835[[#This Row],[累计净值]]/$B$114-1),表2_367162629303891213141523242526272835[[#This Row],[单位净值]]/$F$114-1)</f>
        <v>3.397311237000071E-2</v>
      </c>
    </row>
    <row r="192" spans="1:7">
      <c r="A192" s="225">
        <v>44316</v>
      </c>
      <c r="B192" s="112">
        <v>1.2407999999999999</v>
      </c>
      <c r="C192" s="108">
        <f t="shared" ref="C192:C193" si="41">IFERROR(B192-B191,0)</f>
        <v>6.9999999999992291E-4</v>
      </c>
      <c r="D192" s="109" t="str">
        <f t="shared" ref="D192:D193" si="42">IF(C192&lt;0,C192,"/")</f>
        <v>/</v>
      </c>
      <c r="E192" s="109">
        <f ca="1">IF(表2_367162629303891213141523242526272835[[#This Row],[累计净值]]/MAX(INDIRECT("B21:B" &amp; ROW()))-1&lt;E191,表2_367162629303891213141523242526272835[[#This Row],[累计净值]]/MAX(INDIRECT("B21:B" &amp; ROW()))-1,E191)</f>
        <v>-3.99837133550488E-2</v>
      </c>
      <c r="F192" s="110">
        <f>表2_367162629303891213141523242526272835[[#This Row],[累计净值]]</f>
        <v>1.2407999999999999</v>
      </c>
      <c r="G192" s="20">
        <f>IF(表2_367162629303891213141523242526272835[[#This Row],[单位净值]]&gt;1.1827,0.7*(表2_367162629303891213141523242526272835[[#This Row],[累计净值]]/$B$114-1),表2_367162629303891213141523242526272835[[#This Row],[单位净值]]/$F$114-1)</f>
        <v>3.4387418618415322E-2</v>
      </c>
    </row>
    <row r="193" spans="1:7">
      <c r="A193" s="225">
        <v>44322</v>
      </c>
      <c r="B193" s="117">
        <v>1.2421</v>
      </c>
      <c r="C193" s="108">
        <f t="shared" si="41"/>
        <v>1.3000000000000789E-3</v>
      </c>
      <c r="D193" s="109" t="str">
        <f t="shared" si="42"/>
        <v>/</v>
      </c>
      <c r="E193" s="109">
        <f ca="1">IF(表2_367162629303891213141523242526272835[[#This Row],[累计净值]]/MAX(INDIRECT("B21:B" &amp; ROW()))-1&lt;E192,表2_367162629303891213141523242526272835[[#This Row],[累计净值]]/MAX(INDIRECT("B21:B" &amp; ROW()))-1,E192)</f>
        <v>-3.99837133550488E-2</v>
      </c>
      <c r="F193" s="110">
        <f>表2_367162629303891213141523242526272835[[#This Row],[累计净值]]</f>
        <v>1.2421</v>
      </c>
      <c r="G193" s="20">
        <f>IF(表2_367162629303891213141523242526272835[[#This Row],[单位净值]]&gt;1.1827,0.7*(表2_367162629303891213141523242526272835[[#This Row],[累计净值]]/$B$114-1),表2_367162629303891213141523242526272835[[#This Row],[单位净值]]/$F$114-1)</f>
        <v>3.5156844508328344E-2</v>
      </c>
    </row>
    <row r="194" spans="1:7">
      <c r="A194" s="225">
        <v>44323</v>
      </c>
      <c r="B194" s="112">
        <v>1.2369000000000001</v>
      </c>
      <c r="C194" s="108">
        <f t="shared" ref="C194:C199" si="43">IFERROR(B194-B193,0)</f>
        <v>-5.1999999999998714E-3</v>
      </c>
      <c r="D194" s="109">
        <f t="shared" ref="D194:D199" si="44">IF(C194&lt;0,C194,"/")</f>
        <v>-5.1999999999998714E-3</v>
      </c>
      <c r="E194" s="109">
        <f ca="1">IF(表2_367162629303891213141523242526272835[[#This Row],[累计净值]]/MAX(INDIRECT("B21:B" &amp; ROW()))-1&lt;E193,表2_367162629303891213141523242526272835[[#This Row],[累计净值]]/MAX(INDIRECT("B21:B" &amp; ROW()))-1,E193)</f>
        <v>-3.99837133550488E-2</v>
      </c>
      <c r="F194" s="110">
        <f>表2_367162629303891213141523242526272835[[#This Row],[累计净值]]</f>
        <v>1.2369000000000001</v>
      </c>
      <c r="G194" s="20">
        <f>IF(表2_367162629303891213141523242526272835[[#This Row],[单位净值]]&gt;1.1827,0.7*(表2_367162629303891213141523242526272835[[#This Row],[累计净值]]/$B$114-1),表2_367162629303891213141523242526272835[[#This Row],[单位净值]]/$F$114-1)</f>
        <v>3.207914094867672E-2</v>
      </c>
    </row>
    <row r="195" spans="1:7">
      <c r="A195" s="225">
        <v>44326</v>
      </c>
      <c r="B195" s="112">
        <v>1.2406999999999999</v>
      </c>
      <c r="C195" s="108">
        <f t="shared" si="43"/>
        <v>3.7999999999998035E-3</v>
      </c>
      <c r="D195" s="109" t="str">
        <f t="shared" si="44"/>
        <v>/</v>
      </c>
      <c r="E195" s="109">
        <f ca="1">IF(表2_367162629303891213141523242526272835[[#This Row],[累计净值]]/MAX(INDIRECT("B21:B" &amp; ROW()))-1&lt;E194,表2_367162629303891213141523242526272835[[#This Row],[累计净值]]/MAX(INDIRECT("B21:B" &amp; ROW()))-1,E194)</f>
        <v>-3.99837133550488E-2</v>
      </c>
      <c r="F195" s="110">
        <f>表2_367162629303891213141523242526272835[[#This Row],[累计净值]]</f>
        <v>1.2406999999999999</v>
      </c>
      <c r="G195" s="20">
        <f>IF(表2_367162629303891213141523242526272835[[#This Row],[单位净值]]&gt;1.1827,0.7*(表2_367162629303891213141523242526272835[[#This Row],[累计净值]]/$B$114-1),表2_367162629303891213141523242526272835[[#This Row],[单位净值]]/$F$114-1)</f>
        <v>3.4328232011498969E-2</v>
      </c>
    </row>
    <row r="196" spans="1:7">
      <c r="A196" s="225">
        <v>44327</v>
      </c>
      <c r="B196" s="112">
        <v>1.2395</v>
      </c>
      <c r="C196" s="108">
        <f t="shared" si="43"/>
        <v>-1.1999999999998678E-3</v>
      </c>
      <c r="D196" s="109">
        <f t="shared" si="44"/>
        <v>-1.1999999999998678E-3</v>
      </c>
      <c r="E196" s="109">
        <f ca="1">IF(表2_367162629303891213141523242526272835[[#This Row],[累计净值]]/MAX(INDIRECT("B21:B" &amp; ROW()))-1&lt;E195,表2_367162629303891213141523242526272835[[#This Row],[累计净值]]/MAX(INDIRECT("B21:B" &amp; ROW()))-1,E195)</f>
        <v>-3.99837133550488E-2</v>
      </c>
      <c r="F196" s="110">
        <f>表2_367162629303891213141523242526272835[[#This Row],[累计净值]]</f>
        <v>1.2395</v>
      </c>
      <c r="G196" s="20">
        <f>IF(表2_367162629303891213141523242526272835[[#This Row],[单位净值]]&gt;1.1827,0.7*(表2_367162629303891213141523242526272835[[#This Row],[累计净值]]/$B$114-1),表2_367162629303891213141523242526272835[[#This Row],[单位净值]]/$F$114-1)</f>
        <v>3.3617992728502605E-2</v>
      </c>
    </row>
    <row r="197" spans="1:7">
      <c r="A197" s="225">
        <v>44328</v>
      </c>
      <c r="B197" s="112">
        <v>1.2408999999999999</v>
      </c>
      <c r="C197" s="108">
        <f t="shared" si="43"/>
        <v>1.3999999999998458E-3</v>
      </c>
      <c r="D197" s="109" t="str">
        <f t="shared" si="44"/>
        <v>/</v>
      </c>
      <c r="E197" s="109">
        <f ca="1">IF(表2_367162629303891213141523242526272835[[#This Row],[累计净值]]/MAX(INDIRECT("B21:B" &amp; ROW()))-1&lt;E196,表2_367162629303891213141523242526272835[[#This Row],[累计净值]]/MAX(INDIRECT("B21:B" &amp; ROW()))-1,E196)</f>
        <v>-3.99837133550488E-2</v>
      </c>
      <c r="F197" s="110">
        <f>表2_367162629303891213141523242526272835[[#This Row],[累计净值]]</f>
        <v>1.2408999999999999</v>
      </c>
      <c r="G197" s="20">
        <f>IF(表2_367162629303891213141523242526272835[[#This Row],[单位净值]]&gt;1.1827,0.7*(表2_367162629303891213141523242526272835[[#This Row],[累计净值]]/$B$114-1),表2_367162629303891213141523242526272835[[#This Row],[单位净值]]/$F$114-1)</f>
        <v>3.4446605225331828E-2</v>
      </c>
    </row>
    <row r="198" spans="1:7">
      <c r="A198" s="225">
        <v>44329</v>
      </c>
      <c r="B198" s="112">
        <v>1.2372000000000001</v>
      </c>
      <c r="C198" s="108">
        <f t="shared" si="43"/>
        <v>-3.6999999999998145E-3</v>
      </c>
      <c r="D198" s="109">
        <f t="shared" si="44"/>
        <v>-3.6999999999998145E-3</v>
      </c>
      <c r="E198" s="109">
        <f ca="1">IF(表2_367162629303891213141523242526272835[[#This Row],[累计净值]]/MAX(INDIRECT("B21:B" &amp; ROW()))-1&lt;E197,表2_367162629303891213141523242526272835[[#This Row],[累计净值]]/MAX(INDIRECT("B21:B" &amp; ROW()))-1,E197)</f>
        <v>-3.99837133550488E-2</v>
      </c>
      <c r="F198" s="110">
        <f>表2_367162629303891213141523242526272835[[#This Row],[累计净值]]</f>
        <v>1.2372000000000001</v>
      </c>
      <c r="G198" s="20">
        <f>IF(表2_367162629303891213141523242526272835[[#This Row],[单位净值]]&gt;1.1827,0.7*(表2_367162629303891213141523242526272835[[#This Row],[累计净值]]/$B$114-1),表2_367162629303891213141523242526272835[[#This Row],[单位净值]]/$F$114-1)</f>
        <v>3.2256700769425925E-2</v>
      </c>
    </row>
    <row r="199" spans="1:7">
      <c r="A199" s="225">
        <v>44330</v>
      </c>
      <c r="B199" s="112">
        <v>1.242</v>
      </c>
      <c r="C199" s="108">
        <f t="shared" si="43"/>
        <v>4.7999999999999154E-3</v>
      </c>
      <c r="D199" s="109" t="str">
        <f t="shared" si="44"/>
        <v>/</v>
      </c>
      <c r="E199" s="109">
        <f ca="1">IF(表2_367162629303891213141523242526272835[[#This Row],[累计净值]]/MAX(INDIRECT("B21:B" &amp; ROW()))-1&lt;E198,表2_367162629303891213141523242526272835[[#This Row],[累计净值]]/MAX(INDIRECT("B21:B" &amp; ROW()))-1,E198)</f>
        <v>-3.99837133550488E-2</v>
      </c>
      <c r="F199" s="110">
        <f>表2_367162629303891213141523242526272835[[#This Row],[累计净值]]</f>
        <v>1.242</v>
      </c>
      <c r="G199" s="20">
        <f>IF(表2_367162629303891213141523242526272835[[#This Row],[单位净值]]&gt;1.1827,0.7*(表2_367162629303891213141523242526272835[[#This Row],[累计净值]]/$B$114-1),表2_367162629303891213141523242526272835[[#This Row],[单位净值]]/$F$114-1)</f>
        <v>3.5097657901411991E-2</v>
      </c>
    </row>
    <row r="200" spans="1:7">
      <c r="A200" s="225">
        <v>44333</v>
      </c>
      <c r="B200" s="112">
        <v>1.2443</v>
      </c>
      <c r="C200" s="108">
        <f>IFERROR(B200-B199,0)</f>
        <v>2.2999999999999687E-3</v>
      </c>
      <c r="D200" s="109" t="str">
        <f>IF(C200&lt;0,C200,"/")</f>
        <v>/</v>
      </c>
      <c r="E200" s="109">
        <f ca="1">IF(表2_367162629303891213141523242526272835[[#This Row],[累计净值]]/MAX(INDIRECT("B21:B" &amp; ROW()))-1&lt;E199,表2_367162629303891213141523242526272835[[#This Row],[累计净值]]/MAX(INDIRECT("B21:B" &amp; ROW()))-1,E199)</f>
        <v>-3.99837133550488E-2</v>
      </c>
      <c r="F200" s="110">
        <f>表2_367162629303891213141523242526272835[[#This Row],[累计净值]]</f>
        <v>1.2443</v>
      </c>
      <c r="G200" s="20">
        <f>IF(表2_367162629303891213141523242526272835[[#This Row],[单位净值]]&gt;1.1827,0.7*(表2_367162629303891213141523242526272835[[#This Row],[累计净值]]/$B$114-1),表2_367162629303891213141523242526272835[[#This Row],[单位净值]]/$F$114-1)</f>
        <v>3.6458949860488671E-2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140"/>
  <sheetViews>
    <sheetView workbookViewId="0">
      <pane xSplit="1" ySplit="20" topLeftCell="B124" activePane="bottomRight" state="frozen"/>
      <selection pane="topRight" activeCell="B1" sqref="B1"/>
      <selection pane="bottomLeft" activeCell="A21" sqref="A21"/>
      <selection pane="bottomRight" activeCell="B141" sqref="B141"/>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COUNT(表2_367162629303891213141523242526272831[每日盈亏])</f>
        <v>120</v>
      </c>
      <c r="C2" s="27"/>
      <c r="D2" s="3" t="s">
        <v>1</v>
      </c>
      <c r="E2" s="28"/>
      <c r="F2" s="1" t="s">
        <v>2</v>
      </c>
      <c r="G2" s="400" t="s">
        <v>3</v>
      </c>
    </row>
    <row r="3" spans="1:7">
      <c r="A3" s="25" t="s">
        <v>4</v>
      </c>
      <c r="B3" s="26">
        <f>COUNTIF(表2_367162629303891213141523242526272831[每日盈亏],"&gt;0")</f>
        <v>47</v>
      </c>
      <c r="C3" s="29"/>
      <c r="D3" s="30" t="s">
        <v>5</v>
      </c>
      <c r="E3" s="31">
        <f>245^0.5*(B10-0.025/365)/E10</f>
        <v>7.01267146344592E-2</v>
      </c>
      <c r="G3" s="400"/>
    </row>
    <row r="4" spans="1:7">
      <c r="A4" s="25" t="s">
        <v>6</v>
      </c>
      <c r="B4" s="26">
        <f>COUNTIF(表2_367162629303891213141523242526272831[每日盈亏],"&lt;0")</f>
        <v>44</v>
      </c>
      <c r="C4" s="29"/>
      <c r="D4" s="32" t="s">
        <v>7</v>
      </c>
      <c r="E4" s="31">
        <f ca="1">-B9/E8</f>
        <v>0.16469050508822722</v>
      </c>
      <c r="G4" s="2">
        <f>LOOKUP(999^10,表2_367162629303891213141523242526272831[累计净值])</f>
        <v>1.1575</v>
      </c>
    </row>
    <row r="5" spans="1:7">
      <c r="A5" s="25" t="s">
        <v>8</v>
      </c>
      <c r="B5" s="26">
        <f>B2-B3-B4</f>
        <v>29</v>
      </c>
      <c r="C5" s="29"/>
      <c r="D5" s="33" t="s">
        <v>9</v>
      </c>
      <c r="E5" s="4">
        <f>245^0.5*(B10-0.025/365)/E9</f>
        <v>6.1683808016457189E-2</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LOOKUP(999^10,表2_367162629303891213141523242526272831[累计净值])/$B$21-1</f>
        <v>8.0664737186070479E-2</v>
      </c>
      <c r="C8" s="40"/>
      <c r="D8" s="30" t="s">
        <v>13</v>
      </c>
      <c r="E8" s="41">
        <f ca="1">MIN(表2_367162629303891213141523242526272831[最大回撤])</f>
        <v>-1</v>
      </c>
    </row>
    <row r="9" spans="1:7">
      <c r="A9" s="25" t="s">
        <v>14</v>
      </c>
      <c r="B9" s="32">
        <f>B8*245/B2</f>
        <v>0.16469050508822722</v>
      </c>
      <c r="C9" s="40"/>
      <c r="D9" s="33" t="s">
        <v>15</v>
      </c>
      <c r="E9" s="6">
        <f>STDEV(表2_367162629303891213141523242526272831[下跌幅度])</f>
        <v>0.16532207637708921</v>
      </c>
    </row>
    <row r="10" spans="1:7">
      <c r="A10" s="42" t="s">
        <v>16</v>
      </c>
      <c r="B10" s="43">
        <f>AVERAGE(表2_367162629303891213141523242526272831[每日盈亏])</f>
        <v>7.2000000000000026E-4</v>
      </c>
      <c r="C10" s="44"/>
      <c r="D10" s="33" t="s">
        <v>17</v>
      </c>
      <c r="E10" s="6">
        <f>STDEV(表2_367162629303891213141523242526272831[每日盈亏])</f>
        <v>0.14541812308308893</v>
      </c>
    </row>
    <row r="11" spans="1:7">
      <c r="A11" s="7" t="s">
        <v>18</v>
      </c>
      <c r="B11" s="32">
        <f>B3/B2</f>
        <v>0.39166666666666666</v>
      </c>
      <c r="C11" s="40"/>
      <c r="D11" s="32" t="s">
        <v>19</v>
      </c>
      <c r="E11" s="41">
        <f>245^0.5*E10</f>
        <v>2.2761536586195272</v>
      </c>
    </row>
    <row r="12" spans="1:7" ht="16" thickBot="1">
      <c r="A12" s="45" t="s">
        <v>20</v>
      </c>
      <c r="B12" s="46">
        <f>-(SUMIF(表2_367162629303891213141523242526272831[每日盈亏],"&gt;=0")/B3)/(SUMIF(表2_367162629303891213141523242526272831[每日盈亏],"&lt;0")/B4)</f>
        <v>1.0046646715541518</v>
      </c>
      <c r="C12" s="47"/>
      <c r="D12" s="48"/>
      <c r="E12" s="49"/>
    </row>
    <row r="14" spans="1:7" ht="32">
      <c r="A14" s="50" t="s">
        <v>21</v>
      </c>
      <c r="B14" s="50" t="s">
        <v>14</v>
      </c>
      <c r="C14" s="51" t="s">
        <v>19</v>
      </c>
      <c r="D14" s="51" t="s">
        <v>13</v>
      </c>
      <c r="E14" s="51" t="s">
        <v>5</v>
      </c>
      <c r="F14" s="51" t="s">
        <v>7</v>
      </c>
    </row>
    <row r="15" spans="1:7">
      <c r="A15" s="78">
        <f>B2</f>
        <v>120</v>
      </c>
      <c r="B15" s="53">
        <f>B9</f>
        <v>0.16469050508822722</v>
      </c>
      <c r="C15" s="53">
        <f>E11</f>
        <v>2.2761536586195272</v>
      </c>
      <c r="D15" s="53">
        <f ca="1">E8</f>
        <v>-1</v>
      </c>
      <c r="E15" s="54">
        <f>E3</f>
        <v>7.01267146344592E-2</v>
      </c>
      <c r="F15" s="54">
        <f ca="1">E4</f>
        <v>0.16469050508822722</v>
      </c>
    </row>
    <row r="19" spans="1:7">
      <c r="A19" s="8"/>
      <c r="B19" s="1" t="s">
        <v>22</v>
      </c>
    </row>
    <row r="20" spans="1:7" ht="16">
      <c r="A20" s="22" t="s">
        <v>23</v>
      </c>
      <c r="B20" s="22" t="s">
        <v>24</v>
      </c>
      <c r="C20" s="22" t="s">
        <v>25</v>
      </c>
      <c r="D20" s="22" t="s">
        <v>26</v>
      </c>
      <c r="E20" s="22" t="s">
        <v>27</v>
      </c>
      <c r="F20" s="22" t="s">
        <v>28</v>
      </c>
      <c r="G20" s="22" t="s">
        <v>29</v>
      </c>
    </row>
    <row r="21" spans="1:7">
      <c r="A21" s="15">
        <v>44151</v>
      </c>
      <c r="B21" s="112">
        <v>1.0710999999999999</v>
      </c>
      <c r="C21" s="11">
        <f t="shared" ref="C21:C22" si="0">IFERROR(B21-B20,0)</f>
        <v>0</v>
      </c>
      <c r="D21" s="12" t="str">
        <f t="shared" ref="D21:D27" si="1">IF(C21&lt;0,C21,"/")</f>
        <v>/</v>
      </c>
      <c r="E21" s="12">
        <f ca="1">IF(表2_367162629303891213141523242526272831[[#This Row],[累计净值]]/MAX(INDIRECT("B21:B" &amp; ROW()))-1&lt;E20,表2_367162629303891213141523242526272831[[#This Row],[累计净值]]/MAX(INDIRECT("B21:B" &amp; ROW()))-1,E20)</f>
        <v>0</v>
      </c>
      <c r="F21" s="13">
        <f>表2_367162629303891213141523242526272831[[#This Row],[累计净值]]-0.0738</f>
        <v>0.99729999999999996</v>
      </c>
      <c r="G21" s="194" t="s">
        <v>30</v>
      </c>
    </row>
    <row r="22" spans="1:7">
      <c r="A22" s="15">
        <v>44152</v>
      </c>
      <c r="B22" s="112">
        <v>1.0706</v>
      </c>
      <c r="C22" s="17">
        <f t="shared" si="0"/>
        <v>-4.9999999999994493E-4</v>
      </c>
      <c r="D22" s="18">
        <f t="shared" si="1"/>
        <v>-4.9999999999994493E-4</v>
      </c>
      <c r="E22" s="18">
        <f ca="1">IF(表2_367162629303891213141523242526272831[[#This Row],[累计净值]]/MAX(INDIRECT("B21:B" &amp; ROW()))-1&lt;E21,表2_367162629303891213141523242526272831[[#This Row],[累计净值]]/MAX(INDIRECT("B21:B" &amp; ROW()))-1,E21)</f>
        <v>-4.6680982167857099E-4</v>
      </c>
      <c r="F22" s="19">
        <f>表2_367162629303891213141523242526272831[[#This Row],[累计净值]]-0.0738</f>
        <v>0.99680000000000002</v>
      </c>
      <c r="G22" s="20">
        <f>表2_367162629303891213141523242526272831[[#This Row],[累计净值]]/$B$21-1</f>
        <v>-4.6680982167857099E-4</v>
      </c>
    </row>
    <row r="23" spans="1:7">
      <c r="A23" s="15">
        <v>44153</v>
      </c>
      <c r="B23" s="112">
        <v>1.0680000000000001</v>
      </c>
      <c r="C23" s="108">
        <f t="shared" ref="C23:C28" si="2">IFERROR(B23-B22,0)</f>
        <v>-2.5999999999999357E-3</v>
      </c>
      <c r="D23" s="109">
        <f t="shared" si="1"/>
        <v>-2.5999999999999357E-3</v>
      </c>
      <c r="E23" s="109">
        <f ca="1">IF(表2_367162629303891213141523242526272831[[#This Row],[累计净值]]/MAX(INDIRECT("B21:B" &amp; ROW()))-1&lt;E22,表2_367162629303891213141523242526272831[[#This Row],[累计净值]]/MAX(INDIRECT("B21:B" &amp; ROW()))-1,E22)</f>
        <v>-2.8942208944074954E-3</v>
      </c>
      <c r="F23" s="110">
        <f>表2_367162629303891213141523242526272831[[#This Row],[累计净值]]-0.0738</f>
        <v>0.99420000000000008</v>
      </c>
      <c r="G23" s="20">
        <f>表2_367162629303891213141523242526272831[[#This Row],[累计净值]]/$B$21-1</f>
        <v>-2.8942208944074954E-3</v>
      </c>
    </row>
    <row r="24" spans="1:7">
      <c r="A24" s="15">
        <v>44154</v>
      </c>
      <c r="B24" s="112">
        <v>1.0648</v>
      </c>
      <c r="C24" s="108">
        <f t="shared" si="2"/>
        <v>-3.2000000000000917E-3</v>
      </c>
      <c r="D24" s="109">
        <f t="shared" si="1"/>
        <v>-3.2000000000000917E-3</v>
      </c>
      <c r="E24" s="109">
        <f ca="1">IF(表2_367162629303891213141523242526272831[[#This Row],[累计净值]]/MAX(INDIRECT("B21:B" &amp; ROW()))-1&lt;E23,表2_367162629303891213141523242526272831[[#This Row],[累计净值]]/MAX(INDIRECT("B21:B" &amp; ROW()))-1,E23)</f>
        <v>-5.8818037531509493E-3</v>
      </c>
      <c r="F24" s="110">
        <f>表2_367162629303891213141523242526272831[[#This Row],[累计净值]]-0.0738</f>
        <v>0.99099999999999999</v>
      </c>
      <c r="G24" s="20">
        <f>表2_367162629303891213141523242526272831[[#This Row],[累计净值]]/$B$21-1</f>
        <v>-5.8818037531509493E-3</v>
      </c>
    </row>
    <row r="25" spans="1:7">
      <c r="A25" s="15">
        <v>44155</v>
      </c>
      <c r="B25" s="112">
        <v>1.0652999999999999</v>
      </c>
      <c r="C25" s="108">
        <f t="shared" si="2"/>
        <v>4.9999999999994493E-4</v>
      </c>
      <c r="D25" s="109" t="str">
        <f t="shared" si="1"/>
        <v>/</v>
      </c>
      <c r="E25" s="109">
        <f ca="1">IF(表2_367162629303891213141523242526272831[[#This Row],[累计净值]]/MAX(INDIRECT("B21:B" &amp; ROW()))-1&lt;E24,表2_367162629303891213141523242526272831[[#This Row],[累计净值]]/MAX(INDIRECT("B21:B" &amp; ROW()))-1,E24)</f>
        <v>-5.8818037531509493E-3</v>
      </c>
      <c r="F25" s="110">
        <f>表2_367162629303891213141523242526272831[[#This Row],[累计净值]]-0.0738</f>
        <v>0.99149999999999994</v>
      </c>
      <c r="G25" s="20">
        <f>表2_367162629303891213141523242526272831[[#This Row],[累计净值]]/$B$21-1</f>
        <v>-5.4149939314723783E-3</v>
      </c>
    </row>
    <row r="26" spans="1:7">
      <c r="A26" s="15">
        <v>44158</v>
      </c>
      <c r="B26" s="112">
        <v>1.0683</v>
      </c>
      <c r="C26" s="108">
        <f t="shared" si="2"/>
        <v>3.0000000000001137E-3</v>
      </c>
      <c r="D26" s="109" t="str">
        <f t="shared" si="1"/>
        <v>/</v>
      </c>
      <c r="E26" s="109">
        <f ca="1">IF(表2_367162629303891213141523242526272831[[#This Row],[累计净值]]/MAX(INDIRECT("B21:B" &amp; ROW()))-1&lt;E25,表2_367162629303891213141523242526272831[[#This Row],[累计净值]]/MAX(INDIRECT("B21:B" &amp; ROW()))-1,E25)</f>
        <v>-5.8818037531509493E-3</v>
      </c>
      <c r="F26" s="110">
        <f>表2_367162629303891213141523242526272831[[#This Row],[累计净值]]-0.0738</f>
        <v>0.99450000000000005</v>
      </c>
      <c r="G26" s="20">
        <f>表2_367162629303891213141523242526272831[[#This Row],[累计净值]]/$B$21-1</f>
        <v>-2.6141350014003972E-3</v>
      </c>
    </row>
    <row r="27" spans="1:7">
      <c r="A27" s="15">
        <v>44159</v>
      </c>
      <c r="B27" s="112">
        <v>1.0669</v>
      </c>
      <c r="C27" s="108">
        <f t="shared" si="2"/>
        <v>-1.4000000000000679E-3</v>
      </c>
      <c r="D27" s="109">
        <f t="shared" si="1"/>
        <v>-1.4000000000000679E-3</v>
      </c>
      <c r="E27" s="109">
        <f ca="1">IF(表2_367162629303891213141523242526272831[[#This Row],[累计净值]]/MAX(INDIRECT("B21:B" &amp; ROW()))-1&lt;E26,表2_367162629303891213141523242526272831[[#This Row],[累计净值]]/MAX(INDIRECT("B21:B" &amp; ROW()))-1,E26)</f>
        <v>-5.8818037531509493E-3</v>
      </c>
      <c r="F27" s="110">
        <f>表2_367162629303891213141523242526272831[[#This Row],[累计净值]]-0.0738</f>
        <v>0.99309999999999998</v>
      </c>
      <c r="G27" s="20">
        <f>表2_367162629303891213141523242526272831[[#This Row],[累计净值]]/$B$21-1</f>
        <v>-3.9212025021005958E-3</v>
      </c>
    </row>
    <row r="28" spans="1:7">
      <c r="A28" s="15">
        <v>44160</v>
      </c>
      <c r="B28" s="112">
        <v>1.0668</v>
      </c>
      <c r="C28" s="108">
        <f t="shared" si="2"/>
        <v>-9.9999999999988987E-5</v>
      </c>
      <c r="D28" s="109">
        <f t="shared" ref="D28:D33" si="3">IF(C28&lt;0,C28,"/")</f>
        <v>-9.9999999999988987E-5</v>
      </c>
      <c r="E28" s="109">
        <f ca="1">IF(表2_367162629303891213141523242526272831[[#This Row],[累计净值]]/MAX(INDIRECT("B21:B" &amp; ROW()))-1&lt;E27,表2_367162629303891213141523242526272831[[#This Row],[累计净值]]/MAX(INDIRECT("B21:B" &amp; ROW()))-1,E27)</f>
        <v>-5.8818037531509493E-3</v>
      </c>
      <c r="F28" s="110">
        <f>表2_367162629303891213141523242526272831[[#This Row],[累计净值]]-0.0738</f>
        <v>0.99299999999999999</v>
      </c>
      <c r="G28" s="20">
        <f>表2_367162629303891213141523242526272831[[#This Row],[累计净值]]/$B$21-1</f>
        <v>-4.0145644664363322E-3</v>
      </c>
    </row>
    <row r="29" spans="1:7">
      <c r="A29" s="15">
        <v>44161</v>
      </c>
      <c r="B29" s="112">
        <v>1.0674999999999999</v>
      </c>
      <c r="C29" s="108">
        <f t="shared" ref="C29:C34" si="4">IFERROR(B29-B28,0)</f>
        <v>6.9999999999992291E-4</v>
      </c>
      <c r="D29" s="109" t="str">
        <f t="shared" si="3"/>
        <v>/</v>
      </c>
      <c r="E29" s="109">
        <f ca="1">IF(表2_367162629303891213141523242526272831[[#This Row],[累计净值]]/MAX(INDIRECT("B21:B" &amp; ROW()))-1&lt;E28,表2_367162629303891213141523242526272831[[#This Row],[累计净值]]/MAX(INDIRECT("B21:B" &amp; ROW()))-1,E28)</f>
        <v>-5.8818037531509493E-3</v>
      </c>
      <c r="F29" s="110">
        <f>表2_367162629303891213141523242526272831[[#This Row],[累计净值]]-0.0738</f>
        <v>0.99369999999999992</v>
      </c>
      <c r="G29" s="20">
        <f>表2_367162629303891213141523242526272831[[#This Row],[累计净值]]/$B$21-1</f>
        <v>-3.3610307160862885E-3</v>
      </c>
    </row>
    <row r="30" spans="1:7">
      <c r="A30" s="15">
        <v>44162</v>
      </c>
      <c r="B30" s="112">
        <v>1.0669999999999999</v>
      </c>
      <c r="C30" s="108">
        <f t="shared" si="4"/>
        <v>-4.9999999999994493E-4</v>
      </c>
      <c r="D30" s="109">
        <f t="shared" si="3"/>
        <v>-4.9999999999994493E-4</v>
      </c>
      <c r="E30" s="109">
        <f ca="1">IF(表2_367162629303891213141523242526272831[[#This Row],[累计净值]]/MAX(INDIRECT("B21:B" &amp; ROW()))-1&lt;E29,表2_367162629303891213141523242526272831[[#This Row],[累计净值]]/MAX(INDIRECT("B21:B" &amp; ROW()))-1,E29)</f>
        <v>-5.8818037531509493E-3</v>
      </c>
      <c r="F30" s="110">
        <f>表2_367162629303891213141523242526272831[[#This Row],[累计净值]]-0.0738</f>
        <v>0.99319999999999997</v>
      </c>
      <c r="G30" s="20">
        <f>表2_367162629303891213141523242526272831[[#This Row],[累计净值]]/$B$21-1</f>
        <v>-3.8278405377648594E-3</v>
      </c>
    </row>
    <row r="31" spans="1:7">
      <c r="A31" s="15">
        <v>44165</v>
      </c>
      <c r="B31" s="112">
        <v>1.0644</v>
      </c>
      <c r="C31" s="108">
        <f t="shared" si="4"/>
        <v>-2.5999999999999357E-3</v>
      </c>
      <c r="D31" s="109">
        <f t="shared" si="3"/>
        <v>-2.5999999999999357E-3</v>
      </c>
      <c r="E31" s="109">
        <f ca="1">IF(表2_367162629303891213141523242526272831[[#This Row],[累计净值]]/MAX(INDIRECT("B21:B" &amp; ROW()))-1&lt;E30,表2_367162629303891213141523242526272831[[#This Row],[累计净值]]/MAX(INDIRECT("B21:B" &amp; ROW()))-1,E30)</f>
        <v>-6.2552516104937839E-3</v>
      </c>
      <c r="F31" s="110">
        <f>表2_367162629303891213141523242526272831[[#This Row],[累计净值]]-0.0738</f>
        <v>0.99060000000000004</v>
      </c>
      <c r="G31" s="20">
        <f>表2_367162629303891213141523242526272831[[#This Row],[累计净值]]/$B$21-1</f>
        <v>-6.2552516104937839E-3</v>
      </c>
    </row>
    <row r="32" spans="1:7">
      <c r="A32" s="15">
        <v>44166</v>
      </c>
      <c r="B32" s="112">
        <v>1.071</v>
      </c>
      <c r="C32" s="108">
        <f t="shared" si="4"/>
        <v>6.5999999999999392E-3</v>
      </c>
      <c r="D32" s="109" t="str">
        <f t="shared" si="3"/>
        <v>/</v>
      </c>
      <c r="E32" s="109">
        <f ca="1">IF(表2_367162629303891213141523242526272831[[#This Row],[累计净值]]/MAX(INDIRECT("B21:B" &amp; ROW()))-1&lt;E31,表2_367162629303891213141523242526272831[[#This Row],[累计净值]]/MAX(INDIRECT("B21:B" &amp; ROW()))-1,E31)</f>
        <v>-6.2552516104937839E-3</v>
      </c>
      <c r="F32" s="110">
        <f>表2_367162629303891213141523242526272831[[#This Row],[累计净值]]-0.0738</f>
        <v>0.99719999999999998</v>
      </c>
      <c r="G32" s="20">
        <f>表2_367162629303891213141523242526272831[[#This Row],[累计净值]]/$B$21-1</f>
        <v>-9.3361964335736403E-5</v>
      </c>
    </row>
    <row r="33" spans="1:7">
      <c r="A33" s="15">
        <v>44167</v>
      </c>
      <c r="B33" s="112">
        <v>1.0726</v>
      </c>
      <c r="C33" s="108">
        <f t="shared" si="4"/>
        <v>1.6000000000000458E-3</v>
      </c>
      <c r="D33" s="109" t="str">
        <f t="shared" si="3"/>
        <v>/</v>
      </c>
      <c r="E33" s="109">
        <f ca="1">IF(表2_367162629303891213141523242526272831[[#This Row],[累计净值]]/MAX(INDIRECT("B21:B" &amp; ROW()))-1&lt;E32,表2_367162629303891213141523242526272831[[#This Row],[累计净值]]/MAX(INDIRECT("B21:B" &amp; ROW()))-1,E32)</f>
        <v>-6.2552516104937839E-3</v>
      </c>
      <c r="F33" s="110">
        <f>表2_367162629303891213141523242526272831[[#This Row],[累计净值]]-0.0738</f>
        <v>0.99880000000000002</v>
      </c>
      <c r="G33" s="20">
        <f>表2_367162629303891213141523242526272831[[#This Row],[累计净值]]/$B$21-1</f>
        <v>1.400429465036046E-3</v>
      </c>
    </row>
    <row r="34" spans="1:7">
      <c r="A34" s="15">
        <v>44168</v>
      </c>
      <c r="B34" s="112">
        <v>1.0737000000000001</v>
      </c>
      <c r="C34" s="108">
        <f t="shared" si="4"/>
        <v>1.1000000000001009E-3</v>
      </c>
      <c r="D34" s="109" t="str">
        <f t="shared" ref="D34:D39" si="5">IF(C34&lt;0,C34,"/")</f>
        <v>/</v>
      </c>
      <c r="E34" s="109">
        <f ca="1">IF(表2_367162629303891213141523242526272831[[#This Row],[累计净值]]/MAX(INDIRECT("B21:B" &amp; ROW()))-1&lt;E33,表2_367162629303891213141523242526272831[[#This Row],[累计净值]]/MAX(INDIRECT("B21:B" &amp; ROW()))-1,E33)</f>
        <v>-6.2552516104937839E-3</v>
      </c>
      <c r="F34" s="110">
        <f>表2_367162629303891213141523242526272831[[#This Row],[累计净值]]-0.0738</f>
        <v>0.99990000000000012</v>
      </c>
      <c r="G34" s="20">
        <f>表2_367162629303891213141523242526272831[[#This Row],[累计净值]]/$B$21-1</f>
        <v>2.4274110727291465E-3</v>
      </c>
    </row>
    <row r="35" spans="1:7">
      <c r="A35" s="15">
        <v>44169</v>
      </c>
      <c r="B35" s="112">
        <v>1.0739000000000001</v>
      </c>
      <c r="C35" s="108">
        <f t="shared" ref="C35:C40" si="6">IFERROR(B35-B34,0)</f>
        <v>1.9999999999997797E-4</v>
      </c>
      <c r="D35" s="109" t="str">
        <f t="shared" si="5"/>
        <v>/</v>
      </c>
      <c r="E35" s="109">
        <f ca="1">IF(表2_367162629303891213141523242526272831[[#This Row],[累计净值]]/MAX(INDIRECT("B21:B" &amp; ROW()))-1&lt;E34,表2_367162629303891213141523242526272831[[#This Row],[累计净值]]/MAX(INDIRECT("B21:B" &amp; ROW()))-1,E34)</f>
        <v>-6.2552516104937839E-3</v>
      </c>
      <c r="F35" s="110">
        <f>表2_367162629303891213141523242526272831[[#This Row],[累计净值]]-0.0738</f>
        <v>1.0001</v>
      </c>
      <c r="G35" s="20">
        <f>表2_367162629303891213141523242526272831[[#This Row],[累计净值]]/$B$21-1</f>
        <v>2.6141350014006193E-3</v>
      </c>
    </row>
    <row r="36" spans="1:7">
      <c r="A36" s="15">
        <v>44172</v>
      </c>
      <c r="B36" s="112">
        <v>1.0733999999999999</v>
      </c>
      <c r="C36" s="108">
        <f t="shared" si="6"/>
        <v>-5.0000000000016698E-4</v>
      </c>
      <c r="D36" s="109">
        <f t="shared" si="5"/>
        <v>-5.0000000000016698E-4</v>
      </c>
      <c r="E36" s="109">
        <f ca="1">IF(表2_367162629303891213141523242526272831[[#This Row],[累计净值]]/MAX(INDIRECT("B21:B" &amp; ROW()))-1&lt;E35,表2_367162629303891213141523242526272831[[#This Row],[累计净值]]/MAX(INDIRECT("B21:B" &amp; ROW()))-1,E35)</f>
        <v>-6.2552516104937839E-3</v>
      </c>
      <c r="F36" s="110">
        <f>表2_367162629303891213141523242526272831[[#This Row],[累计净值]]-0.0738</f>
        <v>0.99959999999999993</v>
      </c>
      <c r="G36" s="20">
        <f>表2_367162629303891213141523242526272831[[#This Row],[累计净值]]/$B$21-1</f>
        <v>2.1473251797217152E-3</v>
      </c>
    </row>
    <row r="37" spans="1:7">
      <c r="A37" s="15">
        <v>44173</v>
      </c>
      <c r="B37" s="112">
        <v>1.0719000000000001</v>
      </c>
      <c r="C37" s="108">
        <f t="shared" si="6"/>
        <v>-1.4999999999998348E-3</v>
      </c>
      <c r="D37" s="109">
        <f t="shared" si="5"/>
        <v>-1.4999999999998348E-3</v>
      </c>
      <c r="E37" s="109">
        <f ca="1">IF(表2_367162629303891213141523242526272831[[#This Row],[累计净值]]/MAX(INDIRECT("B21:B" &amp; ROW()))-1&lt;E36,表2_367162629303891213141523242526272831[[#This Row],[累计净值]]/MAX(INDIRECT("B21:B" &amp; ROW()))-1,E36)</f>
        <v>-6.2552516104937839E-3</v>
      </c>
      <c r="F37" s="110">
        <f>表2_367162629303891213141523242526272831[[#This Row],[累计净值]]-0.0738</f>
        <v>0.9981000000000001</v>
      </c>
      <c r="G37" s="20">
        <f>表2_367162629303891213141523242526272831[[#This Row],[累计净值]]/$B$21-1</f>
        <v>7.4689571468589122E-4</v>
      </c>
    </row>
    <row r="38" spans="1:7">
      <c r="A38" s="15">
        <v>44174</v>
      </c>
      <c r="B38" s="112">
        <v>1.0711999999999999</v>
      </c>
      <c r="C38" s="108">
        <f t="shared" si="6"/>
        <v>-7.0000000000014495E-4</v>
      </c>
      <c r="D38" s="109">
        <f t="shared" si="5"/>
        <v>-7.0000000000014495E-4</v>
      </c>
      <c r="E38" s="109">
        <f ca="1">IF(表2_367162629303891213141523242526272831[[#This Row],[累计净值]]/MAX(INDIRECT("B21:B" &amp; ROW()))-1&lt;E37,表2_367162629303891213141523242526272831[[#This Row],[累计净值]]/MAX(INDIRECT("B21:B" &amp; ROW()))-1,E37)</f>
        <v>-6.2552516104937839E-3</v>
      </c>
      <c r="F38" s="110">
        <f>表2_367162629303891213141523242526272831[[#This Row],[累计净值]]-0.0738</f>
        <v>0.99739999999999995</v>
      </c>
      <c r="G38" s="20">
        <f>表2_367162629303891213141523242526272831[[#This Row],[累计净值]]/$B$21-1</f>
        <v>9.3361964335736403E-5</v>
      </c>
    </row>
    <row r="39" spans="1:7">
      <c r="A39" s="15">
        <v>44175</v>
      </c>
      <c r="B39" s="112">
        <v>1.0738000000000001</v>
      </c>
      <c r="C39" s="108">
        <f t="shared" si="6"/>
        <v>2.6000000000001577E-3</v>
      </c>
      <c r="D39" s="109" t="str">
        <f t="shared" si="5"/>
        <v>/</v>
      </c>
      <c r="E39" s="109">
        <f ca="1">IF(表2_367162629303891213141523242526272831[[#This Row],[累计净值]]/MAX(INDIRECT("B21:B" &amp; ROW()))-1&lt;E38,表2_367162629303891213141523242526272831[[#This Row],[累计净值]]/MAX(INDIRECT("B21:B" &amp; ROW()))-1,E38)</f>
        <v>-6.2552516104937839E-3</v>
      </c>
      <c r="F39" s="110">
        <f>表2_367162629303891213141523242526272831[[#This Row],[累计净值]]-0.0738</f>
        <v>1</v>
      </c>
      <c r="G39" s="20">
        <f>表2_367162629303891213141523242526272831[[#This Row],[累计净值]]/$B$21-1</f>
        <v>2.5207730370648829E-3</v>
      </c>
    </row>
    <row r="40" spans="1:7">
      <c r="A40" s="15">
        <v>44176</v>
      </c>
      <c r="B40" s="112">
        <v>1.0755999999999999</v>
      </c>
      <c r="C40" s="108">
        <f t="shared" si="6"/>
        <v>1.7999999999998018E-3</v>
      </c>
      <c r="D40" s="109" t="str">
        <f t="shared" ref="D40:D45" si="7">IF(C40&lt;0,C40,"/")</f>
        <v>/</v>
      </c>
      <c r="E40" s="109">
        <f ca="1">IF(表2_367162629303891213141523242526272831[[#This Row],[累计净值]]/MAX(INDIRECT("B21:B" &amp; ROW()))-1&lt;E39,表2_367162629303891213141523242526272831[[#This Row],[累计净值]]/MAX(INDIRECT("B21:B" &amp; ROW()))-1,E39)</f>
        <v>-6.2552516104937839E-3</v>
      </c>
      <c r="F40" s="110">
        <f>表2_367162629303891213141523242526272831[[#This Row],[累计净值]]-0.0738</f>
        <v>1.0017999999999998</v>
      </c>
      <c r="G40" s="20">
        <f>表2_367162629303891213141523242526272831[[#This Row],[累计净值]]/$B$21-1</f>
        <v>4.201288395107694E-3</v>
      </c>
    </row>
    <row r="41" spans="1:7">
      <c r="A41" s="15">
        <v>44179</v>
      </c>
      <c r="B41" s="112">
        <v>1.0760000000000001</v>
      </c>
      <c r="C41" s="108">
        <f t="shared" ref="C41:C47" si="8">IFERROR(B41-B40,0)</f>
        <v>4.0000000000017799E-4</v>
      </c>
      <c r="D41" s="109" t="str">
        <f t="shared" si="7"/>
        <v>/</v>
      </c>
      <c r="E41" s="109">
        <f ca="1">IF(表2_367162629303891213141523242526272831[[#This Row],[累计净值]]/MAX(INDIRECT("B21:B" &amp; ROW()))-1&lt;E40,表2_367162629303891213141523242526272831[[#This Row],[累计净值]]/MAX(INDIRECT("B21:B" &amp; ROW()))-1,E40)</f>
        <v>-6.2552516104937839E-3</v>
      </c>
      <c r="F41" s="110">
        <f>表2_367162629303891213141523242526272831[[#This Row],[累计净值]]-0.0738</f>
        <v>1.0022</v>
      </c>
      <c r="G41" s="20">
        <f>表2_367162629303891213141523242526272831[[#This Row],[累计净值]]/$B$21-1</f>
        <v>4.5747362524508617E-3</v>
      </c>
    </row>
    <row r="42" spans="1:7">
      <c r="A42" s="15">
        <v>44180</v>
      </c>
      <c r="B42" s="112">
        <v>1.0745</v>
      </c>
      <c r="C42" s="108">
        <f t="shared" si="8"/>
        <v>-1.5000000000000568E-3</v>
      </c>
      <c r="D42" s="109">
        <f t="shared" si="7"/>
        <v>-1.5000000000000568E-3</v>
      </c>
      <c r="E42" s="109">
        <f ca="1">IF(表2_367162629303891213141523242526272831[[#This Row],[累计净值]]/MAX(INDIRECT("B21:B" &amp; ROW()))-1&lt;E41,表2_367162629303891213141523242526272831[[#This Row],[累计净值]]/MAX(INDIRECT("B21:B" &amp; ROW()))-1,E41)</f>
        <v>-6.2552516104937839E-3</v>
      </c>
      <c r="F42" s="110">
        <f>表2_367162629303891213141523242526272831[[#This Row],[累计净值]]-0.0738</f>
        <v>1.0006999999999999</v>
      </c>
      <c r="G42" s="20">
        <f>表2_367162629303891213141523242526272831[[#This Row],[累计净值]]/$B$21-1</f>
        <v>3.1743067874148156E-3</v>
      </c>
    </row>
    <row r="43" spans="1:7">
      <c r="A43" s="15">
        <v>44181</v>
      </c>
      <c r="B43" s="113">
        <v>1.0738000000000001</v>
      </c>
      <c r="C43" s="108">
        <f t="shared" si="8"/>
        <v>-6.9999999999992291E-4</v>
      </c>
      <c r="D43" s="109">
        <f t="shared" si="7"/>
        <v>-6.9999999999992291E-4</v>
      </c>
      <c r="E43" s="109">
        <f ca="1">IF(表2_367162629303891213141523242526272831[[#This Row],[累计净值]]/MAX(INDIRECT("B21:B" &amp; ROW()))-1&lt;E42,表2_367162629303891213141523242526272831[[#This Row],[累计净值]]/MAX(INDIRECT("B21:B" &amp; ROW()))-1,E42)</f>
        <v>-6.2552516104937839E-3</v>
      </c>
      <c r="F43" s="110">
        <f>表2_367162629303891213141523242526272831[[#This Row],[累计净值]]-0.0738</f>
        <v>1</v>
      </c>
      <c r="G43" s="20">
        <f>表2_367162629303891213141523242526272831[[#This Row],[累计净值]]/$B$21-1</f>
        <v>2.5207730370648829E-3</v>
      </c>
    </row>
    <row r="44" spans="1:7">
      <c r="A44" s="15">
        <v>44182</v>
      </c>
      <c r="B44" s="112">
        <v>1.0722</v>
      </c>
      <c r="C44" s="108">
        <f t="shared" si="8"/>
        <v>-1.6000000000000458E-3</v>
      </c>
      <c r="D44" s="109">
        <f t="shared" si="7"/>
        <v>-1.6000000000000458E-3</v>
      </c>
      <c r="E44" s="109">
        <f ca="1">IF(表2_367162629303891213141523242526272831[[#This Row],[累计净值]]/MAX(INDIRECT("B21:B" &amp; ROW()))-1&lt;E43,表2_367162629303891213141523242526272831[[#This Row],[累计净值]]/MAX(INDIRECT("B21:B" &amp; ROW()))-1,E43)</f>
        <v>-6.2552516104937839E-3</v>
      </c>
      <c r="F44" s="110">
        <f>表2_367162629303891213141523242526272831[[#This Row],[累计净值]]-0.0738</f>
        <v>0.99840000000000007</v>
      </c>
      <c r="G44" s="20">
        <f>表2_367162629303891213141523242526272831[[#This Row],[累计净值]]/$B$21-1</f>
        <v>1.0269816076931004E-3</v>
      </c>
    </row>
    <row r="45" spans="1:7">
      <c r="A45" s="15">
        <v>44183</v>
      </c>
      <c r="B45" s="112">
        <v>1.0709</v>
      </c>
      <c r="C45" s="108">
        <f t="shared" si="8"/>
        <v>-1.3000000000000789E-3</v>
      </c>
      <c r="D45" s="109">
        <f t="shared" si="7"/>
        <v>-1.3000000000000789E-3</v>
      </c>
      <c r="E45" s="109">
        <f ca="1">IF(表2_367162629303891213141523242526272831[[#This Row],[累计净值]]/MAX(INDIRECT("B21:B" &amp; ROW()))-1&lt;E44,表2_367162629303891213141523242526272831[[#This Row],[累计净值]]/MAX(INDIRECT("B21:B" &amp; ROW()))-1,E44)</f>
        <v>-6.2552516104937839E-3</v>
      </c>
      <c r="F45" s="110">
        <f>表2_367162629303891213141523242526272831[[#This Row],[累计净值]]-0.0738</f>
        <v>0.99709999999999999</v>
      </c>
      <c r="G45" s="20">
        <f>表2_367162629303891213141523242526272831[[#This Row],[累计净值]]/$B$21-1</f>
        <v>-1.8672392867147281E-4</v>
      </c>
    </row>
    <row r="46" spans="1:7">
      <c r="A46" s="15">
        <v>44186</v>
      </c>
      <c r="B46" s="112">
        <v>1.0760000000000001</v>
      </c>
      <c r="C46" s="108">
        <f t="shared" si="8"/>
        <v>5.1000000000001044E-3</v>
      </c>
      <c r="D46" s="109" t="str">
        <f t="shared" ref="D46:D51" si="9">IF(C46&lt;0,C46,"/")</f>
        <v>/</v>
      </c>
      <c r="E46" s="109">
        <f ca="1">IF(表2_367162629303891213141523242526272831[[#This Row],[累计净值]]/MAX(INDIRECT("B21:B" &amp; ROW()))-1&lt;E45,表2_367162629303891213141523242526272831[[#This Row],[累计净值]]/MAX(INDIRECT("B21:B" &amp; ROW()))-1,E45)</f>
        <v>-6.2552516104937839E-3</v>
      </c>
      <c r="F46" s="110">
        <f>表2_367162629303891213141523242526272831[[#This Row],[累计净值]]-0.0738</f>
        <v>1.0022</v>
      </c>
      <c r="G46" s="20">
        <f>表2_367162629303891213141523242526272831[[#This Row],[累计净值]]/$B$21-1</f>
        <v>4.5747362524508617E-3</v>
      </c>
    </row>
    <row r="47" spans="1:7">
      <c r="A47" s="15">
        <v>44187</v>
      </c>
      <c r="B47" s="112">
        <v>1.0736000000000001</v>
      </c>
      <c r="C47" s="108">
        <f t="shared" si="8"/>
        <v>-2.3999999999999577E-3</v>
      </c>
      <c r="D47" s="109">
        <f t="shared" si="9"/>
        <v>-2.3999999999999577E-3</v>
      </c>
      <c r="E47" s="109">
        <f ca="1">IF(表2_367162629303891213141523242526272831[[#This Row],[累计净值]]/MAX(INDIRECT("B21:B" &amp; ROW()))-1&lt;E46,表2_367162629303891213141523242526272831[[#This Row],[累计净值]]/MAX(INDIRECT("B21:B" &amp; ROW()))-1,E46)</f>
        <v>-6.2552516104937839E-3</v>
      </c>
      <c r="F47" s="110">
        <f>表2_367162629303891213141523242526272831[[#This Row],[累计净值]]-0.0738</f>
        <v>0.99980000000000013</v>
      </c>
      <c r="G47" s="20">
        <f>表2_367162629303891213141523242526272831[[#This Row],[累计净值]]/$B$21-1</f>
        <v>2.3340491083934101E-3</v>
      </c>
    </row>
    <row r="48" spans="1:7">
      <c r="A48" s="15">
        <v>44188</v>
      </c>
      <c r="B48" s="112">
        <v>1.0744</v>
      </c>
      <c r="C48" s="108">
        <f t="shared" ref="C48:C53" si="10">IFERROR(B48-B47,0)</f>
        <v>7.9999999999991189E-4</v>
      </c>
      <c r="D48" s="109" t="str">
        <f t="shared" si="9"/>
        <v>/</v>
      </c>
      <c r="E48" s="109">
        <f ca="1">IF(表2_367162629303891213141523242526272831[[#This Row],[累计净值]]/MAX(INDIRECT("B21:B" &amp; ROW()))-1&lt;E47,表2_367162629303891213141523242526272831[[#This Row],[累计净值]]/MAX(INDIRECT("B21:B" &amp; ROW()))-1,E47)</f>
        <v>-6.2552516104937839E-3</v>
      </c>
      <c r="F48" s="110">
        <f>表2_367162629303891213141523242526272831[[#This Row],[累计净值]]-0.0738</f>
        <v>1.0005999999999999</v>
      </c>
      <c r="G48" s="20">
        <f>表2_367162629303891213141523242526272831[[#This Row],[累计净值]]/$B$21-1</f>
        <v>3.0809448230790792E-3</v>
      </c>
    </row>
    <row r="49" spans="1:7">
      <c r="A49" s="15">
        <v>44189</v>
      </c>
      <c r="B49" s="112">
        <v>1.0740000000000001</v>
      </c>
      <c r="C49" s="108">
        <f t="shared" si="10"/>
        <v>-3.9999999999995595E-4</v>
      </c>
      <c r="D49" s="109">
        <f t="shared" si="9"/>
        <v>-3.9999999999995595E-4</v>
      </c>
      <c r="E49" s="109">
        <f ca="1">IF(表2_367162629303891213141523242526272831[[#This Row],[累计净值]]/MAX(INDIRECT("B21:B" &amp; ROW()))-1&lt;E48,表2_367162629303891213141523242526272831[[#This Row],[累计净值]]/MAX(INDIRECT("B21:B" &amp; ROW()))-1,E48)</f>
        <v>-6.2552516104937839E-3</v>
      </c>
      <c r="F49" s="110">
        <f>表2_367162629303891213141523242526272831[[#This Row],[累计净值]]-0.0738</f>
        <v>1.0002</v>
      </c>
      <c r="G49" s="20">
        <f>表2_367162629303891213141523242526272831[[#This Row],[累计净值]]/$B$21-1</f>
        <v>2.7074969657363557E-3</v>
      </c>
    </row>
    <row r="50" spans="1:7">
      <c r="A50" s="15">
        <v>44190</v>
      </c>
      <c r="B50" s="112">
        <v>1.0751999999999999</v>
      </c>
      <c r="C50" s="108">
        <f t="shared" si="10"/>
        <v>1.1999999999998678E-3</v>
      </c>
      <c r="D50" s="109" t="str">
        <f t="shared" si="9"/>
        <v>/</v>
      </c>
      <c r="E50" s="109">
        <f ca="1">IF(表2_367162629303891213141523242526272831[[#This Row],[累计净值]]/MAX(INDIRECT("B21:B" &amp; ROW()))-1&lt;E49,表2_367162629303891213141523242526272831[[#This Row],[累计净值]]/MAX(INDIRECT("B21:B" &amp; ROW()))-1,E49)</f>
        <v>-6.2552516104937839E-3</v>
      </c>
      <c r="F50" s="110">
        <f>表2_367162629303891213141523242526272831[[#This Row],[累计净值]]-0.0738</f>
        <v>1.0013999999999998</v>
      </c>
      <c r="G50" s="20">
        <f>表2_367162629303891213141523242526272831[[#This Row],[累计净值]]/$B$21-1</f>
        <v>3.8278405377649705E-3</v>
      </c>
    </row>
    <row r="51" spans="1:7">
      <c r="A51" s="15">
        <v>44193</v>
      </c>
      <c r="B51" s="112">
        <v>1.0734999999999999</v>
      </c>
      <c r="C51" s="108">
        <f t="shared" si="10"/>
        <v>-1.7000000000000348E-3</v>
      </c>
      <c r="D51" s="109">
        <f t="shared" si="9"/>
        <v>-1.7000000000000348E-3</v>
      </c>
      <c r="E51" s="109">
        <f ca="1">IF(表2_367162629303891213141523242526272831[[#This Row],[累计净值]]/MAX(INDIRECT("B21:B" &amp; ROW()))-1&lt;E50,表2_367162629303891213141523242526272831[[#This Row],[累计净值]]/MAX(INDIRECT("B21:B" &amp; ROW()))-1,E50)</f>
        <v>-6.2552516104937839E-3</v>
      </c>
      <c r="F51" s="110">
        <f>表2_367162629303891213141523242526272831[[#This Row],[累计净值]]-0.0738</f>
        <v>0.99969999999999992</v>
      </c>
      <c r="G51" s="20">
        <f>表2_367162629303891213141523242526272831[[#This Row],[累计净值]]/$B$21-1</f>
        <v>2.2406871440574516E-3</v>
      </c>
    </row>
    <row r="52" spans="1:7">
      <c r="A52" s="15">
        <v>44194</v>
      </c>
      <c r="B52" s="112">
        <v>1.0706</v>
      </c>
      <c r="C52" s="108">
        <f t="shared" si="10"/>
        <v>-2.8999999999999027E-3</v>
      </c>
      <c r="D52" s="109">
        <f t="shared" ref="D52:D57" si="11">IF(C52&lt;0,C52,"/")</f>
        <v>-2.8999999999999027E-3</v>
      </c>
      <c r="E52" s="109">
        <f ca="1">IF(表2_367162629303891213141523242526272831[[#This Row],[累计净值]]/MAX(INDIRECT("B21:B" &amp; ROW()))-1&lt;E51,表2_367162629303891213141523242526272831[[#This Row],[累计净值]]/MAX(INDIRECT("B21:B" &amp; ROW()))-1,E51)</f>
        <v>-6.2552516104937839E-3</v>
      </c>
      <c r="F52" s="110">
        <f>表2_367162629303891213141523242526272831[[#This Row],[累计净值]]-0.0738</f>
        <v>0.99680000000000002</v>
      </c>
      <c r="G52" s="20">
        <f>表2_367162629303891213141523242526272831[[#This Row],[累计净值]]/$B$21-1</f>
        <v>-4.6680982167857099E-4</v>
      </c>
    </row>
    <row r="53" spans="1:7">
      <c r="A53" s="15">
        <v>44195</v>
      </c>
      <c r="B53" s="112">
        <v>1.0753999999999999</v>
      </c>
      <c r="C53" s="108">
        <f t="shared" si="10"/>
        <v>4.7999999999999154E-3</v>
      </c>
      <c r="D53" s="109" t="str">
        <f t="shared" si="11"/>
        <v>/</v>
      </c>
      <c r="E53" s="109">
        <f ca="1">IF(表2_367162629303891213141523242526272831[[#This Row],[累计净值]]/MAX(INDIRECT("B21:B" &amp; ROW()))-1&lt;E52,表2_367162629303891213141523242526272831[[#This Row],[累计净值]]/MAX(INDIRECT("B21:B" &amp; ROW()))-1,E52)</f>
        <v>-6.2552516104937839E-3</v>
      </c>
      <c r="F53" s="110">
        <f>表2_367162629303891213141523242526272831[[#This Row],[累计净值]]-0.0738</f>
        <v>1.0015999999999998</v>
      </c>
      <c r="G53" s="20">
        <f>表2_367162629303891213141523242526272831[[#This Row],[累计净值]]/$B$21-1</f>
        <v>4.0145644664364433E-3</v>
      </c>
    </row>
    <row r="54" spans="1:7">
      <c r="A54" s="15">
        <v>44196</v>
      </c>
      <c r="B54" s="112">
        <v>1.0704</v>
      </c>
      <c r="C54" s="108">
        <f t="shared" ref="C54:C59" si="12">IFERROR(B54-B53,0)</f>
        <v>-4.9999999999998934E-3</v>
      </c>
      <c r="D54" s="109">
        <f t="shared" si="11"/>
        <v>-4.9999999999998934E-3</v>
      </c>
      <c r="E54" s="109">
        <f ca="1">IF(表2_367162629303891213141523242526272831[[#This Row],[累计净值]]/MAX(INDIRECT("B21:B" &amp; ROW()))-1&lt;E53,表2_367162629303891213141523242526272831[[#This Row],[累计净值]]/MAX(INDIRECT("B21:B" &amp; ROW()))-1,E53)</f>
        <v>-6.2552516104937839E-3</v>
      </c>
      <c r="F54" s="110">
        <f>表2_367162629303891213141523242526272831[[#This Row],[累计净值]]-0.0738</f>
        <v>0.99660000000000004</v>
      </c>
      <c r="G54" s="20">
        <f>表2_367162629303891213141523242526272831[[#This Row],[累计净值]]/$B$21-1</f>
        <v>-6.535337503500438E-4</v>
      </c>
    </row>
    <row r="55" spans="1:7">
      <c r="A55" s="15">
        <v>44200</v>
      </c>
      <c r="B55" s="112">
        <v>1.0780000000000001</v>
      </c>
      <c r="C55" s="108">
        <f t="shared" si="12"/>
        <v>7.6000000000000512E-3</v>
      </c>
      <c r="D55" s="109" t="str">
        <f t="shared" si="11"/>
        <v>/</v>
      </c>
      <c r="E55" s="109">
        <f ca="1">IF(表2_367162629303891213141523242526272831[[#This Row],[累计净值]]/MAX(INDIRECT("B21:B" &amp; ROW()))-1&lt;E54,表2_367162629303891213141523242526272831[[#This Row],[累计净值]]/MAX(INDIRECT("B21:B" &amp; ROW()))-1,E54)</f>
        <v>-6.2552516104937839E-3</v>
      </c>
      <c r="F55" s="110">
        <f>表2_367162629303891213141523242526272831[[#This Row],[累计净值]]-0.0738</f>
        <v>1.0042</v>
      </c>
      <c r="G55" s="20">
        <f>表2_367162629303891213141523242526272831[[#This Row],[累计净值]]/$B$21-1</f>
        <v>6.4419755391653677E-3</v>
      </c>
    </row>
    <row r="56" spans="1:7">
      <c r="A56" s="15">
        <v>44201</v>
      </c>
      <c r="B56" s="112">
        <v>1.0804</v>
      </c>
      <c r="C56" s="108">
        <f t="shared" si="12"/>
        <v>2.3999999999999577E-3</v>
      </c>
      <c r="D56" s="109" t="str">
        <f t="shared" si="11"/>
        <v>/</v>
      </c>
      <c r="E56" s="109">
        <f ca="1">IF(表2_367162629303891213141523242526272831[[#This Row],[累计净值]]/MAX(INDIRECT("B21:B" &amp; ROW()))-1&lt;E55,表2_367162629303891213141523242526272831[[#This Row],[累计净值]]/MAX(INDIRECT("B21:B" &amp; ROW()))-1,E55)</f>
        <v>-6.2552516104937839E-3</v>
      </c>
      <c r="F56" s="110">
        <f>表2_367162629303891213141523242526272831[[#This Row],[累计净值]]-0.0738</f>
        <v>1.0065999999999999</v>
      </c>
      <c r="G56" s="20">
        <f>表2_367162629303891213141523242526272831[[#This Row],[累计净值]]/$B$21-1</f>
        <v>8.6826626832230414E-3</v>
      </c>
    </row>
    <row r="57" spans="1:7">
      <c r="A57" s="15">
        <v>44202</v>
      </c>
      <c r="B57" s="112">
        <v>1.0824</v>
      </c>
      <c r="C57" s="108">
        <f t="shared" si="12"/>
        <v>2.0000000000000018E-3</v>
      </c>
      <c r="D57" s="109" t="str">
        <f t="shared" si="11"/>
        <v>/</v>
      </c>
      <c r="E57" s="109">
        <f ca="1">IF(表2_367162629303891213141523242526272831[[#This Row],[累计净值]]/MAX(INDIRECT("B21:B" &amp; ROW()))-1&lt;E56,表2_367162629303891213141523242526272831[[#This Row],[累计净值]]/MAX(INDIRECT("B21:B" &amp; ROW()))-1,E56)</f>
        <v>-6.2552516104937839E-3</v>
      </c>
      <c r="F57" s="110">
        <f>表2_367162629303891213141523242526272831[[#This Row],[累计净值]]-0.0738</f>
        <v>1.0085999999999999</v>
      </c>
      <c r="G57" s="20">
        <f>表2_367162629303891213141523242526272831[[#This Row],[累计净值]]/$B$21-1</f>
        <v>1.0549901969937547E-2</v>
      </c>
    </row>
    <row r="58" spans="1:7">
      <c r="A58" s="15">
        <v>44203</v>
      </c>
      <c r="B58" s="112">
        <v>1.0934999999999999</v>
      </c>
      <c r="C58" s="108">
        <f t="shared" si="12"/>
        <v>1.1099999999999888E-2</v>
      </c>
      <c r="D58" s="109" t="str">
        <f>IF(C58&lt;0,C58,"/")</f>
        <v>/</v>
      </c>
      <c r="E58" s="109">
        <f ca="1">IF(表2_367162629303891213141523242526272831[[#This Row],[累计净值]]/MAX(INDIRECT("B21:B" &amp; ROW()))-1&lt;E57,表2_367162629303891213141523242526272831[[#This Row],[累计净值]]/MAX(INDIRECT("B21:B" &amp; ROW()))-1,E57)</f>
        <v>-6.2552516104937839E-3</v>
      </c>
      <c r="F58" s="110">
        <f>表2_367162629303891213141523242526272831[[#This Row],[累计净值]]-0.0738</f>
        <v>1.0196999999999998</v>
      </c>
      <c r="G58" s="20">
        <f>表2_367162629303891213141523242526272831[[#This Row],[累计净值]]/$B$21-1</f>
        <v>2.09130800112034E-2</v>
      </c>
    </row>
    <row r="59" spans="1:7">
      <c r="A59" s="15">
        <v>44204</v>
      </c>
      <c r="B59" s="112">
        <v>1.0996999999999999</v>
      </c>
      <c r="C59" s="108">
        <f t="shared" si="12"/>
        <v>6.1999999999999833E-3</v>
      </c>
      <c r="D59" s="109" t="str">
        <f>IF(C59&lt;0,C59,"/")</f>
        <v>/</v>
      </c>
      <c r="E59" s="109">
        <f ca="1">IF(表2_367162629303891213141523242526272831[[#This Row],[累计净值]]/MAX(INDIRECT("B21:B" &amp; ROW()))-1&lt;E58,表2_367162629303891213141523242526272831[[#This Row],[累计净值]]/MAX(INDIRECT("B21:B" &amp; ROW()))-1,E58)</f>
        <v>-6.2552516104937839E-3</v>
      </c>
      <c r="F59" s="110">
        <f>表2_367162629303891213141523242526272831[[#This Row],[累计净值]]-0.0738</f>
        <v>1.0258999999999998</v>
      </c>
      <c r="G59" s="20">
        <f>表2_367162629303891213141523242526272831[[#This Row],[累计净值]]/$B$21-1</f>
        <v>2.6701521800018613E-2</v>
      </c>
    </row>
    <row r="60" spans="1:7">
      <c r="A60" s="15">
        <v>44207</v>
      </c>
      <c r="B60" s="112">
        <v>1.0960000000000001</v>
      </c>
      <c r="C60" s="108">
        <f>IFERROR(B60-B59,0)</f>
        <v>-3.6999999999998145E-3</v>
      </c>
      <c r="D60" s="109">
        <f>IF(C60&lt;0,C60,"/")</f>
        <v>-3.6999999999998145E-3</v>
      </c>
      <c r="E60" s="109">
        <f ca="1">IF(表2_367162629303891213141523242526272831[[#This Row],[累计净值]]/MAX(INDIRECT("B21:B" &amp; ROW()))-1&lt;E59,表2_367162629303891213141523242526272831[[#This Row],[累计净值]]/MAX(INDIRECT("B21:B" &amp; ROW()))-1,E59)</f>
        <v>-6.2552516104937839E-3</v>
      </c>
      <c r="F60" s="110">
        <f>表2_367162629303891213141523242526272831[[#This Row],[累计净值]]-0.0738</f>
        <v>1.0222</v>
      </c>
      <c r="G60" s="20">
        <f>表2_367162629303891213141523242526272831[[#This Row],[累计净值]]/$B$21-1</f>
        <v>2.324712911959681E-2</v>
      </c>
    </row>
    <row r="61" spans="1:7">
      <c r="A61" s="15">
        <v>44208</v>
      </c>
      <c r="B61" s="112">
        <v>1.0994999999999999</v>
      </c>
      <c r="C61" s="108">
        <f>IFERROR(B61-B60,0)</f>
        <v>3.4999999999998366E-3</v>
      </c>
      <c r="D61" s="109" t="str">
        <f>IF(C61&lt;0,C61,"/")</f>
        <v>/</v>
      </c>
      <c r="E61" s="109">
        <f ca="1">IF(表2_367162629303891213141523242526272831[[#This Row],[累计净值]]/MAX(INDIRECT("B21:B" &amp; ROW()))-1&lt;E60,表2_367162629303891213141523242526272831[[#This Row],[累计净值]]/MAX(INDIRECT("B21:B" &amp; ROW()))-1,E60)</f>
        <v>-6.2552516104937839E-3</v>
      </c>
      <c r="F61" s="110">
        <f>表2_367162629303891213141523242526272831[[#This Row],[累计净值]]-0.0738</f>
        <v>1.0256999999999998</v>
      </c>
      <c r="G61" s="20">
        <f>表2_367162629303891213141523242526272831[[#This Row],[累计净值]]/$B$21-1</f>
        <v>2.651479787134714E-2</v>
      </c>
    </row>
    <row r="62" spans="1:7">
      <c r="A62" s="15">
        <v>44209</v>
      </c>
      <c r="B62" s="112">
        <v>1.0985</v>
      </c>
      <c r="C62" s="108">
        <f>IFERROR(B62-B61,0)</f>
        <v>-9.9999999999988987E-4</v>
      </c>
      <c r="D62" s="109">
        <f>IF(C62&lt;0,C62,"/")</f>
        <v>-9.9999999999988987E-4</v>
      </c>
      <c r="E62" s="109">
        <f ca="1">IF(表2_367162629303891213141523242526272831[[#This Row],[累计净值]]/MAX(INDIRECT("B21:B" &amp; ROW()))-1&lt;E61,表2_367162629303891213141523242526272831[[#This Row],[累计净值]]/MAX(INDIRECT("B21:B" &amp; ROW()))-1,E61)</f>
        <v>-6.2552516104937839E-3</v>
      </c>
      <c r="F62" s="110">
        <f>表2_367162629303891213141523242526272831[[#This Row],[累计净值]]-0.0738</f>
        <v>1.0246999999999999</v>
      </c>
      <c r="G62" s="20">
        <f>表2_367162629303891213141523242526272831[[#This Row],[累计净值]]/$B$21-1</f>
        <v>2.5581178227989998E-2</v>
      </c>
    </row>
    <row r="63" spans="1:7">
      <c r="A63" s="15">
        <v>44210</v>
      </c>
      <c r="B63" s="112"/>
      <c r="C63" s="108">
        <f t="shared" ref="C63:C92" si="13">IFERROR(B63-B62,0)</f>
        <v>-1.0985</v>
      </c>
      <c r="D63" s="109">
        <f t="shared" ref="D63:D92" si="14">IF(C63&lt;0,C63,"/")</f>
        <v>-1.0985</v>
      </c>
      <c r="E63" s="109">
        <f ca="1">IF(表2_367162629303891213141523242526272831[[#This Row],[累计净值]]/MAX(INDIRECT("B21:B" &amp; ROW()))-1&lt;E62,表2_367162629303891213141523242526272831[[#This Row],[累计净值]]/MAX(INDIRECT("B21:B" &amp; ROW()))-1,E62)</f>
        <v>-1</v>
      </c>
      <c r="F63" s="110">
        <f>表2_367162629303891213141523242526272831[[#This Row],[累计净值]]-0.0738</f>
        <v>-7.3800000000000004E-2</v>
      </c>
      <c r="G63" s="118"/>
    </row>
    <row r="64" spans="1:7">
      <c r="A64" s="15">
        <v>44211</v>
      </c>
      <c r="B64" s="112"/>
      <c r="C64" s="108">
        <f t="shared" si="13"/>
        <v>0</v>
      </c>
      <c r="D64" s="109" t="str">
        <f t="shared" si="14"/>
        <v>/</v>
      </c>
      <c r="E64" s="109">
        <f ca="1">IF(表2_367162629303891213141523242526272831[[#This Row],[累计净值]]/MAX(INDIRECT("B21:B" &amp; ROW()))-1&lt;E63,表2_367162629303891213141523242526272831[[#This Row],[累计净值]]/MAX(INDIRECT("B21:B" &amp; ROW()))-1,E63)</f>
        <v>-1</v>
      </c>
      <c r="F64" s="110">
        <f>表2_367162629303891213141523242526272831[[#This Row],[累计净值]]-0.0738</f>
        <v>-7.3800000000000004E-2</v>
      </c>
      <c r="G64" s="118"/>
    </row>
    <row r="65" spans="1:7">
      <c r="A65" s="15">
        <v>44214</v>
      </c>
      <c r="B65" s="112"/>
      <c r="C65" s="108">
        <f t="shared" si="13"/>
        <v>0</v>
      </c>
      <c r="D65" s="109" t="str">
        <f t="shared" si="14"/>
        <v>/</v>
      </c>
      <c r="E65" s="109">
        <f ca="1">IF(表2_367162629303891213141523242526272831[[#This Row],[累计净值]]/MAX(INDIRECT("B21:B" &amp; ROW()))-1&lt;E64,表2_367162629303891213141523242526272831[[#This Row],[累计净值]]/MAX(INDIRECT("B21:B" &amp; ROW()))-1,E64)</f>
        <v>-1</v>
      </c>
      <c r="F65" s="110">
        <f>表2_367162629303891213141523242526272831[[#This Row],[累计净值]]-0.0738</f>
        <v>-7.3800000000000004E-2</v>
      </c>
      <c r="G65" s="118"/>
    </row>
    <row r="66" spans="1:7">
      <c r="A66" s="15">
        <v>44215</v>
      </c>
      <c r="B66" s="112"/>
      <c r="C66" s="108">
        <f t="shared" si="13"/>
        <v>0</v>
      </c>
      <c r="D66" s="109" t="str">
        <f t="shared" si="14"/>
        <v>/</v>
      </c>
      <c r="E66" s="109">
        <f ca="1">IF(表2_367162629303891213141523242526272831[[#This Row],[累计净值]]/MAX(INDIRECT("B21:B" &amp; ROW()))-1&lt;E65,表2_367162629303891213141523242526272831[[#This Row],[累计净值]]/MAX(INDIRECT("B21:B" &amp; ROW()))-1,E65)</f>
        <v>-1</v>
      </c>
      <c r="F66" s="110">
        <f>表2_367162629303891213141523242526272831[[#This Row],[累计净值]]-0.0738</f>
        <v>-7.3800000000000004E-2</v>
      </c>
      <c r="G66" s="118"/>
    </row>
    <row r="67" spans="1:7">
      <c r="A67" s="15">
        <v>44216</v>
      </c>
      <c r="B67" s="112"/>
      <c r="C67" s="108">
        <f t="shared" si="13"/>
        <v>0</v>
      </c>
      <c r="D67" s="109" t="str">
        <f t="shared" si="14"/>
        <v>/</v>
      </c>
      <c r="E67" s="109">
        <f ca="1">IF(表2_367162629303891213141523242526272831[[#This Row],[累计净值]]/MAX(INDIRECT("B21:B" &amp; ROW()))-1&lt;E66,表2_367162629303891213141523242526272831[[#This Row],[累计净值]]/MAX(INDIRECT("B21:B" &amp; ROW()))-1,E66)</f>
        <v>-1</v>
      </c>
      <c r="F67" s="110">
        <f>表2_367162629303891213141523242526272831[[#This Row],[累计净值]]-0.0738</f>
        <v>-7.3800000000000004E-2</v>
      </c>
      <c r="G67" s="118"/>
    </row>
    <row r="68" spans="1:7">
      <c r="A68" s="15">
        <v>44217</v>
      </c>
      <c r="B68" s="112"/>
      <c r="C68" s="108">
        <f t="shared" si="13"/>
        <v>0</v>
      </c>
      <c r="D68" s="109" t="str">
        <f t="shared" si="14"/>
        <v>/</v>
      </c>
      <c r="E68" s="109">
        <f ca="1">IF(表2_367162629303891213141523242526272831[[#This Row],[累计净值]]/MAX(INDIRECT("B21:B" &amp; ROW()))-1&lt;E67,表2_367162629303891213141523242526272831[[#This Row],[累计净值]]/MAX(INDIRECT("B21:B" &amp; ROW()))-1,E67)</f>
        <v>-1</v>
      </c>
      <c r="F68" s="110">
        <f>表2_367162629303891213141523242526272831[[#This Row],[累计净值]]-0.0738</f>
        <v>-7.3800000000000004E-2</v>
      </c>
      <c r="G68" s="118"/>
    </row>
    <row r="69" spans="1:7">
      <c r="A69" s="15">
        <v>44218</v>
      </c>
      <c r="B69" s="112"/>
      <c r="C69" s="108">
        <f t="shared" si="13"/>
        <v>0</v>
      </c>
      <c r="D69" s="109" t="str">
        <f t="shared" si="14"/>
        <v>/</v>
      </c>
      <c r="E69" s="109">
        <f ca="1">IF(表2_367162629303891213141523242526272831[[#This Row],[累计净值]]/MAX(INDIRECT("B21:B" &amp; ROW()))-1&lt;E68,表2_367162629303891213141523242526272831[[#This Row],[累计净值]]/MAX(INDIRECT("B21:B" &amp; ROW()))-1,E68)</f>
        <v>-1</v>
      </c>
      <c r="F69" s="110">
        <f>表2_367162629303891213141523242526272831[[#This Row],[累计净值]]-0.0738</f>
        <v>-7.3800000000000004E-2</v>
      </c>
      <c r="G69" s="118"/>
    </row>
    <row r="70" spans="1:7">
      <c r="A70" s="15">
        <v>44221</v>
      </c>
      <c r="B70" s="112"/>
      <c r="C70" s="108">
        <f t="shared" si="13"/>
        <v>0</v>
      </c>
      <c r="D70" s="109" t="str">
        <f t="shared" si="14"/>
        <v>/</v>
      </c>
      <c r="E70" s="109">
        <f ca="1">IF(表2_367162629303891213141523242526272831[[#This Row],[累计净值]]/MAX(INDIRECT("B21:B" &amp; ROW()))-1&lt;E69,表2_367162629303891213141523242526272831[[#This Row],[累计净值]]/MAX(INDIRECT("B21:B" &amp; ROW()))-1,E69)</f>
        <v>-1</v>
      </c>
      <c r="F70" s="110">
        <f>表2_367162629303891213141523242526272831[[#This Row],[累计净值]]-0.0738</f>
        <v>-7.3800000000000004E-2</v>
      </c>
      <c r="G70" s="118"/>
    </row>
    <row r="71" spans="1:7">
      <c r="A71" s="15">
        <v>44222</v>
      </c>
      <c r="B71" s="112"/>
      <c r="C71" s="108">
        <f t="shared" si="13"/>
        <v>0</v>
      </c>
      <c r="D71" s="109" t="str">
        <f t="shared" si="14"/>
        <v>/</v>
      </c>
      <c r="E71" s="109">
        <f ca="1">IF(表2_367162629303891213141523242526272831[[#This Row],[累计净值]]/MAX(INDIRECT("B21:B" &amp; ROW()))-1&lt;E70,表2_367162629303891213141523242526272831[[#This Row],[累计净值]]/MAX(INDIRECT("B21:B" &amp; ROW()))-1,E70)</f>
        <v>-1</v>
      </c>
      <c r="F71" s="110">
        <f>表2_367162629303891213141523242526272831[[#This Row],[累计净值]]-0.0738</f>
        <v>-7.3800000000000004E-2</v>
      </c>
      <c r="G71" s="118"/>
    </row>
    <row r="72" spans="1:7">
      <c r="A72" s="15">
        <v>44223</v>
      </c>
      <c r="B72" s="112"/>
      <c r="C72" s="108">
        <f t="shared" si="13"/>
        <v>0</v>
      </c>
      <c r="D72" s="109" t="str">
        <f t="shared" si="14"/>
        <v>/</v>
      </c>
      <c r="E72" s="109">
        <f ca="1">IF(表2_367162629303891213141523242526272831[[#This Row],[累计净值]]/MAX(INDIRECT("B21:B" &amp; ROW()))-1&lt;E71,表2_367162629303891213141523242526272831[[#This Row],[累计净值]]/MAX(INDIRECT("B21:B" &amp; ROW()))-1,E71)</f>
        <v>-1</v>
      </c>
      <c r="F72" s="110">
        <f>表2_367162629303891213141523242526272831[[#This Row],[累计净值]]-0.0738</f>
        <v>-7.3800000000000004E-2</v>
      </c>
      <c r="G72" s="118"/>
    </row>
    <row r="73" spans="1:7">
      <c r="A73" s="15">
        <v>44224</v>
      </c>
      <c r="B73" s="112"/>
      <c r="C73" s="108">
        <f t="shared" si="13"/>
        <v>0</v>
      </c>
      <c r="D73" s="109" t="str">
        <f t="shared" si="14"/>
        <v>/</v>
      </c>
      <c r="E73" s="109">
        <f ca="1">IF(表2_367162629303891213141523242526272831[[#This Row],[累计净值]]/MAX(INDIRECT("B21:B" &amp; ROW()))-1&lt;E72,表2_367162629303891213141523242526272831[[#This Row],[累计净值]]/MAX(INDIRECT("B21:B" &amp; ROW()))-1,E72)</f>
        <v>-1</v>
      </c>
      <c r="F73" s="110">
        <f>表2_367162629303891213141523242526272831[[#This Row],[累计净值]]-0.0738</f>
        <v>-7.3800000000000004E-2</v>
      </c>
      <c r="G73" s="118"/>
    </row>
    <row r="74" spans="1:7">
      <c r="A74" s="15">
        <v>44225</v>
      </c>
      <c r="B74" s="112"/>
      <c r="C74" s="108">
        <f t="shared" si="13"/>
        <v>0</v>
      </c>
      <c r="D74" s="109" t="str">
        <f t="shared" si="14"/>
        <v>/</v>
      </c>
      <c r="E74" s="109">
        <f ca="1">IF(表2_367162629303891213141523242526272831[[#This Row],[累计净值]]/MAX(INDIRECT("B21:B" &amp; ROW()))-1&lt;E73,表2_367162629303891213141523242526272831[[#This Row],[累计净值]]/MAX(INDIRECT("B21:B" &amp; ROW()))-1,E73)</f>
        <v>-1</v>
      </c>
      <c r="F74" s="110">
        <f>表2_367162629303891213141523242526272831[[#This Row],[累计净值]]-0.0738</f>
        <v>-7.3800000000000004E-2</v>
      </c>
      <c r="G74" s="118"/>
    </row>
    <row r="75" spans="1:7">
      <c r="A75" s="15">
        <v>44228</v>
      </c>
      <c r="B75" s="112"/>
      <c r="C75" s="108">
        <f t="shared" si="13"/>
        <v>0</v>
      </c>
      <c r="D75" s="109" t="str">
        <f t="shared" si="14"/>
        <v>/</v>
      </c>
      <c r="E75" s="109">
        <f ca="1">IF(表2_367162629303891213141523242526272831[[#This Row],[累计净值]]/MAX(INDIRECT("B21:B" &amp; ROW()))-1&lt;E74,表2_367162629303891213141523242526272831[[#This Row],[累计净值]]/MAX(INDIRECT("B21:B" &amp; ROW()))-1,E74)</f>
        <v>-1</v>
      </c>
      <c r="F75" s="110">
        <f>表2_367162629303891213141523242526272831[[#This Row],[累计净值]]-0.0738</f>
        <v>-7.3800000000000004E-2</v>
      </c>
      <c r="G75" s="118"/>
    </row>
    <row r="76" spans="1:7">
      <c r="A76" s="15">
        <v>44229</v>
      </c>
      <c r="B76" s="112"/>
      <c r="C76" s="108">
        <f t="shared" si="13"/>
        <v>0</v>
      </c>
      <c r="D76" s="109" t="str">
        <f t="shared" si="14"/>
        <v>/</v>
      </c>
      <c r="E76" s="109">
        <f ca="1">IF(表2_367162629303891213141523242526272831[[#This Row],[累计净值]]/MAX(INDIRECT("B21:B" &amp; ROW()))-1&lt;E75,表2_367162629303891213141523242526272831[[#This Row],[累计净值]]/MAX(INDIRECT("B21:B" &amp; ROW()))-1,E75)</f>
        <v>-1</v>
      </c>
      <c r="F76" s="110">
        <f>表2_367162629303891213141523242526272831[[#This Row],[累计净值]]-0.0738</f>
        <v>-7.3800000000000004E-2</v>
      </c>
      <c r="G76" s="118"/>
    </row>
    <row r="77" spans="1:7">
      <c r="A77" s="15">
        <v>44230</v>
      </c>
      <c r="B77" s="112"/>
      <c r="C77" s="108">
        <f t="shared" si="13"/>
        <v>0</v>
      </c>
      <c r="D77" s="109" t="str">
        <f t="shared" si="14"/>
        <v>/</v>
      </c>
      <c r="E77" s="109">
        <f ca="1">IF(表2_367162629303891213141523242526272831[[#This Row],[累计净值]]/MAX(INDIRECT("B21:B" &amp; ROW()))-1&lt;E76,表2_367162629303891213141523242526272831[[#This Row],[累计净值]]/MAX(INDIRECT("B21:B" &amp; ROW()))-1,E76)</f>
        <v>-1</v>
      </c>
      <c r="F77" s="110">
        <f>表2_367162629303891213141523242526272831[[#This Row],[累计净值]]-0.0738</f>
        <v>-7.3800000000000004E-2</v>
      </c>
      <c r="G77" s="118"/>
    </row>
    <row r="78" spans="1:7">
      <c r="A78" s="15">
        <v>44231</v>
      </c>
      <c r="B78" s="112"/>
      <c r="C78" s="108">
        <f t="shared" si="13"/>
        <v>0</v>
      </c>
      <c r="D78" s="109" t="str">
        <f t="shared" si="14"/>
        <v>/</v>
      </c>
      <c r="E78" s="109">
        <f ca="1">IF(表2_367162629303891213141523242526272831[[#This Row],[累计净值]]/MAX(INDIRECT("B21:B" &amp; ROW()))-1&lt;E77,表2_367162629303891213141523242526272831[[#This Row],[累计净值]]/MAX(INDIRECT("B21:B" &amp; ROW()))-1,E77)</f>
        <v>-1</v>
      </c>
      <c r="F78" s="110">
        <f>表2_367162629303891213141523242526272831[[#This Row],[累计净值]]-0.0738</f>
        <v>-7.3800000000000004E-2</v>
      </c>
      <c r="G78" s="118"/>
    </row>
    <row r="79" spans="1:7">
      <c r="A79" s="15">
        <v>44232</v>
      </c>
      <c r="B79" s="112"/>
      <c r="C79" s="108">
        <f t="shared" si="13"/>
        <v>0</v>
      </c>
      <c r="D79" s="109" t="str">
        <f t="shared" si="14"/>
        <v>/</v>
      </c>
      <c r="E79" s="109">
        <f ca="1">IF(表2_367162629303891213141523242526272831[[#This Row],[累计净值]]/MAX(INDIRECT("B21:B" &amp; ROW()))-1&lt;E78,表2_367162629303891213141523242526272831[[#This Row],[累计净值]]/MAX(INDIRECT("B21:B" &amp; ROW()))-1,E78)</f>
        <v>-1</v>
      </c>
      <c r="F79" s="110">
        <f>表2_367162629303891213141523242526272831[[#This Row],[累计净值]]-0.0738</f>
        <v>-7.3800000000000004E-2</v>
      </c>
      <c r="G79" s="118"/>
    </row>
    <row r="80" spans="1:7">
      <c r="A80" s="15">
        <v>44235</v>
      </c>
      <c r="B80" s="112"/>
      <c r="C80" s="108">
        <f t="shared" si="13"/>
        <v>0</v>
      </c>
      <c r="D80" s="109" t="str">
        <f t="shared" si="14"/>
        <v>/</v>
      </c>
      <c r="E80" s="109">
        <f ca="1">IF(表2_367162629303891213141523242526272831[[#This Row],[累计净值]]/MAX(INDIRECT("B21:B" &amp; ROW()))-1&lt;E79,表2_367162629303891213141523242526272831[[#This Row],[累计净值]]/MAX(INDIRECT("B21:B" &amp; ROW()))-1,E79)</f>
        <v>-1</v>
      </c>
      <c r="F80" s="110">
        <f>表2_367162629303891213141523242526272831[[#This Row],[累计净值]]-0.0738</f>
        <v>-7.3800000000000004E-2</v>
      </c>
      <c r="G80" s="118"/>
    </row>
    <row r="81" spans="1:7">
      <c r="A81" s="15">
        <v>44236</v>
      </c>
      <c r="B81" s="112"/>
      <c r="C81" s="108">
        <f t="shared" si="13"/>
        <v>0</v>
      </c>
      <c r="D81" s="109" t="str">
        <f t="shared" si="14"/>
        <v>/</v>
      </c>
      <c r="E81" s="109">
        <f ca="1">IF(表2_367162629303891213141523242526272831[[#This Row],[累计净值]]/MAX(INDIRECT("B21:B" &amp; ROW()))-1&lt;E80,表2_367162629303891213141523242526272831[[#This Row],[累计净值]]/MAX(INDIRECT("B21:B" &amp; ROW()))-1,E80)</f>
        <v>-1</v>
      </c>
      <c r="F81" s="110">
        <f>表2_367162629303891213141523242526272831[[#This Row],[累计净值]]-0.0738</f>
        <v>-7.3800000000000004E-2</v>
      </c>
      <c r="G81" s="118"/>
    </row>
    <row r="82" spans="1:7">
      <c r="A82" s="15">
        <v>44237</v>
      </c>
      <c r="B82" s="112"/>
      <c r="C82" s="108">
        <f t="shared" si="13"/>
        <v>0</v>
      </c>
      <c r="D82" s="109" t="str">
        <f t="shared" si="14"/>
        <v>/</v>
      </c>
      <c r="E82" s="109">
        <f ca="1">IF(表2_367162629303891213141523242526272831[[#This Row],[累计净值]]/MAX(INDIRECT("B21:B" &amp; ROW()))-1&lt;E81,表2_367162629303891213141523242526272831[[#This Row],[累计净值]]/MAX(INDIRECT("B21:B" &amp; ROW()))-1,E81)</f>
        <v>-1</v>
      </c>
      <c r="F82" s="110">
        <f>表2_367162629303891213141523242526272831[[#This Row],[累计净值]]-0.0738</f>
        <v>-7.3800000000000004E-2</v>
      </c>
      <c r="G82" s="118"/>
    </row>
    <row r="83" spans="1:7">
      <c r="A83" s="15">
        <v>44245</v>
      </c>
      <c r="B83" s="112"/>
      <c r="C83" s="108">
        <f t="shared" si="13"/>
        <v>0</v>
      </c>
      <c r="D83" s="109" t="str">
        <f t="shared" si="14"/>
        <v>/</v>
      </c>
      <c r="E83" s="109">
        <f ca="1">IF(表2_367162629303891213141523242526272831[[#This Row],[累计净值]]/MAX(INDIRECT("B21:B" &amp; ROW()))-1&lt;E82,表2_367162629303891213141523242526272831[[#This Row],[累计净值]]/MAX(INDIRECT("B21:B" &amp; ROW()))-1,E82)</f>
        <v>-1</v>
      </c>
      <c r="F83" s="110">
        <f>表2_367162629303891213141523242526272831[[#This Row],[累计净值]]-0.0738</f>
        <v>-7.3800000000000004E-2</v>
      </c>
      <c r="G83" s="118"/>
    </row>
    <row r="84" spans="1:7">
      <c r="A84" s="15">
        <v>44246</v>
      </c>
      <c r="B84" s="112"/>
      <c r="C84" s="108">
        <f t="shared" si="13"/>
        <v>0</v>
      </c>
      <c r="D84" s="109" t="str">
        <f t="shared" si="14"/>
        <v>/</v>
      </c>
      <c r="E84" s="109">
        <f ca="1">IF(表2_367162629303891213141523242526272831[[#This Row],[累计净值]]/MAX(INDIRECT("B21:B" &amp; ROW()))-1&lt;E83,表2_367162629303891213141523242526272831[[#This Row],[累计净值]]/MAX(INDIRECT("B21:B" &amp; ROW()))-1,E83)</f>
        <v>-1</v>
      </c>
      <c r="F84" s="110">
        <f>表2_367162629303891213141523242526272831[[#This Row],[累计净值]]-0.0738</f>
        <v>-7.3800000000000004E-2</v>
      </c>
      <c r="G84" s="118"/>
    </row>
    <row r="85" spans="1:7">
      <c r="A85" s="15">
        <v>44249</v>
      </c>
      <c r="B85" s="112"/>
      <c r="C85" s="108">
        <f t="shared" si="13"/>
        <v>0</v>
      </c>
      <c r="D85" s="109" t="str">
        <f t="shared" si="14"/>
        <v>/</v>
      </c>
      <c r="E85" s="109">
        <f ca="1">IF(表2_367162629303891213141523242526272831[[#This Row],[累计净值]]/MAX(INDIRECT("B21:B" &amp; ROW()))-1&lt;E84,表2_367162629303891213141523242526272831[[#This Row],[累计净值]]/MAX(INDIRECT("B21:B" &amp; ROW()))-1,E84)</f>
        <v>-1</v>
      </c>
      <c r="F85" s="110">
        <f>表2_367162629303891213141523242526272831[[#This Row],[累计净值]]-0.0738</f>
        <v>-7.3800000000000004E-2</v>
      </c>
      <c r="G85" s="118"/>
    </row>
    <row r="86" spans="1:7">
      <c r="A86" s="15">
        <v>44250</v>
      </c>
      <c r="B86" s="112"/>
      <c r="C86" s="108">
        <f t="shared" si="13"/>
        <v>0</v>
      </c>
      <c r="D86" s="109" t="str">
        <f t="shared" si="14"/>
        <v>/</v>
      </c>
      <c r="E86" s="109">
        <f ca="1">IF(表2_367162629303891213141523242526272831[[#This Row],[累计净值]]/MAX(INDIRECT("B21:B" &amp; ROW()))-1&lt;E85,表2_367162629303891213141523242526272831[[#This Row],[累计净值]]/MAX(INDIRECT("B21:B" &amp; ROW()))-1,E85)</f>
        <v>-1</v>
      </c>
      <c r="F86" s="110">
        <f>表2_367162629303891213141523242526272831[[#This Row],[累计净值]]-0.0738</f>
        <v>-7.3800000000000004E-2</v>
      </c>
      <c r="G86" s="118"/>
    </row>
    <row r="87" spans="1:7">
      <c r="A87" s="15">
        <v>44251</v>
      </c>
      <c r="B87" s="112"/>
      <c r="C87" s="108">
        <f t="shared" si="13"/>
        <v>0</v>
      </c>
      <c r="D87" s="109" t="str">
        <f t="shared" si="14"/>
        <v>/</v>
      </c>
      <c r="E87" s="109">
        <f ca="1">IF(表2_367162629303891213141523242526272831[[#This Row],[累计净值]]/MAX(INDIRECT("B21:B" &amp; ROW()))-1&lt;E86,表2_367162629303891213141523242526272831[[#This Row],[累计净值]]/MAX(INDIRECT("B21:B" &amp; ROW()))-1,E86)</f>
        <v>-1</v>
      </c>
      <c r="F87" s="110">
        <f>表2_367162629303891213141523242526272831[[#This Row],[累计净值]]-0.0738</f>
        <v>-7.3800000000000004E-2</v>
      </c>
      <c r="G87" s="118"/>
    </row>
    <row r="88" spans="1:7">
      <c r="A88" s="15">
        <v>44252</v>
      </c>
      <c r="B88" s="112"/>
      <c r="C88" s="108">
        <f t="shared" si="13"/>
        <v>0</v>
      </c>
      <c r="D88" s="109" t="str">
        <f t="shared" si="14"/>
        <v>/</v>
      </c>
      <c r="E88" s="109">
        <f ca="1">IF(表2_367162629303891213141523242526272831[[#This Row],[累计净值]]/MAX(INDIRECT("B21:B" &amp; ROW()))-1&lt;E87,表2_367162629303891213141523242526272831[[#This Row],[累计净值]]/MAX(INDIRECT("B21:B" &amp; ROW()))-1,E87)</f>
        <v>-1</v>
      </c>
      <c r="F88" s="110">
        <f>表2_367162629303891213141523242526272831[[#This Row],[累计净值]]-0.0738</f>
        <v>-7.3800000000000004E-2</v>
      </c>
      <c r="G88" s="118"/>
    </row>
    <row r="89" spans="1:7">
      <c r="A89" s="15">
        <v>44253</v>
      </c>
      <c r="B89" s="112"/>
      <c r="C89" s="108">
        <f t="shared" si="13"/>
        <v>0</v>
      </c>
      <c r="D89" s="109" t="str">
        <f t="shared" si="14"/>
        <v>/</v>
      </c>
      <c r="E89" s="109">
        <f ca="1">IF(表2_367162629303891213141523242526272831[[#This Row],[累计净值]]/MAX(INDIRECT("B21:B" &amp; ROW()))-1&lt;E88,表2_367162629303891213141523242526272831[[#This Row],[累计净值]]/MAX(INDIRECT("B21:B" &amp; ROW()))-1,E88)</f>
        <v>-1</v>
      </c>
      <c r="F89" s="110">
        <f>表2_367162629303891213141523242526272831[[#This Row],[累计净值]]-0.0738</f>
        <v>-7.3800000000000004E-2</v>
      </c>
      <c r="G89" s="118"/>
    </row>
    <row r="90" spans="1:7">
      <c r="A90" s="15">
        <v>44256</v>
      </c>
      <c r="B90" s="112">
        <v>1.1440999999999999</v>
      </c>
      <c r="C90" s="108">
        <f t="shared" si="13"/>
        <v>1.1440999999999999</v>
      </c>
      <c r="D90" s="109" t="str">
        <f t="shared" si="14"/>
        <v>/</v>
      </c>
      <c r="E90" s="109">
        <f ca="1">IF(表2_367162629303891213141523242526272831[[#This Row],[累计净值]]/MAX(INDIRECT("B21:B" &amp; ROW()))-1&lt;E89,表2_367162629303891213141523242526272831[[#This Row],[累计净值]]/MAX(INDIRECT("B21:B" &amp; ROW()))-1,E89)</f>
        <v>-1</v>
      </c>
      <c r="F90" s="110">
        <f>表2_367162629303891213141523242526272831[[#This Row],[累计净值]]-0.0738</f>
        <v>1.0702999999999998</v>
      </c>
      <c r="G90" s="118"/>
    </row>
    <row r="91" spans="1:7">
      <c r="A91" s="15">
        <v>44257</v>
      </c>
      <c r="B91" s="112">
        <v>1.1440999999999999</v>
      </c>
      <c r="C91" s="108">
        <f t="shared" si="13"/>
        <v>0</v>
      </c>
      <c r="D91" s="109" t="str">
        <f t="shared" si="14"/>
        <v>/</v>
      </c>
      <c r="E91" s="109">
        <f ca="1">IF(表2_367162629303891213141523242526272831[[#This Row],[累计净值]]/MAX(INDIRECT("B21:B" &amp; ROW()))-1&lt;E90,表2_367162629303891213141523242526272831[[#This Row],[累计净值]]/MAX(INDIRECT("B21:B" &amp; ROW()))-1,E90)</f>
        <v>-1</v>
      </c>
      <c r="F91" s="110">
        <f>表2_367162629303891213141523242526272831[[#This Row],[累计净值]]-0.0738</f>
        <v>1.0702999999999998</v>
      </c>
      <c r="G91" s="118"/>
    </row>
    <row r="92" spans="1:7">
      <c r="A92" s="15">
        <v>44258</v>
      </c>
      <c r="B92" s="63">
        <v>1.1468</v>
      </c>
      <c r="C92" s="64">
        <f t="shared" si="13"/>
        <v>2.7000000000001467E-3</v>
      </c>
      <c r="D92" s="65" t="str">
        <f t="shared" si="14"/>
        <v>/</v>
      </c>
      <c r="E92" s="65">
        <f ca="1">IF(表2_367162629303891213141523242526272831[[#This Row],[累计净值]]/MAX(INDIRECT("B21:B" &amp; ROW()))-1&lt;E91,表2_367162629303891213141523242526272831[[#This Row],[累计净值]]/MAX(INDIRECT("B21:B" &amp; ROW()))-1,E91)</f>
        <v>-1</v>
      </c>
      <c r="F92" s="66">
        <f>表2_367162629303891213141523242526272831[[#This Row],[累计净值]]-0.0738</f>
        <v>1.073</v>
      </c>
      <c r="G92" s="229"/>
    </row>
    <row r="93" spans="1:7">
      <c r="A93" s="15">
        <v>44259</v>
      </c>
      <c r="B93" s="112">
        <v>1.1520999999999999</v>
      </c>
      <c r="C93" s="108">
        <f t="shared" ref="C93:C99" si="15">IFERROR(B93-B92,0)</f>
        <v>5.2999999999998604E-3</v>
      </c>
      <c r="D93" s="109" t="str">
        <f t="shared" ref="D93:D99" si="16">IF(C93&lt;0,C93,"/")</f>
        <v>/</v>
      </c>
      <c r="E93" s="109">
        <f ca="1">IF(表2_367162629303891213141523242526272831[[#This Row],[累计净值]]/MAX(INDIRECT("B21:B" &amp; ROW()))-1&lt;E92,表2_367162629303891213141523242526272831[[#This Row],[累计净值]]/MAX(INDIRECT("B21:B" &amp; ROW()))-1,E92)</f>
        <v>-1</v>
      </c>
      <c r="F93" s="110">
        <f>表2_367162629303891213141523242526272831[[#This Row],[累计净值]]-0.0738</f>
        <v>1.0782999999999998</v>
      </c>
      <c r="G93" s="118"/>
    </row>
    <row r="94" spans="1:7">
      <c r="A94" s="15">
        <v>44260</v>
      </c>
      <c r="B94" s="112">
        <v>1.1545000000000001</v>
      </c>
      <c r="C94" s="108">
        <f t="shared" si="15"/>
        <v>2.4000000000001798E-3</v>
      </c>
      <c r="D94" s="109" t="str">
        <f t="shared" si="16"/>
        <v>/</v>
      </c>
      <c r="E94" s="109">
        <f ca="1">IF(表2_367162629303891213141523242526272831[[#This Row],[累计净值]]/MAX(INDIRECT("B21:B" &amp; ROW()))-1&lt;E93,表2_367162629303891213141523242526272831[[#This Row],[累计净值]]/MAX(INDIRECT("B21:B" &amp; ROW()))-1,E93)</f>
        <v>-1</v>
      </c>
      <c r="F94" s="110">
        <f>表2_367162629303891213141523242526272831[[#This Row],[累计净值]]-0.0738</f>
        <v>1.0807</v>
      </c>
      <c r="G94" s="118"/>
    </row>
    <row r="95" spans="1:7">
      <c r="A95" s="15">
        <v>44263</v>
      </c>
      <c r="B95" s="112">
        <v>1.1600999999999999</v>
      </c>
      <c r="C95" s="108">
        <f t="shared" si="15"/>
        <v>5.5999999999998273E-3</v>
      </c>
      <c r="D95" s="109" t="str">
        <f t="shared" si="16"/>
        <v>/</v>
      </c>
      <c r="E95" s="109">
        <f ca="1">IF(表2_367162629303891213141523242526272831[[#This Row],[累计净值]]/MAX(INDIRECT("B21:B" &amp; ROW()))-1&lt;E94,表2_367162629303891213141523242526272831[[#This Row],[累计净值]]/MAX(INDIRECT("B21:B" &amp; ROW()))-1,E94)</f>
        <v>-1</v>
      </c>
      <c r="F95" s="110">
        <f>表2_367162629303891213141523242526272831[[#This Row],[累计净值]]-0.0738</f>
        <v>1.0862999999999998</v>
      </c>
      <c r="G95" s="118"/>
    </row>
    <row r="96" spans="1:7">
      <c r="A96" s="15">
        <v>44264</v>
      </c>
      <c r="B96" s="112">
        <v>1.1567000000000001</v>
      </c>
      <c r="C96" s="108">
        <f t="shared" si="15"/>
        <v>-3.3999999999998476E-3</v>
      </c>
      <c r="D96" s="109">
        <f t="shared" si="16"/>
        <v>-3.3999999999998476E-3</v>
      </c>
      <c r="E96" s="109">
        <f ca="1">IF(表2_367162629303891213141523242526272831[[#This Row],[累计净值]]/MAX(INDIRECT("B21:B" &amp; ROW()))-1&lt;E95,表2_367162629303891213141523242526272831[[#This Row],[累计净值]]/MAX(INDIRECT("B21:B" &amp; ROW()))-1,E95)</f>
        <v>-1</v>
      </c>
      <c r="F96" s="110">
        <f>表2_367162629303891213141523242526272831[[#This Row],[累计净值]]-0.0738</f>
        <v>1.0829</v>
      </c>
      <c r="G96" s="118"/>
    </row>
    <row r="97" spans="1:11">
      <c r="A97" s="15">
        <v>44265</v>
      </c>
      <c r="B97" s="112">
        <v>1.1545000000000001</v>
      </c>
      <c r="C97" s="108">
        <f t="shared" si="15"/>
        <v>-2.1999999999999797E-3</v>
      </c>
      <c r="D97" s="109">
        <f t="shared" si="16"/>
        <v>-2.1999999999999797E-3</v>
      </c>
      <c r="E97" s="109">
        <f ca="1">IF(表2_367162629303891213141523242526272831[[#This Row],[累计净值]]/MAX(INDIRECT("B21:B" &amp; ROW()))-1&lt;E96,表2_367162629303891213141523242526272831[[#This Row],[累计净值]]/MAX(INDIRECT("B21:B" &amp; ROW()))-1,E96)</f>
        <v>-1</v>
      </c>
      <c r="F97" s="110">
        <f>表2_367162629303891213141523242526272831[[#This Row],[累计净值]]-0.0738</f>
        <v>1.0807</v>
      </c>
      <c r="G97" s="118"/>
    </row>
    <row r="98" spans="1:11">
      <c r="A98" s="15">
        <v>44266</v>
      </c>
      <c r="B98" s="112">
        <v>1.1563000000000001</v>
      </c>
      <c r="C98" s="108">
        <f t="shared" si="15"/>
        <v>1.8000000000000238E-3</v>
      </c>
      <c r="D98" s="109" t="str">
        <f t="shared" si="16"/>
        <v>/</v>
      </c>
      <c r="E98" s="109">
        <f ca="1">IF(表2_367162629303891213141523242526272831[[#This Row],[累计净值]]/MAX(INDIRECT("B21:B" &amp; ROW()))-1&lt;E97,表2_367162629303891213141523242526272831[[#This Row],[累计净值]]/MAX(INDIRECT("B21:B" &amp; ROW()))-1,E97)</f>
        <v>-1</v>
      </c>
      <c r="F98" s="110">
        <f>表2_367162629303891213141523242526272831[[#This Row],[累计净值]]-0.0738</f>
        <v>1.0825</v>
      </c>
      <c r="G98" s="118"/>
    </row>
    <row r="99" spans="1:11">
      <c r="A99" s="15">
        <v>44267</v>
      </c>
      <c r="B99" s="112">
        <v>1.1559999999999999</v>
      </c>
      <c r="C99" s="108">
        <f t="shared" si="15"/>
        <v>-3.00000000000189E-4</v>
      </c>
      <c r="D99" s="109">
        <f t="shared" si="16"/>
        <v>-3.00000000000189E-4</v>
      </c>
      <c r="E99" s="109">
        <f ca="1">IF(表2_367162629303891213141523242526272831[[#This Row],[累计净值]]/MAX(INDIRECT("B21:B" &amp; ROW()))-1&lt;E98,表2_367162629303891213141523242526272831[[#This Row],[累计净值]]/MAX(INDIRECT("B21:B" &amp; ROW()))-1,E98)</f>
        <v>-1</v>
      </c>
      <c r="F99" s="110">
        <f>表2_367162629303891213141523242526272831[[#This Row],[累计净值]]-0.0738</f>
        <v>1.0821999999999998</v>
      </c>
      <c r="G99" s="118"/>
    </row>
    <row r="100" spans="1:11">
      <c r="A100" s="15">
        <v>44270</v>
      </c>
      <c r="B100" s="112">
        <v>1.1529</v>
      </c>
      <c r="C100" s="108">
        <f t="shared" ref="C100:C103" si="17">IFERROR(B100-B99,0)</f>
        <v>-3.0999999999998806E-3</v>
      </c>
      <c r="D100" s="109">
        <f t="shared" ref="D100:D103" si="18">IF(C100&lt;0,C100,"/")</f>
        <v>-3.0999999999998806E-3</v>
      </c>
      <c r="E100" s="109">
        <f ca="1">IF(表2_367162629303891213141523242526272831[[#This Row],[累计净值]]/MAX(INDIRECT("B21:B" &amp; ROW()))-1&lt;E99,表2_367162629303891213141523242526272831[[#This Row],[累计净值]]/MAX(INDIRECT("B21:B" &amp; ROW()))-1,E99)</f>
        <v>-1</v>
      </c>
      <c r="F100" s="110">
        <f>表2_367162629303891213141523242526272831[[#This Row],[累计净值]]-0.0738</f>
        <v>1.0790999999999999</v>
      </c>
      <c r="G100" s="118"/>
      <c r="K100" s="277"/>
    </row>
    <row r="101" spans="1:11">
      <c r="A101" s="15">
        <v>44271</v>
      </c>
      <c r="B101" s="112">
        <v>1.1532</v>
      </c>
      <c r="C101" s="108">
        <f t="shared" si="17"/>
        <v>2.9999999999996696E-4</v>
      </c>
      <c r="D101" s="109" t="str">
        <f t="shared" si="18"/>
        <v>/</v>
      </c>
      <c r="E101" s="109">
        <f ca="1">IF(表2_367162629303891213141523242526272831[[#This Row],[累计净值]]/MAX(INDIRECT("B21:B" &amp; ROW()))-1&lt;E100,表2_367162629303891213141523242526272831[[#This Row],[累计净值]]/MAX(INDIRECT("B21:B" &amp; ROW()))-1,E100)</f>
        <v>-1</v>
      </c>
      <c r="F101" s="110">
        <f>表2_367162629303891213141523242526272831[[#This Row],[累计净值]]-0.0738</f>
        <v>1.0793999999999999</v>
      </c>
      <c r="G101" s="118"/>
    </row>
    <row r="102" spans="1:11">
      <c r="A102" s="15">
        <v>44272</v>
      </c>
      <c r="B102" s="112">
        <v>1.1547000000000001</v>
      </c>
      <c r="C102" s="108">
        <f t="shared" si="17"/>
        <v>1.5000000000000568E-3</v>
      </c>
      <c r="D102" s="109" t="str">
        <f t="shared" si="18"/>
        <v>/</v>
      </c>
      <c r="E102" s="109">
        <f ca="1">IF(表2_367162629303891213141523242526272831[[#This Row],[累计净值]]/MAX(INDIRECT("B21:B" &amp; ROW()))-1&lt;E101,表2_367162629303891213141523242526272831[[#This Row],[累计净值]]/MAX(INDIRECT("B21:B" &amp; ROW()))-1,E101)</f>
        <v>-1</v>
      </c>
      <c r="F102" s="110">
        <f>表2_367162629303891213141523242526272831[[#This Row],[累计净值]]-0.0738</f>
        <v>1.0809</v>
      </c>
      <c r="G102" s="118"/>
    </row>
    <row r="103" spans="1:11">
      <c r="A103" s="15">
        <v>44273</v>
      </c>
      <c r="B103" s="112">
        <v>1.1544000000000001</v>
      </c>
      <c r="C103" s="108">
        <f t="shared" si="17"/>
        <v>-2.9999999999996696E-4</v>
      </c>
      <c r="D103" s="109">
        <f t="shared" si="18"/>
        <v>-2.9999999999996696E-4</v>
      </c>
      <c r="E103" s="109">
        <f ca="1">IF(表2_367162629303891213141523242526272831[[#This Row],[累计净值]]/MAX(INDIRECT("B21:B" &amp; ROW()))-1&lt;E102,表2_367162629303891213141523242526272831[[#This Row],[累计净值]]/MAX(INDIRECT("B21:B" &amp; ROW()))-1,E102)</f>
        <v>-1</v>
      </c>
      <c r="F103" s="110">
        <f>表2_367162629303891213141523242526272831[[#This Row],[累计净值]]-0.0738</f>
        <v>1.0806</v>
      </c>
      <c r="G103" s="118"/>
    </row>
    <row r="104" spans="1:11">
      <c r="A104" s="15">
        <v>44274</v>
      </c>
      <c r="B104" s="112">
        <v>1.1581999999999999</v>
      </c>
      <c r="C104" s="108">
        <f t="shared" ref="C104:C107" si="19">IFERROR(B104-B103,0)</f>
        <v>3.7999999999998035E-3</v>
      </c>
      <c r="D104" s="109" t="str">
        <f t="shared" ref="D104:D107" si="20">IF(C104&lt;0,C104,"/")</f>
        <v>/</v>
      </c>
      <c r="E104" s="109">
        <f ca="1">IF(表2_367162629303891213141523242526272831[[#This Row],[累计净值]]/MAX(INDIRECT("B21:B" &amp; ROW()))-1&lt;E103,表2_367162629303891213141523242526272831[[#This Row],[累计净值]]/MAX(INDIRECT("B21:B" &amp; ROW()))-1,E103)</f>
        <v>-1</v>
      </c>
      <c r="F104" s="110">
        <f>表2_367162629303891213141523242526272831[[#This Row],[累计净值]]-0.0738</f>
        <v>1.0843999999999998</v>
      </c>
      <c r="G104" s="118"/>
    </row>
    <row r="105" spans="1:11">
      <c r="A105" s="15">
        <v>44277</v>
      </c>
      <c r="B105" s="112">
        <v>1.1525000000000001</v>
      </c>
      <c r="C105" s="108">
        <f t="shared" si="19"/>
        <v>-5.6999999999998163E-3</v>
      </c>
      <c r="D105" s="109">
        <f t="shared" si="20"/>
        <v>-5.6999999999998163E-3</v>
      </c>
      <c r="E105" s="109">
        <f ca="1">IF(表2_367162629303891213141523242526272831[[#This Row],[累计净值]]/MAX(INDIRECT("B21:B" &amp; ROW()))-1&lt;E104,表2_367162629303891213141523242526272831[[#This Row],[累计净值]]/MAX(INDIRECT("B21:B" &amp; ROW()))-1,E104)</f>
        <v>-1</v>
      </c>
      <c r="F105" s="110">
        <f>表2_367162629303891213141523242526272831[[#This Row],[累计净值]]-0.0738</f>
        <v>1.0787</v>
      </c>
      <c r="G105" s="118"/>
    </row>
    <row r="106" spans="1:11">
      <c r="A106" s="15">
        <v>44278</v>
      </c>
      <c r="B106" s="112">
        <v>1.1488</v>
      </c>
      <c r="C106" s="108">
        <f t="shared" si="19"/>
        <v>-3.7000000000000366E-3</v>
      </c>
      <c r="D106" s="109">
        <f t="shared" si="20"/>
        <v>-3.7000000000000366E-3</v>
      </c>
      <c r="E106" s="109">
        <f ca="1">IF(表2_367162629303891213141523242526272831[[#This Row],[累计净值]]/MAX(INDIRECT("B21:B" &amp; ROW()))-1&lt;E105,表2_367162629303891213141523242526272831[[#This Row],[累计净值]]/MAX(INDIRECT("B21:B" &amp; ROW()))-1,E105)</f>
        <v>-1</v>
      </c>
      <c r="F106" s="110">
        <f>表2_367162629303891213141523242526272831[[#This Row],[累计净值]]-0.0738</f>
        <v>1.075</v>
      </c>
      <c r="G106" s="118"/>
    </row>
    <row r="107" spans="1:11">
      <c r="A107" s="15">
        <v>44279</v>
      </c>
      <c r="B107" s="112">
        <v>1.153</v>
      </c>
      <c r="C107" s="108">
        <f t="shared" si="19"/>
        <v>4.1999999999999815E-3</v>
      </c>
      <c r="D107" s="109" t="str">
        <f t="shared" si="20"/>
        <v>/</v>
      </c>
      <c r="E107" s="109">
        <f ca="1">IF(表2_367162629303891213141523242526272831[[#This Row],[累计净值]]/MAX(INDIRECT("B21:B" &amp; ROW()))-1&lt;E106,表2_367162629303891213141523242526272831[[#This Row],[累计净值]]/MAX(INDIRECT("B21:B" &amp; ROW()))-1,E106)</f>
        <v>-1</v>
      </c>
      <c r="F107" s="110">
        <f>表2_367162629303891213141523242526272831[[#This Row],[累计净值]]-0.0738</f>
        <v>1.0791999999999999</v>
      </c>
      <c r="G107" s="118"/>
    </row>
    <row r="108" spans="1:11">
      <c r="A108" s="15">
        <v>44280</v>
      </c>
      <c r="B108" s="112">
        <v>1.1494</v>
      </c>
      <c r="C108" s="108">
        <f t="shared" ref="C108:C113" si="21">IFERROR(B108-B107,0)</f>
        <v>-3.6000000000000476E-3</v>
      </c>
      <c r="D108" s="109">
        <f t="shared" ref="D108:D113" si="22">IF(C108&lt;0,C108,"/")</f>
        <v>-3.6000000000000476E-3</v>
      </c>
      <c r="E108" s="109">
        <f ca="1">IF(表2_367162629303891213141523242526272831[[#This Row],[累计净值]]/MAX(INDIRECT("B21:B" &amp; ROW()))-1&lt;E107,表2_367162629303891213141523242526272831[[#This Row],[累计净值]]/MAX(INDIRECT("B21:B" &amp; ROW()))-1,E107)</f>
        <v>-1</v>
      </c>
      <c r="F108" s="110">
        <f>表2_367162629303891213141523242526272831[[#This Row],[累计净值]]-0.0738</f>
        <v>1.0755999999999999</v>
      </c>
      <c r="G108" s="118"/>
    </row>
    <row r="109" spans="1:11">
      <c r="A109" s="15">
        <v>44281</v>
      </c>
      <c r="B109" s="112">
        <v>1.149</v>
      </c>
      <c r="C109" s="108">
        <f t="shared" si="21"/>
        <v>-3.9999999999995595E-4</v>
      </c>
      <c r="D109" s="109">
        <f t="shared" si="22"/>
        <v>-3.9999999999995595E-4</v>
      </c>
      <c r="E109" s="109">
        <f ca="1">IF(表2_367162629303891213141523242526272831[[#This Row],[累计净值]]/MAX(INDIRECT("B21:B" &amp; ROW()))-1&lt;E108,表2_367162629303891213141523242526272831[[#This Row],[累计净值]]/MAX(INDIRECT("B21:B" &amp; ROW()))-1,E108)</f>
        <v>-1</v>
      </c>
      <c r="F109" s="110">
        <f>表2_367162629303891213141523242526272831[[#This Row],[累计净值]]-0.0738</f>
        <v>1.0751999999999999</v>
      </c>
      <c r="G109" s="118"/>
    </row>
    <row r="110" spans="1:11">
      <c r="A110" s="15">
        <v>44284</v>
      </c>
      <c r="B110" s="112">
        <v>1.1448</v>
      </c>
      <c r="C110" s="108">
        <f t="shared" si="21"/>
        <v>-4.1999999999999815E-3</v>
      </c>
      <c r="D110" s="109">
        <f t="shared" si="22"/>
        <v>-4.1999999999999815E-3</v>
      </c>
      <c r="E110" s="109">
        <f ca="1">IF(表2_367162629303891213141523242526272831[[#This Row],[累计净值]]/MAX(INDIRECT("B21:B" &amp; ROW()))-1&lt;E109,表2_367162629303891213141523242526272831[[#This Row],[累计净值]]/MAX(INDIRECT("B21:B" &amp; ROW()))-1,E109)</f>
        <v>-1</v>
      </c>
      <c r="F110" s="110">
        <f>表2_367162629303891213141523242526272831[[#This Row],[累计净值]]-0.0738</f>
        <v>1.071</v>
      </c>
      <c r="G110" s="118"/>
    </row>
    <row r="111" spans="1:11">
      <c r="A111" s="15">
        <v>44285</v>
      </c>
      <c r="B111" s="112">
        <v>1.1463000000000001</v>
      </c>
      <c r="C111" s="108">
        <f t="shared" si="21"/>
        <v>1.5000000000000568E-3</v>
      </c>
      <c r="D111" s="109" t="str">
        <f t="shared" si="22"/>
        <v>/</v>
      </c>
      <c r="E111" s="109">
        <f ca="1">IF(表2_367162629303891213141523242526272831[[#This Row],[累计净值]]/MAX(INDIRECT("B21:B" &amp; ROW()))-1&lt;E110,表2_367162629303891213141523242526272831[[#This Row],[累计净值]]/MAX(INDIRECT("B21:B" &amp; ROW()))-1,E110)</f>
        <v>-1</v>
      </c>
      <c r="F111" s="110">
        <f>表2_367162629303891213141523242526272831[[#This Row],[累计净值]]-0.0738</f>
        <v>1.0725</v>
      </c>
      <c r="G111" s="118"/>
    </row>
    <row r="112" spans="1:11">
      <c r="A112" s="15">
        <v>44286</v>
      </c>
      <c r="B112" s="112">
        <v>1.1446000000000001</v>
      </c>
      <c r="C112" s="108">
        <f t="shared" si="21"/>
        <v>-1.7000000000000348E-3</v>
      </c>
      <c r="D112" s="109">
        <f t="shared" si="22"/>
        <v>-1.7000000000000348E-3</v>
      </c>
      <c r="E112" s="109">
        <f ca="1">IF(表2_367162629303891213141523242526272831[[#This Row],[累计净值]]/MAX(INDIRECT("B21:B" &amp; ROW()))-1&lt;E111,表2_367162629303891213141523242526272831[[#This Row],[累计净值]]/MAX(INDIRECT("B21:B" &amp; ROW()))-1,E111)</f>
        <v>-1</v>
      </c>
      <c r="F112" s="110">
        <f>表2_367162629303891213141523242526272831[[#This Row],[累计净值]]-0.0738</f>
        <v>1.0708</v>
      </c>
      <c r="G112" s="118"/>
    </row>
    <row r="113" spans="1:7">
      <c r="A113" s="15">
        <v>44287</v>
      </c>
      <c r="B113" s="112">
        <v>1.1480999999999999</v>
      </c>
      <c r="C113" s="108">
        <f t="shared" si="21"/>
        <v>3.4999999999998366E-3</v>
      </c>
      <c r="D113" s="109" t="str">
        <f t="shared" si="22"/>
        <v>/</v>
      </c>
      <c r="E113" s="109">
        <f ca="1">IF(表2_367162629303891213141523242526272831[[#This Row],[累计净值]]/MAX(INDIRECT("B21:B" &amp; ROW()))-1&lt;E112,表2_367162629303891213141523242526272831[[#This Row],[累计净值]]/MAX(INDIRECT("B21:B" &amp; ROW()))-1,E112)</f>
        <v>-1</v>
      </c>
      <c r="F113" s="110">
        <f>表2_367162629303891213141523242526272831[[#This Row],[累计净值]]-0.0738</f>
        <v>1.0742999999999998</v>
      </c>
      <c r="G113" s="118"/>
    </row>
    <row r="114" spans="1:7">
      <c r="A114" s="15">
        <v>44288</v>
      </c>
      <c r="B114" s="112">
        <v>1.1503000000000001</v>
      </c>
      <c r="C114" s="108">
        <f t="shared" ref="C114:C119" si="23">IFERROR(B114-B113,0)</f>
        <v>2.2000000000002018E-3</v>
      </c>
      <c r="D114" s="109" t="str">
        <f t="shared" ref="D114:D119" si="24">IF(C114&lt;0,C114,"/")</f>
        <v>/</v>
      </c>
      <c r="E114" s="109">
        <f ca="1">IF(表2_367162629303891213141523242526272831[[#This Row],[累计净值]]/MAX(INDIRECT("B21:B" &amp; ROW()))-1&lt;E113,表2_367162629303891213141523242526272831[[#This Row],[累计净值]]/MAX(INDIRECT("B21:B" &amp; ROW()))-1,E113)</f>
        <v>-1</v>
      </c>
      <c r="F114" s="110">
        <f>表2_367162629303891213141523242526272831[[#This Row],[累计净值]]-0.0738</f>
        <v>1.0765</v>
      </c>
      <c r="G114" s="118"/>
    </row>
    <row r="115" spans="1:7">
      <c r="A115" s="15">
        <v>44292</v>
      </c>
      <c r="B115" s="112">
        <v>1.1474</v>
      </c>
      <c r="C115" s="108">
        <f t="shared" si="23"/>
        <v>-2.9000000000001247E-3</v>
      </c>
      <c r="D115" s="109">
        <f t="shared" si="24"/>
        <v>-2.9000000000001247E-3</v>
      </c>
      <c r="E115" s="109">
        <f ca="1">IF(表2_367162629303891213141523242526272831[[#This Row],[累计净值]]/MAX(INDIRECT("B21:B" &amp; ROW()))-1&lt;E114,表2_367162629303891213141523242526272831[[#This Row],[累计净值]]/MAX(INDIRECT("B21:B" &amp; ROW()))-1,E114)</f>
        <v>-1</v>
      </c>
      <c r="F115" s="110">
        <f>表2_367162629303891213141523242526272831[[#This Row],[累计净值]]-0.0738</f>
        <v>1.0735999999999999</v>
      </c>
      <c r="G115" s="118"/>
    </row>
    <row r="116" spans="1:7">
      <c r="A116" s="15">
        <v>44293</v>
      </c>
      <c r="B116" s="112">
        <v>1.1488</v>
      </c>
      <c r="C116" s="108">
        <f t="shared" si="23"/>
        <v>1.4000000000000679E-3</v>
      </c>
      <c r="D116" s="109" t="str">
        <f t="shared" si="24"/>
        <v>/</v>
      </c>
      <c r="E116" s="109">
        <f ca="1">IF(表2_367162629303891213141523242526272831[[#This Row],[累计净值]]/MAX(INDIRECT("B21:B" &amp; ROW()))-1&lt;E115,表2_367162629303891213141523242526272831[[#This Row],[累计净值]]/MAX(INDIRECT("B21:B" &amp; ROW()))-1,E115)</f>
        <v>-1</v>
      </c>
      <c r="F116" s="110">
        <f>表2_367162629303891213141523242526272831[[#This Row],[累计净值]]-0.0738</f>
        <v>1.075</v>
      </c>
      <c r="G116" s="118"/>
    </row>
    <row r="117" spans="1:7">
      <c r="A117" s="15">
        <v>44294</v>
      </c>
      <c r="B117" s="112">
        <v>1.1507000000000001</v>
      </c>
      <c r="C117" s="108">
        <f t="shared" si="23"/>
        <v>1.9000000000000128E-3</v>
      </c>
      <c r="D117" s="109" t="str">
        <f t="shared" si="24"/>
        <v>/</v>
      </c>
      <c r="E117" s="109">
        <f ca="1">IF(表2_367162629303891213141523242526272831[[#This Row],[累计净值]]/MAX(INDIRECT("B21:B" &amp; ROW()))-1&lt;E116,表2_367162629303891213141523242526272831[[#This Row],[累计净值]]/MAX(INDIRECT("B21:B" &amp; ROW()))-1,E116)</f>
        <v>-1</v>
      </c>
      <c r="F117" s="110">
        <f>表2_367162629303891213141523242526272831[[#This Row],[累计净值]]-0.0738</f>
        <v>1.0769</v>
      </c>
      <c r="G117" s="118"/>
    </row>
    <row r="118" spans="1:7">
      <c r="A118" s="15">
        <v>44295</v>
      </c>
      <c r="B118" s="112">
        <v>1.1512</v>
      </c>
      <c r="C118" s="108">
        <f t="shared" si="23"/>
        <v>4.9999999999994493E-4</v>
      </c>
      <c r="D118" s="109" t="str">
        <f t="shared" si="24"/>
        <v>/</v>
      </c>
      <c r="E118" s="109">
        <f ca="1">IF(表2_367162629303891213141523242526272831[[#This Row],[累计净值]]/MAX(INDIRECT("B21:B" &amp; ROW()))-1&lt;E117,表2_367162629303891213141523242526272831[[#This Row],[累计净值]]/MAX(INDIRECT("B21:B" &amp; ROW()))-1,E117)</f>
        <v>-1</v>
      </c>
      <c r="F118" s="110">
        <f>表2_367162629303891213141523242526272831[[#This Row],[累计净值]]-0.0738</f>
        <v>1.0773999999999999</v>
      </c>
      <c r="G118" s="118"/>
    </row>
    <row r="119" spans="1:7">
      <c r="A119" s="15">
        <v>44298</v>
      </c>
      <c r="B119" s="112">
        <v>1.1501999999999999</v>
      </c>
      <c r="C119" s="108">
        <f t="shared" si="23"/>
        <v>-1.0000000000001119E-3</v>
      </c>
      <c r="D119" s="109">
        <f t="shared" si="24"/>
        <v>-1.0000000000001119E-3</v>
      </c>
      <c r="E119" s="109">
        <f ca="1">IF(表2_367162629303891213141523242526272831[[#This Row],[累计净值]]/MAX(INDIRECT("B21:B" &amp; ROW()))-1&lt;E118,表2_367162629303891213141523242526272831[[#This Row],[累计净值]]/MAX(INDIRECT("B21:B" &amp; ROW()))-1,E118)</f>
        <v>-1</v>
      </c>
      <c r="F119" s="110">
        <f>表2_367162629303891213141523242526272831[[#This Row],[累计净值]]-0.0738</f>
        <v>1.0763999999999998</v>
      </c>
      <c r="G119" s="118"/>
    </row>
    <row r="120" spans="1:7">
      <c r="A120" s="15">
        <v>44299</v>
      </c>
      <c r="B120" s="112">
        <v>1.1500999999999999</v>
      </c>
      <c r="C120" s="108">
        <f t="shared" ref="C120:C126" si="25">IFERROR(B120-B119,0)</f>
        <v>-9.9999999999988987E-5</v>
      </c>
      <c r="D120" s="109">
        <f t="shared" ref="D120:D126" si="26">IF(C120&lt;0,C120,"/")</f>
        <v>-9.9999999999988987E-5</v>
      </c>
      <c r="E120" s="109">
        <f ca="1">IF(表2_367162629303891213141523242526272831[[#This Row],[累计净值]]/MAX(INDIRECT("B21:B" &amp; ROW()))-1&lt;E119,表2_367162629303891213141523242526272831[[#This Row],[累计净值]]/MAX(INDIRECT("B21:B" &amp; ROW()))-1,E119)</f>
        <v>-1</v>
      </c>
      <c r="F120" s="110">
        <f>表2_367162629303891213141523242526272831[[#This Row],[累计净值]]-0.0738</f>
        <v>1.0762999999999998</v>
      </c>
      <c r="G120" s="118"/>
    </row>
    <row r="121" spans="1:7">
      <c r="A121" s="15">
        <v>44300</v>
      </c>
      <c r="B121" s="112">
        <v>1.1507000000000001</v>
      </c>
      <c r="C121" s="108">
        <f t="shared" si="25"/>
        <v>6.0000000000015596E-4</v>
      </c>
      <c r="D121" s="109" t="str">
        <f t="shared" si="26"/>
        <v>/</v>
      </c>
      <c r="E121" s="109">
        <f ca="1">IF(表2_367162629303891213141523242526272831[[#This Row],[累计净值]]/MAX(INDIRECT("B21:B" &amp; ROW()))-1&lt;E120,表2_367162629303891213141523242526272831[[#This Row],[累计净值]]/MAX(INDIRECT("B21:B" &amp; ROW()))-1,E120)</f>
        <v>-1</v>
      </c>
      <c r="F121" s="110">
        <f>表2_367162629303891213141523242526272831[[#This Row],[累计净值]]-0.0738</f>
        <v>1.0769</v>
      </c>
      <c r="G121" s="118"/>
    </row>
    <row r="122" spans="1:7">
      <c r="A122" s="15">
        <v>44301</v>
      </c>
      <c r="B122" s="112">
        <v>1.149</v>
      </c>
      <c r="C122" s="108">
        <f t="shared" si="25"/>
        <v>-1.7000000000000348E-3</v>
      </c>
      <c r="D122" s="109">
        <f t="shared" si="26"/>
        <v>-1.7000000000000348E-3</v>
      </c>
      <c r="E122" s="109">
        <f ca="1">IF(表2_367162629303891213141523242526272831[[#This Row],[累计净值]]/MAX(INDIRECT("B21:B" &amp; ROW()))-1&lt;E121,表2_367162629303891213141523242526272831[[#This Row],[累计净值]]/MAX(INDIRECT("B21:B" &amp; ROW()))-1,E121)</f>
        <v>-1</v>
      </c>
      <c r="F122" s="110">
        <f>表2_367162629303891213141523242526272831[[#This Row],[累计净值]]-0.0738</f>
        <v>1.0751999999999999</v>
      </c>
      <c r="G122" s="118"/>
    </row>
    <row r="123" spans="1:7">
      <c r="A123" s="15">
        <v>44302</v>
      </c>
      <c r="B123" s="112">
        <v>1.1475</v>
      </c>
      <c r="C123" s="108">
        <f t="shared" si="25"/>
        <v>-1.5000000000000568E-3</v>
      </c>
      <c r="D123" s="109">
        <f t="shared" si="26"/>
        <v>-1.5000000000000568E-3</v>
      </c>
      <c r="E123" s="109">
        <f ca="1">IF(表2_367162629303891213141523242526272831[[#This Row],[累计净值]]/MAX(INDIRECT("B21:B" &amp; ROW()))-1&lt;E122,表2_367162629303891213141523242526272831[[#This Row],[累计净值]]/MAX(INDIRECT("B21:B" &amp; ROW()))-1,E122)</f>
        <v>-1</v>
      </c>
      <c r="F123" s="110">
        <f>表2_367162629303891213141523242526272831[[#This Row],[累计净值]]-0.0738</f>
        <v>1.0736999999999999</v>
      </c>
      <c r="G123" s="118"/>
    </row>
    <row r="124" spans="1:7">
      <c r="A124" s="15">
        <v>44305</v>
      </c>
      <c r="B124" s="112">
        <v>1.1536</v>
      </c>
      <c r="C124" s="108">
        <f t="shared" si="25"/>
        <v>6.0999999999999943E-3</v>
      </c>
      <c r="D124" s="109" t="str">
        <f t="shared" si="26"/>
        <v>/</v>
      </c>
      <c r="E124" s="109">
        <f ca="1">IF(表2_367162629303891213141523242526272831[[#This Row],[累计净值]]/MAX(INDIRECT("B21:B" &amp; ROW()))-1&lt;E123,表2_367162629303891213141523242526272831[[#This Row],[累计净值]]/MAX(INDIRECT("B21:B" &amp; ROW()))-1,E123)</f>
        <v>-1</v>
      </c>
      <c r="F124" s="110">
        <f>表2_367162629303891213141523242526272831[[#This Row],[累计净值]]-0.0738</f>
        <v>1.0797999999999999</v>
      </c>
      <c r="G124" s="118"/>
    </row>
    <row r="125" spans="1:7">
      <c r="A125" s="15">
        <v>44306</v>
      </c>
      <c r="B125" s="112">
        <v>1.1535</v>
      </c>
      <c r="C125" s="108">
        <f t="shared" si="25"/>
        <v>-9.9999999999988987E-5</v>
      </c>
      <c r="D125" s="109">
        <f t="shared" si="26"/>
        <v>-9.9999999999988987E-5</v>
      </c>
      <c r="E125" s="109">
        <f ca="1">IF(表2_367162629303891213141523242526272831[[#This Row],[累计净值]]/MAX(INDIRECT("B21:B" &amp; ROW()))-1&lt;E124,表2_367162629303891213141523242526272831[[#This Row],[累计净值]]/MAX(INDIRECT("B21:B" &amp; ROW()))-1,E124)</f>
        <v>-1</v>
      </c>
      <c r="F125" s="110">
        <f>表2_367162629303891213141523242526272831[[#This Row],[累计净值]]-0.0738</f>
        <v>1.0796999999999999</v>
      </c>
      <c r="G125" s="118"/>
    </row>
    <row r="126" spans="1:7">
      <c r="A126" s="15">
        <v>44307</v>
      </c>
      <c r="B126" s="112">
        <v>1.1539999999999999</v>
      </c>
      <c r="C126" s="108">
        <f t="shared" si="25"/>
        <v>4.9999999999994493E-4</v>
      </c>
      <c r="D126" s="109" t="str">
        <f t="shared" si="26"/>
        <v>/</v>
      </c>
      <c r="E126" s="109">
        <f ca="1">IF(表2_367162629303891213141523242526272831[[#This Row],[累计净值]]/MAX(INDIRECT("B21:B" &amp; ROW()))-1&lt;E125,表2_367162629303891213141523242526272831[[#This Row],[累计净值]]/MAX(INDIRECT("B21:B" &amp; ROW()))-1,E125)</f>
        <v>-1</v>
      </c>
      <c r="F126" s="110">
        <f>表2_367162629303891213141523242526272831[[#This Row],[累计净值]]-0.0738</f>
        <v>1.0801999999999998</v>
      </c>
      <c r="G126" s="118"/>
    </row>
    <row r="127" spans="1:7">
      <c r="A127" s="15">
        <v>44308</v>
      </c>
      <c r="B127" s="112">
        <v>1.1534</v>
      </c>
      <c r="C127" s="108">
        <f>IFERROR(B127-B126,0)</f>
        <v>-5.9999999999993392E-4</v>
      </c>
      <c r="D127" s="109">
        <f>IF(C127&lt;0,C127,"/")</f>
        <v>-5.9999999999993392E-4</v>
      </c>
      <c r="E127" s="109">
        <f ca="1">IF(表2_367162629303891213141523242526272831[[#This Row],[累计净值]]/MAX(INDIRECT("B21:B" &amp; ROW()))-1&lt;E126,表2_367162629303891213141523242526272831[[#This Row],[累计净值]]/MAX(INDIRECT("B21:B" &amp; ROW()))-1,E126)</f>
        <v>-1</v>
      </c>
      <c r="F127" s="110">
        <f>表2_367162629303891213141523242526272831[[#This Row],[累计净值]]-0.0738</f>
        <v>1.0795999999999999</v>
      </c>
      <c r="G127" s="118"/>
    </row>
    <row r="128" spans="1:7">
      <c r="A128" s="15">
        <v>44309</v>
      </c>
      <c r="B128" s="112">
        <v>1.1541999999999999</v>
      </c>
      <c r="C128" s="108">
        <f t="shared" ref="C128:C129" si="27">IFERROR(B128-B127,0)</f>
        <v>7.9999999999991189E-4</v>
      </c>
      <c r="D128" s="109" t="str">
        <f t="shared" ref="D128:D129" si="28">IF(C128&lt;0,C128,"/")</f>
        <v>/</v>
      </c>
      <c r="E128" s="109">
        <f ca="1">IF(表2_367162629303891213141523242526272831[[#This Row],[累计净值]]/MAX(INDIRECT("B21:B" &amp; ROW()))-1&lt;E127,表2_367162629303891213141523242526272831[[#This Row],[累计净值]]/MAX(INDIRECT("B21:B" &amp; ROW()))-1,E127)</f>
        <v>-1</v>
      </c>
      <c r="F128" s="110">
        <f>表2_367162629303891213141523242526272831[[#This Row],[累计净值]]-0.0738</f>
        <v>1.0803999999999998</v>
      </c>
      <c r="G128" s="118"/>
    </row>
    <row r="129" spans="1:7">
      <c r="A129" s="15">
        <v>44312</v>
      </c>
      <c r="B129" s="112">
        <v>1.1525000000000001</v>
      </c>
      <c r="C129" s="108">
        <f t="shared" si="27"/>
        <v>-1.6999999999998128E-3</v>
      </c>
      <c r="D129" s="109">
        <f t="shared" si="28"/>
        <v>-1.6999999999998128E-3</v>
      </c>
      <c r="E129" s="109">
        <f ca="1">IF(表2_367162629303891213141523242526272831[[#This Row],[累计净值]]/MAX(INDIRECT("B21:B" &amp; ROW()))-1&lt;E128,表2_367162629303891213141523242526272831[[#This Row],[累计净值]]/MAX(INDIRECT("B21:B" &amp; ROW()))-1,E128)</f>
        <v>-1</v>
      </c>
      <c r="F129" s="110">
        <f>表2_367162629303891213141523242526272831[[#This Row],[累计净值]]-0.0738</f>
        <v>1.0787</v>
      </c>
      <c r="G129" s="118"/>
    </row>
    <row r="130" spans="1:7">
      <c r="A130" s="15">
        <v>44313</v>
      </c>
      <c r="B130" s="112">
        <v>1.1529</v>
      </c>
      <c r="C130" s="108">
        <f>IFERROR(B130-B129,0)</f>
        <v>3.9999999999995595E-4</v>
      </c>
      <c r="D130" s="109" t="str">
        <f>IF(C130&lt;0,C130,"/")</f>
        <v>/</v>
      </c>
      <c r="E130" s="109">
        <f ca="1">IF(表2_367162629303891213141523242526272831[[#This Row],[累计净值]]/MAX(INDIRECT("B21:B" &amp; ROW()))-1&lt;E129,表2_367162629303891213141523242526272831[[#This Row],[累计净值]]/MAX(INDIRECT("B21:B" &amp; ROW()))-1,E129)</f>
        <v>-1</v>
      </c>
      <c r="F130" s="110">
        <f>表2_367162629303891213141523242526272831[[#This Row],[累计净值]]-0.0738</f>
        <v>1.0790999999999999</v>
      </c>
      <c r="G130" s="118"/>
    </row>
    <row r="131" spans="1:7">
      <c r="A131" s="15">
        <v>44314</v>
      </c>
      <c r="B131" s="112">
        <v>1.1532</v>
      </c>
      <c r="C131" s="108">
        <f>IFERROR(B131-B130,0)</f>
        <v>2.9999999999996696E-4</v>
      </c>
      <c r="D131" s="109" t="str">
        <f>IF(C131&lt;0,C131,"/")</f>
        <v>/</v>
      </c>
      <c r="E131" s="109">
        <f ca="1">IF(表2_367162629303891213141523242526272831[[#This Row],[累计净值]]/MAX(INDIRECT("B21:B" &amp; ROW()))-1&lt;E130,表2_367162629303891213141523242526272831[[#This Row],[累计净值]]/MAX(INDIRECT("B21:B" &amp; ROW()))-1,E130)</f>
        <v>-1</v>
      </c>
      <c r="F131" s="110">
        <f>表2_367162629303891213141523242526272831[[#This Row],[累计净值]]-0.0738</f>
        <v>1.0793999999999999</v>
      </c>
      <c r="G131" s="118"/>
    </row>
    <row r="132" spans="1:7">
      <c r="A132" s="15">
        <v>44315</v>
      </c>
      <c r="B132" s="112">
        <v>1.1558999999999999</v>
      </c>
      <c r="C132" s="108">
        <f t="shared" ref="C132:C134" si="29">IFERROR(B132-B131,0)</f>
        <v>2.6999999999999247E-3</v>
      </c>
      <c r="D132" s="109" t="str">
        <f t="shared" ref="D132:D134" si="30">IF(C132&lt;0,C132,"/")</f>
        <v>/</v>
      </c>
      <c r="E132" s="109">
        <f ca="1">IF(表2_367162629303891213141523242526272831[[#This Row],[累计净值]]/MAX(INDIRECT("B21:B" &amp; ROW()))-1&lt;E131,表2_367162629303891213141523242526272831[[#This Row],[累计净值]]/MAX(INDIRECT("B21:B" &amp; ROW()))-1,E131)</f>
        <v>-1</v>
      </c>
      <c r="F132" s="110">
        <f>表2_367162629303891213141523242526272831[[#This Row],[累计净值]]-0.0738</f>
        <v>1.0820999999999998</v>
      </c>
      <c r="G132" s="118"/>
    </row>
    <row r="133" spans="1:7">
      <c r="A133" s="15">
        <v>44316</v>
      </c>
      <c r="B133" s="112">
        <v>1.1565000000000001</v>
      </c>
      <c r="C133" s="108">
        <f t="shared" si="29"/>
        <v>6.0000000000015596E-4</v>
      </c>
      <c r="D133" s="109" t="str">
        <f t="shared" si="30"/>
        <v>/</v>
      </c>
      <c r="E133" s="109">
        <f ca="1">IF(表2_367162629303891213141523242526272831[[#This Row],[累计净值]]/MAX(INDIRECT("B21:B" &amp; ROW()))-1&lt;E132,表2_367162629303891213141523242526272831[[#This Row],[累计净值]]/MAX(INDIRECT("B21:B" &amp; ROW()))-1,E132)</f>
        <v>-1</v>
      </c>
      <c r="F133" s="110">
        <f>表2_367162629303891213141523242526272831[[#This Row],[累计净值]]-0.0738</f>
        <v>1.0827</v>
      </c>
      <c r="G133" s="118"/>
    </row>
    <row r="134" spans="1:7">
      <c r="A134" s="15">
        <v>44322</v>
      </c>
      <c r="B134" s="112">
        <v>1.1534</v>
      </c>
      <c r="C134" s="108">
        <f t="shared" si="29"/>
        <v>-3.1000000000001027E-3</v>
      </c>
      <c r="D134" s="109">
        <f t="shared" si="30"/>
        <v>-3.1000000000001027E-3</v>
      </c>
      <c r="E134" s="109">
        <f ca="1">IF(表2_367162629303891213141523242526272831[[#This Row],[累计净值]]/MAX(INDIRECT("B21:B" &amp; ROW()))-1&lt;E133,表2_367162629303891213141523242526272831[[#This Row],[累计净值]]/MAX(INDIRECT("B21:B" &amp; ROW()))-1,E133)</f>
        <v>-1</v>
      </c>
      <c r="F134" s="110">
        <f>表2_367162629303891213141523242526272831[[#This Row],[累计净值]]-0.0738</f>
        <v>1.0795999999999999</v>
      </c>
      <c r="G134" s="118"/>
    </row>
    <row r="135" spans="1:7">
      <c r="A135" s="15">
        <v>44323</v>
      </c>
      <c r="B135" s="112">
        <v>1.1534</v>
      </c>
      <c r="C135" s="108">
        <f t="shared" ref="C135:C140" si="31">IFERROR(B135-B134,0)</f>
        <v>0</v>
      </c>
      <c r="D135" s="109" t="str">
        <f t="shared" ref="D135:D140" si="32">IF(C135&lt;0,C135,"/")</f>
        <v>/</v>
      </c>
      <c r="E135" s="109">
        <f ca="1">IF(表2_367162629303891213141523242526272831[[#This Row],[累计净值]]/MAX(INDIRECT("B21:B" &amp; ROW()))-1&lt;E134,表2_367162629303891213141523242526272831[[#This Row],[累计净值]]/MAX(INDIRECT("B21:B" &amp; ROW()))-1,E134)</f>
        <v>-1</v>
      </c>
      <c r="F135" s="110">
        <f>表2_367162629303891213141523242526272831[[#This Row],[累计净值]]-0.0738</f>
        <v>1.0795999999999999</v>
      </c>
      <c r="G135" s="118"/>
    </row>
    <row r="136" spans="1:7">
      <c r="A136" s="15">
        <v>44326</v>
      </c>
      <c r="B136" s="112">
        <v>1.1513</v>
      </c>
      <c r="C136" s="108">
        <f t="shared" si="31"/>
        <v>-2.0999999999999908E-3</v>
      </c>
      <c r="D136" s="109">
        <f t="shared" si="32"/>
        <v>-2.0999999999999908E-3</v>
      </c>
      <c r="E136" s="109">
        <f ca="1">IF(表2_367162629303891213141523242526272831[[#This Row],[累计净值]]/MAX(INDIRECT("B21:B" &amp; ROW()))-1&lt;E135,表2_367162629303891213141523242526272831[[#This Row],[累计净值]]/MAX(INDIRECT("B21:B" &amp; ROW()))-1,E135)</f>
        <v>-1</v>
      </c>
      <c r="F136" s="110">
        <f>表2_367162629303891213141523242526272831[[#This Row],[累计净值]]-0.0738</f>
        <v>1.0774999999999999</v>
      </c>
      <c r="G136" s="118"/>
    </row>
    <row r="137" spans="1:7">
      <c r="A137" s="15">
        <v>44327</v>
      </c>
      <c r="B137" s="112">
        <v>1.1528</v>
      </c>
      <c r="C137" s="108">
        <f t="shared" si="31"/>
        <v>1.5000000000000568E-3</v>
      </c>
      <c r="D137" s="109" t="str">
        <f t="shared" si="32"/>
        <v>/</v>
      </c>
      <c r="E137" s="109">
        <f ca="1">IF(表2_367162629303891213141523242526272831[[#This Row],[累计净值]]/MAX(INDIRECT("B21:B" &amp; ROW()))-1&lt;E136,表2_367162629303891213141523242526272831[[#This Row],[累计净值]]/MAX(INDIRECT("B21:B" &amp; ROW()))-1,E136)</f>
        <v>-1</v>
      </c>
      <c r="F137" s="110">
        <f>表2_367162629303891213141523242526272831[[#This Row],[累计净值]]-0.0738</f>
        <v>1.079</v>
      </c>
      <c r="G137" s="118"/>
    </row>
    <row r="138" spans="1:7">
      <c r="A138" s="15">
        <v>44328</v>
      </c>
      <c r="B138" s="112">
        <v>1.1553</v>
      </c>
      <c r="C138" s="108">
        <f t="shared" si="31"/>
        <v>2.4999999999999467E-3</v>
      </c>
      <c r="D138" s="109" t="str">
        <f t="shared" si="32"/>
        <v>/</v>
      </c>
      <c r="E138" s="109">
        <f ca="1">IF(表2_367162629303891213141523242526272831[[#This Row],[累计净值]]/MAX(INDIRECT("B21:B" &amp; ROW()))-1&lt;E137,表2_367162629303891213141523242526272831[[#This Row],[累计净值]]/MAX(INDIRECT("B21:B" &amp; ROW()))-1,E137)</f>
        <v>-1</v>
      </c>
      <c r="F138" s="110">
        <f>表2_367162629303891213141523242526272831[[#This Row],[累计净值]]-0.0738</f>
        <v>1.0814999999999999</v>
      </c>
      <c r="G138" s="118"/>
    </row>
    <row r="139" spans="1:7">
      <c r="A139" s="15">
        <v>44329</v>
      </c>
      <c r="B139" s="112">
        <v>1.1520999999999999</v>
      </c>
      <c r="C139" s="108">
        <f t="shared" si="31"/>
        <v>-3.2000000000000917E-3</v>
      </c>
      <c r="D139" s="109">
        <f t="shared" si="32"/>
        <v>-3.2000000000000917E-3</v>
      </c>
      <c r="E139" s="109">
        <f ca="1">IF(表2_367162629303891213141523242526272831[[#This Row],[累计净值]]/MAX(INDIRECT("B21:B" &amp; ROW()))-1&lt;E138,表2_367162629303891213141523242526272831[[#This Row],[累计净值]]/MAX(INDIRECT("B21:B" &amp; ROW()))-1,E138)</f>
        <v>-1</v>
      </c>
      <c r="F139" s="110">
        <f>表2_367162629303891213141523242526272831[[#This Row],[累计净值]]-0.0738</f>
        <v>1.0782999999999998</v>
      </c>
      <c r="G139" s="118"/>
    </row>
    <row r="140" spans="1:7">
      <c r="A140" s="15">
        <v>44330</v>
      </c>
      <c r="B140" s="112">
        <v>1.1575</v>
      </c>
      <c r="C140" s="108">
        <f t="shared" si="31"/>
        <v>5.4000000000000714E-3</v>
      </c>
      <c r="D140" s="109" t="str">
        <f t="shared" si="32"/>
        <v>/</v>
      </c>
      <c r="E140" s="109">
        <f ca="1">IF(表2_367162629303891213141523242526272831[[#This Row],[累计净值]]/MAX(INDIRECT("B21:B" &amp; ROW()))-1&lt;E139,表2_367162629303891213141523242526272831[[#This Row],[累计净值]]/MAX(INDIRECT("B21:B" &amp; ROW()))-1,E139)</f>
        <v>-1</v>
      </c>
      <c r="F140" s="110">
        <f>表2_367162629303891213141523242526272831[[#This Row],[累计净值]]-0.0738</f>
        <v>1.0836999999999999</v>
      </c>
      <c r="G140" s="118"/>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G81"/>
  <sheetViews>
    <sheetView topLeftCell="A7" workbookViewId="0">
      <pane xSplit="1" ySplit="14" topLeftCell="B59" activePane="bottomRight" state="frozen"/>
      <selection activeCell="A7" sqref="A7"/>
      <selection pane="topRight" activeCell="B7" sqref="B7"/>
      <selection pane="bottomLeft" activeCell="A21" sqref="A21"/>
      <selection pane="bottomRight" activeCell="G80" sqref="G80:G81"/>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COUNT(表2_367162629303891213141523242526272838[每日盈亏])</f>
        <v>61</v>
      </c>
      <c r="C2" s="27"/>
      <c r="D2" s="3" t="s">
        <v>1</v>
      </c>
      <c r="E2" s="28"/>
      <c r="F2" s="1" t="s">
        <v>2</v>
      </c>
      <c r="G2" s="400" t="s">
        <v>3</v>
      </c>
    </row>
    <row r="3" spans="1:7">
      <c r="A3" s="25" t="s">
        <v>4</v>
      </c>
      <c r="B3" s="26">
        <f>COUNTIF(表2_367162629303891213141523242526272838[每日盈亏],"&gt;0")</f>
        <v>32</v>
      </c>
      <c r="C3" s="29"/>
      <c r="D3" s="30" t="s">
        <v>5</v>
      </c>
      <c r="E3" s="31">
        <f>245^0.5*(B10-0.025/365)/E10</f>
        <v>2.024771537878443</v>
      </c>
      <c r="G3" s="400"/>
    </row>
    <row r="4" spans="1:7">
      <c r="A4" s="25" t="s">
        <v>6</v>
      </c>
      <c r="B4" s="26">
        <f>COUNTIF(表2_367162629303891213141523242526272838[每日盈亏],"&lt;0")</f>
        <v>19</v>
      </c>
      <c r="C4" s="29"/>
      <c r="D4" s="32" t="s">
        <v>7</v>
      </c>
      <c r="E4" s="31">
        <f ca="1">-B9/E8</f>
        <v>1.1103071652529521</v>
      </c>
      <c r="G4" s="2">
        <f>LOOKUP(999^10,表2_367162629303891213141523242526272838[累计净值])</f>
        <v>1.109</v>
      </c>
    </row>
    <row r="5" spans="1:7">
      <c r="A5" s="25" t="s">
        <v>8</v>
      </c>
      <c r="B5" s="26">
        <f>B2-B3-B4</f>
        <v>10</v>
      </c>
      <c r="C5" s="29"/>
      <c r="D5" s="33" t="s">
        <v>9</v>
      </c>
      <c r="E5" s="4">
        <f>245^0.5*(B10-0.025/365)/E9</f>
        <v>2.6770434863456694</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LOOKUP(999^10,表2_367162629303891213141523242526272838[累计净值])/$B$21-1</f>
        <v>2.0239190432382648E-2</v>
      </c>
      <c r="C8" s="40"/>
      <c r="D8" s="30" t="s">
        <v>13</v>
      </c>
      <c r="E8" s="41">
        <f ca="1">MIN(表2_367162629303891213141523242526272838[最大回撤])</f>
        <v>-7.3212669683257903E-2</v>
      </c>
    </row>
    <row r="9" spans="1:7">
      <c r="A9" s="25" t="s">
        <v>14</v>
      </c>
      <c r="B9" s="32">
        <f>B8*245/B2</f>
        <v>8.1288551736618836E-2</v>
      </c>
      <c r="C9" s="40"/>
      <c r="D9" s="33" t="s">
        <v>15</v>
      </c>
      <c r="E9" s="6">
        <f>STDEV(表2_367162629303891213141523242526272838[下跌幅度])</f>
        <v>1.7082531003837892E-3</v>
      </c>
    </row>
    <row r="10" spans="1:7">
      <c r="A10" s="42" t="s">
        <v>16</v>
      </c>
      <c r="B10" s="43">
        <f>AVERAGE(表2_367162629303891213141523242526272838[每日盈亏])</f>
        <v>3.6065573770491835E-4</v>
      </c>
      <c r="C10" s="44"/>
      <c r="D10" s="33" t="s">
        <v>17</v>
      </c>
      <c r="E10" s="6">
        <f>STDEV(表2_367162629303891213141523242526272838[每日盈亏])</f>
        <v>2.2585599164456258E-3</v>
      </c>
    </row>
    <row r="11" spans="1:7">
      <c r="A11" s="7" t="s">
        <v>18</v>
      </c>
      <c r="B11" s="32">
        <f>B3/B2</f>
        <v>0.52459016393442626</v>
      </c>
      <c r="C11" s="40"/>
      <c r="D11" s="32" t="s">
        <v>19</v>
      </c>
      <c r="E11" s="41">
        <f>245^0.5*E10</f>
        <v>3.5352054531000654E-2</v>
      </c>
    </row>
    <row r="12" spans="1:7" ht="16" thickBot="1">
      <c r="A12" s="45" t="s">
        <v>20</v>
      </c>
      <c r="B12" s="46">
        <f>-(SUMIF(表2_367162629303891213141523242526272838[每日盈亏],"&gt;=0")/B3)/(SUMIF(表2_367162629303891213141523242526272838[每日盈亏],"&lt;0")/B4)</f>
        <v>0.91234756097561065</v>
      </c>
      <c r="C12" s="47"/>
      <c r="D12" s="48"/>
      <c r="E12" s="49"/>
    </row>
    <row r="14" spans="1:7" ht="32">
      <c r="A14" s="50" t="s">
        <v>21</v>
      </c>
      <c r="B14" s="50" t="s">
        <v>14</v>
      </c>
      <c r="C14" s="51" t="s">
        <v>19</v>
      </c>
      <c r="D14" s="51" t="s">
        <v>13</v>
      </c>
      <c r="E14" s="51" t="s">
        <v>5</v>
      </c>
      <c r="F14" s="51" t="s">
        <v>7</v>
      </c>
    </row>
    <row r="15" spans="1:7">
      <c r="A15" s="78">
        <f>B2</f>
        <v>61</v>
      </c>
      <c r="B15" s="53">
        <f>B9</f>
        <v>8.1288551736618836E-2</v>
      </c>
      <c r="C15" s="53">
        <f>E11</f>
        <v>3.5352054531000654E-2</v>
      </c>
      <c r="D15" s="53">
        <f ca="1">E8</f>
        <v>-7.3212669683257903E-2</v>
      </c>
      <c r="E15" s="54">
        <f>E3</f>
        <v>2.024771537878443</v>
      </c>
      <c r="F15" s="54">
        <f ca="1">E4</f>
        <v>1.1103071652529521</v>
      </c>
    </row>
    <row r="19" spans="1:7">
      <c r="A19" s="8"/>
      <c r="B19" s="1" t="s">
        <v>22</v>
      </c>
    </row>
    <row r="20" spans="1:7" ht="16">
      <c r="A20" s="22" t="s">
        <v>23</v>
      </c>
      <c r="B20" s="22" t="s">
        <v>24</v>
      </c>
      <c r="C20" s="22" t="s">
        <v>25</v>
      </c>
      <c r="D20" s="22" t="s">
        <v>26</v>
      </c>
      <c r="E20" s="22" t="s">
        <v>27</v>
      </c>
      <c r="F20" s="22" t="s">
        <v>28</v>
      </c>
      <c r="G20" s="22" t="s">
        <v>29</v>
      </c>
    </row>
    <row r="21" spans="1:7">
      <c r="A21" s="15">
        <v>44236</v>
      </c>
      <c r="B21" s="16">
        <v>1.087</v>
      </c>
      <c r="C21" s="11">
        <f t="shared" ref="C21" si="0">IFERROR(B21-B20,0)</f>
        <v>0</v>
      </c>
      <c r="D21" s="12" t="str">
        <f>IF(C21&lt;0,C21,"/")</f>
        <v>/</v>
      </c>
      <c r="E21" s="12">
        <v>0</v>
      </c>
      <c r="F21" s="13">
        <f>表2_367162629303891213141523242526272838[[#This Row],[累计净值]]</f>
        <v>1.087</v>
      </c>
      <c r="G21" s="194" t="s">
        <v>30</v>
      </c>
    </row>
    <row r="22" spans="1:7">
      <c r="A22" s="15">
        <v>44237</v>
      </c>
      <c r="B22" s="112">
        <v>1.0860000000000001</v>
      </c>
      <c r="C22" s="108">
        <f>IFERROR(B22-B21,0)</f>
        <v>-9.9999999999988987E-4</v>
      </c>
      <c r="D22" s="109">
        <f t="shared" ref="D22:D33" si="1">IF(C22&lt;0,C22,"/")</f>
        <v>-9.9999999999988987E-4</v>
      </c>
      <c r="E22" s="109">
        <f ca="1">IF(B21/MAX(INDIRECT("B21:B" &amp; ROW()))-1&lt;E21,B21/MAX(INDIRECT("B21:B" &amp; ROW()))-1,E21)</f>
        <v>0</v>
      </c>
      <c r="F22" s="110">
        <f>表2_367162629303891213141523242526272838[[#This Row],[累计净值]]</f>
        <v>1.0860000000000001</v>
      </c>
      <c r="G22" s="20">
        <f>IF(表2_367162629303891213141523242526272838[[#This Row],[累计净值]]&gt;$B$21,0.7*(表2_367162629303891213141523242526272838[[#This Row],[累计净值]]/$B$21-1),表2_367162629303891213141523242526272838[[#This Row],[累计净值]]/$B$21-1)</f>
        <v>-9.1996320147180732E-4</v>
      </c>
    </row>
    <row r="23" spans="1:7">
      <c r="A23" s="15">
        <v>44245</v>
      </c>
      <c r="B23" s="112">
        <v>1.087</v>
      </c>
      <c r="C23" s="108">
        <f t="shared" ref="C23:C33" si="2">IFERROR(B23-B22,0)</f>
        <v>9.9999999999988987E-4</v>
      </c>
      <c r="D23" s="109" t="str">
        <f t="shared" si="1"/>
        <v>/</v>
      </c>
      <c r="E23" s="109">
        <f t="shared" ref="E23:E41" ca="1" si="3">IF(B22/MAX(INDIRECT("B21:B" &amp; ROW()))-1&lt;E22,B22/MAX(INDIRECT("B21:B" &amp; ROW()))-1,E22)</f>
        <v>-9.1996320147180732E-4</v>
      </c>
      <c r="F23" s="110">
        <f>表2_367162629303891213141523242526272838[[#This Row],[累计净值]]</f>
        <v>1.087</v>
      </c>
      <c r="G23" s="20">
        <f>IF(表2_367162629303891213141523242526272838[[#This Row],[累计净值]]&gt;$B$21,0.7*(表2_367162629303891213141523242526272838[[#This Row],[累计净值]]/$B$21-1),表2_367162629303891213141523242526272838[[#This Row],[累计净值]]/$B$21-1)</f>
        <v>0</v>
      </c>
    </row>
    <row r="24" spans="1:7">
      <c r="A24" s="15">
        <v>44246</v>
      </c>
      <c r="B24" s="112">
        <v>1.087</v>
      </c>
      <c r="C24" s="108">
        <f t="shared" si="2"/>
        <v>0</v>
      </c>
      <c r="D24" s="109" t="str">
        <f t="shared" si="1"/>
        <v>/</v>
      </c>
      <c r="E24" s="109">
        <f t="shared" ca="1" si="3"/>
        <v>-9.1996320147180732E-4</v>
      </c>
      <c r="F24" s="110">
        <f>表2_367162629303891213141523242526272838[[#This Row],[累计净值]]</f>
        <v>1.087</v>
      </c>
      <c r="G24" s="20">
        <f>IF(表2_367162629303891213141523242526272838[[#This Row],[累计净值]]&gt;$B$21,0.7*(表2_367162629303891213141523242526272838[[#This Row],[累计净值]]/$B$21-1),表2_367162629303891213141523242526272838[[#This Row],[累计净值]]/$B$21-1)</f>
        <v>0</v>
      </c>
    </row>
    <row r="25" spans="1:7">
      <c r="A25" s="15">
        <v>44249</v>
      </c>
      <c r="B25" s="112">
        <v>1.0860000000000001</v>
      </c>
      <c r="C25" s="108">
        <f t="shared" si="2"/>
        <v>-9.9999999999988987E-4</v>
      </c>
      <c r="D25" s="109">
        <f t="shared" si="1"/>
        <v>-9.9999999999988987E-4</v>
      </c>
      <c r="E25" s="109">
        <f t="shared" ca="1" si="3"/>
        <v>-9.1996320147180732E-4</v>
      </c>
      <c r="F25" s="110">
        <f>表2_367162629303891213141523242526272838[[#This Row],[累计净值]]</f>
        <v>1.0860000000000001</v>
      </c>
      <c r="G25" s="20">
        <f>IF(表2_367162629303891213141523242526272838[[#This Row],[累计净值]]&gt;$B$21,0.7*(表2_367162629303891213141523242526272838[[#This Row],[累计净值]]/$B$21-1),表2_367162629303891213141523242526272838[[#This Row],[累计净值]]/$B$21-1)</f>
        <v>-9.1996320147180732E-4</v>
      </c>
    </row>
    <row r="26" spans="1:7">
      <c r="A26" s="15">
        <v>44250</v>
      </c>
      <c r="B26" s="112">
        <v>1.093</v>
      </c>
      <c r="C26" s="108">
        <f t="shared" si="2"/>
        <v>6.9999999999998952E-3</v>
      </c>
      <c r="D26" s="109" t="str">
        <f t="shared" si="1"/>
        <v>/</v>
      </c>
      <c r="E26" s="109">
        <f t="shared" ca="1" si="3"/>
        <v>-6.4043915827994846E-3</v>
      </c>
      <c r="F26" s="110">
        <f>表2_367162629303891213141523242526272838[[#This Row],[累计净值]]</f>
        <v>1.093</v>
      </c>
      <c r="G26" s="20">
        <f>IF(表2_367162629303891213141523242526272838[[#This Row],[累计净值]]&gt;$B$21,0.7*(表2_367162629303891213141523242526272838[[#This Row],[累计净值]]/$B$21-1),表2_367162629303891213141523242526272838[[#This Row],[累计净值]]/$B$21-1)</f>
        <v>3.8638454461822121E-3</v>
      </c>
    </row>
    <row r="27" spans="1:7">
      <c r="A27" s="15">
        <v>44251</v>
      </c>
      <c r="B27" s="112">
        <v>1.0940000000000001</v>
      </c>
      <c r="C27" s="108">
        <f t="shared" si="2"/>
        <v>1.0000000000001119E-3</v>
      </c>
      <c r="D27" s="109" t="str">
        <f t="shared" si="1"/>
        <v>/</v>
      </c>
      <c r="E27" s="109">
        <f t="shared" ca="1" si="3"/>
        <v>-6.4043915827994846E-3</v>
      </c>
      <c r="F27" s="110">
        <f>表2_367162629303891213141523242526272838[[#This Row],[累计净值]]</f>
        <v>1.0940000000000001</v>
      </c>
      <c r="G27" s="20">
        <f>IF(表2_367162629303891213141523242526272838[[#This Row],[累计净值]]&gt;$B$21,0.7*(表2_367162629303891213141523242526272838[[#This Row],[累计净值]]/$B$21-1),表2_367162629303891213141523242526272838[[#This Row],[累计净值]]/$B$21-1)</f>
        <v>4.5078196872126329E-3</v>
      </c>
    </row>
    <row r="28" spans="1:7">
      <c r="A28" s="15">
        <v>44252</v>
      </c>
      <c r="B28" s="112">
        <v>1.0920000000000001</v>
      </c>
      <c r="C28" s="108">
        <f t="shared" si="2"/>
        <v>-2.0000000000000018E-3</v>
      </c>
      <c r="D28" s="109">
        <f t="shared" si="1"/>
        <v>-2.0000000000000018E-3</v>
      </c>
      <c r="E28" s="109">
        <f t="shared" ca="1" si="3"/>
        <v>-6.4043915827994846E-3</v>
      </c>
      <c r="F28" s="110">
        <f>表2_367162629303891213141523242526272838[[#This Row],[累计净值]]</f>
        <v>1.0920000000000001</v>
      </c>
      <c r="G28" s="20">
        <f>IF(表2_367162629303891213141523242526272838[[#This Row],[累计净值]]&gt;$B$21,0.7*(表2_367162629303891213141523242526272838[[#This Row],[累计净值]]/$B$21-1),表2_367162629303891213141523242526272838[[#This Row],[累计净值]]/$B$21-1)</f>
        <v>3.2198712051517918E-3</v>
      </c>
    </row>
    <row r="29" spans="1:7">
      <c r="A29" s="15">
        <v>44253</v>
      </c>
      <c r="B29" s="112">
        <v>1.093</v>
      </c>
      <c r="C29" s="108">
        <f t="shared" si="2"/>
        <v>9.9999999999988987E-4</v>
      </c>
      <c r="D29" s="109" t="str">
        <f t="shared" si="1"/>
        <v>/</v>
      </c>
      <c r="E29" s="109">
        <f t="shared" ca="1" si="3"/>
        <v>-6.4043915827994846E-3</v>
      </c>
      <c r="F29" s="110">
        <f>表2_367162629303891213141523242526272838[[#This Row],[累计净值]]</f>
        <v>1.093</v>
      </c>
      <c r="G29" s="20">
        <f>IF(表2_367162629303891213141523242526272838[[#This Row],[累计净值]]&gt;$B$21,0.7*(表2_367162629303891213141523242526272838[[#This Row],[累计净值]]/$B$21-1),表2_367162629303891213141523242526272838[[#This Row],[累计净值]]/$B$21-1)</f>
        <v>3.8638454461822121E-3</v>
      </c>
    </row>
    <row r="30" spans="1:7">
      <c r="A30" s="15">
        <v>44255</v>
      </c>
      <c r="B30" s="227">
        <v>1.093</v>
      </c>
      <c r="C30" s="108">
        <f t="shared" si="2"/>
        <v>0</v>
      </c>
      <c r="D30" s="109" t="str">
        <f t="shared" si="1"/>
        <v>/</v>
      </c>
      <c r="E30" s="109">
        <f t="shared" ca="1" si="3"/>
        <v>-6.4043915827994846E-3</v>
      </c>
      <c r="F30" s="110">
        <f>表2_367162629303891213141523242526272838[[#This Row],[累计净值]]</f>
        <v>1.093</v>
      </c>
      <c r="G30" s="20">
        <f>IF(表2_367162629303891213141523242526272838[[#This Row],[累计净值]]&gt;$B$21,0.7*(表2_367162629303891213141523242526272838[[#This Row],[累计净值]]/$B$21-1),表2_367162629303891213141523242526272838[[#This Row],[累计净值]]/$B$21-1)</f>
        <v>3.8638454461822121E-3</v>
      </c>
    </row>
    <row r="31" spans="1:7">
      <c r="A31" s="15">
        <v>44256</v>
      </c>
      <c r="B31" s="227">
        <v>1.0940000000000001</v>
      </c>
      <c r="C31" s="108">
        <f t="shared" si="2"/>
        <v>1.0000000000001119E-3</v>
      </c>
      <c r="D31" s="109" t="str">
        <f t="shared" si="1"/>
        <v>/</v>
      </c>
      <c r="E31" s="109">
        <f t="shared" ca="1" si="3"/>
        <v>-6.4043915827994846E-3</v>
      </c>
      <c r="F31" s="110">
        <f>表2_367162629303891213141523242526272838[[#This Row],[累计净值]]</f>
        <v>1.0940000000000001</v>
      </c>
      <c r="G31" s="20">
        <f>IF(表2_367162629303891213141523242526272838[[#This Row],[累计净值]]&gt;$B$21,0.7*(表2_367162629303891213141523242526272838[[#This Row],[累计净值]]/$B$21-1),表2_367162629303891213141523242526272838[[#This Row],[累计净值]]/$B$21-1)</f>
        <v>4.5078196872126329E-3</v>
      </c>
    </row>
    <row r="32" spans="1:7">
      <c r="A32" s="15">
        <v>44257</v>
      </c>
      <c r="B32" s="112">
        <v>1.095</v>
      </c>
      <c r="C32" s="108">
        <f t="shared" si="2"/>
        <v>9.9999999999988987E-4</v>
      </c>
      <c r="D32" s="109" t="str">
        <f t="shared" si="1"/>
        <v>/</v>
      </c>
      <c r="E32" s="109">
        <f t="shared" ca="1" si="3"/>
        <v>-6.4043915827994846E-3</v>
      </c>
      <c r="F32" s="110">
        <f>表2_367162629303891213141523242526272838[[#This Row],[累计净值]]</f>
        <v>1.095</v>
      </c>
      <c r="G32" s="20">
        <f>IF(表2_367162629303891213141523242526272838[[#This Row],[累计净值]]&gt;$B$21,0.7*(表2_367162629303891213141523242526272838[[#This Row],[累计净值]]/$B$21-1),表2_367162629303891213141523242526272838[[#This Row],[累计净值]]/$B$21-1)</f>
        <v>5.1517939282428975E-3</v>
      </c>
    </row>
    <row r="33" spans="1:7">
      <c r="A33" s="15">
        <v>44258</v>
      </c>
      <c r="B33" s="112">
        <v>1.0940000000000001</v>
      </c>
      <c r="C33" s="108">
        <f t="shared" si="2"/>
        <v>-9.9999999999988987E-4</v>
      </c>
      <c r="D33" s="109">
        <f t="shared" si="1"/>
        <v>-9.9999999999988987E-4</v>
      </c>
      <c r="E33" s="109">
        <f t="shared" ca="1" si="3"/>
        <v>-6.4043915827994846E-3</v>
      </c>
      <c r="F33" s="110">
        <f>表2_367162629303891213141523242526272838[[#This Row],[累计净值]]</f>
        <v>1.0940000000000001</v>
      </c>
      <c r="G33" s="20">
        <f>IF(表2_367162629303891213141523242526272838[[#This Row],[累计净值]]&gt;$B$21,0.7*(表2_367162629303891213141523242526272838[[#This Row],[累计净值]]/$B$21-1),表2_367162629303891213141523242526272838[[#This Row],[累计净值]]/$B$21-1)</f>
        <v>4.5078196872126329E-3</v>
      </c>
    </row>
    <row r="34" spans="1:7">
      <c r="A34" s="15">
        <v>44259</v>
      </c>
      <c r="B34" s="112">
        <v>1.0960000000000001</v>
      </c>
      <c r="C34" s="108">
        <f t="shared" ref="C34:C35" si="4">IFERROR(B34-B33,0)</f>
        <v>2.0000000000000018E-3</v>
      </c>
      <c r="D34" s="109" t="str">
        <f t="shared" ref="D34:D35" si="5">IF(C34&lt;0,C34,"/")</f>
        <v>/</v>
      </c>
      <c r="E34" s="109">
        <f t="shared" ca="1" si="3"/>
        <v>-6.4043915827994846E-3</v>
      </c>
      <c r="F34" s="110">
        <f>表2_367162629303891213141523242526272838[[#This Row],[累计净值]]</f>
        <v>1.0960000000000001</v>
      </c>
      <c r="G34" s="20">
        <f>IF(表2_367162629303891213141523242526272838[[#This Row],[累计净值]]&gt;$B$21,0.7*(表2_367162629303891213141523242526272838[[#This Row],[累计净值]]/$B$21-1),表2_367162629303891213141523242526272838[[#This Row],[累计净值]]/$B$21-1)</f>
        <v>5.7957681692733182E-3</v>
      </c>
    </row>
    <row r="35" spans="1:7">
      <c r="A35" s="15">
        <v>44260</v>
      </c>
      <c r="B35" s="112">
        <v>1.095</v>
      </c>
      <c r="C35" s="108">
        <f t="shared" si="4"/>
        <v>-1.0000000000001119E-3</v>
      </c>
      <c r="D35" s="109">
        <f t="shared" si="5"/>
        <v>-1.0000000000001119E-3</v>
      </c>
      <c r="E35" s="109">
        <f t="shared" ca="1" si="3"/>
        <v>-6.4043915827994846E-3</v>
      </c>
      <c r="F35" s="110">
        <f>表2_367162629303891213141523242526272838[[#This Row],[累计净值]]</f>
        <v>1.095</v>
      </c>
      <c r="G35" s="20">
        <f>IF(表2_367162629303891213141523242526272838[[#This Row],[累计净值]]&gt;$B$21,0.7*(表2_367162629303891213141523242526272838[[#This Row],[累计净值]]/$B$21-1),表2_367162629303891213141523242526272838[[#This Row],[累计净值]]/$B$21-1)</f>
        <v>5.1517939282428975E-3</v>
      </c>
    </row>
    <row r="36" spans="1:7">
      <c r="A36" s="15">
        <v>44263</v>
      </c>
      <c r="B36" s="112">
        <v>1.0960000000000001</v>
      </c>
      <c r="C36" s="108">
        <f t="shared" ref="C36:C41" si="6">IFERROR(B36-B35,0)</f>
        <v>1.0000000000001119E-3</v>
      </c>
      <c r="D36" s="109" t="str">
        <f t="shared" ref="D36:D41" si="7">IF(C36&lt;0,C36,"/")</f>
        <v>/</v>
      </c>
      <c r="E36" s="109">
        <f t="shared" ca="1" si="3"/>
        <v>-6.4043915827994846E-3</v>
      </c>
      <c r="F36" s="110">
        <f>表2_367162629303891213141523242526272838[[#This Row],[累计净值]]</f>
        <v>1.0960000000000001</v>
      </c>
      <c r="G36" s="20">
        <f>IF(表2_367162629303891213141523242526272838[[#This Row],[累计净值]]&gt;$B$21,0.7*(表2_367162629303891213141523242526272838[[#This Row],[累计净值]]/$B$21-1),表2_367162629303891213141523242526272838[[#This Row],[累计净值]]/$B$21-1)</f>
        <v>5.7957681692733182E-3</v>
      </c>
    </row>
    <row r="37" spans="1:7">
      <c r="A37" s="15">
        <v>44264</v>
      </c>
      <c r="B37" s="112">
        <v>1.0980000000000001</v>
      </c>
      <c r="C37" s="108">
        <f t="shared" si="6"/>
        <v>2.0000000000000018E-3</v>
      </c>
      <c r="D37" s="109" t="str">
        <f t="shared" si="7"/>
        <v>/</v>
      </c>
      <c r="E37" s="109">
        <f t="shared" ca="1" si="3"/>
        <v>-6.4043915827994846E-3</v>
      </c>
      <c r="F37" s="110">
        <f>表2_367162629303891213141523242526272838[[#This Row],[累计净值]]</f>
        <v>1.0980000000000001</v>
      </c>
      <c r="G37" s="20">
        <f>IF(表2_367162629303891213141523242526272838[[#This Row],[累计净值]]&gt;$B$21,0.7*(表2_367162629303891213141523242526272838[[#This Row],[累计净值]]/$B$21-1),表2_367162629303891213141523242526272838[[#This Row],[累计净值]]/$B$21-1)</f>
        <v>7.0837166513340035E-3</v>
      </c>
    </row>
    <row r="38" spans="1:7">
      <c r="A38" s="15">
        <v>44265</v>
      </c>
      <c r="B38" s="112">
        <v>1.0980000000000001</v>
      </c>
      <c r="C38" s="108">
        <f t="shared" si="6"/>
        <v>0</v>
      </c>
      <c r="D38" s="109" t="str">
        <f t="shared" si="7"/>
        <v>/</v>
      </c>
      <c r="E38" s="109">
        <f t="shared" ca="1" si="3"/>
        <v>-6.4043915827994846E-3</v>
      </c>
      <c r="F38" s="110">
        <f>表2_367162629303891213141523242526272838[[#This Row],[累计净值]]</f>
        <v>1.0980000000000001</v>
      </c>
      <c r="G38" s="20">
        <f>IF(表2_367162629303891213141523242526272838[[#This Row],[累计净值]]&gt;$B$21,0.7*(表2_367162629303891213141523242526272838[[#This Row],[累计净值]]/$B$21-1),表2_367162629303891213141523242526272838[[#This Row],[累计净值]]/$B$21-1)</f>
        <v>7.0837166513340035E-3</v>
      </c>
    </row>
    <row r="39" spans="1:7">
      <c r="A39" s="15">
        <v>44266</v>
      </c>
      <c r="B39" s="112">
        <v>1.099</v>
      </c>
      <c r="C39" s="108">
        <f t="shared" si="6"/>
        <v>9.9999999999988987E-4</v>
      </c>
      <c r="D39" s="109" t="str">
        <f t="shared" si="7"/>
        <v>/</v>
      </c>
      <c r="E39" s="109">
        <f t="shared" ca="1" si="3"/>
        <v>-6.4043915827994846E-3</v>
      </c>
      <c r="F39" s="110">
        <f>表2_367162629303891213141523242526272838[[#This Row],[累计净值]]</f>
        <v>1.099</v>
      </c>
      <c r="G39" s="20">
        <f>IF(表2_367162629303891213141523242526272838[[#This Row],[累计净值]]&gt;$B$21,0.7*(表2_367162629303891213141523242526272838[[#This Row],[累计净值]]/$B$21-1),表2_367162629303891213141523242526272838[[#This Row],[累计净值]]/$B$21-1)</f>
        <v>7.727690892364269E-3</v>
      </c>
    </row>
    <row r="40" spans="1:7">
      <c r="A40" s="15">
        <v>44267</v>
      </c>
      <c r="B40" s="112">
        <v>1.101</v>
      </c>
      <c r="C40" s="108">
        <f t="shared" si="6"/>
        <v>2.0000000000000018E-3</v>
      </c>
      <c r="D40" s="109" t="str">
        <f t="shared" si="7"/>
        <v>/</v>
      </c>
      <c r="E40" s="109">
        <f t="shared" ca="1" si="3"/>
        <v>-6.4043915827994846E-3</v>
      </c>
      <c r="F40" s="110">
        <f>表2_367162629303891213141523242526272838[[#This Row],[累计净值]]</f>
        <v>1.101</v>
      </c>
      <c r="G40" s="20">
        <f>IF(表2_367162629303891213141523242526272838[[#This Row],[累计净值]]&gt;$B$21,0.7*(表2_367162629303891213141523242526272838[[#This Row],[累计净值]]/$B$21-1),表2_367162629303891213141523242526272838[[#This Row],[累计净值]]/$B$21-1)</f>
        <v>9.0156393744249552E-3</v>
      </c>
    </row>
    <row r="41" spans="1:7">
      <c r="A41" s="15">
        <v>44270</v>
      </c>
      <c r="B41" s="112">
        <v>1.1040000000000001</v>
      </c>
      <c r="C41" s="108">
        <f t="shared" si="6"/>
        <v>3.0000000000001137E-3</v>
      </c>
      <c r="D41" s="109" t="str">
        <f t="shared" si="7"/>
        <v>/</v>
      </c>
      <c r="E41" s="109">
        <f t="shared" ca="1" si="3"/>
        <v>-6.4043915827994846E-3</v>
      </c>
      <c r="F41" s="110">
        <f>表2_367162629303891213141523242526272838[[#This Row],[累计净值]]</f>
        <v>1.1040000000000001</v>
      </c>
      <c r="G41" s="20">
        <f>IF(表2_367162629303891213141523242526272838[[#This Row],[累计净值]]&gt;$B$21,0.7*(表2_367162629303891213141523242526272838[[#This Row],[累计净值]]/$B$21-1),表2_367162629303891213141523242526272838[[#This Row],[累计净值]]/$B$21-1)</f>
        <v>1.0947562097516217E-2</v>
      </c>
    </row>
    <row r="42" spans="1:7">
      <c r="A42" s="15">
        <v>44271</v>
      </c>
      <c r="B42" s="112">
        <v>1.103</v>
      </c>
      <c r="C42" s="108">
        <f t="shared" ref="C42:C49" si="8">IFERROR(B42-B41,0)</f>
        <v>-1.0000000000001119E-3</v>
      </c>
      <c r="D42" s="109">
        <f t="shared" ref="D42:D49" si="9">IF(C42&lt;0,C42,"/")</f>
        <v>-1.0000000000001119E-3</v>
      </c>
      <c r="E42" s="109">
        <f t="shared" ref="E42:E49" ca="1" si="10">IF(B41/MAX(INDIRECT("B21:B" &amp; ROW()))-1&lt;E41,B41/MAX(INDIRECT("B21:B" &amp; ROW()))-1,E41)</f>
        <v>-6.4043915827994846E-3</v>
      </c>
      <c r="F42" s="110">
        <f>表2_367162629303891213141523242526272838[[#This Row],[累计净值]]</f>
        <v>1.103</v>
      </c>
      <c r="G42" s="20">
        <f>IF(表2_367162629303891213141523242526272838[[#This Row],[累计净值]]&gt;$B$21,0.7*(表2_367162629303891213141523242526272838[[#This Row],[累计净值]]/$B$21-1),表2_367162629303891213141523242526272838[[#This Row],[累计净值]]/$B$21-1)</f>
        <v>1.0303587856485795E-2</v>
      </c>
    </row>
    <row r="43" spans="1:7">
      <c r="A43" s="15">
        <v>44272</v>
      </c>
      <c r="B43" s="112">
        <v>1.105</v>
      </c>
      <c r="C43" s="108">
        <f t="shared" si="8"/>
        <v>2.0000000000000018E-3</v>
      </c>
      <c r="D43" s="109" t="str">
        <f t="shared" si="9"/>
        <v>/</v>
      </c>
      <c r="E43" s="109">
        <f t="shared" ca="1" si="10"/>
        <v>-6.4043915827994846E-3</v>
      </c>
      <c r="F43" s="110">
        <f>表2_367162629303891213141523242526272838[[#This Row],[累计净值]]</f>
        <v>1.105</v>
      </c>
      <c r="G43" s="20">
        <f>IF(表2_367162629303891213141523242526272838[[#This Row],[累计净值]]&gt;$B$21,0.7*(表2_367162629303891213141523242526272838[[#This Row],[累计净值]]/$B$21-1),表2_367162629303891213141523242526272838[[#This Row],[累计净值]]/$B$21-1)</f>
        <v>1.1591536338546482E-2</v>
      </c>
    </row>
    <row r="44" spans="1:7">
      <c r="A44" s="15">
        <v>44273</v>
      </c>
      <c r="B44" s="112">
        <v>1.1040000000000001</v>
      </c>
      <c r="C44" s="108">
        <f t="shared" si="8"/>
        <v>-9.9999999999988987E-4</v>
      </c>
      <c r="D44" s="109">
        <f t="shared" si="9"/>
        <v>-9.9999999999988987E-4</v>
      </c>
      <c r="E44" s="109">
        <f t="shared" ca="1" si="10"/>
        <v>-6.4043915827994846E-3</v>
      </c>
      <c r="F44" s="110">
        <f>表2_367162629303891213141523242526272838[[#This Row],[累计净值]]</f>
        <v>1.1040000000000001</v>
      </c>
      <c r="G44" s="20">
        <f>IF(表2_367162629303891213141523242526272838[[#This Row],[累计净值]]&gt;$B$21,0.7*(表2_367162629303891213141523242526272838[[#This Row],[累计净值]]/$B$21-1),表2_367162629303891213141523242526272838[[#This Row],[累计净值]]/$B$21-1)</f>
        <v>1.0947562097516217E-2</v>
      </c>
    </row>
    <row r="45" spans="1:7">
      <c r="A45" s="15">
        <v>44274</v>
      </c>
      <c r="B45" s="112">
        <v>1.1020000000000001</v>
      </c>
      <c r="C45" s="108">
        <f t="shared" si="8"/>
        <v>-2.0000000000000018E-3</v>
      </c>
      <c r="D45" s="109">
        <f t="shared" si="9"/>
        <v>-2.0000000000000018E-3</v>
      </c>
      <c r="E45" s="109">
        <f t="shared" ca="1" si="10"/>
        <v>-6.4043915827994846E-3</v>
      </c>
      <c r="F45" s="110">
        <f>表2_367162629303891213141523242526272838[[#This Row],[累计净值]]</f>
        <v>1.1020000000000001</v>
      </c>
      <c r="G45" s="20">
        <f>IF(表2_367162629303891213141523242526272838[[#This Row],[累计净值]]&gt;$B$21,0.7*(表2_367162629303891213141523242526272838[[#This Row],[累计净值]]/$B$21-1),表2_367162629303891213141523242526272838[[#This Row],[累计净值]]/$B$21-1)</f>
        <v>9.6596136154555312E-3</v>
      </c>
    </row>
    <row r="46" spans="1:7">
      <c r="A46" s="15">
        <v>44277</v>
      </c>
      <c r="B46" s="112">
        <v>1.1000000000000001</v>
      </c>
      <c r="C46" s="108">
        <f t="shared" si="8"/>
        <v>-2.0000000000000018E-3</v>
      </c>
      <c r="D46" s="109">
        <f t="shared" si="9"/>
        <v>-2.0000000000000018E-3</v>
      </c>
      <c r="E46" s="109">
        <f t="shared" ca="1" si="10"/>
        <v>-6.4043915827994846E-3</v>
      </c>
      <c r="F46" s="110">
        <f>表2_367162629303891213141523242526272838[[#This Row],[累计净值]]</f>
        <v>1.1000000000000001</v>
      </c>
      <c r="G46" s="20">
        <f>IF(表2_367162629303891213141523242526272838[[#This Row],[累计净值]]&gt;$B$21,0.7*(表2_367162629303891213141523242526272838[[#This Row],[累计净值]]/$B$21-1),表2_367162629303891213141523242526272838[[#This Row],[累计净值]]/$B$21-1)</f>
        <v>8.3716651333946897E-3</v>
      </c>
    </row>
    <row r="47" spans="1:7">
      <c r="A47" s="15">
        <v>44278</v>
      </c>
      <c r="B47" s="112">
        <v>1.0960000000000001</v>
      </c>
      <c r="C47" s="108">
        <f t="shared" si="8"/>
        <v>-4.0000000000000036E-3</v>
      </c>
      <c r="D47" s="109">
        <f t="shared" si="9"/>
        <v>-4.0000000000000036E-3</v>
      </c>
      <c r="E47" s="109">
        <f t="shared" ca="1" si="10"/>
        <v>-6.4043915827994846E-3</v>
      </c>
      <c r="F47" s="110">
        <f>表2_367162629303891213141523242526272838[[#This Row],[累计净值]]</f>
        <v>1.0960000000000001</v>
      </c>
      <c r="G47" s="20">
        <f>IF(表2_367162629303891213141523242526272838[[#This Row],[累计净值]]&gt;$B$21,0.7*(表2_367162629303891213141523242526272838[[#This Row],[累计净值]]/$B$21-1),表2_367162629303891213141523242526272838[[#This Row],[累计净值]]/$B$21-1)</f>
        <v>5.7957681692733182E-3</v>
      </c>
    </row>
    <row r="48" spans="1:7">
      <c r="A48" s="15">
        <v>44279</v>
      </c>
      <c r="B48" s="112">
        <v>1.095</v>
      </c>
      <c r="C48" s="108">
        <f t="shared" si="8"/>
        <v>-1.0000000000001119E-3</v>
      </c>
      <c r="D48" s="109">
        <f t="shared" si="9"/>
        <v>-1.0000000000001119E-3</v>
      </c>
      <c r="E48" s="109">
        <f t="shared" ca="1" si="10"/>
        <v>-8.1447963800903578E-3</v>
      </c>
      <c r="F48" s="110">
        <f>表2_367162629303891213141523242526272838[[#This Row],[累计净值]]</f>
        <v>1.095</v>
      </c>
      <c r="G48" s="20">
        <f>IF(表2_367162629303891213141523242526272838[[#This Row],[累计净值]]&gt;$B$21,0.7*(表2_367162629303891213141523242526272838[[#This Row],[累计净值]]/$B$21-1),表2_367162629303891213141523242526272838[[#This Row],[累计净值]]/$B$21-1)</f>
        <v>5.1517939282428975E-3</v>
      </c>
    </row>
    <row r="49" spans="1:7">
      <c r="A49" s="15">
        <v>44280</v>
      </c>
      <c r="B49" s="112">
        <v>1.0980000000000001</v>
      </c>
      <c r="C49" s="108">
        <f t="shared" si="8"/>
        <v>3.0000000000001137E-3</v>
      </c>
      <c r="D49" s="109" t="str">
        <f t="shared" si="9"/>
        <v>/</v>
      </c>
      <c r="E49" s="109">
        <f t="shared" ca="1" si="10"/>
        <v>-9.0497737556560764E-3</v>
      </c>
      <c r="F49" s="110">
        <f>表2_367162629303891213141523242526272838[[#This Row],[累计净值]]</f>
        <v>1.0980000000000001</v>
      </c>
      <c r="G49" s="20">
        <f>IF(表2_367162629303891213141523242526272838[[#This Row],[累计净值]]&gt;$B$21,0.7*(表2_367162629303891213141523242526272838[[#This Row],[累计净值]]/$B$21-1),表2_367162629303891213141523242526272838[[#This Row],[累计净值]]/$B$21-1)</f>
        <v>7.0837166513340035E-3</v>
      </c>
    </row>
    <row r="50" spans="1:7">
      <c r="A50" s="15">
        <v>44281</v>
      </c>
      <c r="B50" s="112">
        <v>1.099</v>
      </c>
      <c r="C50" s="108">
        <f t="shared" ref="C50" si="11">IFERROR(B50-B49,0)</f>
        <v>9.9999999999988987E-4</v>
      </c>
      <c r="D50" s="109" t="str">
        <f t="shared" ref="D50" si="12">IF(C50&lt;0,C50,"/")</f>
        <v>/</v>
      </c>
      <c r="E50" s="109">
        <f ca="1">IF(表2_367162629303891213141523242526272835[[#This Row],[累计净值]]/MAX(INDIRECT("B21:B" &amp; ROW()))-1&lt;E49,表2_367162629303891213141523242526272835[[#This Row],[累计净值]]/MAX(INDIRECT("B21:B" &amp; ROW()))-1,E49)</f>
        <v>-6.9954751131221626E-2</v>
      </c>
      <c r="F50" s="110">
        <f>表2_367162629303891213141523242526272838[[#This Row],[累计净值]]</f>
        <v>1.099</v>
      </c>
      <c r="G50" s="20">
        <f>IF(表2_367162629303891213141523242526272838[[#This Row],[累计净值]]&gt;$B$21,0.7*(表2_367162629303891213141523242526272838[[#This Row],[累计净值]]/$B$21-1),表2_367162629303891213141523242526272838[[#This Row],[累计净值]]/$B$21-1)</f>
        <v>7.727690892364269E-3</v>
      </c>
    </row>
    <row r="51" spans="1:7">
      <c r="A51" s="15">
        <v>44284</v>
      </c>
      <c r="B51" s="112">
        <v>1.1020000000000001</v>
      </c>
      <c r="C51" s="108">
        <f t="shared" ref="C51:C57" si="13">IFERROR(B51-B50,0)</f>
        <v>3.0000000000001137E-3</v>
      </c>
      <c r="D51" s="109" t="str">
        <f t="shared" ref="D51:D57" si="14">IF(C51&lt;0,C51,"/")</f>
        <v>/</v>
      </c>
      <c r="E51" s="109">
        <f ca="1">IF(表2_367162629303891213141523242526272835[[#This Row],[累计净值]]/MAX(INDIRECT("B21:B" &amp; ROW()))-1&lt;E50,表2_367162629303891213141523242526272835[[#This Row],[累计净值]]/MAX(INDIRECT("B21:B" &amp; ROW()))-1,E50)</f>
        <v>-6.9954751131221626E-2</v>
      </c>
      <c r="F51" s="110">
        <f>表2_367162629303891213141523242526272838[[#This Row],[累计净值]]</f>
        <v>1.1020000000000001</v>
      </c>
      <c r="G51" s="20">
        <f>IF(表2_367162629303891213141523242526272838[[#This Row],[累计净值]]&gt;$B$21,0.7*(表2_367162629303891213141523242526272838[[#This Row],[累计净值]]/$B$21-1),表2_367162629303891213141523242526272838[[#This Row],[累计净值]]/$B$21-1)</f>
        <v>9.6596136154555312E-3</v>
      </c>
    </row>
    <row r="52" spans="1:7">
      <c r="A52" s="15">
        <v>44285</v>
      </c>
      <c r="B52" s="112">
        <v>1.105</v>
      </c>
      <c r="C52" s="108">
        <f t="shared" si="13"/>
        <v>2.9999999999998916E-3</v>
      </c>
      <c r="D52" s="109" t="str">
        <f t="shared" si="14"/>
        <v>/</v>
      </c>
      <c r="E52" s="109">
        <f ca="1">IF(表2_367162629303891213141523242526272835[[#This Row],[累计净值]]/MAX(INDIRECT("B21:B" &amp; ROW()))-1&lt;E51,表2_367162629303891213141523242526272835[[#This Row],[累计净值]]/MAX(INDIRECT("B21:B" &amp; ROW()))-1,E51)</f>
        <v>-6.9954751131221626E-2</v>
      </c>
      <c r="F52" s="110">
        <f>表2_367162629303891213141523242526272838[[#This Row],[累计净值]]</f>
        <v>1.105</v>
      </c>
      <c r="G52" s="20">
        <f>IF(表2_367162629303891213141523242526272838[[#This Row],[累计净值]]&gt;$B$21,0.7*(表2_367162629303891213141523242526272838[[#This Row],[累计净值]]/$B$21-1),表2_367162629303891213141523242526272838[[#This Row],[累计净值]]/$B$21-1)</f>
        <v>1.1591536338546482E-2</v>
      </c>
    </row>
    <row r="53" spans="1:7">
      <c r="A53" s="15">
        <v>44286</v>
      </c>
      <c r="B53" s="112">
        <v>1.1040000000000001</v>
      </c>
      <c r="C53" s="108">
        <f t="shared" si="13"/>
        <v>-9.9999999999988987E-4</v>
      </c>
      <c r="D53" s="109">
        <f t="shared" si="14"/>
        <v>-9.9999999999988987E-4</v>
      </c>
      <c r="E53" s="109">
        <f ca="1">IF(表2_367162629303891213141523242526272835[[#This Row],[累计净值]]/MAX(INDIRECT("B21:B" &amp; ROW()))-1&lt;E52,表2_367162629303891213141523242526272835[[#This Row],[累计净值]]/MAX(INDIRECT("B21:B" &amp; ROW()))-1,E52)</f>
        <v>-7.3212669683257903E-2</v>
      </c>
      <c r="F53" s="110">
        <f>表2_367162629303891213141523242526272838[[#This Row],[累计净值]]</f>
        <v>1.1040000000000001</v>
      </c>
      <c r="G53" s="20">
        <f>IF(表2_367162629303891213141523242526272838[[#This Row],[累计净值]]&gt;$B$21,0.7*(表2_367162629303891213141523242526272838[[#This Row],[累计净值]]/$B$21-1),表2_367162629303891213141523242526272838[[#This Row],[累计净值]]/$B$21-1)</f>
        <v>1.0947562097516217E-2</v>
      </c>
    </row>
    <row r="54" spans="1:7">
      <c r="A54" s="15">
        <v>44287</v>
      </c>
      <c r="B54" s="112">
        <v>1.1080000000000001</v>
      </c>
      <c r="C54" s="108">
        <f t="shared" si="13"/>
        <v>4.0000000000000036E-3</v>
      </c>
      <c r="D54" s="109" t="str">
        <f t="shared" si="14"/>
        <v>/</v>
      </c>
      <c r="E54" s="109">
        <f ca="1">IF(表2_367162629303891213141523242526272835[[#This Row],[累计净值]]/MAX(INDIRECT("B21:B" &amp; ROW()))-1&lt;E53,表2_367162629303891213141523242526272835[[#This Row],[累计净值]]/MAX(INDIRECT("B21:B" &amp; ROW()))-1,E53)</f>
        <v>-7.3212669683257903E-2</v>
      </c>
      <c r="F54" s="110">
        <f>表2_367162629303891213141523242526272838[[#This Row],[累计净值]]</f>
        <v>1.1080000000000001</v>
      </c>
      <c r="G54" s="20">
        <f>IF(表2_367162629303891213141523242526272838[[#This Row],[累计净值]]&gt;$B$21,0.7*(表2_367162629303891213141523242526272838[[#This Row],[累计净值]]/$B$21-1),表2_367162629303891213141523242526272838[[#This Row],[累计净值]]/$B$21-1)</f>
        <v>1.3523459061637587E-2</v>
      </c>
    </row>
    <row r="55" spans="1:7">
      <c r="A55" s="15">
        <v>44288</v>
      </c>
      <c r="B55" s="112">
        <v>1.1100000000000001</v>
      </c>
      <c r="C55" s="108">
        <f t="shared" si="13"/>
        <v>2.0000000000000018E-3</v>
      </c>
      <c r="D55" s="109" t="str">
        <f t="shared" si="14"/>
        <v>/</v>
      </c>
      <c r="E55" s="109">
        <f ca="1">IF(表2_367162629303891213141523242526272835[[#This Row],[累计净值]]/MAX(INDIRECT("B21:B" &amp; ROW()))-1&lt;E54,表2_367162629303891213141523242526272835[[#This Row],[累计净值]]/MAX(INDIRECT("B21:B" &amp; ROW()))-1,E54)</f>
        <v>-7.3212669683257903E-2</v>
      </c>
      <c r="F55" s="110">
        <f>表2_367162629303891213141523242526272838[[#This Row],[累计净值]]</f>
        <v>1.1100000000000001</v>
      </c>
      <c r="G55" s="20">
        <f>IF(表2_367162629303891213141523242526272838[[#This Row],[累计净值]]&gt;$B$21,0.7*(表2_367162629303891213141523242526272838[[#This Row],[累计净值]]/$B$21-1),表2_367162629303891213141523242526272838[[#This Row],[累计净值]]/$B$21-1)</f>
        <v>1.4811407543698273E-2</v>
      </c>
    </row>
    <row r="56" spans="1:7">
      <c r="A56" s="15">
        <v>44292</v>
      </c>
      <c r="B56" s="112">
        <v>1.107</v>
      </c>
      <c r="C56" s="108">
        <f t="shared" si="13"/>
        <v>-3.0000000000001137E-3</v>
      </c>
      <c r="D56" s="109">
        <f t="shared" si="14"/>
        <v>-3.0000000000001137E-3</v>
      </c>
      <c r="E56" s="109">
        <f ca="1">IF(表2_367162629303891213141523242526272835[[#This Row],[累计净值]]/MAX(INDIRECT("B21:B" &amp; ROW()))-1&lt;E55,表2_367162629303891213141523242526272835[[#This Row],[累计净值]]/MAX(INDIRECT("B21:B" &amp; ROW()))-1,E55)</f>
        <v>-7.3212669683257903E-2</v>
      </c>
      <c r="F56" s="110">
        <f>表2_367162629303891213141523242526272838[[#This Row],[累计净值]]</f>
        <v>1.107</v>
      </c>
      <c r="G56" s="20">
        <f>IF(表2_367162629303891213141523242526272838[[#This Row],[累计净值]]&gt;$B$21,0.7*(表2_367162629303891213141523242526272838[[#This Row],[累计净值]]/$B$21-1),表2_367162629303891213141523242526272838[[#This Row],[累计净值]]/$B$21-1)</f>
        <v>1.2879484820607167E-2</v>
      </c>
    </row>
    <row r="57" spans="1:7">
      <c r="A57" s="15">
        <v>44293</v>
      </c>
      <c r="B57" s="112">
        <v>1.1020000000000001</v>
      </c>
      <c r="C57" s="108">
        <f t="shared" si="13"/>
        <v>-4.9999999999998934E-3</v>
      </c>
      <c r="D57" s="109">
        <f t="shared" si="14"/>
        <v>-4.9999999999998934E-3</v>
      </c>
      <c r="E57" s="109">
        <f ca="1">IF(表2_367162629303891213141523242526272835[[#This Row],[累计净值]]/MAX(INDIRECT("B21:B" &amp; ROW()))-1&lt;E56,表2_367162629303891213141523242526272835[[#This Row],[累计净值]]/MAX(INDIRECT("B21:B" &amp; ROW()))-1,E56)</f>
        <v>-7.3212669683257903E-2</v>
      </c>
      <c r="F57" s="110">
        <f>表2_367162629303891213141523242526272838[[#This Row],[累计净值]]</f>
        <v>1.1020000000000001</v>
      </c>
      <c r="G57" s="20">
        <f>IF(表2_367162629303891213141523242526272838[[#This Row],[累计净值]]&gt;$B$21,0.7*(表2_367162629303891213141523242526272838[[#This Row],[累计净值]]/$B$21-1),表2_367162629303891213141523242526272838[[#This Row],[累计净值]]/$B$21-1)</f>
        <v>9.6596136154555312E-3</v>
      </c>
    </row>
    <row r="58" spans="1:7">
      <c r="A58" s="15">
        <v>44294</v>
      </c>
      <c r="B58" s="112">
        <v>1.105</v>
      </c>
      <c r="C58" s="108">
        <f t="shared" ref="C58:C64" si="15">IFERROR(B58-B57,0)</f>
        <v>2.9999999999998916E-3</v>
      </c>
      <c r="D58" s="109" t="str">
        <f t="shared" ref="D58:D64" si="16">IF(C58&lt;0,C58,"/")</f>
        <v>/</v>
      </c>
      <c r="E58" s="109">
        <f ca="1">IF(表2_367162629303891213141523242526272835[[#This Row],[累计净值]]/MAX(INDIRECT("B21:B" &amp; ROW()))-1&lt;E57,表2_367162629303891213141523242526272835[[#This Row],[累计净值]]/MAX(INDIRECT("B21:B" &amp; ROW()))-1,E57)</f>
        <v>-7.3212669683257903E-2</v>
      </c>
      <c r="F58" s="110">
        <f>表2_367162629303891213141523242526272838[[#This Row],[累计净值]]</f>
        <v>1.105</v>
      </c>
      <c r="G58" s="20">
        <f>IF(表2_367162629303891213141523242526272838[[#This Row],[累计净值]]&gt;$B$21,0.7*(表2_367162629303891213141523242526272838[[#This Row],[累计净值]]/$B$21-1),表2_367162629303891213141523242526272838[[#This Row],[累计净值]]/$B$21-1)</f>
        <v>1.1591536338546482E-2</v>
      </c>
    </row>
    <row r="59" spans="1:7">
      <c r="A59" s="15">
        <v>44295</v>
      </c>
      <c r="B59" s="112">
        <v>1.1060000000000001</v>
      </c>
      <c r="C59" s="108">
        <f t="shared" si="15"/>
        <v>1.0000000000001119E-3</v>
      </c>
      <c r="D59" s="109" t="str">
        <f t="shared" si="16"/>
        <v>/</v>
      </c>
      <c r="E59" s="109">
        <f ca="1">IF(表2_367162629303891213141523242526272835[[#This Row],[累计净值]]/MAX(INDIRECT("B21:B" &amp; ROW()))-1&lt;E58,表2_367162629303891213141523242526272835[[#This Row],[累计净值]]/MAX(INDIRECT("B21:B" &amp; ROW()))-1,E58)</f>
        <v>-7.3212669683257903E-2</v>
      </c>
      <c r="F59" s="110">
        <f>表2_367162629303891213141523242526272838[[#This Row],[累计净值]]</f>
        <v>1.1060000000000001</v>
      </c>
      <c r="G59" s="20">
        <f>IF(表2_367162629303891213141523242526272838[[#This Row],[累计净值]]&gt;$B$21,0.7*(表2_367162629303891213141523242526272838[[#This Row],[累计净值]]/$B$21-1),表2_367162629303891213141523242526272838[[#This Row],[累计净值]]/$B$21-1)</f>
        <v>1.2235510579576902E-2</v>
      </c>
    </row>
    <row r="60" spans="1:7">
      <c r="A60" s="15">
        <v>44298</v>
      </c>
      <c r="B60" s="112">
        <v>1.1080000000000001</v>
      </c>
      <c r="C60" s="108">
        <f t="shared" si="15"/>
        <v>2.0000000000000018E-3</v>
      </c>
      <c r="D60" s="109" t="str">
        <f t="shared" si="16"/>
        <v>/</v>
      </c>
      <c r="E60" s="109">
        <f ca="1">IF(表2_367162629303891213141523242526272835[[#This Row],[累计净值]]/MAX(INDIRECT("B21:B" &amp; ROW()))-1&lt;E59,表2_367162629303891213141523242526272835[[#This Row],[累计净值]]/MAX(INDIRECT("B21:B" &amp; ROW()))-1,E59)</f>
        <v>-7.3212669683257903E-2</v>
      </c>
      <c r="F60" s="110">
        <f>表2_367162629303891213141523242526272838[[#This Row],[累计净值]]</f>
        <v>1.1080000000000001</v>
      </c>
      <c r="G60" s="20">
        <f>IF(表2_367162629303891213141523242526272838[[#This Row],[累计净值]]&gt;$B$21,0.7*(表2_367162629303891213141523242526272838[[#This Row],[累计净值]]/$B$21-1),表2_367162629303891213141523242526272838[[#This Row],[累计净值]]/$B$21-1)</f>
        <v>1.3523459061637587E-2</v>
      </c>
    </row>
    <row r="61" spans="1:7">
      <c r="A61" s="15">
        <v>44299</v>
      </c>
      <c r="B61" s="112">
        <v>1.1040000000000001</v>
      </c>
      <c r="C61" s="108">
        <f t="shared" si="15"/>
        <v>-4.0000000000000036E-3</v>
      </c>
      <c r="D61" s="109">
        <f t="shared" si="16"/>
        <v>-4.0000000000000036E-3</v>
      </c>
      <c r="E61" s="109">
        <f ca="1">IF(表2_367162629303891213141523242526272835[[#This Row],[累计净值]]/MAX(INDIRECT("B21:B" &amp; ROW()))-1&lt;E60,表2_367162629303891213141523242526272835[[#This Row],[累计净值]]/MAX(INDIRECT("B21:B" &amp; ROW()))-1,E60)</f>
        <v>-7.3212669683257903E-2</v>
      </c>
      <c r="F61" s="110">
        <f>表2_367162629303891213141523242526272838[[#This Row],[累计净值]]</f>
        <v>1.1040000000000001</v>
      </c>
      <c r="G61" s="20">
        <f>IF(表2_367162629303891213141523242526272838[[#This Row],[累计净值]]&gt;$B$21,0.7*(表2_367162629303891213141523242526272838[[#This Row],[累计净值]]/$B$21-1),表2_367162629303891213141523242526272838[[#This Row],[累计净值]]/$B$21-1)</f>
        <v>1.0947562097516217E-2</v>
      </c>
    </row>
    <row r="62" spans="1:7">
      <c r="A62" s="15">
        <v>44300</v>
      </c>
      <c r="B62" s="112">
        <v>1.097</v>
      </c>
      <c r="C62" s="108">
        <f t="shared" si="15"/>
        <v>-7.0000000000001172E-3</v>
      </c>
      <c r="D62" s="109">
        <f t="shared" si="16"/>
        <v>-7.0000000000001172E-3</v>
      </c>
      <c r="E62" s="109">
        <f ca="1">IF(表2_367162629303891213141523242526272835[[#This Row],[累计净值]]/MAX(INDIRECT("B21:B" &amp; ROW()))-1&lt;E61,表2_367162629303891213141523242526272835[[#This Row],[累计净值]]/MAX(INDIRECT("B21:B" &amp; ROW()))-1,E61)</f>
        <v>-7.3212669683257903E-2</v>
      </c>
      <c r="F62" s="110">
        <f>表2_367162629303891213141523242526272838[[#This Row],[累计净值]]</f>
        <v>1.097</v>
      </c>
      <c r="G62" s="20">
        <f>IF(表2_367162629303891213141523242526272838[[#This Row],[累计净值]]&gt;$B$21,0.7*(表2_367162629303891213141523242526272838[[#This Row],[累计净值]]/$B$21-1),表2_367162629303891213141523242526272838[[#This Row],[累计净值]]/$B$21-1)</f>
        <v>6.4397424103035837E-3</v>
      </c>
    </row>
    <row r="63" spans="1:7">
      <c r="A63" s="15">
        <v>44301</v>
      </c>
      <c r="B63" s="112">
        <v>1.0960000000000001</v>
      </c>
      <c r="C63" s="108">
        <f t="shared" si="15"/>
        <v>-9.9999999999988987E-4</v>
      </c>
      <c r="D63" s="109">
        <f t="shared" si="16"/>
        <v>-9.9999999999988987E-4</v>
      </c>
      <c r="E63" s="109">
        <f ca="1">IF(表2_367162629303891213141523242526272835[[#This Row],[累计净值]]/MAX(INDIRECT("B21:B" &amp; ROW()))-1&lt;E62,表2_367162629303891213141523242526272835[[#This Row],[累计净值]]/MAX(INDIRECT("B21:B" &amp; ROW()))-1,E62)</f>
        <v>-7.3212669683257903E-2</v>
      </c>
      <c r="F63" s="110">
        <f>表2_367162629303891213141523242526272838[[#This Row],[累计净值]]</f>
        <v>1.0960000000000001</v>
      </c>
      <c r="G63" s="20">
        <f>IF(表2_367162629303891213141523242526272838[[#This Row],[累计净值]]&gt;$B$21,0.7*(表2_367162629303891213141523242526272838[[#This Row],[累计净值]]/$B$21-1),表2_367162629303891213141523242526272838[[#This Row],[累计净值]]/$B$21-1)</f>
        <v>5.7957681692733182E-3</v>
      </c>
    </row>
    <row r="64" spans="1:7">
      <c r="A64" s="15">
        <v>44302</v>
      </c>
      <c r="B64" s="112">
        <v>1.097</v>
      </c>
      <c r="C64" s="108">
        <f t="shared" si="15"/>
        <v>9.9999999999988987E-4</v>
      </c>
      <c r="D64" s="109" t="str">
        <f t="shared" si="16"/>
        <v>/</v>
      </c>
      <c r="E64" s="109">
        <f ca="1">IF(表2_367162629303891213141523242526272835[[#This Row],[累计净值]]/MAX(INDIRECT("B21:B" &amp; ROW()))-1&lt;E63,表2_367162629303891213141523242526272835[[#This Row],[累计净值]]/MAX(INDIRECT("B21:B" &amp; ROW()))-1,E63)</f>
        <v>-7.3212669683257903E-2</v>
      </c>
      <c r="F64" s="110">
        <f>表2_367162629303891213141523242526272838[[#This Row],[累计净值]]</f>
        <v>1.097</v>
      </c>
      <c r="G64" s="20">
        <f>IF(表2_367162629303891213141523242526272838[[#This Row],[累计净值]]&gt;$B$21,0.7*(表2_367162629303891213141523242526272838[[#This Row],[累计净值]]/$B$21-1),表2_367162629303891213141523242526272838[[#This Row],[累计净值]]/$B$21-1)</f>
        <v>6.4397424103035837E-3</v>
      </c>
    </row>
    <row r="65" spans="1:7">
      <c r="A65" s="15">
        <v>44305</v>
      </c>
      <c r="B65" s="112">
        <v>1.1000000000000001</v>
      </c>
      <c r="C65" s="108">
        <f>IFERROR(B65-B64,0)</f>
        <v>3.0000000000001137E-3</v>
      </c>
      <c r="D65" s="109" t="str">
        <f>IF(C65&lt;0,C65,"/")</f>
        <v>/</v>
      </c>
      <c r="E65" s="109">
        <f ca="1">IF(表2_367162629303891213141523242526272835[[#This Row],[累计净值]]/MAX(INDIRECT("B21:B" &amp; ROW()))-1&lt;E64,表2_367162629303891213141523242526272835[[#This Row],[累计净值]]/MAX(INDIRECT("B21:B" &amp; ROW()))-1,E64)</f>
        <v>-7.3212669683257903E-2</v>
      </c>
      <c r="F65" s="110">
        <f>表2_367162629303891213141523242526272838[[#This Row],[累计净值]]</f>
        <v>1.1000000000000001</v>
      </c>
      <c r="G65" s="20">
        <f>IF(表2_367162629303891213141523242526272838[[#This Row],[累计净值]]&gt;$B$21,0.7*(表2_367162629303891213141523242526272838[[#This Row],[累计净值]]/$B$21-1),表2_367162629303891213141523242526272838[[#This Row],[累计净值]]/$B$21-1)</f>
        <v>8.3716651333946897E-3</v>
      </c>
    </row>
    <row r="66" spans="1:7">
      <c r="A66" s="15">
        <v>44306</v>
      </c>
      <c r="B66" s="112">
        <v>1.101</v>
      </c>
      <c r="C66" s="108">
        <f>IFERROR(B66-B65,0)</f>
        <v>9.9999999999988987E-4</v>
      </c>
      <c r="D66" s="109" t="str">
        <f>IF(C66&lt;0,C66,"/")</f>
        <v>/</v>
      </c>
      <c r="E66" s="109">
        <f ca="1">IF(表2_367162629303891213141523242526272835[[#This Row],[累计净值]]/MAX(INDIRECT("B21:B" &amp; ROW()))-1&lt;E65,表2_367162629303891213141523242526272835[[#This Row],[累计净值]]/MAX(INDIRECT("B21:B" &amp; ROW()))-1,E65)</f>
        <v>-7.3212669683257903E-2</v>
      </c>
      <c r="F66" s="110">
        <f>表2_367162629303891213141523242526272838[[#This Row],[累计净值]]</f>
        <v>1.101</v>
      </c>
      <c r="G66" s="20">
        <f>IF(表2_367162629303891213141523242526272838[[#This Row],[累计净值]]&gt;$B$21,0.7*(表2_367162629303891213141523242526272838[[#This Row],[累计净值]]/$B$21-1),表2_367162629303891213141523242526272838[[#This Row],[累计净值]]/$B$21-1)</f>
        <v>9.0156393744249552E-3</v>
      </c>
    </row>
    <row r="67" spans="1:7">
      <c r="A67" s="15">
        <v>44307</v>
      </c>
      <c r="B67" s="112">
        <v>1.101</v>
      </c>
      <c r="C67" s="108">
        <f>IFERROR(B67-B66,0)</f>
        <v>0</v>
      </c>
      <c r="D67" s="109" t="str">
        <f>IF(C67&lt;0,C67,"/")</f>
        <v>/</v>
      </c>
      <c r="E67" s="109">
        <f ca="1">IF(表2_367162629303891213141523242526272835[[#This Row],[累计净值]]/MAX(INDIRECT("B21:B" &amp; ROW()))-1&lt;E66,表2_367162629303891213141523242526272835[[#This Row],[累计净值]]/MAX(INDIRECT("B21:B" &amp; ROW()))-1,E66)</f>
        <v>-7.3212669683257903E-2</v>
      </c>
      <c r="F67" s="110">
        <f>表2_367162629303891213141523242526272838[[#This Row],[累计净值]]</f>
        <v>1.101</v>
      </c>
      <c r="G67" s="20">
        <f>IF(表2_367162629303891213141523242526272838[[#This Row],[累计净值]]&gt;$B$21,0.7*(表2_367162629303891213141523242526272838[[#This Row],[累计净值]]/$B$21-1),表2_367162629303891213141523242526272838[[#This Row],[累计净值]]/$B$21-1)</f>
        <v>9.0156393744249552E-3</v>
      </c>
    </row>
    <row r="68" spans="1:7">
      <c r="A68" s="15">
        <v>44308</v>
      </c>
      <c r="B68" s="112">
        <v>1.101</v>
      </c>
      <c r="C68" s="108">
        <f>IFERROR(B68-B67,0)</f>
        <v>0</v>
      </c>
      <c r="D68" s="109" t="str">
        <f>IF(C68&lt;0,C68,"/")</f>
        <v>/</v>
      </c>
      <c r="E68" s="109">
        <f ca="1">IF(表2_367162629303891213141523242526272835[[#This Row],[累计净值]]/MAX(INDIRECT("B21:B" &amp; ROW()))-1&lt;E67,表2_367162629303891213141523242526272835[[#This Row],[累计净值]]/MAX(INDIRECT("B21:B" &amp; ROW()))-1,E67)</f>
        <v>-7.3212669683257903E-2</v>
      </c>
      <c r="F68" s="110">
        <f>表2_367162629303891213141523242526272838[[#This Row],[累计净值]]</f>
        <v>1.101</v>
      </c>
      <c r="G68" s="20">
        <f>IF(表2_367162629303891213141523242526272838[[#This Row],[累计净值]]&gt;$B$21,0.7*(表2_367162629303891213141523242526272838[[#This Row],[累计净值]]/$B$21-1),表2_367162629303891213141523242526272838[[#This Row],[累计净值]]/$B$21-1)</f>
        <v>9.0156393744249552E-3</v>
      </c>
    </row>
    <row r="69" spans="1:7">
      <c r="A69" s="15">
        <v>44309</v>
      </c>
      <c r="B69" s="112">
        <v>1.1020000000000001</v>
      </c>
      <c r="C69" s="108">
        <f t="shared" ref="C69:C70" si="17">IFERROR(B69-B68,0)</f>
        <v>1.0000000000001119E-3</v>
      </c>
      <c r="D69" s="109" t="str">
        <f t="shared" ref="D69:D70" si="18">IF(C69&lt;0,C69,"/")</f>
        <v>/</v>
      </c>
      <c r="E69" s="109">
        <f ca="1">IF(表2_367162629303891213141523242526272835[[#This Row],[累计净值]]/MAX(INDIRECT("B21:B" &amp; ROW()))-1&lt;E68,表2_367162629303891213141523242526272835[[#This Row],[累计净值]]/MAX(INDIRECT("B21:B" &amp; ROW()))-1,E68)</f>
        <v>-7.3212669683257903E-2</v>
      </c>
      <c r="F69" s="110">
        <f>表2_367162629303891213141523242526272838[[#This Row],[累计净值]]</f>
        <v>1.1020000000000001</v>
      </c>
      <c r="G69" s="20">
        <f>IF(表2_367162629303891213141523242526272838[[#This Row],[累计净值]]&gt;$B$21,0.7*(表2_367162629303891213141523242526272838[[#This Row],[累计净值]]/$B$21-1),表2_367162629303891213141523242526272838[[#This Row],[累计净值]]/$B$21-1)</f>
        <v>9.6596136154555312E-3</v>
      </c>
    </row>
    <row r="70" spans="1:7">
      <c r="A70" s="15">
        <v>44312</v>
      </c>
      <c r="B70" s="112">
        <v>1.1040000000000001</v>
      </c>
      <c r="C70" s="108">
        <f t="shared" si="17"/>
        <v>2.0000000000000018E-3</v>
      </c>
      <c r="D70" s="109" t="str">
        <f t="shared" si="18"/>
        <v>/</v>
      </c>
      <c r="E70" s="109">
        <f ca="1">IF(表2_367162629303891213141523242526272835[[#This Row],[累计净值]]/MAX(INDIRECT("B21:B" &amp; ROW()))-1&lt;E69,表2_367162629303891213141523242526272835[[#This Row],[累计净值]]/MAX(INDIRECT("B21:B" &amp; ROW()))-1,E69)</f>
        <v>-7.3212669683257903E-2</v>
      </c>
      <c r="F70" s="110">
        <f>表2_367162629303891213141523242526272838[[#This Row],[累计净值]]</f>
        <v>1.1040000000000001</v>
      </c>
      <c r="G70" s="20">
        <f>IF(表2_367162629303891213141523242526272838[[#This Row],[累计净值]]&gt;$B$21,0.7*(表2_367162629303891213141523242526272838[[#This Row],[累计净值]]/$B$21-1),表2_367162629303891213141523242526272838[[#This Row],[累计净值]]/$B$21-1)</f>
        <v>1.0947562097516217E-2</v>
      </c>
    </row>
    <row r="71" spans="1:7">
      <c r="A71" s="15">
        <v>44313</v>
      </c>
      <c r="B71" s="112">
        <v>1.1040000000000001</v>
      </c>
      <c r="C71" s="108">
        <f t="shared" ref="C71:C72" si="19">IFERROR(B71-B70,0)</f>
        <v>0</v>
      </c>
      <c r="D71" s="109" t="str">
        <f t="shared" ref="D71:D72" si="20">IF(C71&lt;0,C71,"/")</f>
        <v>/</v>
      </c>
      <c r="E71" s="109">
        <f ca="1">IF(表2_367162629303891213141523242526272835[[#This Row],[累计净值]]/MAX(INDIRECT("B21:B" &amp; ROW()))-1&lt;E70,表2_367162629303891213141523242526272835[[#This Row],[累计净值]]/MAX(INDIRECT("B21:B" &amp; ROW()))-1,E70)</f>
        <v>-7.3212669683257903E-2</v>
      </c>
      <c r="F71" s="110">
        <f>表2_367162629303891213141523242526272838[[#This Row],[累计净值]]</f>
        <v>1.1040000000000001</v>
      </c>
      <c r="G71" s="20">
        <f>IF(表2_367162629303891213141523242526272838[[#This Row],[累计净值]]&gt;$B$21,0.7*(表2_367162629303891213141523242526272838[[#This Row],[累计净值]]/$B$21-1),表2_367162629303891213141523242526272838[[#This Row],[累计净值]]/$B$21-1)</f>
        <v>1.0947562097516217E-2</v>
      </c>
    </row>
    <row r="72" spans="1:7">
      <c r="A72" s="15">
        <v>44314</v>
      </c>
      <c r="B72" s="112">
        <v>1.103</v>
      </c>
      <c r="C72" s="108">
        <f t="shared" si="19"/>
        <v>-1.0000000000001119E-3</v>
      </c>
      <c r="D72" s="109">
        <f t="shared" si="20"/>
        <v>-1.0000000000001119E-3</v>
      </c>
      <c r="E72" s="109">
        <f ca="1">IF(表2_367162629303891213141523242526272835[[#This Row],[累计净值]]/MAX(INDIRECT("B21:B" &amp; ROW()))-1&lt;E71,表2_367162629303891213141523242526272835[[#This Row],[累计净值]]/MAX(INDIRECT("B21:B" &amp; ROW()))-1,E71)</f>
        <v>-7.3212669683257903E-2</v>
      </c>
      <c r="F72" s="110">
        <f>表2_367162629303891213141523242526272838[[#This Row],[累计净值]]</f>
        <v>1.103</v>
      </c>
      <c r="G72" s="20">
        <f>IF(表2_367162629303891213141523242526272838[[#This Row],[累计净值]]&gt;$B$21,0.7*(表2_367162629303891213141523242526272838[[#This Row],[累计净值]]/$B$21-1),表2_367162629303891213141523242526272838[[#This Row],[累计净值]]/$B$21-1)</f>
        <v>1.0303587856485795E-2</v>
      </c>
    </row>
    <row r="73" spans="1:7">
      <c r="A73" s="15">
        <v>44315</v>
      </c>
      <c r="B73" s="112">
        <v>1.1040000000000001</v>
      </c>
      <c r="C73" s="108">
        <f>IFERROR(B73-B72,0)</f>
        <v>1.0000000000001119E-3</v>
      </c>
      <c r="D73" s="109" t="str">
        <f>IF(C73&lt;0,C73,"/")</f>
        <v>/</v>
      </c>
      <c r="E73" s="109">
        <f ca="1">IF(表2_367162629303891213141523242526272835[[#This Row],[累计净值]]/MAX(INDIRECT("B21:B" &amp; ROW()))-1&lt;E72,表2_367162629303891213141523242526272835[[#This Row],[累计净值]]/MAX(INDIRECT("B21:B" &amp; ROW()))-1,E72)</f>
        <v>-7.3212669683257903E-2</v>
      </c>
      <c r="F73" s="110">
        <f>表2_367162629303891213141523242526272838[[#This Row],[累计净值]]</f>
        <v>1.1040000000000001</v>
      </c>
      <c r="G73" s="20">
        <f>IF(表2_367162629303891213141523242526272838[[#This Row],[累计净值]]&gt;$B$21,0.7*(表2_367162629303891213141523242526272838[[#This Row],[累计净值]]/$B$21-1),表2_367162629303891213141523242526272838[[#This Row],[累计净值]]/$B$21-1)</f>
        <v>1.0947562097516217E-2</v>
      </c>
    </row>
    <row r="74" spans="1:7">
      <c r="A74" s="15">
        <v>44316</v>
      </c>
      <c r="B74" s="112">
        <v>1.1020000000000001</v>
      </c>
      <c r="C74" s="108">
        <f t="shared" ref="C74:C75" si="21">IFERROR(B74-B73,0)</f>
        <v>-2.0000000000000018E-3</v>
      </c>
      <c r="D74" s="109">
        <f t="shared" ref="D74:D75" si="22">IF(C74&lt;0,C74,"/")</f>
        <v>-2.0000000000000018E-3</v>
      </c>
      <c r="E74" s="109">
        <f ca="1">IF(表2_367162629303891213141523242526272835[[#This Row],[累计净值]]/MAX(INDIRECT("B21:B" &amp; ROW()))-1&lt;E73,表2_367162629303891213141523242526272835[[#This Row],[累计净值]]/MAX(INDIRECT("B21:B" &amp; ROW()))-1,E73)</f>
        <v>-7.3212669683257903E-2</v>
      </c>
      <c r="F74" s="110">
        <f>表2_367162629303891213141523242526272838[[#This Row],[累计净值]]</f>
        <v>1.1020000000000001</v>
      </c>
      <c r="G74" s="20">
        <f>IF(表2_367162629303891213141523242526272838[[#This Row],[累计净值]]&gt;$B$21,0.7*(表2_367162629303891213141523242526272838[[#This Row],[累计净值]]/$B$21-1),表2_367162629303891213141523242526272838[[#This Row],[累计净值]]/$B$21-1)</f>
        <v>9.6596136154555312E-3</v>
      </c>
    </row>
    <row r="75" spans="1:7">
      <c r="A75" s="15">
        <v>44322</v>
      </c>
      <c r="B75" s="112">
        <v>1.1020000000000001</v>
      </c>
      <c r="C75" s="108">
        <f t="shared" si="21"/>
        <v>0</v>
      </c>
      <c r="D75" s="109" t="str">
        <f t="shared" si="22"/>
        <v>/</v>
      </c>
      <c r="E75" s="109">
        <f ca="1">IF(表2_367162629303891213141523242526272835[[#This Row],[累计净值]]/MAX(INDIRECT("B21:B" &amp; ROW()))-1&lt;E74,表2_367162629303891213141523242526272835[[#This Row],[累计净值]]/MAX(INDIRECT("B21:B" &amp; ROW()))-1,E74)</f>
        <v>-7.3212669683257903E-2</v>
      </c>
      <c r="F75" s="110">
        <f>表2_367162629303891213141523242526272838[[#This Row],[累计净值]]</f>
        <v>1.1020000000000001</v>
      </c>
      <c r="G75" s="20">
        <f>IF(表2_367162629303891213141523242526272838[[#This Row],[累计净值]]&gt;$B$21,0.7*(表2_367162629303891213141523242526272838[[#This Row],[累计净值]]/$B$21-1),表2_367162629303891213141523242526272838[[#This Row],[累计净值]]/$B$21-1)</f>
        <v>9.6596136154555312E-3</v>
      </c>
    </row>
    <row r="76" spans="1:7">
      <c r="A76" s="15">
        <v>44323</v>
      </c>
      <c r="B76" s="112">
        <v>1.1020000000000001</v>
      </c>
      <c r="C76" s="108">
        <f t="shared" ref="C76:C81" si="23">IFERROR(B76-B75,0)</f>
        <v>0</v>
      </c>
      <c r="D76" s="109" t="str">
        <f t="shared" ref="D76:D81" si="24">IF(C76&lt;0,C76,"/")</f>
        <v>/</v>
      </c>
      <c r="E76" s="109">
        <f ca="1">IF(表2_367162629303891213141523242526272835[[#This Row],[累计净值]]/MAX(INDIRECT("B21:B" &amp; ROW()))-1&lt;E75,表2_367162629303891213141523242526272835[[#This Row],[累计净值]]/MAX(INDIRECT("B21:B" &amp; ROW()))-1,E75)</f>
        <v>-7.3212669683257903E-2</v>
      </c>
      <c r="F76" s="110">
        <f>表2_367162629303891213141523242526272838[[#This Row],[累计净值]]</f>
        <v>1.1020000000000001</v>
      </c>
      <c r="G76" s="20">
        <f>IF(表2_367162629303891213141523242526272838[[#This Row],[累计净值]]&gt;$B$21,0.7*(表2_367162629303891213141523242526272838[[#This Row],[累计净值]]/$B$21-1),表2_367162629303891213141523242526272838[[#This Row],[累计净值]]/$B$21-1)</f>
        <v>9.6596136154555312E-3</v>
      </c>
    </row>
    <row r="77" spans="1:7">
      <c r="A77" s="15">
        <v>44326</v>
      </c>
      <c r="B77" s="112">
        <v>1.1040000000000001</v>
      </c>
      <c r="C77" s="108">
        <f t="shared" si="23"/>
        <v>2.0000000000000018E-3</v>
      </c>
      <c r="D77" s="109" t="str">
        <f t="shared" si="24"/>
        <v>/</v>
      </c>
      <c r="E77" s="109">
        <f ca="1">IF(表2_367162629303891213141523242526272835[[#This Row],[累计净值]]/MAX(INDIRECT("B21:B" &amp; ROW()))-1&lt;E76,表2_367162629303891213141523242526272835[[#This Row],[累计净值]]/MAX(INDIRECT("B21:B" &amp; ROW()))-1,E76)</f>
        <v>-7.3212669683257903E-2</v>
      </c>
      <c r="F77" s="110">
        <f>表2_367162629303891213141523242526272838[[#This Row],[累计净值]]</f>
        <v>1.1040000000000001</v>
      </c>
      <c r="G77" s="20">
        <f>IF(表2_367162629303891213141523242526272838[[#This Row],[累计净值]]&gt;$B$21,0.7*(表2_367162629303891213141523242526272838[[#This Row],[累计净值]]/$B$21-1),表2_367162629303891213141523242526272838[[#This Row],[累计净值]]/$B$21-1)</f>
        <v>1.0947562097516217E-2</v>
      </c>
    </row>
    <row r="78" spans="1:7">
      <c r="A78" s="15">
        <v>44327</v>
      </c>
      <c r="B78" s="112">
        <v>1.1040000000000001</v>
      </c>
      <c r="C78" s="108">
        <f t="shared" si="23"/>
        <v>0</v>
      </c>
      <c r="D78" s="109" t="str">
        <f t="shared" si="24"/>
        <v>/</v>
      </c>
      <c r="E78" s="109">
        <f ca="1">IF(表2_367162629303891213141523242526272835[[#This Row],[累计净值]]/MAX(INDIRECT("B21:B" &amp; ROW()))-1&lt;E77,表2_367162629303891213141523242526272835[[#This Row],[累计净值]]/MAX(INDIRECT("B21:B" &amp; ROW()))-1,E77)</f>
        <v>-7.3212669683257903E-2</v>
      </c>
      <c r="F78" s="110">
        <f>表2_367162629303891213141523242526272838[[#This Row],[累计净值]]</f>
        <v>1.1040000000000001</v>
      </c>
      <c r="G78" s="20">
        <f>IF(表2_367162629303891213141523242526272838[[#This Row],[累计净值]]&gt;$B$21,0.7*(表2_367162629303891213141523242526272838[[#This Row],[累计净值]]/$B$21-1),表2_367162629303891213141523242526272838[[#This Row],[累计净值]]/$B$21-1)</f>
        <v>1.0947562097516217E-2</v>
      </c>
    </row>
    <row r="79" spans="1:7">
      <c r="A79" s="15">
        <v>44328</v>
      </c>
      <c r="B79" s="112">
        <v>1.1060000000000001</v>
      </c>
      <c r="C79" s="108">
        <f t="shared" si="23"/>
        <v>2.0000000000000018E-3</v>
      </c>
      <c r="D79" s="109" t="str">
        <f t="shared" si="24"/>
        <v>/</v>
      </c>
      <c r="E79" s="109">
        <f ca="1">IF(表2_367162629303891213141523242526272835[[#This Row],[累计净值]]/MAX(INDIRECT("B21:B" &amp; ROW()))-1&lt;E78,表2_367162629303891213141523242526272835[[#This Row],[累计净值]]/MAX(INDIRECT("B21:B" &amp; ROW()))-1,E78)</f>
        <v>-7.3212669683257903E-2</v>
      </c>
      <c r="F79" s="110">
        <f>表2_367162629303891213141523242526272838[[#This Row],[累计净值]]</f>
        <v>1.1060000000000001</v>
      </c>
      <c r="G79" s="20">
        <f>IF(表2_367162629303891213141523242526272838[[#This Row],[累计净值]]&gt;$B$21,0.7*(表2_367162629303891213141523242526272838[[#This Row],[累计净值]]/$B$21-1),表2_367162629303891213141523242526272838[[#This Row],[累计净值]]/$B$21-1)</f>
        <v>1.2235510579576902E-2</v>
      </c>
    </row>
    <row r="80" spans="1:7">
      <c r="A80" s="15">
        <v>44329</v>
      </c>
      <c r="B80" s="112">
        <v>1.107</v>
      </c>
      <c r="C80" s="108">
        <f t="shared" si="23"/>
        <v>9.9999999999988987E-4</v>
      </c>
      <c r="D80" s="109" t="str">
        <f t="shared" si="24"/>
        <v>/</v>
      </c>
      <c r="E80" s="109">
        <f ca="1">IF(表2_367162629303891213141523242526272835[[#This Row],[累计净值]]/MAX(INDIRECT("B21:B" &amp; ROW()))-1&lt;E79,表2_367162629303891213141523242526272835[[#This Row],[累计净值]]/MAX(INDIRECT("B21:B" &amp; ROW()))-1,E79)</f>
        <v>-7.3212669683257903E-2</v>
      </c>
      <c r="F80" s="110">
        <f>表2_367162629303891213141523242526272838[[#This Row],[累计净值]]</f>
        <v>1.107</v>
      </c>
      <c r="G80" s="20">
        <f>IF(表2_367162629303891213141523242526272838[[#This Row],[累计净值]]&gt;$B$21,0.7*(表2_367162629303891213141523242526272838[[#This Row],[累计净值]]/$B$21-1),表2_367162629303891213141523242526272838[[#This Row],[累计净值]]/$B$21-1)</f>
        <v>1.2879484820607167E-2</v>
      </c>
    </row>
    <row r="81" spans="1:7">
      <c r="A81" s="15">
        <v>44330</v>
      </c>
      <c r="B81" s="112">
        <v>1.109</v>
      </c>
      <c r="C81" s="108">
        <f t="shared" si="23"/>
        <v>2.0000000000000018E-3</v>
      </c>
      <c r="D81" s="109" t="str">
        <f t="shared" si="24"/>
        <v>/</v>
      </c>
      <c r="E81" s="109">
        <f ca="1">IF(表2_367162629303891213141523242526272835[[#This Row],[累计净值]]/MAX(INDIRECT("B21:B" &amp; ROW()))-1&lt;E80,表2_367162629303891213141523242526272835[[#This Row],[累计净值]]/MAX(INDIRECT("B21:B" &amp; ROW()))-1,E80)</f>
        <v>-7.3212669683257903E-2</v>
      </c>
      <c r="F81" s="110">
        <f>表2_367162629303891213141523242526272838[[#This Row],[累计净值]]</f>
        <v>1.109</v>
      </c>
      <c r="G81" s="20">
        <f>IF(表2_367162629303891213141523242526272838[[#This Row],[累计净值]]&gt;$B$21,0.7*(表2_367162629303891213141523242526272838[[#This Row],[累计净值]]/$B$21-1),表2_367162629303891213141523242526272838[[#This Row],[累计净值]]/$B$21-1)</f>
        <v>1.4167433302667853E-2</v>
      </c>
    </row>
  </sheetData>
  <mergeCells count="1">
    <mergeCell ref="G2:G3"/>
  </mergeCells>
  <phoneticPr fontId="24" type="noConversion"/>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J76"/>
  <sheetViews>
    <sheetView workbookViewId="0">
      <pane xSplit="1" ySplit="20" topLeftCell="B60" activePane="bottomRight" state="frozen"/>
      <selection pane="topRight" activeCell="B1" sqref="B1"/>
      <selection pane="bottomLeft" activeCell="A21" sqref="A21"/>
      <selection pane="bottomRight" activeCell="I74" sqref="I74"/>
    </sheetView>
  </sheetViews>
  <sheetFormatPr baseColWidth="10" defaultColWidth="9" defaultRowHeight="15"/>
  <cols>
    <col min="1" max="1" width="11.6640625" style="230" bestFit="1" customWidth="1"/>
    <col min="2" max="2" width="13" style="230" customWidth="1"/>
    <col min="3" max="4" width="13.5" style="230" bestFit="1" customWidth="1"/>
    <col min="5" max="5" width="10.6640625" style="230" customWidth="1"/>
    <col min="6" max="6" width="11.1640625" style="230" customWidth="1"/>
    <col min="7" max="7" width="18.83203125" style="231" customWidth="1"/>
    <col min="8" max="8" width="12" style="230" bestFit="1" customWidth="1"/>
    <col min="9" max="16384" width="9" style="230"/>
  </cols>
  <sheetData>
    <row r="1" spans="1:7" ht="16" thickBot="1"/>
    <row r="2" spans="1:7" ht="16" thickBot="1">
      <c r="A2" s="232" t="s">
        <v>0</v>
      </c>
      <c r="B2" s="233">
        <f>COUNT(表2_36716262930389121314151831323334[每日盈亏])</f>
        <v>56</v>
      </c>
      <c r="C2" s="234"/>
      <c r="D2" s="235" t="s">
        <v>1</v>
      </c>
      <c r="E2" s="236"/>
      <c r="F2" s="230" t="s">
        <v>2</v>
      </c>
      <c r="G2" s="402" t="s">
        <v>3</v>
      </c>
    </row>
    <row r="3" spans="1:7">
      <c r="A3" s="237" t="s">
        <v>4</v>
      </c>
      <c r="B3" s="238">
        <f>COUNTIF(表2_36716262930389121314151831323334[每日盈亏],"&gt;0")</f>
        <v>26</v>
      </c>
      <c r="C3" s="239"/>
      <c r="D3" s="240" t="s">
        <v>5</v>
      </c>
      <c r="E3" s="241">
        <f>245^0.5*(B10-0.025/365)/E10</f>
        <v>-4.0215530898632036E-2</v>
      </c>
      <c r="G3" s="402"/>
    </row>
    <row r="4" spans="1:7">
      <c r="A4" s="237" t="s">
        <v>52</v>
      </c>
      <c r="B4" s="238">
        <f>COUNTIF(表2_36716262930389121314151831323334[每日盈亏],"&lt;0")</f>
        <v>22</v>
      </c>
      <c r="C4" s="239"/>
      <c r="D4" s="242" t="s">
        <v>7</v>
      </c>
      <c r="E4" s="241">
        <f ca="1">-B9/E8</f>
        <v>0.50829599817754501</v>
      </c>
      <c r="G4" s="231">
        <f>LOOKUP(999^10,表2_36716262930389121314151831323334[累计净值])</f>
        <v>1.016</v>
      </c>
    </row>
    <row r="5" spans="1:7">
      <c r="A5" s="237" t="s">
        <v>53</v>
      </c>
      <c r="B5" s="238">
        <f>B2-B3-B4</f>
        <v>8</v>
      </c>
      <c r="C5" s="239"/>
      <c r="D5" s="243" t="s">
        <v>54</v>
      </c>
      <c r="E5" s="244">
        <f>245^0.5*(B10-0.025/365)/E9</f>
        <v>-6.1461656825783903E-2</v>
      </c>
    </row>
    <row r="6" spans="1:7" ht="16" thickBot="1">
      <c r="A6" s="245"/>
      <c r="B6" s="246"/>
      <c r="C6" s="246"/>
      <c r="D6" s="246"/>
      <c r="E6" s="247"/>
    </row>
    <row r="7" spans="1:7" ht="16" thickBot="1">
      <c r="A7" s="248" t="s">
        <v>10</v>
      </c>
      <c r="B7" s="246"/>
      <c r="C7" s="246"/>
      <c r="D7" s="235" t="s">
        <v>11</v>
      </c>
      <c r="E7" s="249"/>
    </row>
    <row r="8" spans="1:7">
      <c r="A8" s="250" t="s">
        <v>55</v>
      </c>
      <c r="B8" s="251">
        <f>LOOKUP(999^10,表2_36716262930389121314151831323334[累计净值])/B21-1</f>
        <v>2.9615004935834577E-3</v>
      </c>
      <c r="C8" s="252"/>
      <c r="D8" s="240" t="s">
        <v>13</v>
      </c>
      <c r="E8" s="253">
        <f ca="1">MIN(表2_36716262930389121314151831323334[最大回撤])</f>
        <v>-2.5490196078431393E-2</v>
      </c>
    </row>
    <row r="9" spans="1:7">
      <c r="A9" s="237" t="s">
        <v>56</v>
      </c>
      <c r="B9" s="242">
        <f>B8*245/B2</f>
        <v>1.2956564659427627E-2</v>
      </c>
      <c r="C9" s="252"/>
      <c r="D9" s="243" t="s">
        <v>57</v>
      </c>
      <c r="E9" s="254">
        <f>STDEV(表2_36716262930389121314151831323334[下跌幅度])</f>
        <v>2.5668948769190739E-3</v>
      </c>
    </row>
    <row r="10" spans="1:7">
      <c r="A10" s="255" t="s">
        <v>58</v>
      </c>
      <c r="B10" s="256">
        <f>AVERAGE(表2_36716262930389121314151831323334[每日盈亏])</f>
        <v>5.8413875455851873E-5</v>
      </c>
      <c r="C10" s="257"/>
      <c r="D10" s="243" t="s">
        <v>59</v>
      </c>
      <c r="E10" s="254">
        <f>STDEV(表2_36716262930389121314151831323334[每日盈亏])</f>
        <v>3.923002096645937E-3</v>
      </c>
    </row>
    <row r="11" spans="1:7">
      <c r="A11" s="258" t="s">
        <v>60</v>
      </c>
      <c r="B11" s="242">
        <f>B3/B2</f>
        <v>0.4642857142857143</v>
      </c>
      <c r="C11" s="252"/>
      <c r="D11" s="242" t="s">
        <v>61</v>
      </c>
      <c r="E11" s="253">
        <f>245^0.5*E10</f>
        <v>6.140469554782161E-2</v>
      </c>
    </row>
    <row r="12" spans="1:7" ht="16" thickBot="1">
      <c r="A12" s="259" t="s">
        <v>20</v>
      </c>
      <c r="B12" s="260">
        <f>-(SUMIF(表2_36716262930389121314151831323334[每日盈亏],"&gt;=0")/B3)/(SUMIF(表2_36716262930389121314151831323334[每日盈亏],"&lt;0")/B4)</f>
        <v>0.88094396541515685</v>
      </c>
      <c r="C12" s="261"/>
      <c r="D12" s="262"/>
      <c r="E12" s="263"/>
    </row>
    <row r="14" spans="1:7" ht="32">
      <c r="A14" s="264" t="s">
        <v>21</v>
      </c>
      <c r="B14" s="264" t="s">
        <v>14</v>
      </c>
      <c r="C14" s="265" t="s">
        <v>19</v>
      </c>
      <c r="D14" s="265" t="s">
        <v>62</v>
      </c>
      <c r="E14" s="265" t="s">
        <v>5</v>
      </c>
      <c r="F14" s="265" t="s">
        <v>7</v>
      </c>
    </row>
    <row r="15" spans="1:7">
      <c r="A15" s="266">
        <f>B2</f>
        <v>56</v>
      </c>
      <c r="B15" s="267">
        <f>B9</f>
        <v>1.2956564659427627E-2</v>
      </c>
      <c r="C15" s="267">
        <f>E11</f>
        <v>6.140469554782161E-2</v>
      </c>
      <c r="D15" s="267">
        <f ca="1">E8</f>
        <v>-2.5490196078431393E-2</v>
      </c>
      <c r="E15" s="268">
        <f>E3</f>
        <v>-4.0215530898632036E-2</v>
      </c>
      <c r="F15" s="268">
        <f ca="1">E4</f>
        <v>0.50829599817754501</v>
      </c>
    </row>
    <row r="19" spans="1:7">
      <c r="A19" s="269"/>
      <c r="B19" s="230" t="s">
        <v>63</v>
      </c>
    </row>
    <row r="20" spans="1:7" ht="16">
      <c r="A20" s="270" t="s">
        <v>64</v>
      </c>
      <c r="B20" s="270" t="s">
        <v>24</v>
      </c>
      <c r="C20" s="270" t="s">
        <v>25</v>
      </c>
      <c r="D20" s="270" t="s">
        <v>26</v>
      </c>
      <c r="E20" s="270" t="s">
        <v>27</v>
      </c>
      <c r="F20" s="270" t="s">
        <v>65</v>
      </c>
      <c r="G20" s="270" t="s">
        <v>66</v>
      </c>
    </row>
    <row r="21" spans="1:7">
      <c r="A21" s="271">
        <v>44251</v>
      </c>
      <c r="B21" s="272">
        <v>1.0129999999999999</v>
      </c>
      <c r="C21" s="273">
        <f>IFERROR(B21-#REF!,0)</f>
        <v>0</v>
      </c>
      <c r="D21" s="274" t="str">
        <f t="shared" ref="D21:D23" si="0">IF(C21&lt;0,C21,"/")</f>
        <v>/</v>
      </c>
      <c r="E21" s="274">
        <f ca="1">IF(表2_36716262930389121314151831323334[[#This Row],[累计净值]]/MAX(INDIRECT("B21:B" &amp; ROW()))-1&lt;E20,表2_36716262930389121314151831323334[[#This Row],[累计净值]]/MAX(INDIRECT("B21:B" &amp; ROW()))-1,E20)</f>
        <v>0</v>
      </c>
      <c r="F21" s="275">
        <f>表2_36716262930389121314151831323334[[#This Row],[累计净值]]</f>
        <v>1.0129999999999999</v>
      </c>
      <c r="G21" s="276" t="s">
        <v>30</v>
      </c>
    </row>
    <row r="22" spans="1:7">
      <c r="A22" s="271">
        <v>44252</v>
      </c>
      <c r="B22" s="272">
        <v>1.02</v>
      </c>
      <c r="C22" s="273">
        <f>IFERROR(B22/B21-1,0)</f>
        <v>6.9101678183614013E-3</v>
      </c>
      <c r="D22" s="274" t="str">
        <f t="shared" si="0"/>
        <v>/</v>
      </c>
      <c r="E22" s="274">
        <f ca="1">IF(表2_36716262930389121314151831323334[[#This Row],[累计净值]]/MAX(INDIRECT("B21:B" &amp; ROW()))-1&lt;E21,表2_36716262930389121314151831323334[[#This Row],[累计净值]]/MAX(INDIRECT("B21:B" &amp; ROW()))-1,E21)</f>
        <v>0</v>
      </c>
      <c r="F22" s="275">
        <f>表2_36716262930389121314151831323334[[#This Row],[累计净值]]</f>
        <v>1.02</v>
      </c>
      <c r="G22" s="274">
        <f>IF(表2_36716262930389121314151831323334[[#This Row],[累计净值]]&gt;B$21,0.8*(表2_36716262930389121314151831323334[[#This Row],[累计净值]]-B$21)/B$21,(表2_36716262930389121314151831323334[[#This Row],[累计净值]]-B$21)/B$21)</f>
        <v>5.5281342546891366E-3</v>
      </c>
    </row>
    <row r="23" spans="1:7">
      <c r="A23" s="271">
        <v>44253</v>
      </c>
      <c r="B23" s="272">
        <v>1.01</v>
      </c>
      <c r="C23" s="273">
        <f t="shared" ref="C23" si="1">IFERROR(B23/B22-1,0)</f>
        <v>-9.8039215686274161E-3</v>
      </c>
      <c r="D23" s="274">
        <f t="shared" si="0"/>
        <v>-9.8039215686274161E-3</v>
      </c>
      <c r="E23" s="274">
        <f ca="1">IF(表2_36716262930389121314151831323334[[#This Row],[累计净值]]/MAX(INDIRECT("B21:B" &amp; ROW()))-1&lt;E22,表2_36716262930389121314151831323334[[#This Row],[累计净值]]/MAX(INDIRECT("B21:B" &amp; ROW()))-1,E22)</f>
        <v>-9.8039215686274161E-3</v>
      </c>
      <c r="F23" s="275">
        <f>表2_36716262930389121314151831323334[[#This Row],[累计净值]]</f>
        <v>1.01</v>
      </c>
      <c r="G23" s="274">
        <f>IF(表2_36716262930389121314151831323334[[#This Row],[累计净值]]&gt;B$21,0.8*(表2_36716262930389121314151831323334[[#This Row],[累计净值]]-B$21)/B$21,(表2_36716262930389121314151831323334[[#This Row],[累计净值]]-B$21)/B$21)</f>
        <v>-2.9615004935833089E-3</v>
      </c>
    </row>
    <row r="24" spans="1:7">
      <c r="A24" s="271">
        <v>44256</v>
      </c>
      <c r="B24" s="272">
        <v>1.004</v>
      </c>
      <c r="C24" s="273">
        <f t="shared" ref="C24:C38" si="2">IFERROR(B24/B23-1,0)</f>
        <v>-5.9405940594059459E-3</v>
      </c>
      <c r="D24" s="274">
        <f t="shared" ref="D24:D38" si="3">IF(C24&lt;0,C24,"/")</f>
        <v>-5.9405940594059459E-3</v>
      </c>
      <c r="E24" s="274">
        <f ca="1">IF(表2_36716262930389121314151831323334[[#This Row],[累计净值]]/MAX(INDIRECT("B21:B" &amp; ROW()))-1&lt;E23,表2_36716262930389121314151831323334[[#This Row],[累计净值]]/MAX(INDIRECT("B21:B" &amp; ROW()))-1,E23)</f>
        <v>-1.5686274509803977E-2</v>
      </c>
      <c r="F24" s="275">
        <f>表2_36716262930389121314151831323334[[#This Row],[累计净值]]</f>
        <v>1.004</v>
      </c>
      <c r="G24" s="274">
        <f>IF(表2_36716262930389121314151831323334[[#This Row],[累计净值]]&gt;B$21,0.8*(表2_36716262930389121314151831323334[[#This Row],[累计净值]]-B$21)/B$21,(表2_36716262930389121314151831323334[[#This Row],[累计净值]]-B$21)/B$21)</f>
        <v>-8.8845014807501458E-3</v>
      </c>
    </row>
    <row r="25" spans="1:7">
      <c r="A25" s="271">
        <v>44257</v>
      </c>
      <c r="B25" s="272">
        <v>1.0069999999999999</v>
      </c>
      <c r="C25" s="273">
        <f t="shared" si="2"/>
        <v>2.9880478087649376E-3</v>
      </c>
      <c r="D25" s="274" t="str">
        <f t="shared" si="3"/>
        <v>/</v>
      </c>
      <c r="E25" s="274">
        <f ca="1">IF(表2_36716262930389121314151831323334[[#This Row],[累计净值]]/MAX(INDIRECT("B21:B" &amp; ROW()))-1&lt;E24,表2_36716262930389121314151831323334[[#This Row],[累计净值]]/MAX(INDIRECT("B21:B" &amp; ROW()))-1,E24)</f>
        <v>-1.5686274509803977E-2</v>
      </c>
      <c r="F25" s="275">
        <f>表2_36716262930389121314151831323334[[#This Row],[累计净值]]</f>
        <v>1.0069999999999999</v>
      </c>
      <c r="G25" s="274">
        <f>IF(表2_36716262930389121314151831323334[[#This Row],[累计净值]]&gt;B$21,0.8*(表2_36716262930389121314151831323334[[#This Row],[累计净值]]-B$21)/B$21,(表2_36716262930389121314151831323334[[#This Row],[累计净值]]-B$21)/B$21)</f>
        <v>-5.9230009871668373E-3</v>
      </c>
    </row>
    <row r="26" spans="1:7">
      <c r="A26" s="271">
        <v>44258</v>
      </c>
      <c r="B26" s="272">
        <v>1.016</v>
      </c>
      <c r="C26" s="273">
        <f t="shared" si="2"/>
        <v>8.9374379344588917E-3</v>
      </c>
      <c r="D26" s="274" t="str">
        <f t="shared" si="3"/>
        <v>/</v>
      </c>
      <c r="E26" s="274">
        <f ca="1">IF(表2_36716262930389121314151831323334[[#This Row],[累计净值]]/MAX(INDIRECT("B21:B" &amp; ROW()))-1&lt;E25,表2_36716262930389121314151831323334[[#This Row],[累计净值]]/MAX(INDIRECT("B21:B" &amp; ROW()))-1,E25)</f>
        <v>-1.5686274509803977E-2</v>
      </c>
      <c r="F26" s="275">
        <f>表2_36716262930389121314151831323334[[#This Row],[累计净值]]</f>
        <v>1.016</v>
      </c>
      <c r="G26" s="274">
        <f>IF(表2_36716262930389121314151831323334[[#This Row],[累计净值]]&gt;B$21,0.8*(表2_36716262930389121314151831323334[[#This Row],[累计净值]]-B$21)/B$21,(表2_36716262930389121314151831323334[[#This Row],[累计净值]]-B$21)/B$21)</f>
        <v>2.369200394866823E-3</v>
      </c>
    </row>
    <row r="27" spans="1:7">
      <c r="A27" s="271">
        <v>44259</v>
      </c>
      <c r="B27" s="272">
        <v>1.012</v>
      </c>
      <c r="C27" s="273">
        <f t="shared" si="2"/>
        <v>-3.937007874015741E-3</v>
      </c>
      <c r="D27" s="274">
        <f t="shared" si="3"/>
        <v>-3.937007874015741E-3</v>
      </c>
      <c r="E27" s="274">
        <f ca="1">IF(表2_36716262930389121314151831323334[[#This Row],[累计净值]]/MAX(INDIRECT("B21:B" &amp; ROW()))-1&lt;E26,表2_36716262930389121314151831323334[[#This Row],[累计净值]]/MAX(INDIRECT("B21:B" &amp; ROW()))-1,E26)</f>
        <v>-1.5686274509803977E-2</v>
      </c>
      <c r="F27" s="275">
        <f>表2_36716262930389121314151831323334[[#This Row],[累计净值]]</f>
        <v>1.012</v>
      </c>
      <c r="G27" s="274">
        <f>IF(表2_36716262930389121314151831323334[[#This Row],[累计净值]]&gt;B$21,0.8*(表2_36716262930389121314151831323334[[#This Row],[累计净值]]-B$21)/B$21,(表2_36716262930389121314151831323334[[#This Row],[累计净值]]-B$21)/B$21)</f>
        <v>-9.8716683119436316E-4</v>
      </c>
    </row>
    <row r="28" spans="1:7">
      <c r="A28" s="271">
        <v>44260</v>
      </c>
      <c r="B28" s="272">
        <v>1.0089999999999999</v>
      </c>
      <c r="C28" s="273">
        <f t="shared" si="2"/>
        <v>-2.9644268774704496E-3</v>
      </c>
      <c r="D28" s="274">
        <f t="shared" si="3"/>
        <v>-2.9644268774704496E-3</v>
      </c>
      <c r="E28" s="274">
        <f ca="1">IF(表2_36716262930389121314151831323334[[#This Row],[累计净值]]/MAX(INDIRECT("B21:B" &amp; ROW()))-1&lt;E27,表2_36716262930389121314151831323334[[#This Row],[累计净值]]/MAX(INDIRECT("B21:B" &amp; ROW()))-1,E27)</f>
        <v>-1.5686274509803977E-2</v>
      </c>
      <c r="F28" s="275">
        <f>表2_36716262930389121314151831323334[[#This Row],[累计净值]]</f>
        <v>1.0089999999999999</v>
      </c>
      <c r="G28" s="274">
        <f>IF(表2_36716262930389121314151831323334[[#This Row],[累计净值]]&gt;B$21,0.8*(表2_36716262930389121314151831323334[[#This Row],[累计净值]]-B$21)/B$21,(表2_36716262930389121314151831323334[[#This Row],[累计净值]]-B$21)/B$21)</f>
        <v>-3.9486673247778915E-3</v>
      </c>
    </row>
    <row r="29" spans="1:7">
      <c r="A29" s="271">
        <v>44263</v>
      </c>
      <c r="B29" s="272">
        <v>1.0049999999999999</v>
      </c>
      <c r="C29" s="273">
        <f t="shared" si="2"/>
        <v>-3.964321110009883E-3</v>
      </c>
      <c r="D29" s="274">
        <f t="shared" si="3"/>
        <v>-3.964321110009883E-3</v>
      </c>
      <c r="E29" s="274">
        <f ca="1">IF(表2_36716262930389121314151831323334[[#This Row],[累计净值]]/MAX(INDIRECT("B21:B" &amp; ROW()))-1&lt;E28,表2_36716262930389121314151831323334[[#This Row],[累计净值]]/MAX(INDIRECT("B21:B" &amp; ROW()))-1,E28)</f>
        <v>-1.5686274509803977E-2</v>
      </c>
      <c r="F29" s="275">
        <f>表2_36716262930389121314151831323334[[#This Row],[累计净值]]</f>
        <v>1.0049999999999999</v>
      </c>
      <c r="G29" s="274">
        <f>IF(表2_36716262930389121314151831323334[[#This Row],[累计净值]]&gt;B$21,0.8*(表2_36716262930389121314151831323334[[#This Row],[累计净值]]-B$21)/B$21,(表2_36716262930389121314151831323334[[#This Row],[累计净值]]-B$21)/B$21)</f>
        <v>-7.8973346495557831E-3</v>
      </c>
    </row>
    <row r="30" spans="1:7">
      <c r="A30" s="271">
        <v>44264</v>
      </c>
      <c r="B30" s="272">
        <v>1.002</v>
      </c>
      <c r="C30" s="273">
        <f t="shared" si="2"/>
        <v>-2.9850746268655914E-3</v>
      </c>
      <c r="D30" s="274">
        <f t="shared" si="3"/>
        <v>-2.9850746268655914E-3</v>
      </c>
      <c r="E30" s="274">
        <f ca="1">IF(表2_36716262930389121314151831323334[[#This Row],[累计净值]]/MAX(INDIRECT("B21:B" &amp; ROW()))-1&lt;E29,表2_36716262930389121314151831323334[[#This Row],[累计净值]]/MAX(INDIRECT("B21:B" &amp; ROW()))-1,E29)</f>
        <v>-1.764705882352946E-2</v>
      </c>
      <c r="F30" s="275">
        <f>表2_36716262930389121314151831323334[[#This Row],[累计净值]]</f>
        <v>1.002</v>
      </c>
      <c r="G30" s="274">
        <f>IF(表2_36716262930389121314151831323334[[#This Row],[累计净值]]&gt;B$21,0.8*(表2_36716262930389121314151831323334[[#This Row],[累计净值]]-B$21)/B$21,(表2_36716262930389121314151831323334[[#This Row],[累计净值]]-B$21)/B$21)</f>
        <v>-1.0858835143139092E-2</v>
      </c>
    </row>
    <row r="31" spans="1:7">
      <c r="A31" s="271">
        <v>44265</v>
      </c>
      <c r="B31" s="272">
        <v>1.002</v>
      </c>
      <c r="C31" s="273">
        <f t="shared" si="2"/>
        <v>0</v>
      </c>
      <c r="D31" s="274" t="str">
        <f t="shared" si="3"/>
        <v>/</v>
      </c>
      <c r="E31" s="274">
        <f ca="1">IF(表2_36716262930389121314151831323334[[#This Row],[累计净值]]/MAX(INDIRECT("B21:B" &amp; ROW()))-1&lt;E30,表2_36716262930389121314151831323334[[#This Row],[累计净值]]/MAX(INDIRECT("B21:B" &amp; ROW()))-1,E30)</f>
        <v>-1.764705882352946E-2</v>
      </c>
      <c r="F31" s="275">
        <f>表2_36716262930389121314151831323334[[#This Row],[累计净值]]</f>
        <v>1.002</v>
      </c>
      <c r="G31" s="274">
        <f>IF(表2_36716262930389121314151831323334[[#This Row],[累计净值]]&gt;B$21,0.8*(表2_36716262930389121314151831323334[[#This Row],[累计净值]]-B$21)/B$21,(表2_36716262930389121314151831323334[[#This Row],[累计净值]]-B$21)/B$21)</f>
        <v>-1.0858835143139092E-2</v>
      </c>
    </row>
    <row r="32" spans="1:7">
      <c r="A32" s="271">
        <v>44266</v>
      </c>
      <c r="B32" s="272">
        <v>1</v>
      </c>
      <c r="C32" s="273">
        <f t="shared" si="2"/>
        <v>-1.9960079840319889E-3</v>
      </c>
      <c r="D32" s="274">
        <f t="shared" si="3"/>
        <v>-1.9960079840319889E-3</v>
      </c>
      <c r="E32" s="274">
        <f ca="1">IF(表2_36716262930389121314151831323334[[#This Row],[累计净值]]/MAX(INDIRECT("B21:B" &amp; ROW()))-1&lt;E31,表2_36716262930389121314151831323334[[#This Row],[累计净值]]/MAX(INDIRECT("B21:B" &amp; ROW()))-1,E31)</f>
        <v>-1.9607843137254943E-2</v>
      </c>
      <c r="F32" s="275">
        <f>表2_36716262930389121314151831323334[[#This Row],[累计净值]]</f>
        <v>1</v>
      </c>
      <c r="G32" s="274">
        <f>IF(表2_36716262930389121314151831323334[[#This Row],[累计净值]]&gt;B$21,0.8*(表2_36716262930389121314151831323334[[#This Row],[累计净值]]-B$21)/B$21,(表2_36716262930389121314151831323334[[#This Row],[累计净值]]-B$21)/B$21)</f>
        <v>-1.2833168805528037E-2</v>
      </c>
    </row>
    <row r="33" spans="1:9">
      <c r="A33" s="271">
        <v>44267</v>
      </c>
      <c r="B33" s="272">
        <v>1.004</v>
      </c>
      <c r="C33" s="273">
        <f t="shared" si="2"/>
        <v>4.0000000000000036E-3</v>
      </c>
      <c r="D33" s="274" t="str">
        <f t="shared" si="3"/>
        <v>/</v>
      </c>
      <c r="E33" s="274">
        <f ca="1">IF(表2_36716262930389121314151831323334[[#This Row],[累计净值]]/MAX(INDIRECT("B21:B" &amp; ROW()))-1&lt;E32,表2_36716262930389121314151831323334[[#This Row],[累计净值]]/MAX(INDIRECT("B21:B" &amp; ROW()))-1,E32)</f>
        <v>-1.9607843137254943E-2</v>
      </c>
      <c r="F33" s="275">
        <f>表2_36716262930389121314151831323334[[#This Row],[累计净值]]</f>
        <v>1.004</v>
      </c>
      <c r="G33" s="274">
        <f>IF(表2_36716262930389121314151831323334[[#This Row],[累计净值]]&gt;B$21,0.8*(表2_36716262930389121314151831323334[[#This Row],[累计净值]]-B$21)/B$21,(表2_36716262930389121314151831323334[[#This Row],[累计净值]]-B$21)/B$21)</f>
        <v>-8.8845014807501458E-3</v>
      </c>
    </row>
    <row r="34" spans="1:9">
      <c r="A34" s="271">
        <v>44270</v>
      </c>
      <c r="B34" s="272">
        <v>1</v>
      </c>
      <c r="C34" s="273">
        <f t="shared" si="2"/>
        <v>-3.9840637450199168E-3</v>
      </c>
      <c r="D34" s="274">
        <f t="shared" si="3"/>
        <v>-3.9840637450199168E-3</v>
      </c>
      <c r="E34" s="274">
        <f ca="1">IF(表2_36716262930389121314151831323334[[#This Row],[累计净值]]/MAX(INDIRECT("B21:B" &amp; ROW()))-1&lt;E33,表2_36716262930389121314151831323334[[#This Row],[累计净值]]/MAX(INDIRECT("B21:B" &amp; ROW()))-1,E33)</f>
        <v>-1.9607843137254943E-2</v>
      </c>
      <c r="F34" s="275">
        <f>表2_36716262930389121314151831323334[[#This Row],[累计净值]]</f>
        <v>1</v>
      </c>
      <c r="G34" s="274">
        <f>IF(表2_36716262930389121314151831323334[[#This Row],[累计净值]]&gt;B$21,0.8*(表2_36716262930389121314151831323334[[#This Row],[累计净值]]-B$21)/B$21,(表2_36716262930389121314151831323334[[#This Row],[累计净值]]-B$21)/B$21)</f>
        <v>-1.2833168805528037E-2</v>
      </c>
    </row>
    <row r="35" spans="1:9">
      <c r="A35" s="271">
        <v>44271</v>
      </c>
      <c r="B35" s="272">
        <v>1.004</v>
      </c>
      <c r="C35" s="273">
        <f t="shared" si="2"/>
        <v>4.0000000000000036E-3</v>
      </c>
      <c r="D35" s="274" t="str">
        <f t="shared" si="3"/>
        <v>/</v>
      </c>
      <c r="E35" s="274">
        <f ca="1">IF(表2_36716262930389121314151831323334[[#This Row],[累计净值]]/MAX(INDIRECT("B21:B" &amp; ROW()))-1&lt;E34,表2_36716262930389121314151831323334[[#This Row],[累计净值]]/MAX(INDIRECT("B21:B" &amp; ROW()))-1,E34)</f>
        <v>-1.9607843137254943E-2</v>
      </c>
      <c r="F35" s="275">
        <f>表2_36716262930389121314151831323334[[#This Row],[累计净值]]</f>
        <v>1.004</v>
      </c>
      <c r="G35" s="274">
        <f>IF(表2_36716262930389121314151831323334[[#This Row],[累计净值]]&gt;B$21,0.8*(表2_36716262930389121314151831323334[[#This Row],[累计净值]]-B$21)/B$21,(表2_36716262930389121314151831323334[[#This Row],[累计净值]]-B$21)/B$21)</f>
        <v>-8.8845014807501458E-3</v>
      </c>
    </row>
    <row r="36" spans="1:9">
      <c r="A36" s="271">
        <v>44272</v>
      </c>
      <c r="B36" s="272">
        <v>1.0049999999999999</v>
      </c>
      <c r="C36" s="273">
        <f t="shared" si="2"/>
        <v>9.960159362549792E-4</v>
      </c>
      <c r="D36" s="274" t="str">
        <f t="shared" si="3"/>
        <v>/</v>
      </c>
      <c r="E36" s="274">
        <f ca="1">IF(表2_36716262930389121314151831323334[[#This Row],[累计净值]]/MAX(INDIRECT("B21:B" &amp; ROW()))-1&lt;E35,表2_36716262930389121314151831323334[[#This Row],[累计净值]]/MAX(INDIRECT("B21:B" &amp; ROW()))-1,E35)</f>
        <v>-1.9607843137254943E-2</v>
      </c>
      <c r="F36" s="275">
        <f>表2_36716262930389121314151831323334[[#This Row],[累计净值]]</f>
        <v>1.0049999999999999</v>
      </c>
      <c r="G36" s="274">
        <f>IF(表2_36716262930389121314151831323334[[#This Row],[累计净值]]&gt;B$21,0.8*(表2_36716262930389121314151831323334[[#This Row],[累计净值]]-B$21)/B$21,(表2_36716262930389121314151831323334[[#This Row],[累计净值]]-B$21)/B$21)</f>
        <v>-7.8973346495557831E-3</v>
      </c>
    </row>
    <row r="37" spans="1:9">
      <c r="A37" s="271">
        <v>44273</v>
      </c>
      <c r="B37" s="272">
        <v>1.0049999999999999</v>
      </c>
      <c r="C37" s="273">
        <f t="shared" si="2"/>
        <v>0</v>
      </c>
      <c r="D37" s="274" t="str">
        <f t="shared" si="3"/>
        <v>/</v>
      </c>
      <c r="E37" s="274">
        <f ca="1">IF(表2_36716262930389121314151831323334[[#This Row],[累计净值]]/MAX(INDIRECT("B21:B" &amp; ROW()))-1&lt;E36,表2_36716262930389121314151831323334[[#This Row],[累计净值]]/MAX(INDIRECT("B21:B" &amp; ROW()))-1,E36)</f>
        <v>-1.9607843137254943E-2</v>
      </c>
      <c r="F37" s="275">
        <f>表2_36716262930389121314151831323334[[#This Row],[累计净值]]</f>
        <v>1.0049999999999999</v>
      </c>
      <c r="G37" s="274">
        <f>IF(表2_36716262930389121314151831323334[[#This Row],[累计净值]]&gt;B$21,0.8*(表2_36716262930389121314151831323334[[#This Row],[累计净值]]-B$21)/B$21,(表2_36716262930389121314151831323334[[#This Row],[累计净值]]-B$21)/B$21)</f>
        <v>-7.8973346495557831E-3</v>
      </c>
    </row>
    <row r="38" spans="1:9">
      <c r="A38" s="271">
        <v>44274</v>
      </c>
      <c r="B38" s="272">
        <v>1.002</v>
      </c>
      <c r="C38" s="273">
        <f t="shared" si="2"/>
        <v>-2.9850746268655914E-3</v>
      </c>
      <c r="D38" s="274">
        <f t="shared" si="3"/>
        <v>-2.9850746268655914E-3</v>
      </c>
      <c r="E38" s="274">
        <f ca="1">IF(表2_36716262930389121314151831323334[[#This Row],[累计净值]]/MAX(INDIRECT("B21:B" &amp; ROW()))-1&lt;E37,表2_36716262930389121314151831323334[[#This Row],[累计净值]]/MAX(INDIRECT("B21:B" &amp; ROW()))-1,E37)</f>
        <v>-1.9607843137254943E-2</v>
      </c>
      <c r="F38" s="275">
        <f>表2_36716262930389121314151831323334[[#This Row],[累计净值]]</f>
        <v>1.002</v>
      </c>
      <c r="G38" s="274">
        <f>IF(表2_36716262930389121314151831323334[[#This Row],[累计净值]]&gt;B$21,0.8*(表2_36716262930389121314151831323334[[#This Row],[累计净值]]-B$21)/B$21,(表2_36716262930389121314151831323334[[#This Row],[累计净值]]-B$21)/B$21)</f>
        <v>-1.0858835143139092E-2</v>
      </c>
    </row>
    <row r="39" spans="1:9">
      <c r="A39" s="271">
        <v>44277</v>
      </c>
      <c r="B39" s="272">
        <v>0.997</v>
      </c>
      <c r="C39" s="273">
        <f>IFERROR(B39-B38,0)</f>
        <v>-5.0000000000000044E-3</v>
      </c>
      <c r="D39" s="274">
        <f>IF(C39&lt;0,C39,"/")</f>
        <v>-5.0000000000000044E-3</v>
      </c>
      <c r="E39" s="274">
        <f ca="1">IF(表2_36716262930389121314151831323334[[#This Row],[累计净值]]/MAX(INDIRECT("B21:B" &amp; ROW()))-1&lt;E38,表2_36716262930389121314151831323334[[#This Row],[累计净值]]/MAX(INDIRECT("B21:B" &amp; ROW()))-1,E38)</f>
        <v>-2.2549019607843168E-2</v>
      </c>
      <c r="F39" s="110">
        <f>表2_36716262930389121314151831323334[[#This Row],[累计净值]]</f>
        <v>0.997</v>
      </c>
      <c r="G39" s="274">
        <f>IF(表2_36716262930389121314151831323334[[#This Row],[累计净值]]&gt;B$21,0.8*(表2_36716262930389121314151831323334[[#This Row],[累计净值]]-B$21)/B$21,(表2_36716262930389121314151831323334[[#This Row],[累计净值]]-B$21)/B$21)</f>
        <v>-1.5794669299111455E-2</v>
      </c>
    </row>
    <row r="40" spans="1:9">
      <c r="A40" s="271">
        <v>44278</v>
      </c>
      <c r="B40" s="272">
        <v>0.995</v>
      </c>
      <c r="C40" s="273">
        <f t="shared" ref="C40:C43" si="4">IFERROR(B40-B39,0)</f>
        <v>-2.0000000000000018E-3</v>
      </c>
      <c r="D40" s="274">
        <f t="shared" ref="D40:D43" si="5">IF(C40&lt;0,C40,"/")</f>
        <v>-2.0000000000000018E-3</v>
      </c>
      <c r="E40" s="274">
        <f ca="1">IF(表2_36716262930389121314151831323334[[#This Row],[累计净值]]/MAX(INDIRECT("B21:B" &amp; ROW()))-1&lt;E39,表2_36716262930389121314151831323334[[#This Row],[累计净值]]/MAX(INDIRECT("B21:B" &amp; ROW()))-1,E39)</f>
        <v>-2.4509803921568651E-2</v>
      </c>
      <c r="F40" s="110">
        <f>表2_36716262930389121314151831323334[[#This Row],[累计净值]]</f>
        <v>0.995</v>
      </c>
      <c r="G40" s="274">
        <f>IF(表2_36716262930389121314151831323334[[#This Row],[累计净值]]&gt;B$21,0.8*(表2_36716262930389121314151831323334[[#This Row],[累计净值]]-B$21)/B$21,(表2_36716262930389121314151831323334[[#This Row],[累计净值]]-B$21)/B$21)</f>
        <v>-1.7769002961500403E-2</v>
      </c>
    </row>
    <row r="41" spans="1:9">
      <c r="A41" s="271">
        <v>44279</v>
      </c>
      <c r="B41" s="272">
        <v>0.99399999999999999</v>
      </c>
      <c r="C41" s="273">
        <f t="shared" si="4"/>
        <v>-1.0000000000000009E-3</v>
      </c>
      <c r="D41" s="274">
        <f t="shared" si="5"/>
        <v>-1.0000000000000009E-3</v>
      </c>
      <c r="E41" s="274">
        <f ca="1">IF(表2_36716262930389121314151831323334[[#This Row],[累计净值]]/MAX(INDIRECT("B21:B" &amp; ROW()))-1&lt;E40,表2_36716262930389121314151831323334[[#This Row],[累计净值]]/MAX(INDIRECT("B21:B" &amp; ROW()))-1,E40)</f>
        <v>-2.5490196078431393E-2</v>
      </c>
      <c r="F41" s="110">
        <f>表2_36716262930389121314151831323334[[#This Row],[累计净值]]</f>
        <v>0.99399999999999999</v>
      </c>
      <c r="G41" s="274">
        <f>IF(表2_36716262930389121314151831323334[[#This Row],[累计净值]]&gt;B$21,0.8*(表2_36716262930389121314151831323334[[#This Row],[累计净值]]-B$21)/B$21,(表2_36716262930389121314151831323334[[#This Row],[累计净值]]-B$21)/B$21)</f>
        <v>-1.8756169792694875E-2</v>
      </c>
    </row>
    <row r="42" spans="1:9">
      <c r="A42" s="271">
        <v>44280</v>
      </c>
      <c r="B42" s="272">
        <v>0.995</v>
      </c>
      <c r="C42" s="273">
        <f t="shared" si="4"/>
        <v>1.0000000000000009E-3</v>
      </c>
      <c r="D42" s="274" t="str">
        <f t="shared" si="5"/>
        <v>/</v>
      </c>
      <c r="E42" s="274">
        <f ca="1">IF(表2_36716262930389121314151831323334[[#This Row],[累计净值]]/MAX(INDIRECT("B21:B" &amp; ROW()))-1&lt;E41,表2_36716262930389121314151831323334[[#This Row],[累计净值]]/MAX(INDIRECT("B21:B" &amp; ROW()))-1,E41)</f>
        <v>-2.5490196078431393E-2</v>
      </c>
      <c r="F42" s="110">
        <f>表2_36716262930389121314151831323334[[#This Row],[累计净值]]</f>
        <v>0.995</v>
      </c>
      <c r="G42" s="274">
        <f>IF(表2_36716262930389121314151831323334[[#This Row],[累计净值]]&gt;B$21,0.8*(表2_36716262930389121314151831323334[[#This Row],[累计净值]]-B$21)/B$21,(表2_36716262930389121314151831323334[[#This Row],[累计净值]]-B$21)/B$21)</f>
        <v>-1.7769002961500403E-2</v>
      </c>
    </row>
    <row r="43" spans="1:9">
      <c r="A43" s="271">
        <v>44281</v>
      </c>
      <c r="B43" s="272">
        <v>0.997</v>
      </c>
      <c r="C43" s="273">
        <f t="shared" si="4"/>
        <v>2.0000000000000018E-3</v>
      </c>
      <c r="D43" s="274" t="str">
        <f t="shared" si="5"/>
        <v>/</v>
      </c>
      <c r="E43" s="274">
        <f ca="1">IF(表2_36716262930389121314151831323334[[#This Row],[累计净值]]/MAX(INDIRECT("B21:B" &amp; ROW()))-1&lt;E42,表2_36716262930389121314151831323334[[#This Row],[累计净值]]/MAX(INDIRECT("B21:B" &amp; ROW()))-1,E42)</f>
        <v>-2.5490196078431393E-2</v>
      </c>
      <c r="F43" s="110">
        <f>表2_36716262930389121314151831323334[[#This Row],[累计净值]]</f>
        <v>0.997</v>
      </c>
      <c r="G43" s="274">
        <f>IF(表2_36716262930389121314151831323334[[#This Row],[累计净值]]&gt;B$21,0.8*(表2_36716262930389121314151831323334[[#This Row],[累计净值]]-B$21)/B$21,(表2_36716262930389121314151831323334[[#This Row],[累计净值]]-B$21)/B$21)</f>
        <v>-1.5794669299111455E-2</v>
      </c>
    </row>
    <row r="44" spans="1:9">
      <c r="A44" s="271">
        <v>44284</v>
      </c>
      <c r="B44" s="272">
        <v>0.999</v>
      </c>
      <c r="C44" s="273">
        <f t="shared" ref="C44:C50" si="6">IFERROR(B44-B43,0)</f>
        <v>2.0000000000000018E-3</v>
      </c>
      <c r="D44" s="274" t="str">
        <f t="shared" ref="D44:D50" si="7">IF(C44&lt;0,C44,"/")</f>
        <v>/</v>
      </c>
      <c r="E44" s="274">
        <f ca="1">IF(表2_36716262930389121314151831323334[[#This Row],[累计净值]]/MAX(INDIRECT("B21:B" &amp; ROW()))-1&lt;E43,表2_36716262930389121314151831323334[[#This Row],[累计净值]]/MAX(INDIRECT("B21:B" &amp; ROW()))-1,E43)</f>
        <v>-2.5490196078431393E-2</v>
      </c>
      <c r="F44" s="110">
        <f>表2_36716262930389121314151831323334[[#This Row],[累计净值]]</f>
        <v>0.999</v>
      </c>
      <c r="G44" s="274">
        <f>IF(表2_36716262930389121314151831323334[[#This Row],[累计净值]]&gt;B$21,0.8*(表2_36716262930389121314151831323334[[#This Row],[累计净值]]-B$21)/B$21,(表2_36716262930389121314151831323334[[#This Row],[累计净值]]-B$21)/B$21)</f>
        <v>-1.3820335636722509E-2</v>
      </c>
    </row>
    <row r="45" spans="1:9">
      <c r="A45" s="271">
        <v>44285</v>
      </c>
      <c r="B45" s="272">
        <v>0.997</v>
      </c>
      <c r="C45" s="273">
        <f t="shared" si="6"/>
        <v>-2.0000000000000018E-3</v>
      </c>
      <c r="D45" s="274">
        <f t="shared" si="7"/>
        <v>-2.0000000000000018E-3</v>
      </c>
      <c r="E45" s="274">
        <f ca="1">IF(表2_36716262930389121314151831323334[[#This Row],[累计净值]]/MAX(INDIRECT("B21:B" &amp; ROW()))-1&lt;E44,表2_36716262930389121314151831323334[[#This Row],[累计净值]]/MAX(INDIRECT("B21:B" &amp; ROW()))-1,E44)</f>
        <v>-2.5490196078431393E-2</v>
      </c>
      <c r="F45" s="110">
        <f>表2_36716262930389121314151831323334[[#This Row],[累计净值]]</f>
        <v>0.997</v>
      </c>
      <c r="G45" s="274">
        <f>IF(表2_36716262930389121314151831323334[[#This Row],[累计净值]]&gt;B$21,0.8*(表2_36716262930389121314151831323334[[#This Row],[累计净值]]-B$21)/B$21,(表2_36716262930389121314151831323334[[#This Row],[累计净值]]-B$21)/B$21)</f>
        <v>-1.5794669299111455E-2</v>
      </c>
    </row>
    <row r="46" spans="1:9">
      <c r="A46" s="271">
        <v>44286</v>
      </c>
      <c r="B46" s="272">
        <v>0.997</v>
      </c>
      <c r="C46" s="273">
        <f t="shared" si="6"/>
        <v>0</v>
      </c>
      <c r="D46" s="274" t="str">
        <f t="shared" si="7"/>
        <v>/</v>
      </c>
      <c r="E46" s="274">
        <f ca="1">IF(表2_36716262930389121314151831323334[[#This Row],[累计净值]]/MAX(INDIRECT("B21:B" &amp; ROW()))-1&lt;E45,表2_36716262930389121314151831323334[[#This Row],[累计净值]]/MAX(INDIRECT("B21:B" &amp; ROW()))-1,E45)</f>
        <v>-2.5490196078431393E-2</v>
      </c>
      <c r="F46" s="110">
        <f>表2_36716262930389121314151831323334[[#This Row],[累计净值]]</f>
        <v>0.997</v>
      </c>
      <c r="G46" s="274">
        <f>IF(表2_36716262930389121314151831323334[[#This Row],[累计净值]]&gt;B$21,0.8*(表2_36716262930389121314151831323334[[#This Row],[累计净值]]-B$21)/B$21,(表2_36716262930389121314151831323334[[#This Row],[累计净值]]-B$21)/B$21)</f>
        <v>-1.5794669299111455E-2</v>
      </c>
    </row>
    <row r="47" spans="1:9">
      <c r="A47" s="271">
        <v>44287</v>
      </c>
      <c r="B47" s="272">
        <v>0.999</v>
      </c>
      <c r="C47" s="273">
        <f t="shared" si="6"/>
        <v>2.0000000000000018E-3</v>
      </c>
      <c r="D47" s="274" t="str">
        <f t="shared" si="7"/>
        <v>/</v>
      </c>
      <c r="E47" s="274">
        <f ca="1">IF(表2_36716262930389121314151831323334[[#This Row],[累计净值]]/MAX(INDIRECT("B21:B" &amp; ROW()))-1&lt;E46,表2_36716262930389121314151831323334[[#This Row],[累计净值]]/MAX(INDIRECT("B21:B" &amp; ROW()))-1,E46)</f>
        <v>-2.5490196078431393E-2</v>
      </c>
      <c r="F47" s="110">
        <f>表2_36716262930389121314151831323334[[#This Row],[累计净值]]</f>
        <v>0.999</v>
      </c>
      <c r="G47" s="274">
        <f>IF(表2_36716262930389121314151831323334[[#This Row],[累计净值]]&gt;B$21,0.8*(表2_36716262930389121314151831323334[[#This Row],[累计净值]]-B$21)/B$21,(表2_36716262930389121314151831323334[[#This Row],[累计净值]]-B$21)/B$21)</f>
        <v>-1.3820335636722509E-2</v>
      </c>
      <c r="I47" s="283" t="s">
        <v>67</v>
      </c>
    </row>
    <row r="48" spans="1:9">
      <c r="A48" s="271">
        <v>44288</v>
      </c>
      <c r="B48" s="272">
        <v>1</v>
      </c>
      <c r="C48" s="273">
        <f t="shared" si="6"/>
        <v>1.0000000000000009E-3</v>
      </c>
      <c r="D48" s="274" t="str">
        <f t="shared" si="7"/>
        <v>/</v>
      </c>
      <c r="E48" s="274">
        <f ca="1">IF(表2_36716262930389121314151831323334[[#This Row],[累计净值]]/MAX(INDIRECT("B21:B" &amp; ROW()))-1&lt;E47,表2_36716262930389121314151831323334[[#This Row],[累计净值]]/MAX(INDIRECT("B21:B" &amp; ROW()))-1,E47)</f>
        <v>-2.5490196078431393E-2</v>
      </c>
      <c r="F48" s="110">
        <f>表2_36716262930389121314151831323334[[#This Row],[累计净值]]</f>
        <v>1</v>
      </c>
      <c r="G48" s="274">
        <f>IF(表2_36716262930389121314151831323334[[#This Row],[累计净值]]&gt;B$21,0.8*(表2_36716262930389121314151831323334[[#This Row],[累计净值]]-B$21)/B$21,(表2_36716262930389121314151831323334[[#This Row],[累计净值]]-B$21)/B$21)</f>
        <v>-1.2833168805528037E-2</v>
      </c>
    </row>
    <row r="49" spans="1:7">
      <c r="A49" s="271">
        <v>44292</v>
      </c>
      <c r="B49" s="272">
        <v>0.999</v>
      </c>
      <c r="C49" s="273">
        <f t="shared" si="6"/>
        <v>-1.0000000000000009E-3</v>
      </c>
      <c r="D49" s="274">
        <f t="shared" si="7"/>
        <v>-1.0000000000000009E-3</v>
      </c>
      <c r="E49" s="274">
        <f ca="1">IF(表2_36716262930389121314151831323334[[#This Row],[累计净值]]/MAX(INDIRECT("B21:B" &amp; ROW()))-1&lt;E48,表2_36716262930389121314151831323334[[#This Row],[累计净值]]/MAX(INDIRECT("B21:B" &amp; ROW()))-1,E48)</f>
        <v>-2.5490196078431393E-2</v>
      </c>
      <c r="F49" s="110">
        <f>表2_36716262930389121314151831323334[[#This Row],[累计净值]]</f>
        <v>0.999</v>
      </c>
      <c r="G49" s="274">
        <f>IF(表2_36716262930389121314151831323334[[#This Row],[累计净值]]&gt;B$21,0.8*(表2_36716262930389121314151831323334[[#This Row],[累计净值]]-B$21)/B$21,(表2_36716262930389121314151831323334[[#This Row],[累计净值]]-B$21)/B$21)</f>
        <v>-1.3820335636722509E-2</v>
      </c>
    </row>
    <row r="50" spans="1:7">
      <c r="A50" s="271">
        <v>44293</v>
      </c>
      <c r="B50" s="272">
        <v>0.998</v>
      </c>
      <c r="C50" s="273">
        <f t="shared" si="6"/>
        <v>-1.0000000000000009E-3</v>
      </c>
      <c r="D50" s="274">
        <f t="shared" si="7"/>
        <v>-1.0000000000000009E-3</v>
      </c>
      <c r="E50" s="274">
        <f ca="1">IF(表2_36716262930389121314151831323334[[#This Row],[累计净值]]/MAX(INDIRECT("B21:B" &amp; ROW()))-1&lt;E49,表2_36716262930389121314151831323334[[#This Row],[累计净值]]/MAX(INDIRECT("B21:B" &amp; ROW()))-1,E49)</f>
        <v>-2.5490196078431393E-2</v>
      </c>
      <c r="F50" s="110">
        <f>表2_36716262930389121314151831323334[[#This Row],[累计净值]]</f>
        <v>0.998</v>
      </c>
      <c r="G50" s="274">
        <f>IF(表2_36716262930389121314151831323334[[#This Row],[累计净值]]&gt;B$21,0.8*(表2_36716262930389121314151831323334[[#This Row],[累计净值]]-B$21)/B$21,(表2_36716262930389121314151831323334[[#This Row],[累计净值]]-B$21)/B$21)</f>
        <v>-1.4807502467916983E-2</v>
      </c>
    </row>
    <row r="51" spans="1:7">
      <c r="A51" s="271">
        <v>44294</v>
      </c>
      <c r="B51" s="272">
        <v>0.999</v>
      </c>
      <c r="C51" s="273">
        <f t="shared" ref="C51:C56" si="8">IFERROR(B51-B50,0)</f>
        <v>1.0000000000000009E-3</v>
      </c>
      <c r="D51" s="274" t="str">
        <f t="shared" ref="D51:D56" si="9">IF(C51&lt;0,C51,"/")</f>
        <v>/</v>
      </c>
      <c r="E51" s="274">
        <f ca="1">IF(表2_36716262930389121314151831323334[[#This Row],[累计净值]]/MAX(INDIRECT("B21:B" &amp; ROW()))-1&lt;E50,表2_36716262930389121314151831323334[[#This Row],[累计净值]]/MAX(INDIRECT("B21:B" &amp; ROW()))-1,E50)</f>
        <v>-2.5490196078431393E-2</v>
      </c>
      <c r="F51" s="110">
        <f>表2_36716262930389121314151831323334[[#This Row],[累计净值]]</f>
        <v>0.999</v>
      </c>
      <c r="G51" s="274">
        <f>IF(表2_36716262930389121314151831323334[[#This Row],[累计净值]]&gt;B$21,0.8*(表2_36716262930389121314151831323334[[#This Row],[累计净值]]-B$21)/B$21,(表2_36716262930389121314151831323334[[#This Row],[累计净值]]-B$21)/B$21)</f>
        <v>-1.3820335636722509E-2</v>
      </c>
    </row>
    <row r="52" spans="1:7">
      <c r="A52" s="271">
        <v>44295</v>
      </c>
      <c r="B52" s="272">
        <v>1</v>
      </c>
      <c r="C52" s="273">
        <f t="shared" si="8"/>
        <v>1.0000000000000009E-3</v>
      </c>
      <c r="D52" s="274" t="str">
        <f t="shared" si="9"/>
        <v>/</v>
      </c>
      <c r="E52" s="274">
        <f ca="1">IF(表2_36716262930389121314151831323334[[#This Row],[累计净值]]/MAX(INDIRECT("B21:B" &amp; ROW()))-1&lt;E51,表2_36716262930389121314151831323334[[#This Row],[累计净值]]/MAX(INDIRECT("B21:B" &amp; ROW()))-1,E51)</f>
        <v>-2.5490196078431393E-2</v>
      </c>
      <c r="F52" s="110">
        <f>表2_36716262930389121314151831323334[[#This Row],[累计净值]]</f>
        <v>1</v>
      </c>
      <c r="G52" s="274">
        <f>IF(表2_36716262930389121314151831323334[[#This Row],[累计净值]]&gt;B$21,0.8*(表2_36716262930389121314151831323334[[#This Row],[累计净值]]-B$21)/B$21,(表2_36716262930389121314151831323334[[#This Row],[累计净值]]-B$21)/B$21)</f>
        <v>-1.2833168805528037E-2</v>
      </c>
    </row>
    <row r="53" spans="1:7">
      <c r="A53" s="271">
        <v>44298</v>
      </c>
      <c r="B53" s="272">
        <v>1.0009999999999999</v>
      </c>
      <c r="C53" s="273">
        <f t="shared" si="8"/>
        <v>9.9999999999988987E-4</v>
      </c>
      <c r="D53" s="274" t="str">
        <f t="shared" si="9"/>
        <v>/</v>
      </c>
      <c r="E53" s="274">
        <f ca="1">IF(表2_36716262930389121314151831323334[[#This Row],[累计净值]]/MAX(INDIRECT("B21:B" &amp; ROW()))-1&lt;E52,表2_36716262930389121314151831323334[[#This Row],[累计净值]]/MAX(INDIRECT("B21:B" &amp; ROW()))-1,E52)</f>
        <v>-2.5490196078431393E-2</v>
      </c>
      <c r="F53" s="110">
        <f>表2_36716262930389121314151831323334[[#This Row],[累计净值]]</f>
        <v>1.0009999999999999</v>
      </c>
      <c r="G53" s="274">
        <f>IF(表2_36716262930389121314151831323334[[#This Row],[累计净值]]&gt;B$21,0.8*(表2_36716262930389121314151831323334[[#This Row],[累计净值]]-B$21)/B$21,(表2_36716262930389121314151831323334[[#This Row],[累计净值]]-B$21)/B$21)</f>
        <v>-1.1846001974333675E-2</v>
      </c>
    </row>
    <row r="54" spans="1:7">
      <c r="A54" s="271">
        <v>44299</v>
      </c>
      <c r="B54" s="272">
        <v>0.996</v>
      </c>
      <c r="C54" s="273">
        <f t="shared" si="8"/>
        <v>-4.9999999999998934E-3</v>
      </c>
      <c r="D54" s="274">
        <f t="shared" si="9"/>
        <v>-4.9999999999998934E-3</v>
      </c>
      <c r="E54" s="274">
        <f ca="1">IF(表2_36716262930389121314151831323334[[#This Row],[累计净值]]/MAX(INDIRECT("B21:B" &amp; ROW()))-1&lt;E53,表2_36716262930389121314151831323334[[#This Row],[累计净值]]/MAX(INDIRECT("B21:B" &amp; ROW()))-1,E53)</f>
        <v>-2.5490196078431393E-2</v>
      </c>
      <c r="F54" s="110">
        <f>表2_36716262930389121314151831323334[[#This Row],[累计净值]]</f>
        <v>0.996</v>
      </c>
      <c r="G54" s="274">
        <f>IF(表2_36716262930389121314151831323334[[#This Row],[累计净值]]&gt;B$21,0.8*(表2_36716262930389121314151831323334[[#This Row],[累计净值]]-B$21)/B$21,(表2_36716262930389121314151831323334[[#This Row],[累计净值]]-B$21)/B$21)</f>
        <v>-1.6781836130305927E-2</v>
      </c>
    </row>
    <row r="55" spans="1:7">
      <c r="A55" s="271">
        <v>44300</v>
      </c>
      <c r="B55" s="272">
        <v>0.996</v>
      </c>
      <c r="C55" s="273">
        <f t="shared" si="8"/>
        <v>0</v>
      </c>
      <c r="D55" s="274" t="str">
        <f t="shared" si="9"/>
        <v>/</v>
      </c>
      <c r="E55" s="274">
        <f ca="1">IF(表2_36716262930389121314151831323334[[#This Row],[累计净值]]/MAX(INDIRECT("B21:B" &amp; ROW()))-1&lt;E54,表2_36716262930389121314151831323334[[#This Row],[累计净值]]/MAX(INDIRECT("B21:B" &amp; ROW()))-1,E54)</f>
        <v>-2.5490196078431393E-2</v>
      </c>
      <c r="F55" s="110">
        <f>表2_36716262930389121314151831323334[[#This Row],[累计净值]]</f>
        <v>0.996</v>
      </c>
      <c r="G55" s="274">
        <f>IF(表2_36716262930389121314151831323334[[#This Row],[累计净值]]&gt;B$21,0.8*(表2_36716262930389121314151831323334[[#This Row],[累计净值]]-B$21)/B$21,(表2_36716262930389121314151831323334[[#This Row],[累计净值]]-B$21)/B$21)</f>
        <v>-1.6781836130305927E-2</v>
      </c>
    </row>
    <row r="56" spans="1:7">
      <c r="A56" s="271">
        <v>44301</v>
      </c>
      <c r="B56" s="272">
        <v>0.999</v>
      </c>
      <c r="C56" s="273">
        <f t="shared" si="8"/>
        <v>3.0000000000000027E-3</v>
      </c>
      <c r="D56" s="274" t="str">
        <f t="shared" si="9"/>
        <v>/</v>
      </c>
      <c r="E56" s="274">
        <f ca="1">IF(表2_36716262930389121314151831323334[[#This Row],[累计净值]]/MAX(INDIRECT("B21:B" &amp; ROW()))-1&lt;E55,表2_36716262930389121314151831323334[[#This Row],[累计净值]]/MAX(INDIRECT("B21:B" &amp; ROW()))-1,E55)</f>
        <v>-2.5490196078431393E-2</v>
      </c>
      <c r="F56" s="110">
        <f>表2_36716262930389121314151831323334[[#This Row],[累计净值]]</f>
        <v>0.999</v>
      </c>
      <c r="G56" s="274">
        <f>IF(表2_36716262930389121314151831323334[[#This Row],[累计净值]]&gt;B$21,0.8*(表2_36716262930389121314151831323334[[#This Row],[累计净值]]-B$21)/B$21,(表2_36716262930389121314151831323334[[#This Row],[累计净值]]-B$21)/B$21)</f>
        <v>-1.3820335636722509E-2</v>
      </c>
    </row>
    <row r="57" spans="1:7">
      <c r="A57" s="271">
        <v>44302</v>
      </c>
      <c r="B57" s="272">
        <v>1.004</v>
      </c>
      <c r="C57" s="273">
        <f t="shared" ref="C57:C63" si="10">IFERROR(B57-B56,0)</f>
        <v>5.0000000000000044E-3</v>
      </c>
      <c r="D57" s="274" t="str">
        <f t="shared" ref="D57:D63" si="11">IF(C57&lt;0,C57,"/")</f>
        <v>/</v>
      </c>
      <c r="E57" s="274">
        <f ca="1">IF(表2_36716262930389121314151831323334[[#This Row],[累计净值]]/MAX(INDIRECT("B21:B" &amp; ROW()))-1&lt;E56,表2_36716262930389121314151831323334[[#This Row],[累计净值]]/MAX(INDIRECT("B21:B" &amp; ROW()))-1,E56)</f>
        <v>-2.5490196078431393E-2</v>
      </c>
      <c r="F57" s="110">
        <f>表2_36716262930389121314151831323334[[#This Row],[累计净值]]</f>
        <v>1.004</v>
      </c>
      <c r="G57" s="274">
        <f>IF(表2_36716262930389121314151831323334[[#This Row],[累计净值]]&gt;B$21,0.8*(表2_36716262930389121314151831323334[[#This Row],[累计净值]]-B$21)/B$21,(表2_36716262930389121314151831323334[[#This Row],[累计净值]]-B$21)/B$21)</f>
        <v>-8.8845014807501458E-3</v>
      </c>
    </row>
    <row r="58" spans="1:7">
      <c r="A58" s="271">
        <v>44305</v>
      </c>
      <c r="B58" s="272">
        <v>1.0069999999999999</v>
      </c>
      <c r="C58" s="273">
        <f t="shared" si="10"/>
        <v>2.9999999999998916E-3</v>
      </c>
      <c r="D58" s="274" t="str">
        <f t="shared" si="11"/>
        <v>/</v>
      </c>
      <c r="E58" s="274">
        <f ca="1">IF(表2_36716262930389121314151831323334[[#This Row],[累计净值]]/MAX(INDIRECT("B21:B" &amp; ROW()))-1&lt;E57,表2_36716262930389121314151831323334[[#This Row],[累计净值]]/MAX(INDIRECT("B21:B" &amp; ROW()))-1,E57)</f>
        <v>-2.5490196078431393E-2</v>
      </c>
      <c r="F58" s="110">
        <f>表2_36716262930389121314151831323334[[#This Row],[累计净值]]</f>
        <v>1.0069999999999999</v>
      </c>
      <c r="G58" s="274">
        <f>IF(表2_36716262930389121314151831323334[[#This Row],[累计净值]]&gt;B$21,0.8*(表2_36716262930389121314151831323334[[#This Row],[累计净值]]-B$21)/B$21,(表2_36716262930389121314151831323334[[#This Row],[累计净值]]-B$21)/B$21)</f>
        <v>-5.9230009871668373E-3</v>
      </c>
    </row>
    <row r="59" spans="1:7">
      <c r="A59" s="271">
        <v>44306</v>
      </c>
      <c r="B59" s="272">
        <v>1.0089999999999999</v>
      </c>
      <c r="C59" s="273">
        <f t="shared" si="10"/>
        <v>2.0000000000000018E-3</v>
      </c>
      <c r="D59" s="274" t="str">
        <f t="shared" si="11"/>
        <v>/</v>
      </c>
      <c r="E59" s="274">
        <f ca="1">IF(表2_36716262930389121314151831323334[[#This Row],[累计净值]]/MAX(INDIRECT("B21:B" &amp; ROW()))-1&lt;E58,表2_36716262930389121314151831323334[[#This Row],[累计净值]]/MAX(INDIRECT("B21:B" &amp; ROW()))-1,E58)</f>
        <v>-2.5490196078431393E-2</v>
      </c>
      <c r="F59" s="110">
        <f>表2_36716262930389121314151831323334[[#This Row],[累计净值]]</f>
        <v>1.0089999999999999</v>
      </c>
      <c r="G59" s="274">
        <f>IF(表2_36716262930389121314151831323334[[#This Row],[累计净值]]&gt;B$21,0.8*(表2_36716262930389121314151831323334[[#This Row],[累计净值]]-B$21)/B$21,(表2_36716262930389121314151831323334[[#This Row],[累计净值]]-B$21)/B$21)</f>
        <v>-3.9486673247778915E-3</v>
      </c>
    </row>
    <row r="60" spans="1:7">
      <c r="A60" s="271">
        <v>44307</v>
      </c>
      <c r="B60" s="272">
        <v>1.0089999999999999</v>
      </c>
      <c r="C60" s="273">
        <f t="shared" si="10"/>
        <v>0</v>
      </c>
      <c r="D60" s="274" t="str">
        <f t="shared" si="11"/>
        <v>/</v>
      </c>
      <c r="E60" s="274">
        <f ca="1">IF(表2_36716262930389121314151831323334[[#This Row],[累计净值]]/MAX(INDIRECT("B21:B" &amp; ROW()))-1&lt;E59,表2_36716262930389121314151831323334[[#This Row],[累计净值]]/MAX(INDIRECT("B21:B" &amp; ROW()))-1,E59)</f>
        <v>-2.5490196078431393E-2</v>
      </c>
      <c r="F60" s="110">
        <f>表2_36716262930389121314151831323334[[#This Row],[累计净值]]</f>
        <v>1.0089999999999999</v>
      </c>
      <c r="G60" s="274">
        <f>IF(表2_36716262930389121314151831323334[[#This Row],[累计净值]]&gt;B$21,0.8*(表2_36716262930389121314151831323334[[#This Row],[累计净值]]-B$21)/B$21,(表2_36716262930389121314151831323334[[#This Row],[累计净值]]-B$21)/B$21)</f>
        <v>-3.9486673247778915E-3</v>
      </c>
    </row>
    <row r="61" spans="1:7">
      <c r="A61" s="271">
        <v>44308</v>
      </c>
      <c r="B61" s="272">
        <v>1.006</v>
      </c>
      <c r="C61" s="273">
        <f t="shared" si="10"/>
        <v>-2.9999999999998916E-3</v>
      </c>
      <c r="D61" s="274">
        <f t="shared" si="11"/>
        <v>-2.9999999999998916E-3</v>
      </c>
      <c r="E61" s="274">
        <f ca="1">IF(表2_36716262930389121314151831323334[[#This Row],[累计净值]]/MAX(INDIRECT("B21:B" &amp; ROW()))-1&lt;E60,表2_36716262930389121314151831323334[[#This Row],[累计净值]]/MAX(INDIRECT("B21:B" &amp; ROW()))-1,E60)</f>
        <v>-2.5490196078431393E-2</v>
      </c>
      <c r="F61" s="110">
        <f>表2_36716262930389121314151831323334[[#This Row],[累计净值]]</f>
        <v>1.006</v>
      </c>
      <c r="G61" s="274">
        <f>IF(表2_36716262930389121314151831323334[[#This Row],[累计净值]]&gt;B$21,0.8*(表2_36716262930389121314151831323334[[#This Row],[累计净值]]-B$21)/B$21,(表2_36716262930389121314151831323334[[#This Row],[累计净值]]-B$21)/B$21)</f>
        <v>-6.9101678183612E-3</v>
      </c>
    </row>
    <row r="62" spans="1:7">
      <c r="A62" s="271">
        <v>44309</v>
      </c>
      <c r="B62" s="272">
        <v>1.008</v>
      </c>
      <c r="C62" s="273">
        <f t="shared" si="10"/>
        <v>2.0000000000000018E-3</v>
      </c>
      <c r="D62" s="274" t="str">
        <f t="shared" si="11"/>
        <v>/</v>
      </c>
      <c r="E62" s="274">
        <f ca="1">IF(表2_36716262930389121314151831323334[[#This Row],[累计净值]]/MAX(INDIRECT("B21:B" &amp; ROW()))-1&lt;E61,表2_36716262930389121314151831323334[[#This Row],[累计净值]]/MAX(INDIRECT("B21:B" &amp; ROW()))-1,E61)</f>
        <v>-2.5490196078431393E-2</v>
      </c>
      <c r="F62" s="110">
        <f>表2_36716262930389121314151831323334[[#This Row],[累计净值]]</f>
        <v>1.008</v>
      </c>
      <c r="G62" s="274">
        <f>IF(表2_36716262930389121314151831323334[[#This Row],[累计净值]]&gt;B$21,0.8*(表2_36716262930389121314151831323334[[#This Row],[累计净值]]-B$21)/B$21,(表2_36716262930389121314151831323334[[#This Row],[累计净值]]-B$21)/B$21)</f>
        <v>-4.9358341559722543E-3</v>
      </c>
    </row>
    <row r="63" spans="1:7">
      <c r="A63" s="271">
        <v>44312</v>
      </c>
      <c r="B63" s="272">
        <v>1.0069999999999999</v>
      </c>
      <c r="C63" s="273">
        <f t="shared" si="10"/>
        <v>-1.0000000000001119E-3</v>
      </c>
      <c r="D63" s="274">
        <f t="shared" si="11"/>
        <v>-1.0000000000001119E-3</v>
      </c>
      <c r="E63" s="274">
        <f ca="1">IF(表2_36716262930389121314151831323334[[#This Row],[累计净值]]/MAX(INDIRECT("B21:B" &amp; ROW()))-1&lt;E62,表2_36716262930389121314151831323334[[#This Row],[累计净值]]/MAX(INDIRECT("B21:B" &amp; ROW()))-1,E62)</f>
        <v>-2.5490196078431393E-2</v>
      </c>
      <c r="F63" s="110">
        <f>表2_36716262930389121314151831323334[[#This Row],[累计净值]]</f>
        <v>1.0069999999999999</v>
      </c>
      <c r="G63" s="274">
        <f>IF(表2_36716262930389121314151831323334[[#This Row],[累计净值]]&gt;B$21,0.8*(表2_36716262930389121314151831323334[[#This Row],[累计净值]]-B$21)/B$21,(表2_36716262930389121314151831323334[[#This Row],[累计净值]]-B$21)/B$21)</f>
        <v>-5.9230009871668373E-3</v>
      </c>
    </row>
    <row r="64" spans="1:7">
      <c r="A64" s="271">
        <v>44313</v>
      </c>
      <c r="B64" s="272">
        <v>1.0069999999999999</v>
      </c>
      <c r="C64" s="273">
        <f>IFERROR(B64-B63,0)</f>
        <v>0</v>
      </c>
      <c r="D64" s="274" t="str">
        <f>IF(C64&lt;0,C64,"/")</f>
        <v>/</v>
      </c>
      <c r="E64" s="274">
        <f ca="1">IF(表2_36716262930389121314151831323334[[#This Row],[累计净值]]/MAX(INDIRECT("B21:B" &amp; ROW()))-1&lt;E63,表2_36716262930389121314151831323334[[#This Row],[累计净值]]/MAX(INDIRECT("B21:B" &amp; ROW()))-1,E63)</f>
        <v>-2.5490196078431393E-2</v>
      </c>
      <c r="F64" s="110">
        <f>表2_36716262930389121314151831323334[[#This Row],[累计净值]]</f>
        <v>1.0069999999999999</v>
      </c>
      <c r="G64" s="274">
        <f>IF(表2_36716262930389121314151831323334[[#This Row],[累计净值]]&gt;B$21,0.8*(表2_36716262930389121314151831323334[[#This Row],[累计净值]]-B$21)/B$21,(表2_36716262930389121314151831323334[[#This Row],[累计净值]]-B$21)/B$21)</f>
        <v>-5.9230009871668373E-3</v>
      </c>
    </row>
    <row r="65" spans="1:10">
      <c r="A65" s="271">
        <v>44314</v>
      </c>
      <c r="B65" s="272">
        <v>1.008</v>
      </c>
      <c r="C65" s="273">
        <f>IFERROR(B65-B64,0)</f>
        <v>1.0000000000001119E-3</v>
      </c>
      <c r="D65" s="274" t="str">
        <f>IF(C65&lt;0,C65,"/")</f>
        <v>/</v>
      </c>
      <c r="E65" s="274">
        <f ca="1">IF(表2_36716262930389121314151831323334[[#This Row],[累计净值]]/MAX(INDIRECT("B21:B" &amp; ROW()))-1&lt;E64,表2_36716262930389121314151831323334[[#This Row],[累计净值]]/MAX(INDIRECT("B21:B" &amp; ROW()))-1,E64)</f>
        <v>-2.5490196078431393E-2</v>
      </c>
      <c r="F65" s="110">
        <f>表2_36716262930389121314151831323334[[#This Row],[累计净值]]</f>
        <v>1.008</v>
      </c>
      <c r="G65" s="274">
        <f>IF(表2_36716262930389121314151831323334[[#This Row],[累计净值]]&gt;B$21,0.8*(表2_36716262930389121314151831323334[[#This Row],[累计净值]]-B$21)/B$21,(表2_36716262930389121314151831323334[[#This Row],[累计净值]]-B$21)/B$21)</f>
        <v>-4.9358341559722543E-3</v>
      </c>
    </row>
    <row r="66" spans="1:10">
      <c r="A66" s="271">
        <v>44315</v>
      </c>
      <c r="B66" s="272">
        <v>1.01</v>
      </c>
      <c r="C66" s="273">
        <f>IFERROR(B66-B65,0)</f>
        <v>2.0000000000000018E-3</v>
      </c>
      <c r="D66" s="274" t="str">
        <f>IF(C66&lt;0,C66,"/")</f>
        <v>/</v>
      </c>
      <c r="E66" s="274">
        <f ca="1">IF(表2_36716262930389121314151831323334[[#This Row],[累计净值]]/MAX(INDIRECT("B21:B" &amp; ROW()))-1&lt;E65,表2_36716262930389121314151831323334[[#This Row],[累计净值]]/MAX(INDIRECT("B21:B" &amp; ROW()))-1,E65)</f>
        <v>-2.5490196078431393E-2</v>
      </c>
      <c r="F66" s="110">
        <f>表2_36716262930389121314151831323334[[#This Row],[累计净值]]</f>
        <v>1.01</v>
      </c>
      <c r="G66" s="274">
        <f>IF(表2_36716262930389121314151831323334[[#This Row],[累计净值]]&gt;B$21,0.8*(表2_36716262930389121314151831323334[[#This Row],[累计净值]]-B$21)/B$21,(表2_36716262930389121314151831323334[[#This Row],[累计净值]]-B$21)/B$21)</f>
        <v>-2.9615004935833089E-3</v>
      </c>
    </row>
    <row r="67" spans="1:10">
      <c r="A67" s="271">
        <v>44316</v>
      </c>
      <c r="B67" s="272">
        <v>1.0089999999999999</v>
      </c>
      <c r="C67" s="273">
        <f t="shared" ref="C67:C68" si="12">IFERROR(B67-B66,0)</f>
        <v>-1.0000000000001119E-3</v>
      </c>
      <c r="D67" s="274">
        <f t="shared" ref="D67:D68" si="13">IF(C67&lt;0,C67,"/")</f>
        <v>-1.0000000000001119E-3</v>
      </c>
      <c r="E67" s="274">
        <f ca="1">IF(表2_36716262930389121314151831323334[[#This Row],[累计净值]]/MAX(INDIRECT("B21:B" &amp; ROW()))-1&lt;E66,表2_36716262930389121314151831323334[[#This Row],[累计净值]]/MAX(INDIRECT("B21:B" &amp; ROW()))-1,E66)</f>
        <v>-2.5490196078431393E-2</v>
      </c>
      <c r="F67" s="110">
        <f>表2_36716262930389121314151831323334[[#This Row],[累计净值]]</f>
        <v>1.0089999999999999</v>
      </c>
      <c r="G67" s="274">
        <f>IF(表2_36716262930389121314151831323334[[#This Row],[累计净值]]&gt;B$21,0.8*(表2_36716262930389121314151831323334[[#This Row],[累计净值]]-B$21)/B$21,(表2_36716262930389121314151831323334[[#This Row],[累计净值]]-B$21)/B$21)</f>
        <v>-3.9486673247778915E-3</v>
      </c>
    </row>
    <row r="68" spans="1:10">
      <c r="A68" s="271">
        <v>44322</v>
      </c>
      <c r="B68" s="272">
        <v>1.016</v>
      </c>
      <c r="C68" s="273">
        <f t="shared" si="12"/>
        <v>7.0000000000001172E-3</v>
      </c>
      <c r="D68" s="274" t="str">
        <f t="shared" si="13"/>
        <v>/</v>
      </c>
      <c r="E68" s="274">
        <f ca="1">IF(表2_36716262930389121314151831323334[[#This Row],[累计净值]]/MAX(INDIRECT("B21:B" &amp; ROW()))-1&lt;E67,表2_36716262930389121314151831323334[[#This Row],[累计净值]]/MAX(INDIRECT("B21:B" &amp; ROW()))-1,E67)</f>
        <v>-2.5490196078431393E-2</v>
      </c>
      <c r="F68" s="110">
        <f>表2_36716262930389121314151831323334[[#This Row],[累计净值]]</f>
        <v>1.016</v>
      </c>
      <c r="G68" s="274">
        <f>IF(表2_36716262930389121314151831323334[[#This Row],[累计净值]]&gt;B$21,0.8*(表2_36716262930389121314151831323334[[#This Row],[累计净值]]-B$21)/B$21,(表2_36716262930389121314151831323334[[#This Row],[累计净值]]-B$21)/B$21)</f>
        <v>2.369200394866823E-3</v>
      </c>
    </row>
    <row r="69" spans="1:10">
      <c r="A69" s="271">
        <v>44323</v>
      </c>
      <c r="B69" s="272">
        <v>1.0129999999999999</v>
      </c>
      <c r="C69" s="273">
        <f t="shared" ref="C69:C74" si="14">IFERROR(B69-B68,0)</f>
        <v>-3.0000000000001137E-3</v>
      </c>
      <c r="D69" s="274">
        <f t="shared" ref="D69:D74" si="15">IF(C69&lt;0,C69,"/")</f>
        <v>-3.0000000000001137E-3</v>
      </c>
      <c r="E69" s="274">
        <f ca="1">IF(表2_36716262930389121314151831323334[[#This Row],[累计净值]]/MAX(INDIRECT("B21:B" &amp; ROW()))-1&lt;E68,表2_36716262930389121314151831323334[[#This Row],[累计净值]]/MAX(INDIRECT("B21:B" &amp; ROW()))-1,E68)</f>
        <v>-2.5490196078431393E-2</v>
      </c>
      <c r="F69" s="110">
        <f>表2_36716262930389121314151831323334[[#This Row],[累计净值]]</f>
        <v>1.0129999999999999</v>
      </c>
      <c r="G69" s="274">
        <f>IF(表2_36716262930389121314151831323334[[#This Row],[累计净值]]&gt;B$21,0.8*(表2_36716262930389121314151831323334[[#This Row],[累计净值]]-B$21)/B$21,(表2_36716262930389121314151831323334[[#This Row],[累计净值]]-B$21)/B$21)</f>
        <v>0</v>
      </c>
    </row>
    <row r="70" spans="1:10">
      <c r="A70" s="271">
        <v>44326</v>
      </c>
      <c r="B70" s="272">
        <v>1.016</v>
      </c>
      <c r="C70" s="273">
        <f t="shared" si="14"/>
        <v>3.0000000000001137E-3</v>
      </c>
      <c r="D70" s="274" t="str">
        <f t="shared" si="15"/>
        <v>/</v>
      </c>
      <c r="E70" s="274">
        <f ca="1">IF(表2_36716262930389121314151831323334[[#This Row],[累计净值]]/MAX(INDIRECT("B21:B" &amp; ROW()))-1&lt;E69,表2_36716262930389121314151831323334[[#This Row],[累计净值]]/MAX(INDIRECT("B21:B" &amp; ROW()))-1,E69)</f>
        <v>-2.5490196078431393E-2</v>
      </c>
      <c r="F70" s="110">
        <f>表2_36716262930389121314151831323334[[#This Row],[累计净值]]</f>
        <v>1.016</v>
      </c>
      <c r="G70" s="274">
        <f>IF(表2_36716262930389121314151831323334[[#This Row],[累计净值]]&gt;B$21,0.8*(表2_36716262930389121314151831323334[[#This Row],[累计净值]]-B$21)/B$21,(表2_36716262930389121314151831323334[[#This Row],[累计净值]]-B$21)/B$21)</f>
        <v>2.369200394866823E-3</v>
      </c>
      <c r="J70" s="393" t="s">
        <v>112</v>
      </c>
    </row>
    <row r="71" spans="1:10">
      <c r="A71" s="271">
        <v>44327</v>
      </c>
      <c r="B71" s="272">
        <v>1.006</v>
      </c>
      <c r="C71" s="273">
        <f t="shared" si="14"/>
        <v>-1.0000000000000009E-2</v>
      </c>
      <c r="D71" s="274">
        <f t="shared" si="15"/>
        <v>-1.0000000000000009E-2</v>
      </c>
      <c r="E71" s="274">
        <f ca="1">IF(表2_36716262930389121314151831323334[[#This Row],[累计净值]]/MAX(INDIRECT("B21:B" &amp; ROW()))-1&lt;E70,表2_36716262930389121314151831323334[[#This Row],[累计净值]]/MAX(INDIRECT("B21:B" &amp; ROW()))-1,E70)</f>
        <v>-2.5490196078431393E-2</v>
      </c>
      <c r="F71" s="110">
        <f>表2_36716262930389121314151831323334[[#This Row],[累计净值]]</f>
        <v>1.006</v>
      </c>
      <c r="G71" s="274">
        <f>IF(表2_36716262930389121314151831323334[[#This Row],[累计净值]]&gt;B$21,0.8*(表2_36716262930389121314151831323334[[#This Row],[累计净值]]-B$21)/B$21,(表2_36716262930389121314151831323334[[#This Row],[累计净值]]-B$21)/B$21)</f>
        <v>-6.9101678183612E-3</v>
      </c>
    </row>
    <row r="72" spans="1:10">
      <c r="A72" s="271">
        <v>44328</v>
      </c>
      <c r="B72" s="272">
        <v>1.006</v>
      </c>
      <c r="C72" s="273">
        <f t="shared" si="14"/>
        <v>0</v>
      </c>
      <c r="D72" s="274" t="str">
        <f t="shared" si="15"/>
        <v>/</v>
      </c>
      <c r="E72" s="274">
        <f ca="1">IF(表2_36716262930389121314151831323334[[#This Row],[累计净值]]/MAX(INDIRECT("B21:B" &amp; ROW()))-1&lt;E71,表2_36716262930389121314151831323334[[#This Row],[累计净值]]/MAX(INDIRECT("B21:B" &amp; ROW()))-1,E71)</f>
        <v>-2.5490196078431393E-2</v>
      </c>
      <c r="F72" s="110">
        <f>表2_36716262930389121314151831323334[[#This Row],[累计净值]]</f>
        <v>1.006</v>
      </c>
      <c r="G72" s="274">
        <f>IF(表2_36716262930389121314151831323334[[#This Row],[累计净值]]&gt;B$21,0.8*(表2_36716262930389121314151831323334[[#This Row],[累计净值]]-B$21)/B$21,(表2_36716262930389121314151831323334[[#This Row],[累计净值]]-B$21)/B$21)</f>
        <v>-6.9101678183612E-3</v>
      </c>
    </row>
    <row r="73" spans="1:10">
      <c r="A73" s="271">
        <v>44329</v>
      </c>
      <c r="B73" s="272">
        <v>1</v>
      </c>
      <c r="C73" s="273">
        <f t="shared" si="14"/>
        <v>-6.0000000000000053E-3</v>
      </c>
      <c r="D73" s="274">
        <f t="shared" si="15"/>
        <v>-6.0000000000000053E-3</v>
      </c>
      <c r="E73" s="274">
        <f ca="1">IF(表2_36716262930389121314151831323334[[#This Row],[累计净值]]/MAX(INDIRECT("B21:B" &amp; ROW()))-1&lt;E72,表2_36716262930389121314151831323334[[#This Row],[累计净值]]/MAX(INDIRECT("B21:B" &amp; ROW()))-1,E72)</f>
        <v>-2.5490196078431393E-2</v>
      </c>
      <c r="F73" s="110">
        <f>表2_36716262930389121314151831323334[[#This Row],[累计净值]]</f>
        <v>1</v>
      </c>
      <c r="G73" s="274">
        <f>IF(表2_36716262930389121314151831323334[[#This Row],[累计净值]]&gt;B$21,0.8*(表2_36716262930389121314151831323334[[#This Row],[累计净值]]-B$21)/B$21,(表2_36716262930389121314151831323334[[#This Row],[累计净值]]-B$21)/B$21)</f>
        <v>-1.2833168805528037E-2</v>
      </c>
    </row>
    <row r="74" spans="1:10">
      <c r="A74" s="271">
        <v>44330</v>
      </c>
      <c r="B74" s="272">
        <v>1.002</v>
      </c>
      <c r="C74" s="273">
        <f t="shared" si="14"/>
        <v>2.0000000000000018E-3</v>
      </c>
      <c r="D74" s="274" t="str">
        <f t="shared" si="15"/>
        <v>/</v>
      </c>
      <c r="E74" s="274">
        <f ca="1">IF(表2_36716262930389121314151831323334[[#This Row],[累计净值]]/MAX(INDIRECT("B21:B" &amp; ROW()))-1&lt;E73,表2_36716262930389121314151831323334[[#This Row],[累计净值]]/MAX(INDIRECT("B21:B" &amp; ROW()))-1,E73)</f>
        <v>-2.5490196078431393E-2</v>
      </c>
      <c r="F74" s="110">
        <f>表2_36716262930389121314151831323334[[#This Row],[累计净值]]</f>
        <v>1.002</v>
      </c>
      <c r="G74" s="274">
        <f>IF(表2_36716262930389121314151831323334[[#This Row],[累计净值]]&gt;B$21,0.8*(表2_36716262930389121314151831323334[[#This Row],[累计净值]]-B$21)/B$21,(表2_36716262930389121314151831323334[[#This Row],[累计净值]]-B$21)/B$21)</f>
        <v>-1.0858835143139092E-2</v>
      </c>
    </row>
    <row r="75" spans="1:10">
      <c r="A75" s="271">
        <v>44333</v>
      </c>
      <c r="B75" s="272">
        <v>1.012</v>
      </c>
      <c r="C75" s="273">
        <f>IFERROR(B75-B74,0)</f>
        <v>1.0000000000000009E-2</v>
      </c>
      <c r="D75" s="274" t="str">
        <f>IF(C75&lt;0,C75,"/")</f>
        <v>/</v>
      </c>
      <c r="E75" s="274">
        <f ca="1">IF(表2_36716262930389121314151831323334[[#This Row],[累计净值]]/MAX(INDIRECT("B21:B" &amp; ROW()))-1&lt;E74,表2_36716262930389121314151831323334[[#This Row],[累计净值]]/MAX(INDIRECT("B21:B" &amp; ROW()))-1,E74)</f>
        <v>-2.5490196078431393E-2</v>
      </c>
      <c r="F75" s="110">
        <f>表2_36716262930389121314151831323334[[#This Row],[累计净值]]</f>
        <v>1.012</v>
      </c>
      <c r="G75" s="274">
        <f>IF(表2_36716262930389121314151831323334[[#This Row],[累计净值]]&gt;B$21,0.8*(表2_36716262930389121314151831323334[[#This Row],[累计净值]]-B$21)/B$21,(表2_36716262930389121314151831323334[[#This Row],[累计净值]]-B$21)/B$21)</f>
        <v>-9.8716683119436316E-4</v>
      </c>
    </row>
    <row r="76" spans="1:10">
      <c r="A76" s="271">
        <v>44334</v>
      </c>
      <c r="B76" s="272">
        <v>1.016</v>
      </c>
      <c r="C76" s="273">
        <f>IFERROR(B76-B75,0)</f>
        <v>4.0000000000000036E-3</v>
      </c>
      <c r="D76" s="274" t="str">
        <f>IF(C76&lt;0,C76,"/")</f>
        <v>/</v>
      </c>
      <c r="E76" s="274">
        <f ca="1">IF(表2_36716262930389121314151831323334[[#This Row],[累计净值]]/MAX(INDIRECT("B21:B" &amp; ROW()))-1&lt;E75,表2_36716262930389121314151831323334[[#This Row],[累计净值]]/MAX(INDIRECT("B21:B" &amp; ROW()))-1,E75)</f>
        <v>-2.5490196078431393E-2</v>
      </c>
      <c r="F76" s="110">
        <f>表2_36716262930389121314151831323334[[#This Row],[累计净值]]</f>
        <v>1.016</v>
      </c>
      <c r="G76" s="274">
        <f>IF(表2_36716262930389121314151831323334[[#This Row],[累计净值]]&gt;B$21,0.8*(表2_36716262930389121314151831323334[[#This Row],[累计净值]]-B$21)/B$21,(表2_36716262930389121314151831323334[[#This Row],[累计净值]]-B$21)/B$21)</f>
        <v>2.369200394866823E-3</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G77"/>
  <sheetViews>
    <sheetView topLeftCell="A43" workbookViewId="0">
      <selection activeCell="B78" sqref="B78"/>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COUNT(表2_36716262930389121314152324252627283839[每日盈亏])</f>
        <v>57</v>
      </c>
      <c r="C2" s="27"/>
      <c r="D2" s="3" t="s">
        <v>1</v>
      </c>
      <c r="E2" s="28"/>
      <c r="F2" s="1" t="s">
        <v>2</v>
      </c>
      <c r="G2" s="400" t="s">
        <v>3</v>
      </c>
    </row>
    <row r="3" spans="1:7">
      <c r="A3" s="25" t="s">
        <v>4</v>
      </c>
      <c r="B3" s="26">
        <f>COUNTIF(表2_36716262930389121314152324252627283839[每日盈亏],"&gt;0")</f>
        <v>26</v>
      </c>
      <c r="C3" s="29"/>
      <c r="D3" s="30" t="s">
        <v>5</v>
      </c>
      <c r="E3" s="31">
        <f>245^0.5*(B10-0.025/365)/E10</f>
        <v>1.4918541290365577</v>
      </c>
      <c r="G3" s="400"/>
    </row>
    <row r="4" spans="1:7">
      <c r="A4" s="25" t="s">
        <v>6</v>
      </c>
      <c r="B4" s="26">
        <f>COUNTIF(表2_36716262930389121314152324252627283839[每日盈亏],"&lt;0")</f>
        <v>19</v>
      </c>
      <c r="C4" s="29"/>
      <c r="D4" s="32" t="s">
        <v>7</v>
      </c>
      <c r="E4" s="31">
        <f ca="1">-B9/E8</f>
        <v>20.768500163961317</v>
      </c>
      <c r="G4" s="2">
        <f>LOOKUP(999^10,表2_36716262930389121314152324252627283839[累计净值])</f>
        <v>1.0515000000000001</v>
      </c>
    </row>
    <row r="5" spans="1:7">
      <c r="A5" s="25" t="s">
        <v>8</v>
      </c>
      <c r="B5" s="26">
        <f>B2-B3-B4</f>
        <v>12</v>
      </c>
      <c r="C5" s="29"/>
      <c r="D5" s="33" t="s">
        <v>9</v>
      </c>
      <c r="E5" s="4">
        <f>245^0.5*(B10-0.025/365)/E9</f>
        <v>1.868761540350981</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LOOKUP(999^10,表2_36716262930389121314152324252627283839[累计净值])/$B$21-1</f>
        <v>5.1500000000000101E-2</v>
      </c>
      <c r="C8" s="40"/>
      <c r="D8" s="30" t="s">
        <v>13</v>
      </c>
      <c r="E8" s="41">
        <f ca="1">MIN(表2_36716262930389121314152324252627283839[最大回撤])</f>
        <v>-1.0658432114752481E-2</v>
      </c>
    </row>
    <row r="9" spans="1:7">
      <c r="A9" s="25" t="s">
        <v>14</v>
      </c>
      <c r="B9" s="32">
        <f>B8*245/B2</f>
        <v>0.22135964912280745</v>
      </c>
      <c r="C9" s="40"/>
      <c r="D9" s="33" t="s">
        <v>15</v>
      </c>
      <c r="E9" s="6">
        <f>STDEV(表2_36716262930389121314152324252627283839[下跌幅度])</f>
        <v>6.9939698337273502E-3</v>
      </c>
    </row>
    <row r="10" spans="1:7">
      <c r="A10" s="42" t="s">
        <v>16</v>
      </c>
      <c r="B10" s="43">
        <f>AVERAGE(表2_36716262930389121314152324252627283839[每日盈亏])</f>
        <v>9.0350877192982629E-4</v>
      </c>
      <c r="C10" s="44"/>
      <c r="D10" s="33" t="s">
        <v>17</v>
      </c>
      <c r="E10" s="6">
        <f>STDEV(表2_36716262930389121314152324252627283839[每日盈亏])</f>
        <v>8.7609516140061822E-3</v>
      </c>
    </row>
    <row r="11" spans="1:7">
      <c r="A11" s="7" t="s">
        <v>18</v>
      </c>
      <c r="B11" s="32">
        <f>B3/B2</f>
        <v>0.45614035087719296</v>
      </c>
      <c r="C11" s="40"/>
      <c r="D11" s="32" t="s">
        <v>19</v>
      </c>
      <c r="E11" s="41">
        <f>245^0.5*E10</f>
        <v>0.13713058349553026</v>
      </c>
    </row>
    <row r="12" spans="1:7" ht="16" thickBot="1">
      <c r="A12" s="45" t="s">
        <v>20</v>
      </c>
      <c r="B12" s="46">
        <f>-(SUMIF(表2_36716262930389121314152324252627283839[每日盈亏],"&gt;=0")/B3)/(SUMIF(表2_36716262930389121314152324252627283839[每日盈亏],"&lt;0")/B4)</f>
        <v>1.0369906740940114</v>
      </c>
      <c r="C12" s="47"/>
      <c r="D12" s="48"/>
      <c r="E12" s="49"/>
    </row>
    <row r="14" spans="1:7" ht="32">
      <c r="A14" s="50" t="s">
        <v>21</v>
      </c>
      <c r="B14" s="50" t="s">
        <v>14</v>
      </c>
      <c r="C14" s="51" t="s">
        <v>19</v>
      </c>
      <c r="D14" s="51" t="s">
        <v>13</v>
      </c>
      <c r="E14" s="51" t="s">
        <v>5</v>
      </c>
      <c r="F14" s="51" t="s">
        <v>7</v>
      </c>
    </row>
    <row r="15" spans="1:7">
      <c r="A15" s="78">
        <f>B2</f>
        <v>57</v>
      </c>
      <c r="B15" s="53">
        <f>B9</f>
        <v>0.22135964912280745</v>
      </c>
      <c r="C15" s="53">
        <f>E11</f>
        <v>0.13713058349553026</v>
      </c>
      <c r="D15" s="53">
        <f ca="1">E8</f>
        <v>-1.0658432114752481E-2</v>
      </c>
      <c r="E15" s="54">
        <f>E3</f>
        <v>1.4918541290365577</v>
      </c>
      <c r="F15" s="54">
        <f ca="1">E4</f>
        <v>20.768500163961317</v>
      </c>
    </row>
    <row r="19" spans="1:7">
      <c r="A19" s="8"/>
      <c r="B19" s="1" t="s">
        <v>22</v>
      </c>
    </row>
    <row r="20" spans="1:7" ht="16">
      <c r="A20" s="22" t="s">
        <v>23</v>
      </c>
      <c r="B20" s="22" t="s">
        <v>24</v>
      </c>
      <c r="C20" s="22" t="s">
        <v>25</v>
      </c>
      <c r="D20" s="22" t="s">
        <v>26</v>
      </c>
      <c r="E20" s="22" t="s">
        <v>27</v>
      </c>
      <c r="F20" s="22" t="s">
        <v>28</v>
      </c>
      <c r="G20" s="22" t="s">
        <v>29</v>
      </c>
    </row>
    <row r="21" spans="1:7">
      <c r="A21" s="15">
        <v>44249</v>
      </c>
      <c r="B21" s="16">
        <v>1</v>
      </c>
      <c r="C21" s="11">
        <f t="shared" ref="C21" si="0">IFERROR(B21-B20,0)</f>
        <v>0</v>
      </c>
      <c r="D21" s="12" t="str">
        <f>IF(C21&lt;0,C21,"/")</f>
        <v>/</v>
      </c>
      <c r="E21" s="12">
        <v>0</v>
      </c>
      <c r="F21" s="13">
        <f>表2_36716262930389121314152324252627283839[[#This Row],[累计净值]]</f>
        <v>1</v>
      </c>
      <c r="G21" s="194" t="s">
        <v>30</v>
      </c>
    </row>
    <row r="22" spans="1:7">
      <c r="A22" s="15">
        <v>44250</v>
      </c>
      <c r="B22" s="112">
        <v>1</v>
      </c>
      <c r="C22" s="108">
        <f>IFERROR(B22-B21,0)</f>
        <v>0</v>
      </c>
      <c r="D22" s="109" t="str">
        <f t="shared" ref="D22:D25" si="1">IF(C22&lt;0,C22,"/")</f>
        <v>/</v>
      </c>
      <c r="E22" s="109">
        <f ca="1">IF(B21/MAX(INDIRECT("B21:B" &amp; ROW()))-1&lt;E21,B21/MAX(INDIRECT("B21:B" &amp; ROW()))-1,E21)</f>
        <v>0</v>
      </c>
      <c r="F22" s="110">
        <f>表2_36716262930389121314152324252627283839[[#This Row],[累计净值]]</f>
        <v>1</v>
      </c>
      <c r="G22" s="20">
        <f>IF(表2_36716262930389121314152324252627283839[[#This Row],[累计净值]]&gt;$B$21,0.5*(表2_36716262930389121314152324252627283839[[#This Row],[累计净值]]/$B$21-1),表2_36716262930389121314152324252627283839[[#This Row],[累计净值]]/$B$21-1)</f>
        <v>0</v>
      </c>
    </row>
    <row r="23" spans="1:7">
      <c r="A23" s="15">
        <v>44251</v>
      </c>
      <c r="B23" s="112">
        <v>1</v>
      </c>
      <c r="C23" s="108">
        <f t="shared" ref="C23:C25" si="2">IFERROR(B23-B22,0)</f>
        <v>0</v>
      </c>
      <c r="D23" s="109" t="str">
        <f t="shared" si="1"/>
        <v>/</v>
      </c>
      <c r="E23" s="109">
        <f t="shared" ref="E23:E25" ca="1" si="3">IF(B22/MAX(INDIRECT("B21:B" &amp; ROW()))-1&lt;E22,B22/MAX(INDIRECT("B21:B" &amp; ROW()))-1,E22)</f>
        <v>0</v>
      </c>
      <c r="F23" s="110">
        <f>表2_36716262930389121314152324252627283839[[#This Row],[累计净值]]</f>
        <v>1</v>
      </c>
      <c r="G23" s="20">
        <f>IF(表2_36716262930389121314152324252627283839[[#This Row],[累计净值]]&gt;$B$21,0.5*(表2_36716262930389121314152324252627283839[[#This Row],[累计净值]]/$B$21-1),表2_36716262930389121314152324252627283839[[#This Row],[累计净值]]/$B$21-1)</f>
        <v>0</v>
      </c>
    </row>
    <row r="24" spans="1:7">
      <c r="A24" s="15">
        <v>44252</v>
      </c>
      <c r="B24" s="112">
        <v>1</v>
      </c>
      <c r="C24" s="108">
        <f t="shared" si="2"/>
        <v>0</v>
      </c>
      <c r="D24" s="109" t="str">
        <f t="shared" si="1"/>
        <v>/</v>
      </c>
      <c r="E24" s="109">
        <f t="shared" ca="1" si="3"/>
        <v>0</v>
      </c>
      <c r="F24" s="110">
        <f>表2_36716262930389121314152324252627283839[[#This Row],[累计净值]]</f>
        <v>1</v>
      </c>
      <c r="G24" s="20">
        <f>IF(表2_36716262930389121314152324252627283839[[#This Row],[累计净值]]&gt;$B$21,0.5*(表2_36716262930389121314152324252627283839[[#This Row],[累计净值]]/$B$21-1),表2_36716262930389121314152324252627283839[[#This Row],[累计净值]]/$B$21-1)</f>
        <v>0</v>
      </c>
    </row>
    <row r="25" spans="1:7">
      <c r="A25" s="15">
        <v>44253</v>
      </c>
      <c r="B25" s="112">
        <v>1</v>
      </c>
      <c r="C25" s="108">
        <f t="shared" si="2"/>
        <v>0</v>
      </c>
      <c r="D25" s="109" t="str">
        <f t="shared" si="1"/>
        <v>/</v>
      </c>
      <c r="E25" s="109">
        <f t="shared" ca="1" si="3"/>
        <v>0</v>
      </c>
      <c r="F25" s="110">
        <f>表2_36716262930389121314152324252627283839[[#This Row],[累计净值]]</f>
        <v>1</v>
      </c>
      <c r="G25" s="20">
        <f>IF(表2_36716262930389121314152324252627283839[[#This Row],[累计净值]]&gt;$B$21,0.5*(表2_36716262930389121314152324252627283839[[#This Row],[累计净值]]/$B$21-1),表2_36716262930389121314152324252627283839[[#This Row],[累计净值]]/$B$21-1)</f>
        <v>0</v>
      </c>
    </row>
    <row r="26" spans="1:7">
      <c r="A26" s="15">
        <v>44256</v>
      </c>
      <c r="B26" s="112">
        <v>1</v>
      </c>
      <c r="C26" s="108">
        <f t="shared" ref="C26:C28" si="4">IFERROR(B26-B25,0)</f>
        <v>0</v>
      </c>
      <c r="D26" s="109" t="str">
        <f t="shared" ref="D26:D28" si="5">IF(C26&lt;0,C26,"/")</f>
        <v>/</v>
      </c>
      <c r="E26" s="109">
        <f t="shared" ref="E26:E28" ca="1" si="6">IF(B25/MAX(INDIRECT("B21:B" &amp; ROW()))-1&lt;E25,B25/MAX(INDIRECT("B21:B" &amp; ROW()))-1,E25)</f>
        <v>0</v>
      </c>
      <c r="F26" s="110">
        <f>表2_36716262930389121314152324252627283839[[#This Row],[累计净值]]</f>
        <v>1</v>
      </c>
      <c r="G26" s="20">
        <f>IF(表2_36716262930389121314152324252627283839[[#This Row],[累计净值]]&gt;$B$21,0.5*(表2_36716262930389121314152324252627283839[[#This Row],[累计净值]]/$B$21-1),表2_36716262930389121314152324252627283839[[#This Row],[累计净值]]/$B$21-1)</f>
        <v>0</v>
      </c>
    </row>
    <row r="27" spans="1:7">
      <c r="A27" s="15">
        <v>44257</v>
      </c>
      <c r="B27" s="112">
        <v>1</v>
      </c>
      <c r="C27" s="108">
        <f t="shared" si="4"/>
        <v>0</v>
      </c>
      <c r="D27" s="109" t="str">
        <f t="shared" si="5"/>
        <v>/</v>
      </c>
      <c r="E27" s="109">
        <f t="shared" ca="1" si="6"/>
        <v>0</v>
      </c>
      <c r="F27" s="110">
        <f>表2_36716262930389121314152324252627283839[[#This Row],[累计净值]]</f>
        <v>1</v>
      </c>
      <c r="G27" s="20">
        <f>IF(表2_36716262930389121314152324252627283839[[#This Row],[累计净值]]&gt;$B$21,0.5*(表2_36716262930389121314152324252627283839[[#This Row],[累计净值]]/$B$21-1),表2_36716262930389121314152324252627283839[[#This Row],[累计净值]]/$B$21-1)</f>
        <v>0</v>
      </c>
    </row>
    <row r="28" spans="1:7">
      <c r="A28" s="15">
        <v>44258</v>
      </c>
      <c r="B28" s="112">
        <v>1</v>
      </c>
      <c r="C28" s="108">
        <f t="shared" si="4"/>
        <v>0</v>
      </c>
      <c r="D28" s="109" t="str">
        <f t="shared" si="5"/>
        <v>/</v>
      </c>
      <c r="E28" s="109">
        <f t="shared" ca="1" si="6"/>
        <v>0</v>
      </c>
      <c r="F28" s="110">
        <f>表2_36716262930389121314152324252627283839[[#This Row],[累计净值]]</f>
        <v>1</v>
      </c>
      <c r="G28" s="20">
        <f>IF(表2_36716262930389121314152324252627283839[[#This Row],[累计净值]]&gt;$B$21,0.5*(表2_36716262930389121314152324252627283839[[#This Row],[累计净值]]/$B$21-1),表2_36716262930389121314152324252627283839[[#This Row],[累计净值]]/$B$21-1)</f>
        <v>0</v>
      </c>
    </row>
    <row r="29" spans="1:7">
      <c r="A29" s="15">
        <v>44259</v>
      </c>
      <c r="B29" s="227">
        <v>0.99929999999999997</v>
      </c>
      <c r="C29" s="108">
        <f t="shared" ref="C29:C30" si="7">IFERROR(B29-B28,0)</f>
        <v>-7.0000000000003393E-4</v>
      </c>
      <c r="D29" s="109">
        <f t="shared" ref="D29:D30" si="8">IF(C29&lt;0,C29,"/")</f>
        <v>-7.0000000000003393E-4</v>
      </c>
      <c r="E29" s="109">
        <f t="shared" ref="E29:E30" ca="1" si="9">IF(B28/MAX(INDIRECT("B21:B" &amp; ROW()))-1&lt;E28,B28/MAX(INDIRECT("B21:B" &amp; ROW()))-1,E28)</f>
        <v>0</v>
      </c>
      <c r="F29" s="110">
        <f>表2_36716262930389121314152324252627283839[[#This Row],[累计净值]]</f>
        <v>0.99929999999999997</v>
      </c>
      <c r="G29" s="20">
        <f>IF(表2_36716262930389121314152324252627283839[[#This Row],[累计净值]]&gt;$B$21,0.5*(表2_36716262930389121314152324252627283839[[#This Row],[累计净值]]/$B$21-1),表2_36716262930389121314152324252627283839[[#This Row],[累计净值]]/$B$21-1)</f>
        <v>-7.0000000000003393E-4</v>
      </c>
    </row>
    <row r="30" spans="1:7">
      <c r="A30" s="15">
        <v>44260</v>
      </c>
      <c r="B30" s="227">
        <v>0.99929999999999997</v>
      </c>
      <c r="C30" s="108">
        <f t="shared" si="7"/>
        <v>0</v>
      </c>
      <c r="D30" s="109" t="str">
        <f t="shared" si="8"/>
        <v>/</v>
      </c>
      <c r="E30" s="109">
        <f t="shared" ca="1" si="9"/>
        <v>-7.0000000000003393E-4</v>
      </c>
      <c r="F30" s="110">
        <f>表2_36716262930389121314152324252627283839[[#This Row],[累计净值]]</f>
        <v>0.99929999999999997</v>
      </c>
      <c r="G30" s="20">
        <f>IF(表2_36716262930389121314152324252627283839[[#This Row],[累计净值]]&gt;$B$21,0.5*(表2_36716262930389121314152324252627283839[[#This Row],[累计净值]]/$B$21-1),表2_36716262930389121314152324252627283839[[#This Row],[累计净值]]/$B$21-1)</f>
        <v>-7.0000000000003393E-4</v>
      </c>
    </row>
    <row r="31" spans="1:7">
      <c r="A31" s="15">
        <v>44263</v>
      </c>
      <c r="B31" s="112">
        <v>0.99919999999999998</v>
      </c>
      <c r="C31" s="108">
        <f>IFERROR(B31-B30,0)</f>
        <v>-9.9999999999988987E-5</v>
      </c>
      <c r="D31" s="109">
        <f>IF(C31&lt;0,C31,"/")</f>
        <v>-9.9999999999988987E-5</v>
      </c>
      <c r="E31" s="109">
        <f ca="1">IF(表2_367162629303891213141523242526272835[[#This Row],[累计净值]]/MAX(INDIRECT("B21:B" &amp; ROW()))-1&lt;E30,表2_367162629303891213141523242526272835[[#This Row],[累计净值]]/MAX(INDIRECT("B21:B" &amp; ROW()))-1,E30)</f>
        <v>-7.0000000000003393E-4</v>
      </c>
      <c r="F31" s="110">
        <f>表2_36716262930389121314152324252627283839[[#This Row],[累计净值]]</f>
        <v>0.99919999999999998</v>
      </c>
      <c r="G31" s="20">
        <f>IF(表2_36716262930389121314152324252627283839[[#This Row],[累计净值]]&gt;$B$21,0.5*(表2_36716262930389121314152324252627283839[[#This Row],[累计净值]]/$B$21-1),表2_36716262930389121314152324252627283839[[#This Row],[累计净值]]/$B$21-1)</f>
        <v>-8.0000000000002292E-4</v>
      </c>
    </row>
    <row r="32" spans="1:7">
      <c r="A32" s="15">
        <v>44264</v>
      </c>
      <c r="B32" s="112">
        <v>0.99919999999999998</v>
      </c>
      <c r="C32" s="108">
        <f t="shared" ref="C32:C34" si="10">IFERROR(B32-B31,0)</f>
        <v>0</v>
      </c>
      <c r="D32" s="109" t="str">
        <f t="shared" ref="D32:D34" si="11">IF(C32&lt;0,C32,"/")</f>
        <v>/</v>
      </c>
      <c r="E32" s="109">
        <f ca="1">IF(表2_367162629303891213141523242526272835[[#This Row],[累计净值]]/MAX(INDIRECT("B21:B" &amp; ROW()))-1&lt;E31,表2_367162629303891213141523242526272835[[#This Row],[累计净值]]/MAX(INDIRECT("B21:B" &amp; ROW()))-1,E31)</f>
        <v>-7.0000000000003393E-4</v>
      </c>
      <c r="F32" s="110">
        <f>表2_36716262930389121314152324252627283839[[#This Row],[累计净值]]</f>
        <v>0.99919999999999998</v>
      </c>
      <c r="G32" s="20">
        <f>IF(表2_36716262930389121314152324252627283839[[#This Row],[累计净值]]&gt;$B$21,0.5*(表2_36716262930389121314152324252627283839[[#This Row],[累计净值]]/$B$21-1),表2_36716262930389121314152324252627283839[[#This Row],[累计净值]]/$B$21-1)</f>
        <v>-8.0000000000002292E-4</v>
      </c>
    </row>
    <row r="33" spans="1:7">
      <c r="A33" s="15">
        <v>44265</v>
      </c>
      <c r="B33" s="112">
        <v>0.99909999999999999</v>
      </c>
      <c r="C33" s="108">
        <f t="shared" si="10"/>
        <v>-9.9999999999988987E-5</v>
      </c>
      <c r="D33" s="109">
        <f t="shared" si="11"/>
        <v>-9.9999999999988987E-5</v>
      </c>
      <c r="E33" s="109">
        <f ca="1">IF(表2_367162629303891213141523242526272835[[#This Row],[累计净值]]/MAX(INDIRECT("B21:B" &amp; ROW()))-1&lt;E32,表2_367162629303891213141523242526272835[[#This Row],[累计净值]]/MAX(INDIRECT("B21:B" &amp; ROW()))-1,E32)</f>
        <v>-7.0000000000003393E-4</v>
      </c>
      <c r="F33" s="110">
        <f>表2_36716262930389121314152324252627283839[[#This Row],[累计净值]]</f>
        <v>0.99909999999999999</v>
      </c>
      <c r="G33" s="20">
        <f>IF(表2_36716262930389121314152324252627283839[[#This Row],[累计净值]]&gt;$B$21,0.5*(表2_36716262930389121314152324252627283839[[#This Row],[累计净值]]/$B$21-1),表2_36716262930389121314152324252627283839[[#This Row],[累计净值]]/$B$21-1)</f>
        <v>-9.000000000000119E-4</v>
      </c>
    </row>
    <row r="34" spans="1:7">
      <c r="A34" s="15">
        <v>44266</v>
      </c>
      <c r="B34" s="112">
        <v>0.99909999999999999</v>
      </c>
      <c r="C34" s="108">
        <f t="shared" si="10"/>
        <v>0</v>
      </c>
      <c r="D34" s="109" t="str">
        <f t="shared" si="11"/>
        <v>/</v>
      </c>
      <c r="E34" s="109">
        <f ca="1">IF(表2_367162629303891213141523242526272835[[#This Row],[累计净值]]/MAX(INDIRECT("B21:B" &amp; ROW()))-1&lt;E33,表2_367162629303891213141523242526272835[[#This Row],[累计净值]]/MAX(INDIRECT("B21:B" &amp; ROW()))-1,E33)</f>
        <v>-7.0000000000003393E-4</v>
      </c>
      <c r="F34" s="110">
        <f>表2_36716262930389121314152324252627283839[[#This Row],[累计净值]]</f>
        <v>0.99909999999999999</v>
      </c>
      <c r="G34" s="20">
        <f>IF(表2_36716262930389121314152324252627283839[[#This Row],[累计净值]]&gt;$B$21,0.5*(表2_36716262930389121314152324252627283839[[#This Row],[累计净值]]/$B$21-1),表2_36716262930389121314152324252627283839[[#This Row],[累计净值]]/$B$21-1)</f>
        <v>-9.000000000000119E-4</v>
      </c>
    </row>
    <row r="35" spans="1:7">
      <c r="A35" s="15">
        <v>44267</v>
      </c>
      <c r="B35" s="112">
        <v>0.99909999999999999</v>
      </c>
      <c r="C35" s="108">
        <f t="shared" ref="C35:C40" si="12">IFERROR(B35-B34,0)</f>
        <v>0</v>
      </c>
      <c r="D35" s="109" t="str">
        <f t="shared" ref="D35:D40" si="13">IF(C35&lt;0,C35,"/")</f>
        <v>/</v>
      </c>
      <c r="E35" s="109">
        <f ca="1">IF(表2_367162629303891213141523242526272835[[#This Row],[累计净值]]/MAX(INDIRECT("B21:B" &amp; ROW()))-1&lt;E34,表2_367162629303891213141523242526272835[[#This Row],[累计净值]]/MAX(INDIRECT("B21:B" &amp; ROW()))-1,E34)</f>
        <v>-7.0000000000003393E-4</v>
      </c>
      <c r="F35" s="110">
        <f>表2_36716262930389121314152324252627283839[[#This Row],[累计净值]]</f>
        <v>0.99909999999999999</v>
      </c>
      <c r="G35" s="20">
        <f>IF(表2_36716262930389121314152324252627283839[[#This Row],[累计净值]]&gt;$B$21,0.5*(表2_36716262930389121314152324252627283839[[#This Row],[累计净值]]/$B$21-1),表2_36716262930389121314152324252627283839[[#This Row],[累计净值]]/$B$21-1)</f>
        <v>-9.000000000000119E-4</v>
      </c>
    </row>
    <row r="36" spans="1:7">
      <c r="A36" s="15">
        <v>44270</v>
      </c>
      <c r="B36" s="112">
        <v>1.0039</v>
      </c>
      <c r="C36" s="108">
        <f t="shared" si="12"/>
        <v>4.8000000000000265E-3</v>
      </c>
      <c r="D36" s="109" t="str">
        <f t="shared" si="13"/>
        <v>/</v>
      </c>
      <c r="E36" s="109">
        <f ca="1">IF(表2_367162629303891213141523242526272835[[#This Row],[累计净值]]/MAX(INDIRECT("B21:B" &amp; ROW()))-1&lt;E35,表2_367162629303891213141523242526272835[[#This Row],[累计净值]]/MAX(INDIRECT("B21:B" &amp; ROW()))-1,E35)</f>
        <v>-7.9689212072908688E-4</v>
      </c>
      <c r="F36" s="110">
        <f>表2_36716262930389121314152324252627283839[[#This Row],[累计净值]]</f>
        <v>1.0039</v>
      </c>
      <c r="G36" s="20">
        <f>IF(表2_36716262930389121314152324252627283839[[#This Row],[累计净值]]&gt;$B$21,0.5*(表2_36716262930389121314152324252627283839[[#This Row],[累计净值]]/$B$21-1),表2_36716262930389121314152324252627283839[[#This Row],[累计净值]]/$B$21-1)</f>
        <v>1.9500000000000073E-3</v>
      </c>
    </row>
    <row r="37" spans="1:7">
      <c r="A37" s="15">
        <v>44271</v>
      </c>
      <c r="B37" s="112">
        <v>0.99990000000000001</v>
      </c>
      <c r="C37" s="108">
        <f t="shared" si="12"/>
        <v>-4.0000000000000036E-3</v>
      </c>
      <c r="D37" s="109">
        <f t="shared" si="13"/>
        <v>-4.0000000000000036E-3</v>
      </c>
      <c r="E37" s="109">
        <f ca="1">IF(表2_367162629303891213141523242526272835[[#This Row],[累计净值]]/MAX(INDIRECT("B21:B" &amp; ROW()))-1&lt;E36,表2_367162629303891213141523242526272835[[#This Row],[累计净值]]/MAX(INDIRECT("B21:B" &amp; ROW()))-1,E36)</f>
        <v>-7.9689212072908688E-4</v>
      </c>
      <c r="F37" s="110">
        <f>表2_36716262930389121314152324252627283839[[#This Row],[累计净值]]</f>
        <v>0.99990000000000001</v>
      </c>
      <c r="G37" s="20">
        <f>IF(表2_36716262930389121314152324252627283839[[#This Row],[累计净值]]&gt;$B$21,0.5*(表2_36716262930389121314152324252627283839[[#This Row],[累计净值]]/$B$21-1),表2_36716262930389121314152324252627283839[[#This Row],[累计净值]]/$B$21-1)</f>
        <v>-9.9999999999988987E-5</v>
      </c>
    </row>
    <row r="38" spans="1:7">
      <c r="A38" s="15">
        <v>44272</v>
      </c>
      <c r="B38" s="112">
        <v>0.99009999999999998</v>
      </c>
      <c r="C38" s="108">
        <f t="shared" si="12"/>
        <v>-9.8000000000000309E-3</v>
      </c>
      <c r="D38" s="109">
        <f t="shared" si="13"/>
        <v>-9.8000000000000309E-3</v>
      </c>
      <c r="E38" s="109">
        <f ca="1">IF(表2_367162629303891213141523242526272835[[#This Row],[累计净值]]/MAX(INDIRECT("B21:B" &amp; ROW()))-1&lt;E37,表2_367162629303891213141523242526272835[[#This Row],[累计净值]]/MAX(INDIRECT("B21:B" &amp; ROW()))-1,E37)</f>
        <v>-1.0658432114752481E-2</v>
      </c>
      <c r="F38" s="110">
        <f>表2_36716262930389121314152324252627283839[[#This Row],[累计净值]]</f>
        <v>0.99009999999999998</v>
      </c>
      <c r="G38" s="20">
        <f>IF(表2_36716262930389121314152324252627283839[[#This Row],[累计净值]]&gt;$B$21,0.5*(表2_36716262930389121314152324252627283839[[#This Row],[累计净值]]/$B$21-1),表2_36716262930389121314152324252627283839[[#This Row],[累计净值]]/$B$21-1)</f>
        <v>-9.9000000000000199E-3</v>
      </c>
    </row>
    <row r="39" spans="1:7">
      <c r="A39" s="15">
        <v>44273</v>
      </c>
      <c r="B39" s="112">
        <v>0.98860000000000003</v>
      </c>
      <c r="C39" s="108">
        <f t="shared" si="12"/>
        <v>-1.4999999999999458E-3</v>
      </c>
      <c r="D39" s="109">
        <f t="shared" si="13"/>
        <v>-1.4999999999999458E-3</v>
      </c>
      <c r="E39" s="109">
        <f ca="1">IF(表2_367162629303891213141523242526272835[[#This Row],[累计净值]]/MAX(INDIRECT("B21:B" &amp; ROW()))-1&lt;E38,表2_367162629303891213141523242526272835[[#This Row],[累计净值]]/MAX(INDIRECT("B21:B" &amp; ROW()))-1,E38)</f>
        <v>-1.0658432114752481E-2</v>
      </c>
      <c r="F39" s="110">
        <f>表2_36716262930389121314152324252627283839[[#This Row],[累计净值]]</f>
        <v>0.98860000000000003</v>
      </c>
      <c r="G39" s="20">
        <f>IF(表2_36716262930389121314152324252627283839[[#This Row],[累计净值]]&gt;$B$21,0.5*(表2_36716262930389121314152324252627283839[[#This Row],[累计净值]]/$B$21-1),表2_36716262930389121314152324252627283839[[#This Row],[累计净值]]/$B$21-1)</f>
        <v>-1.1399999999999966E-2</v>
      </c>
    </row>
    <row r="40" spans="1:7">
      <c r="A40" s="15">
        <v>44274</v>
      </c>
      <c r="B40" s="112">
        <v>0.98870000000000002</v>
      </c>
      <c r="C40" s="108">
        <f t="shared" si="12"/>
        <v>9.9999999999988987E-5</v>
      </c>
      <c r="D40" s="109" t="str">
        <f t="shared" si="13"/>
        <v>/</v>
      </c>
      <c r="E40" s="109">
        <f ca="1">IF(表2_367162629303891213141523242526272835[[#This Row],[累计净值]]/MAX(INDIRECT("B21:B" &amp; ROW()))-1&lt;E39,表2_367162629303891213141523242526272835[[#This Row],[累计净值]]/MAX(INDIRECT("B21:B" &amp; ROW()))-1,E39)</f>
        <v>-1.0658432114752481E-2</v>
      </c>
      <c r="F40" s="110">
        <f>表2_36716262930389121314152324252627283839[[#This Row],[累计净值]]</f>
        <v>0.98870000000000002</v>
      </c>
      <c r="G40" s="20">
        <f>IF(表2_36716262930389121314152324252627283839[[#This Row],[累计净值]]&gt;$B$21,0.5*(表2_36716262930389121314152324252627283839[[#This Row],[累计净值]]/$B$21-1),表2_36716262930389121314152324252627283839[[#This Row],[累计净值]]/$B$21-1)</f>
        <v>-1.1299999999999977E-2</v>
      </c>
    </row>
    <row r="41" spans="1:7">
      <c r="A41" s="15">
        <v>44277</v>
      </c>
      <c r="B41" s="112">
        <v>0.98599999999999999</v>
      </c>
      <c r="C41" s="108">
        <f>IFERROR(B41-B40,0)</f>
        <v>-2.7000000000000357E-3</v>
      </c>
      <c r="D41" s="109">
        <f>IF(C41&lt;0,C41,"/")</f>
        <v>-2.7000000000000357E-3</v>
      </c>
      <c r="E41" s="109">
        <f ca="1">IF(表2_367162629303891213141523242526272835[[#This Row],[累计净值]]/MAX(INDIRECT("B21:B" &amp; ROW()))-1&lt;E40,表2_367162629303891213141523242526272835[[#This Row],[累计净值]]/MAX(INDIRECT("B21:B" &amp; ROW()))-1,E40)</f>
        <v>-1.0658432114752481E-2</v>
      </c>
      <c r="F41" s="110">
        <f>表2_36716262930389121314152324252627283839[[#This Row],[累计净值]]</f>
        <v>0.98599999999999999</v>
      </c>
      <c r="G41" s="20">
        <f>IF(表2_36716262930389121314152324252627283839[[#This Row],[累计净值]]&gt;$B$21,0.5*(表2_36716262930389121314152324252627283839[[#This Row],[累计净值]]/$B$21-1),表2_36716262930389121314152324252627283839[[#This Row],[累计净值]]/$B$21-1)</f>
        <v>-1.4000000000000012E-2</v>
      </c>
    </row>
    <row r="42" spans="1:7">
      <c r="A42" s="15">
        <v>44278</v>
      </c>
      <c r="B42" s="112">
        <v>0.99770000000000003</v>
      </c>
      <c r="C42" s="108">
        <f t="shared" ref="C42:C45" si="14">IFERROR(B42-B41,0)</f>
        <v>1.1700000000000044E-2</v>
      </c>
      <c r="D42" s="109" t="str">
        <f t="shared" ref="D42:D45" si="15">IF(C42&lt;0,C42,"/")</f>
        <v>/</v>
      </c>
      <c r="E42" s="109">
        <f ca="1">IF(表2_367162629303891213141523242526272835[[#This Row],[累计净值]]/MAX(INDIRECT("B21:B" &amp; ROW()))-1&lt;E41,表2_367162629303891213141523242526272835[[#This Row],[累计净值]]/MAX(INDIRECT("B21:B" &amp; ROW()))-1,E41)</f>
        <v>-1.0658432114752481E-2</v>
      </c>
      <c r="F42" s="110">
        <f>表2_36716262930389121314152324252627283839[[#This Row],[累计净值]]</f>
        <v>0.99770000000000003</v>
      </c>
      <c r="G42" s="20">
        <f>IF(表2_36716262930389121314152324252627283839[[#This Row],[累计净值]]&gt;$B$21,0.5*(表2_36716262930389121314152324252627283839[[#This Row],[累计净值]]/$B$21-1),表2_36716262930389121314152324252627283839[[#This Row],[累计净值]]/$B$21-1)</f>
        <v>-2.2999999999999687E-3</v>
      </c>
    </row>
    <row r="43" spans="1:7">
      <c r="A43" s="15">
        <v>44279</v>
      </c>
      <c r="B43" s="112">
        <v>0.99129999999999996</v>
      </c>
      <c r="C43" s="108">
        <f t="shared" si="14"/>
        <v>-6.4000000000000723E-3</v>
      </c>
      <c r="D43" s="109">
        <f t="shared" si="15"/>
        <v>-6.4000000000000723E-3</v>
      </c>
      <c r="E43" s="109">
        <f ca="1">IF(表2_367162629303891213141523242526272835[[#This Row],[累计净值]]/MAX(INDIRECT("B21:B" &amp; ROW()))-1&lt;E42,表2_367162629303891213141523242526272835[[#This Row],[累计净值]]/MAX(INDIRECT("B21:B" &amp; ROW()))-1,E42)</f>
        <v>-1.0658432114752481E-2</v>
      </c>
      <c r="F43" s="110">
        <f>表2_36716262930389121314152324252627283839[[#This Row],[累计净值]]</f>
        <v>0.99129999999999996</v>
      </c>
      <c r="G43" s="20">
        <f>IF(表2_36716262930389121314152324252627283839[[#This Row],[累计净值]]&gt;$B$21,0.5*(表2_36716262930389121314152324252627283839[[#This Row],[累计净值]]/$B$21-1),表2_36716262930389121314152324252627283839[[#This Row],[累计净值]]/$B$21-1)</f>
        <v>-8.700000000000041E-3</v>
      </c>
    </row>
    <row r="44" spans="1:7">
      <c r="A44" s="15">
        <v>44280</v>
      </c>
      <c r="B44" s="112">
        <v>0.98540000000000005</v>
      </c>
      <c r="C44" s="108">
        <f t="shared" si="14"/>
        <v>-5.8999999999999053E-3</v>
      </c>
      <c r="D44" s="109">
        <f t="shared" si="15"/>
        <v>-5.8999999999999053E-3</v>
      </c>
      <c r="E44" s="109">
        <f ca="1">IF(表2_367162629303891213141523242526272835[[#This Row],[累计净值]]/MAX(INDIRECT("B21:B" &amp; ROW()))-1&lt;E43,表2_367162629303891213141523242526272835[[#This Row],[累计净值]]/MAX(INDIRECT("B21:B" &amp; ROW()))-1,E43)</f>
        <v>-1.0658432114752481E-2</v>
      </c>
      <c r="F44" s="110">
        <f>表2_36716262930389121314152324252627283839[[#This Row],[累计净值]]</f>
        <v>0.98540000000000005</v>
      </c>
      <c r="G44" s="20">
        <f>IF(表2_36716262930389121314152324252627283839[[#This Row],[累计净值]]&gt;$B$21,0.5*(表2_36716262930389121314152324252627283839[[#This Row],[累计净值]]/$B$21-1),表2_36716262930389121314152324252627283839[[#This Row],[累计净值]]/$B$21-1)</f>
        <v>-1.4599999999999946E-2</v>
      </c>
    </row>
    <row r="45" spans="1:7">
      <c r="A45" s="15">
        <v>44281</v>
      </c>
      <c r="B45" s="112">
        <v>0.98640000000000005</v>
      </c>
      <c r="C45" s="108">
        <f t="shared" si="14"/>
        <v>1.0000000000000009E-3</v>
      </c>
      <c r="D45" s="109" t="str">
        <f t="shared" si="15"/>
        <v>/</v>
      </c>
      <c r="E45" s="109">
        <f ca="1">IF(表2_367162629303891213141523242526272835[[#This Row],[累计净值]]/MAX(INDIRECT("B21:B" &amp; ROW()))-1&lt;E44,表2_367162629303891213141523242526272835[[#This Row],[累计净值]]/MAX(INDIRECT("B21:B" &amp; ROW()))-1,E44)</f>
        <v>-1.0658432114752481E-2</v>
      </c>
      <c r="F45" s="110">
        <f>表2_36716262930389121314152324252627283839[[#This Row],[累计净值]]</f>
        <v>0.98640000000000005</v>
      </c>
      <c r="G45" s="20">
        <f>IF(表2_36716262930389121314152324252627283839[[#This Row],[累计净值]]&gt;$B$21,0.5*(表2_36716262930389121314152324252627283839[[#This Row],[累计净值]]/$B$21-1),表2_36716262930389121314152324252627283839[[#This Row],[累计净值]]/$B$21-1)</f>
        <v>-1.3599999999999945E-2</v>
      </c>
    </row>
    <row r="46" spans="1:7">
      <c r="A46" s="15">
        <v>44284</v>
      </c>
      <c r="B46" s="112">
        <v>0.96799999999999997</v>
      </c>
      <c r="C46" s="108">
        <f t="shared" ref="C46:C51" si="16">IFERROR(B46-B45,0)</f>
        <v>-1.8400000000000083E-2</v>
      </c>
      <c r="D46" s="109">
        <f t="shared" ref="D46:D51" si="17">IF(C46&lt;0,C46,"/")</f>
        <v>-1.8400000000000083E-2</v>
      </c>
      <c r="E46" s="109">
        <f ca="1">IF(表2_367162629303891213141523242526272835[[#This Row],[累计净值]]/MAX(INDIRECT("B21:B" &amp; ROW()))-1&lt;E45,表2_367162629303891213141523242526272835[[#This Row],[累计净值]]/MAX(INDIRECT("B21:B" &amp; ROW()))-1,E45)</f>
        <v>-1.0658432114752481E-2</v>
      </c>
      <c r="F46" s="110">
        <f>表2_36716262930389121314152324252627283839[[#This Row],[累计净值]]</f>
        <v>0.96799999999999997</v>
      </c>
      <c r="G46" s="20">
        <f>IF(表2_36716262930389121314152324252627283839[[#This Row],[累计净值]]&gt;$B$21,0.5*(表2_36716262930389121314152324252627283839[[#This Row],[累计净值]]/$B$21-1),表2_36716262930389121314152324252627283839[[#This Row],[累计净值]]/$B$21-1)</f>
        <v>-3.2000000000000028E-2</v>
      </c>
    </row>
    <row r="47" spans="1:7">
      <c r="A47" s="15">
        <v>44285</v>
      </c>
      <c r="B47" s="112">
        <v>0.97050000000000003</v>
      </c>
      <c r="C47" s="108">
        <f t="shared" si="16"/>
        <v>2.5000000000000577E-3</v>
      </c>
      <c r="D47" s="109" t="str">
        <f t="shared" si="17"/>
        <v>/</v>
      </c>
      <c r="E47" s="109">
        <f ca="1">IF(表2_367162629303891213141523242526272835[[#This Row],[累计净值]]/MAX(INDIRECT("B21:B" &amp; ROW()))-1&lt;E46,表2_367162629303891213141523242526272835[[#This Row],[累计净值]]/MAX(INDIRECT("B21:B" &amp; ROW()))-1,E46)</f>
        <v>-1.0658432114752481E-2</v>
      </c>
      <c r="F47" s="110">
        <f>表2_36716262930389121314152324252627283839[[#This Row],[累计净值]]</f>
        <v>0.97050000000000003</v>
      </c>
      <c r="G47" s="20">
        <f>IF(表2_36716262930389121314152324252627283839[[#This Row],[累计净值]]&gt;$B$21,0.5*(表2_36716262930389121314152324252627283839[[#This Row],[累计净值]]/$B$21-1),表2_36716262930389121314152324252627283839[[#This Row],[累计净值]]/$B$21-1)</f>
        <v>-2.9499999999999971E-2</v>
      </c>
    </row>
    <row r="48" spans="1:7">
      <c r="A48" s="15">
        <v>44286</v>
      </c>
      <c r="B48" s="112">
        <v>0.97399999999999998</v>
      </c>
      <c r="C48" s="108">
        <f t="shared" si="16"/>
        <v>3.4999999999999476E-3</v>
      </c>
      <c r="D48" s="109" t="str">
        <f t="shared" si="17"/>
        <v>/</v>
      </c>
      <c r="E48" s="109">
        <f ca="1">IF(表2_367162629303891213141523242526272835[[#This Row],[累计净值]]/MAX(INDIRECT("B21:B" &amp; ROW()))-1&lt;E47,表2_367162629303891213141523242526272835[[#This Row],[累计净值]]/MAX(INDIRECT("B21:B" &amp; ROW()))-1,E47)</f>
        <v>-1.0658432114752481E-2</v>
      </c>
      <c r="F48" s="110">
        <f>表2_36716262930389121314152324252627283839[[#This Row],[累计净值]]</f>
        <v>0.97399999999999998</v>
      </c>
      <c r="G48" s="20">
        <f>IF(表2_36716262930389121314152324252627283839[[#This Row],[累计净值]]&gt;$B$21,0.5*(表2_36716262930389121314152324252627283839[[#This Row],[累计净值]]/$B$21-1),表2_36716262930389121314152324252627283839[[#This Row],[累计净值]]/$B$21-1)</f>
        <v>-2.6000000000000023E-2</v>
      </c>
    </row>
    <row r="49" spans="1:7">
      <c r="A49" s="15">
        <v>44287</v>
      </c>
      <c r="B49" s="112">
        <v>0.98809999999999998</v>
      </c>
      <c r="C49" s="108">
        <f t="shared" si="16"/>
        <v>1.4100000000000001E-2</v>
      </c>
      <c r="D49" s="109" t="str">
        <f t="shared" si="17"/>
        <v>/</v>
      </c>
      <c r="E49" s="109">
        <f ca="1">IF(表2_367162629303891213141523242526272835[[#This Row],[累计净值]]/MAX(INDIRECT("B21:B" &amp; ROW()))-1&lt;E48,表2_367162629303891213141523242526272835[[#This Row],[累计净值]]/MAX(INDIRECT("B21:B" &amp; ROW()))-1,E48)</f>
        <v>-1.0658432114752481E-2</v>
      </c>
      <c r="F49" s="110">
        <f>表2_36716262930389121314152324252627283839[[#This Row],[累计净值]]</f>
        <v>0.98809999999999998</v>
      </c>
      <c r="G49" s="20">
        <f>IF(表2_36716262930389121314152324252627283839[[#This Row],[累计净值]]&gt;$B$21,0.5*(表2_36716262930389121314152324252627283839[[#This Row],[累计净值]]/$B$21-1),表2_36716262930389121314152324252627283839[[#This Row],[累计净值]]/$B$21-1)</f>
        <v>-1.1900000000000022E-2</v>
      </c>
    </row>
    <row r="50" spans="1:7">
      <c r="A50" s="15">
        <v>44288</v>
      </c>
      <c r="B50" s="112">
        <v>1.02</v>
      </c>
      <c r="C50" s="108">
        <f t="shared" si="16"/>
        <v>3.1900000000000039E-2</v>
      </c>
      <c r="D50" s="109" t="str">
        <f t="shared" si="17"/>
        <v>/</v>
      </c>
      <c r="E50" s="109">
        <f ca="1">IF(表2_367162629303891213141523242526272835[[#This Row],[累计净值]]/MAX(INDIRECT("B21:B" &amp; ROW()))-1&lt;E49,表2_367162629303891213141523242526272835[[#This Row],[累计净值]]/MAX(INDIRECT("B21:B" &amp; ROW()))-1,E49)</f>
        <v>-1.0658432114752481E-2</v>
      </c>
      <c r="F50" s="110">
        <f>表2_36716262930389121314152324252627283839[[#This Row],[累计净值]]</f>
        <v>1.02</v>
      </c>
      <c r="G50" s="20">
        <f>IF(表2_36716262930389121314152324252627283839[[#This Row],[累计净值]]&gt;$B$21,0.5*(表2_36716262930389121314152324252627283839[[#This Row],[累计净值]]/$B$21-1),表2_36716262930389121314152324252627283839[[#This Row],[累计净值]]/$B$21-1)</f>
        <v>1.0000000000000009E-2</v>
      </c>
    </row>
    <row r="51" spans="1:7">
      <c r="A51" s="15">
        <v>44292</v>
      </c>
      <c r="B51" s="112">
        <v>1.0091000000000001</v>
      </c>
      <c r="C51" s="108">
        <f t="shared" si="16"/>
        <v>-1.089999999999991E-2</v>
      </c>
      <c r="D51" s="109">
        <f t="shared" si="17"/>
        <v>-1.089999999999991E-2</v>
      </c>
      <c r="E51" s="109">
        <f ca="1">IF(表2_367162629303891213141523242526272835[[#This Row],[累计净值]]/MAX(INDIRECT("B21:B" &amp; ROW()))-1&lt;E50,表2_367162629303891213141523242526272835[[#This Row],[累计净值]]/MAX(INDIRECT("B21:B" &amp; ROW()))-1,E50)</f>
        <v>-1.0658432114752481E-2</v>
      </c>
      <c r="F51" s="110">
        <f>表2_36716262930389121314152324252627283839[[#This Row],[累计净值]]</f>
        <v>1.0091000000000001</v>
      </c>
      <c r="G51" s="20">
        <f>IF(表2_36716262930389121314152324252627283839[[#This Row],[累计净值]]&gt;$B$21,0.5*(表2_36716262930389121314152324252627283839[[#This Row],[累计净值]]/$B$21-1),表2_36716262930389121314152324252627283839[[#This Row],[累计净值]]/$B$21-1)</f>
        <v>4.550000000000054E-3</v>
      </c>
    </row>
    <row r="52" spans="1:7">
      <c r="A52" s="15">
        <v>44293</v>
      </c>
      <c r="B52" s="112">
        <v>0.98280000000000001</v>
      </c>
      <c r="C52" s="108">
        <f t="shared" ref="C52:C57" si="18">IFERROR(B52-B51,0)</f>
        <v>-2.6300000000000101E-2</v>
      </c>
      <c r="D52" s="109">
        <f t="shared" ref="D52:D57" si="19">IF(C52&lt;0,C52,"/")</f>
        <v>-2.6300000000000101E-2</v>
      </c>
      <c r="E52" s="109">
        <f ca="1">IF(表2_367162629303891213141523242526272835[[#This Row],[累计净值]]/MAX(INDIRECT("B21:B" &amp; ROW()))-1&lt;E51,表2_367162629303891213141523242526272835[[#This Row],[累计净值]]/MAX(INDIRECT("B21:B" &amp; ROW()))-1,E51)</f>
        <v>-1.0658432114752481E-2</v>
      </c>
      <c r="F52" s="110">
        <f>表2_36716262930389121314152324252627283839[[#This Row],[累计净值]]</f>
        <v>0.98280000000000001</v>
      </c>
      <c r="G52" s="20">
        <f>IF(表2_36716262930389121314152324252627283839[[#This Row],[累计净值]]&gt;$B$21,0.5*(表2_36716262930389121314152324252627283839[[#This Row],[累计净值]]/$B$21-1),表2_36716262930389121314152324252627283839[[#This Row],[累计净值]]/$B$21-1)</f>
        <v>-1.7199999999999993E-2</v>
      </c>
    </row>
    <row r="53" spans="1:7">
      <c r="A53" s="15">
        <v>44294</v>
      </c>
      <c r="B53" s="112">
        <v>0.99299999999999999</v>
      </c>
      <c r="C53" s="108">
        <f t="shared" si="18"/>
        <v>1.0199999999999987E-2</v>
      </c>
      <c r="D53" s="109" t="str">
        <f t="shared" si="19"/>
        <v>/</v>
      </c>
      <c r="E53" s="109">
        <f ca="1">IF(表2_367162629303891213141523242526272835[[#This Row],[累计净值]]/MAX(INDIRECT("B21:B" &amp; ROW()))-1&lt;E52,表2_367162629303891213141523242526272835[[#This Row],[累计净值]]/MAX(INDIRECT("B21:B" &amp; ROW()))-1,E52)</f>
        <v>-1.0658432114752481E-2</v>
      </c>
      <c r="F53" s="110">
        <f>表2_36716262930389121314152324252627283839[[#This Row],[累计净值]]</f>
        <v>0.99299999999999999</v>
      </c>
      <c r="G53" s="20">
        <f>IF(表2_36716262930389121314152324252627283839[[#This Row],[累计净值]]&gt;$B$21,0.5*(表2_36716262930389121314152324252627283839[[#This Row],[累计净值]]/$B$21-1),表2_36716262930389121314152324252627283839[[#This Row],[累计净值]]/$B$21-1)</f>
        <v>-7.0000000000000062E-3</v>
      </c>
    </row>
    <row r="54" spans="1:7">
      <c r="A54" s="15">
        <v>44295</v>
      </c>
      <c r="B54" s="112">
        <v>0.99160000000000004</v>
      </c>
      <c r="C54" s="108">
        <f t="shared" si="18"/>
        <v>-1.3999999999999568E-3</v>
      </c>
      <c r="D54" s="109">
        <f t="shared" si="19"/>
        <v>-1.3999999999999568E-3</v>
      </c>
      <c r="E54" s="109">
        <f ca="1">IF(表2_367162629303891213141523242526272835[[#This Row],[累计净值]]/MAX(INDIRECT("B21:B" &amp; ROW()))-1&lt;E53,表2_367162629303891213141523242526272835[[#This Row],[累计净值]]/MAX(INDIRECT("B21:B" &amp; ROW()))-1,E53)</f>
        <v>-1.0658432114752481E-2</v>
      </c>
      <c r="F54" s="110">
        <f>表2_36716262930389121314152324252627283839[[#This Row],[累计净值]]</f>
        <v>0.99160000000000004</v>
      </c>
      <c r="G54" s="20">
        <f>IF(表2_36716262930389121314152324252627283839[[#This Row],[累计净值]]&gt;$B$21,0.5*(表2_36716262930389121314152324252627283839[[#This Row],[累计净值]]/$B$21-1),表2_36716262930389121314152324252627283839[[#This Row],[累计净值]]/$B$21-1)</f>
        <v>-8.3999999999999631E-3</v>
      </c>
    </row>
    <row r="55" spans="1:7">
      <c r="A55" s="15">
        <v>44298</v>
      </c>
      <c r="B55" s="112">
        <v>0.97919999999999996</v>
      </c>
      <c r="C55" s="108">
        <f t="shared" si="18"/>
        <v>-1.2400000000000078E-2</v>
      </c>
      <c r="D55" s="109">
        <f t="shared" si="19"/>
        <v>-1.2400000000000078E-2</v>
      </c>
      <c r="E55" s="109">
        <f ca="1">IF(表2_367162629303891213141523242526272835[[#This Row],[累计净值]]/MAX(INDIRECT("B21:B" &amp; ROW()))-1&lt;E54,表2_367162629303891213141523242526272835[[#This Row],[累计净值]]/MAX(INDIRECT("B21:B" &amp; ROW()))-1,E54)</f>
        <v>-1.0658432114752481E-2</v>
      </c>
      <c r="F55" s="110">
        <f>表2_36716262930389121314152324252627283839[[#This Row],[累计净值]]</f>
        <v>0.97919999999999996</v>
      </c>
      <c r="G55" s="20">
        <f>IF(表2_36716262930389121314152324252627283839[[#This Row],[累计净值]]&gt;$B$21,0.5*(表2_36716262930389121314152324252627283839[[#This Row],[累计净值]]/$B$21-1),表2_36716262930389121314152324252627283839[[#This Row],[累计净值]]/$B$21-1)</f>
        <v>-2.0800000000000041E-2</v>
      </c>
    </row>
    <row r="56" spans="1:7">
      <c r="A56" s="15">
        <v>44299</v>
      </c>
      <c r="B56" s="112">
        <v>0.97989999999999999</v>
      </c>
      <c r="C56" s="108">
        <f t="shared" si="18"/>
        <v>7.0000000000003393E-4</v>
      </c>
      <c r="D56" s="109" t="str">
        <f t="shared" si="19"/>
        <v>/</v>
      </c>
      <c r="E56" s="109">
        <f ca="1">IF(表2_367162629303891213141523242526272835[[#This Row],[累计净值]]/MAX(INDIRECT("B21:B" &amp; ROW()))-1&lt;E55,表2_367162629303891213141523242526272835[[#This Row],[累计净值]]/MAX(INDIRECT("B21:B" &amp; ROW()))-1,E55)</f>
        <v>-1.0658432114752481E-2</v>
      </c>
      <c r="F56" s="110">
        <f>表2_36716262930389121314152324252627283839[[#This Row],[累计净值]]</f>
        <v>0.97989999999999999</v>
      </c>
      <c r="G56" s="20">
        <f>IF(表2_36716262930389121314152324252627283839[[#This Row],[累计净值]]&gt;$B$21,0.5*(表2_36716262930389121314152324252627283839[[#This Row],[累计净值]]/$B$21-1),表2_36716262930389121314152324252627283839[[#This Row],[累计净值]]/$B$21-1)</f>
        <v>-2.0100000000000007E-2</v>
      </c>
    </row>
    <row r="57" spans="1:7">
      <c r="A57" s="15">
        <v>44300</v>
      </c>
      <c r="B57" s="112">
        <v>0.96850000000000003</v>
      </c>
      <c r="C57" s="108">
        <f t="shared" si="18"/>
        <v>-1.1399999999999966E-2</v>
      </c>
      <c r="D57" s="109">
        <f t="shared" si="19"/>
        <v>-1.1399999999999966E-2</v>
      </c>
      <c r="E57" s="109">
        <f ca="1">IF(表2_367162629303891213141523242526272835[[#This Row],[累计净值]]/MAX(INDIRECT("B21:B" &amp; ROW()))-1&lt;E56,表2_367162629303891213141523242526272835[[#This Row],[累计净值]]/MAX(INDIRECT("B21:B" &amp; ROW()))-1,E56)</f>
        <v>-1.0658432114752481E-2</v>
      </c>
      <c r="F57" s="110">
        <f>表2_36716262930389121314152324252627283839[[#This Row],[累计净值]]</f>
        <v>0.96850000000000003</v>
      </c>
      <c r="G57" s="20">
        <f>IF(表2_36716262930389121314152324252627283839[[#This Row],[累计净值]]&gt;$B$21,0.5*(表2_36716262930389121314152324252627283839[[#This Row],[累计净值]]/$B$21-1),表2_36716262930389121314152324252627283839[[#This Row],[累计净值]]/$B$21-1)</f>
        <v>-3.1499999999999972E-2</v>
      </c>
    </row>
    <row r="58" spans="1:7">
      <c r="A58" s="15">
        <v>44301</v>
      </c>
      <c r="B58" s="112">
        <v>0.99619999999999997</v>
      </c>
      <c r="C58" s="108">
        <f t="shared" ref="C58:C63" si="20">IFERROR(B58-B57,0)</f>
        <v>2.7699999999999947E-2</v>
      </c>
      <c r="D58" s="109" t="str">
        <f t="shared" ref="D58:D63" si="21">IF(C58&lt;0,C58,"/")</f>
        <v>/</v>
      </c>
      <c r="E58" s="109">
        <f ca="1">IF(表2_367162629303891213141523242526272835[[#This Row],[累计净值]]/MAX(INDIRECT("B21:B" &amp; ROW()))-1&lt;E57,表2_367162629303891213141523242526272835[[#This Row],[累计净值]]/MAX(INDIRECT("B21:B" &amp; ROW()))-1,E57)</f>
        <v>-1.0658432114752481E-2</v>
      </c>
      <c r="F58" s="110">
        <f>表2_36716262930389121314152324252627283839[[#This Row],[累计净值]]</f>
        <v>0.99619999999999997</v>
      </c>
      <c r="G58" s="20">
        <f>IF(表2_36716262930389121314152324252627283839[[#This Row],[累计净值]]&gt;$B$21,0.5*(表2_36716262930389121314152324252627283839[[#This Row],[累计净值]]/$B$21-1),表2_36716262930389121314152324252627283839[[#This Row],[累计净值]]/$B$21-1)</f>
        <v>-3.8000000000000256E-3</v>
      </c>
    </row>
    <row r="59" spans="1:7">
      <c r="A59" s="15">
        <v>44302</v>
      </c>
      <c r="B59" s="112">
        <v>1.0029999999999999</v>
      </c>
      <c r="C59" s="108">
        <f t="shared" si="20"/>
        <v>6.7999999999999172E-3</v>
      </c>
      <c r="D59" s="109" t="str">
        <f t="shared" si="21"/>
        <v>/</v>
      </c>
      <c r="E59" s="109">
        <f ca="1">IF(表2_367162629303891213141523242526272835[[#This Row],[累计净值]]/MAX(INDIRECT("B21:B" &amp; ROW()))-1&lt;E58,表2_367162629303891213141523242526272835[[#This Row],[累计净值]]/MAX(INDIRECT("B21:B" &amp; ROW()))-1,E58)</f>
        <v>-1.0658432114752481E-2</v>
      </c>
      <c r="F59" s="110">
        <f>表2_36716262930389121314152324252627283839[[#This Row],[累计净值]]</f>
        <v>1.0029999999999999</v>
      </c>
      <c r="G59" s="20">
        <f>IF(表2_36716262930389121314152324252627283839[[#This Row],[累计净值]]&gt;$B$21,0.5*(表2_36716262930389121314152324252627283839[[#This Row],[累计净值]]/$B$21-1),表2_36716262930389121314152324252627283839[[#This Row],[累计净值]]/$B$21-1)</f>
        <v>1.4999999999999458E-3</v>
      </c>
    </row>
    <row r="60" spans="1:7">
      <c r="A60" s="15">
        <v>44305</v>
      </c>
      <c r="B60" s="112">
        <v>1.0129999999999999</v>
      </c>
      <c r="C60" s="108">
        <f t="shared" si="20"/>
        <v>1.0000000000000009E-2</v>
      </c>
      <c r="D60" s="109" t="str">
        <f t="shared" si="21"/>
        <v>/</v>
      </c>
      <c r="E60" s="109">
        <f ca="1">IF(表2_367162629303891213141523242526272835[[#This Row],[累计净值]]/MAX(INDIRECT("B21:B" &amp; ROW()))-1&lt;E59,表2_367162629303891213141523242526272835[[#This Row],[累计净值]]/MAX(INDIRECT("B21:B" &amp; ROW()))-1,E59)</f>
        <v>-1.0658432114752481E-2</v>
      </c>
      <c r="F60" s="110">
        <f>表2_36716262930389121314152324252627283839[[#This Row],[累计净值]]</f>
        <v>1.0129999999999999</v>
      </c>
      <c r="G60" s="20">
        <f>IF(表2_36716262930389121314152324252627283839[[#This Row],[累计净值]]&gt;$B$21,0.5*(表2_36716262930389121314152324252627283839[[#This Row],[累计净值]]/$B$21-1),表2_36716262930389121314152324252627283839[[#This Row],[累计净值]]/$B$21-1)</f>
        <v>6.4999999999999503E-3</v>
      </c>
    </row>
    <row r="61" spans="1:7">
      <c r="A61" s="15">
        <v>44306</v>
      </c>
      <c r="B61" s="112">
        <v>1.018</v>
      </c>
      <c r="C61" s="108">
        <f t="shared" si="20"/>
        <v>5.0000000000001155E-3</v>
      </c>
      <c r="D61" s="109" t="str">
        <f t="shared" si="21"/>
        <v>/</v>
      </c>
      <c r="E61" s="109">
        <f ca="1">IF(表2_367162629303891213141523242526272835[[#This Row],[累计净值]]/MAX(INDIRECT("B21:B" &amp; ROW()))-1&lt;E60,表2_367162629303891213141523242526272835[[#This Row],[累计净值]]/MAX(INDIRECT("B21:B" &amp; ROW()))-1,E60)</f>
        <v>-1.0658432114752481E-2</v>
      </c>
      <c r="F61" s="110">
        <f>表2_36716262930389121314152324252627283839[[#This Row],[累计净值]]</f>
        <v>1.018</v>
      </c>
      <c r="G61" s="20">
        <f>IF(表2_36716262930389121314152324252627283839[[#This Row],[累计净值]]&gt;$B$21,0.5*(表2_36716262930389121314152324252627283839[[#This Row],[累计净值]]/$B$21-1),表2_36716262930389121314152324252627283839[[#This Row],[累计净值]]/$B$21-1)</f>
        <v>9.000000000000008E-3</v>
      </c>
    </row>
    <row r="62" spans="1:7">
      <c r="A62" s="15">
        <v>44307</v>
      </c>
      <c r="B62" s="112">
        <v>1.0157</v>
      </c>
      <c r="C62" s="108">
        <f t="shared" si="20"/>
        <v>-2.2999999999999687E-3</v>
      </c>
      <c r="D62" s="109">
        <f t="shared" si="21"/>
        <v>-2.2999999999999687E-3</v>
      </c>
      <c r="E62" s="109">
        <f ca="1">IF(表2_367162629303891213141523242526272835[[#This Row],[累计净值]]/MAX(INDIRECT("B21:B" &amp; ROW()))-1&lt;E61,表2_367162629303891213141523242526272835[[#This Row],[累计净值]]/MAX(INDIRECT("B21:B" &amp; ROW()))-1,E61)</f>
        <v>-1.0658432114752481E-2</v>
      </c>
      <c r="F62" s="110">
        <f>表2_36716262930389121314152324252627283839[[#This Row],[累计净值]]</f>
        <v>1.0157</v>
      </c>
      <c r="G62" s="20">
        <f>IF(表2_36716262930389121314152324252627283839[[#This Row],[累计净值]]&gt;$B$21,0.5*(表2_36716262930389121314152324252627283839[[#This Row],[累计净值]]/$B$21-1),表2_36716262930389121314152324252627283839[[#This Row],[累计净值]]/$B$21-1)</f>
        <v>7.8500000000000236E-3</v>
      </c>
    </row>
    <row r="63" spans="1:7">
      <c r="A63" s="15">
        <v>44308</v>
      </c>
      <c r="B63" s="112">
        <v>1.0221</v>
      </c>
      <c r="C63" s="108">
        <f t="shared" si="20"/>
        <v>6.3999999999999613E-3</v>
      </c>
      <c r="D63" s="109" t="str">
        <f t="shared" si="21"/>
        <v>/</v>
      </c>
      <c r="E63" s="109">
        <f ca="1">IF(表2_367162629303891213141523242526272835[[#This Row],[累计净值]]/MAX(INDIRECT("B21:B" &amp; ROW()))-1&lt;E62,表2_367162629303891213141523242526272835[[#This Row],[累计净值]]/MAX(INDIRECT("B21:B" &amp; ROW()))-1,E62)</f>
        <v>-1.0658432114752481E-2</v>
      </c>
      <c r="F63" s="110">
        <f>表2_36716262930389121314152324252627283839[[#This Row],[累计净值]]</f>
        <v>1.0221</v>
      </c>
      <c r="G63" s="20">
        <f>IF(表2_36716262930389121314152324252627283839[[#This Row],[累计净值]]&gt;$B$21,0.5*(表2_36716262930389121314152324252627283839[[#This Row],[累计净值]]/$B$21-1),表2_36716262930389121314152324252627283839[[#This Row],[累计净值]]/$B$21-1)</f>
        <v>1.1050000000000004E-2</v>
      </c>
    </row>
    <row r="64" spans="1:7">
      <c r="A64" s="15">
        <v>44309</v>
      </c>
      <c r="B64" s="112">
        <v>1.0206999999999999</v>
      </c>
      <c r="C64" s="108">
        <f>IFERROR(B64-B63,0)</f>
        <v>-1.4000000000000679E-3</v>
      </c>
      <c r="D64" s="109">
        <f>IF(C64&lt;0,C64,"/")</f>
        <v>-1.4000000000000679E-3</v>
      </c>
      <c r="E64" s="109">
        <f ca="1">IF(表2_367162629303891213141523242526272835[[#This Row],[累计净值]]/MAX(INDIRECT("B21:B" &amp; ROW()))-1&lt;E63,表2_367162629303891213141523242526272835[[#This Row],[累计净值]]/MAX(INDIRECT("B21:B" &amp; ROW()))-1,E63)</f>
        <v>-1.0658432114752481E-2</v>
      </c>
      <c r="F64" s="110">
        <f>表2_36716262930389121314152324252627283839[[#This Row],[累计净值]]</f>
        <v>1.0206999999999999</v>
      </c>
      <c r="G64" s="20">
        <f>IF(表2_36716262930389121314152324252627283839[[#This Row],[累计净值]]&gt;$B$21,0.5*(表2_36716262930389121314152324252627283839[[#This Row],[累计净值]]/$B$21-1),表2_36716262930389121314152324252627283839[[#This Row],[累计净值]]/$B$21-1)</f>
        <v>1.034999999999997E-2</v>
      </c>
    </row>
    <row r="65" spans="1:7">
      <c r="A65" s="15">
        <v>44312</v>
      </c>
      <c r="B65" s="112">
        <v>1.0251999999999999</v>
      </c>
      <c r="C65" s="108">
        <f>IFERROR(B65-B64,0)</f>
        <v>4.4999999999999485E-3</v>
      </c>
      <c r="D65" s="109" t="str">
        <f>IF(C65&lt;0,C65,"/")</f>
        <v>/</v>
      </c>
      <c r="E65" s="109">
        <f ca="1">IF(表2_367162629303891213141523242526272835[[#This Row],[累计净值]]/MAX(INDIRECT("B21:B" &amp; ROW()))-1&lt;E64,表2_367162629303891213141523242526272835[[#This Row],[累计净值]]/MAX(INDIRECT("B21:B" &amp; ROW()))-1,E64)</f>
        <v>-1.0658432114752481E-2</v>
      </c>
      <c r="F65" s="110">
        <f>表2_36716262930389121314152324252627283839[[#This Row],[累计净值]]</f>
        <v>1.0251999999999999</v>
      </c>
      <c r="G65" s="20">
        <f>IF(表2_36716262930389121314152324252627283839[[#This Row],[累计净值]]&gt;$B$21,0.5*(表2_36716262930389121314152324252627283839[[#This Row],[累计净值]]/$B$21-1),表2_36716262930389121314152324252627283839[[#This Row],[累计净值]]/$B$21-1)</f>
        <v>1.2599999999999945E-2</v>
      </c>
    </row>
    <row r="66" spans="1:7">
      <c r="A66" s="15">
        <v>44313</v>
      </c>
      <c r="B66" s="112">
        <v>1.0194000000000001</v>
      </c>
      <c r="C66" s="108">
        <f t="shared" ref="C66:C67" si="22">IFERROR(B66-B65,0)</f>
        <v>-5.7999999999998053E-3</v>
      </c>
      <c r="D66" s="109">
        <f t="shared" ref="D66:D67" si="23">IF(C66&lt;0,C66,"/")</f>
        <v>-5.7999999999998053E-3</v>
      </c>
      <c r="E66" s="109">
        <f ca="1">IF(表2_367162629303891213141523242526272835[[#This Row],[累计净值]]/MAX(INDIRECT("B21:B" &amp; ROW()))-1&lt;E65,表2_367162629303891213141523242526272835[[#This Row],[累计净值]]/MAX(INDIRECT("B21:B" &amp; ROW()))-1,E65)</f>
        <v>-1.0658432114752481E-2</v>
      </c>
      <c r="F66" s="110">
        <f>表2_36716262930389121314152324252627283839[[#This Row],[累计净值]]</f>
        <v>1.0194000000000001</v>
      </c>
      <c r="G66" s="20">
        <f>IF(表2_36716262930389121314152324252627283839[[#This Row],[累计净值]]&gt;$B$21,0.5*(表2_36716262930389121314152324252627283839[[#This Row],[累计净值]]/$B$21-1),表2_36716262930389121314152324252627283839[[#This Row],[累计净值]]/$B$21-1)</f>
        <v>9.7000000000000419E-3</v>
      </c>
    </row>
    <row r="67" spans="1:7">
      <c r="A67" s="15">
        <v>44314</v>
      </c>
      <c r="B67" s="112">
        <v>1.0259</v>
      </c>
      <c r="C67" s="108">
        <f t="shared" si="22"/>
        <v>6.4999999999999503E-3</v>
      </c>
      <c r="D67" s="109" t="str">
        <f t="shared" si="23"/>
        <v>/</v>
      </c>
      <c r="E67" s="109">
        <f ca="1">IF(表2_367162629303891213141523242526272835[[#This Row],[累计净值]]/MAX(INDIRECT("B21:B" &amp; ROW()))-1&lt;E66,表2_367162629303891213141523242526272835[[#This Row],[累计净值]]/MAX(INDIRECT("B21:B" &amp; ROW()))-1,E66)</f>
        <v>-1.0658432114752481E-2</v>
      </c>
      <c r="F67" s="110">
        <f>表2_36716262930389121314152324252627283839[[#This Row],[累计净值]]</f>
        <v>1.0259</v>
      </c>
      <c r="G67" s="20">
        <f>IF(表2_36716262930389121314152324252627283839[[#This Row],[累计净值]]&gt;$B$21,0.5*(表2_36716262930389121314152324252627283839[[#This Row],[累计净值]]/$B$21-1),表2_36716262930389121314152324252627283839[[#This Row],[累计净值]]/$B$21-1)</f>
        <v>1.2950000000000017E-2</v>
      </c>
    </row>
    <row r="68" spans="1:7">
      <c r="A68" s="15">
        <v>44315</v>
      </c>
      <c r="B68" s="112">
        <v>1.0306999999999999</v>
      </c>
      <c r="C68" s="108">
        <f>IFERROR(B68-B67,0)</f>
        <v>4.7999999999999154E-3</v>
      </c>
      <c r="D68" s="109" t="str">
        <f>IF(C68&lt;0,C68,"/")</f>
        <v>/</v>
      </c>
      <c r="E68" s="109">
        <f ca="1">IF(表2_367162629303891213141523242526272835[[#This Row],[累计净值]]/MAX(INDIRECT("B21:B" &amp; ROW()))-1&lt;E67,表2_367162629303891213141523242526272835[[#This Row],[累计净值]]/MAX(INDIRECT("B21:B" &amp; ROW()))-1,E67)</f>
        <v>-1.0658432114752481E-2</v>
      </c>
      <c r="F68" s="110">
        <f>表2_36716262930389121314152324252627283839[[#This Row],[累计净值]]</f>
        <v>1.0306999999999999</v>
      </c>
      <c r="G68" s="20">
        <f>IF(表2_36716262930389121314152324252627283839[[#This Row],[累计净值]]&gt;$B$21,0.5*(表2_36716262930389121314152324252627283839[[#This Row],[累计净值]]/$B$21-1),表2_36716262930389121314152324252627283839[[#This Row],[累计净值]]/$B$21-1)</f>
        <v>1.5349999999999975E-2</v>
      </c>
    </row>
    <row r="69" spans="1:7">
      <c r="A69" s="15">
        <v>44316</v>
      </c>
      <c r="B69" s="112">
        <v>1.0293000000000001</v>
      </c>
      <c r="C69" s="108">
        <f t="shared" ref="C69:C70" si="24">IFERROR(B69-B68,0)</f>
        <v>-1.3999999999998458E-3</v>
      </c>
      <c r="D69" s="109">
        <f t="shared" ref="D69:D70" si="25">IF(C69&lt;0,C69,"/")</f>
        <v>-1.3999999999998458E-3</v>
      </c>
      <c r="E69" s="109">
        <f ca="1">IF(表2_367162629303891213141523242526272835[[#This Row],[累计净值]]/MAX(INDIRECT("B21:B" &amp; ROW()))-1&lt;E68,表2_367162629303891213141523242526272835[[#This Row],[累计净值]]/MAX(INDIRECT("B21:B" &amp; ROW()))-1,E68)</f>
        <v>-1.0658432114752481E-2</v>
      </c>
      <c r="F69" s="110">
        <f>表2_36716262930389121314152324252627283839[[#This Row],[累计净值]]</f>
        <v>1.0293000000000001</v>
      </c>
      <c r="G69" s="20">
        <f>IF(表2_36716262930389121314152324252627283839[[#This Row],[累计净值]]&gt;$B$21,0.5*(表2_36716262930389121314152324252627283839[[#This Row],[累计净值]]/$B$21-1),表2_36716262930389121314152324252627283839[[#This Row],[累计净值]]/$B$21-1)</f>
        <v>1.4650000000000052E-2</v>
      </c>
    </row>
    <row r="70" spans="1:7">
      <c r="A70" s="15">
        <v>44322</v>
      </c>
      <c r="B70" s="112">
        <v>1.0295000000000001</v>
      </c>
      <c r="C70" s="108">
        <f t="shared" si="24"/>
        <v>1.9999999999997797E-4</v>
      </c>
      <c r="D70" s="109" t="str">
        <f t="shared" si="25"/>
        <v>/</v>
      </c>
      <c r="E70" s="109">
        <f ca="1">IF(表2_367162629303891213141523242526272835[[#This Row],[累计净值]]/MAX(INDIRECT("B21:B" &amp; ROW()))-1&lt;E69,表2_367162629303891213141523242526272835[[#This Row],[累计净值]]/MAX(INDIRECT("B21:B" &amp; ROW()))-1,E69)</f>
        <v>-1.0658432114752481E-2</v>
      </c>
      <c r="F70" s="110">
        <f>表2_36716262930389121314152324252627283839[[#This Row],[累计净值]]</f>
        <v>1.0295000000000001</v>
      </c>
      <c r="G70" s="20">
        <f>IF(表2_36716262930389121314152324252627283839[[#This Row],[累计净值]]&gt;$B$21,0.5*(表2_36716262930389121314152324252627283839[[#This Row],[累计净值]]/$B$21-1),表2_36716262930389121314152324252627283839[[#This Row],[累计净值]]/$B$21-1)</f>
        <v>1.4750000000000041E-2</v>
      </c>
    </row>
    <row r="71" spans="1:7">
      <c r="A71" s="15">
        <v>44323</v>
      </c>
      <c r="B71" s="112">
        <v>1.0306999999999999</v>
      </c>
      <c r="C71" s="108">
        <f t="shared" ref="C71:C76" si="26">IFERROR(B71-B70,0)</f>
        <v>1.1999999999998678E-3</v>
      </c>
      <c r="D71" s="109" t="str">
        <f t="shared" ref="D71:D76" si="27">IF(C71&lt;0,C71,"/")</f>
        <v>/</v>
      </c>
      <c r="E71" s="109">
        <f ca="1">IF(表2_367162629303891213141523242526272835[[#This Row],[累计净值]]/MAX(INDIRECT("B21:B" &amp; ROW()))-1&lt;E70,表2_367162629303891213141523242526272835[[#This Row],[累计净值]]/MAX(INDIRECT("B21:B" &amp; ROW()))-1,E70)</f>
        <v>-1.0658432114752481E-2</v>
      </c>
      <c r="F71" s="110">
        <f>表2_36716262930389121314152324252627283839[[#This Row],[累计净值]]</f>
        <v>1.0306999999999999</v>
      </c>
      <c r="G71" s="20">
        <f>IF(表2_36716262930389121314152324252627283839[[#This Row],[累计净值]]&gt;$B$21,0.5*(表2_36716262930389121314152324252627283839[[#This Row],[累计净值]]/$B$21-1),表2_36716262930389121314152324252627283839[[#This Row],[累计净值]]/$B$21-1)</f>
        <v>1.5349999999999975E-2</v>
      </c>
    </row>
    <row r="72" spans="1:7">
      <c r="A72" s="15">
        <v>44326</v>
      </c>
      <c r="B72" s="112">
        <v>1.0311999999999999</v>
      </c>
      <c r="C72" s="108">
        <f t="shared" si="26"/>
        <v>4.9999999999994493E-4</v>
      </c>
      <c r="D72" s="109" t="str">
        <f t="shared" si="27"/>
        <v>/</v>
      </c>
      <c r="E72" s="109">
        <f ca="1">IF(表2_367162629303891213141523242526272835[[#This Row],[累计净值]]/MAX(INDIRECT("B21:B" &amp; ROW()))-1&lt;E71,表2_367162629303891213141523242526272835[[#This Row],[累计净值]]/MAX(INDIRECT("B21:B" &amp; ROW()))-1,E71)</f>
        <v>-1.0658432114752481E-2</v>
      </c>
      <c r="F72" s="110">
        <f>表2_36716262930389121314152324252627283839[[#This Row],[累计净值]]</f>
        <v>1.0311999999999999</v>
      </c>
      <c r="G72" s="20">
        <f>IF(表2_36716262930389121314152324252627283839[[#This Row],[累计净值]]&gt;$B$21,0.5*(表2_36716262930389121314152324252627283839[[#This Row],[累计净值]]/$B$21-1),表2_36716262930389121314152324252627283839[[#This Row],[累计净值]]/$B$21-1)</f>
        <v>1.5599999999999947E-2</v>
      </c>
    </row>
    <row r="73" spans="1:7">
      <c r="A73" s="15">
        <v>44327</v>
      </c>
      <c r="B73" s="112">
        <v>1.0378000000000001</v>
      </c>
      <c r="C73" s="108">
        <f t="shared" si="26"/>
        <v>6.6000000000001613E-3</v>
      </c>
      <c r="D73" s="109" t="str">
        <f t="shared" si="27"/>
        <v>/</v>
      </c>
      <c r="E73" s="109">
        <f ca="1">IF(表2_367162629303891213141523242526272835[[#This Row],[累计净值]]/MAX(INDIRECT("B21:B" &amp; ROW()))-1&lt;E72,表2_367162629303891213141523242526272835[[#This Row],[累计净值]]/MAX(INDIRECT("B21:B" &amp; ROW()))-1,E72)</f>
        <v>-1.0658432114752481E-2</v>
      </c>
      <c r="F73" s="110">
        <f>表2_36716262930389121314152324252627283839[[#This Row],[累计净值]]</f>
        <v>1.0378000000000001</v>
      </c>
      <c r="G73" s="20">
        <f>IF(表2_36716262930389121314152324252627283839[[#This Row],[累计净值]]&gt;$B$21,0.5*(表2_36716262930389121314152324252627283839[[#This Row],[累计净值]]/$B$21-1),表2_36716262930389121314152324252627283839[[#This Row],[累计净值]]/$B$21-1)</f>
        <v>1.8900000000000028E-2</v>
      </c>
    </row>
    <row r="74" spans="1:7">
      <c r="A74" s="15">
        <v>44328</v>
      </c>
      <c r="B74" s="112">
        <v>1.0438000000000001</v>
      </c>
      <c r="C74" s="108">
        <f t="shared" si="26"/>
        <v>6.0000000000000053E-3</v>
      </c>
      <c r="D74" s="109" t="str">
        <f t="shared" si="27"/>
        <v>/</v>
      </c>
      <c r="E74" s="109">
        <f ca="1">IF(表2_367162629303891213141523242526272835[[#This Row],[累计净值]]/MAX(INDIRECT("B21:B" &amp; ROW()))-1&lt;E73,表2_367162629303891213141523242526272835[[#This Row],[累计净值]]/MAX(INDIRECT("B21:B" &amp; ROW()))-1,E73)</f>
        <v>-1.0658432114752481E-2</v>
      </c>
      <c r="F74" s="110">
        <f>表2_36716262930389121314152324252627283839[[#This Row],[累计净值]]</f>
        <v>1.0438000000000001</v>
      </c>
      <c r="G74" s="20">
        <f>IF(表2_36716262930389121314152324252627283839[[#This Row],[累计净值]]&gt;$B$21,0.5*(表2_36716262930389121314152324252627283839[[#This Row],[累计净值]]/$B$21-1),表2_36716262930389121314152324252627283839[[#This Row],[累计净值]]/$B$21-1)</f>
        <v>2.1900000000000031E-2</v>
      </c>
    </row>
    <row r="75" spans="1:7">
      <c r="A75" s="15">
        <v>44329</v>
      </c>
      <c r="B75" s="112">
        <v>1.0477000000000001</v>
      </c>
      <c r="C75" s="108">
        <f t="shared" si="26"/>
        <v>3.9000000000000146E-3</v>
      </c>
      <c r="D75" s="109" t="str">
        <f t="shared" si="27"/>
        <v>/</v>
      </c>
      <c r="E75" s="109">
        <f ca="1">IF(表2_367162629303891213141523242526272835[[#This Row],[累计净值]]/MAX(INDIRECT("B21:B" &amp; ROW()))-1&lt;E74,表2_367162629303891213141523242526272835[[#This Row],[累计净值]]/MAX(INDIRECT("B21:B" &amp; ROW()))-1,E74)</f>
        <v>-1.0658432114752481E-2</v>
      </c>
      <c r="F75" s="110">
        <f>表2_36716262930389121314152324252627283839[[#This Row],[累计净值]]</f>
        <v>1.0477000000000001</v>
      </c>
      <c r="G75" s="20">
        <f>IF(表2_36716262930389121314152324252627283839[[#This Row],[累计净值]]&gt;$B$21,0.5*(表2_36716262930389121314152324252627283839[[#This Row],[累计净值]]/$B$21-1),表2_36716262930389121314152324252627283839[[#This Row],[累计净值]]/$B$21-1)</f>
        <v>2.3850000000000038E-2</v>
      </c>
    </row>
    <row r="76" spans="1:7">
      <c r="A76" s="15">
        <v>44330</v>
      </c>
      <c r="B76" s="112">
        <v>1.0499000000000001</v>
      </c>
      <c r="C76" s="108">
        <f t="shared" si="26"/>
        <v>2.1999999999999797E-3</v>
      </c>
      <c r="D76" s="109" t="str">
        <f t="shared" si="27"/>
        <v>/</v>
      </c>
      <c r="E76" s="109">
        <f ca="1">IF(表2_367162629303891213141523242526272835[[#This Row],[累计净值]]/MAX(INDIRECT("B21:B" &amp; ROW()))-1&lt;E75,表2_367162629303891213141523242526272835[[#This Row],[累计净值]]/MAX(INDIRECT("B21:B" &amp; ROW()))-1,E75)</f>
        <v>-1.0658432114752481E-2</v>
      </c>
      <c r="F76" s="110">
        <f>表2_36716262930389121314152324252627283839[[#This Row],[累计净值]]</f>
        <v>1.0499000000000001</v>
      </c>
      <c r="G76" s="20">
        <f>IF(表2_36716262930389121314152324252627283839[[#This Row],[累计净值]]&gt;$B$21,0.5*(表2_36716262930389121314152324252627283839[[#This Row],[累计净值]]/$B$21-1),表2_36716262930389121314152324252627283839[[#This Row],[累计净值]]/$B$21-1)</f>
        <v>2.4950000000000028E-2</v>
      </c>
    </row>
    <row r="77" spans="1:7">
      <c r="A77" s="15">
        <v>44333</v>
      </c>
      <c r="B77" s="112">
        <v>1.0515000000000001</v>
      </c>
      <c r="C77" s="108">
        <f>IFERROR(B77-B76,0)</f>
        <v>1.6000000000000458E-3</v>
      </c>
      <c r="D77" s="109" t="str">
        <f>IF(C77&lt;0,C77,"/")</f>
        <v>/</v>
      </c>
      <c r="E77" s="109">
        <f ca="1">IF(表2_367162629303891213141523242526272835[[#This Row],[累计净值]]/MAX(INDIRECT("B21:B" &amp; ROW()))-1&lt;E76,表2_367162629303891213141523242526272835[[#This Row],[累计净值]]/MAX(INDIRECT("B21:B" &amp; ROW()))-1,E76)</f>
        <v>-1.0658432114752481E-2</v>
      </c>
      <c r="F77" s="110">
        <f>表2_36716262930389121314152324252627283839[[#This Row],[累计净值]]</f>
        <v>1.0515000000000001</v>
      </c>
      <c r="G77" s="118"/>
    </row>
  </sheetData>
  <mergeCells count="1">
    <mergeCell ref="G2:G3"/>
  </mergeCells>
  <phoneticPr fontId="24" type="noConversion"/>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50"/>
  <sheetViews>
    <sheetView topLeftCell="A17" workbookViewId="0">
      <selection activeCell="M38" sqref="M38"/>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COUNT(表2_3671626293038912131415232425262728383941[每日盈亏])</f>
        <v>30</v>
      </c>
      <c r="C2" s="27"/>
      <c r="D2" s="3" t="s">
        <v>1</v>
      </c>
      <c r="E2" s="28"/>
      <c r="F2" s="1" t="s">
        <v>2</v>
      </c>
      <c r="G2" s="400" t="s">
        <v>3</v>
      </c>
    </row>
    <row r="3" spans="1:7">
      <c r="A3" s="25" t="s">
        <v>4</v>
      </c>
      <c r="B3" s="26">
        <f>COUNTIF(表2_3671626293038912131415232425262728383941[每日盈亏],"&gt;0")</f>
        <v>14</v>
      </c>
      <c r="C3" s="29"/>
      <c r="D3" s="30" t="s">
        <v>5</v>
      </c>
      <c r="E3" s="31">
        <f>245^0.5*(B10-0.025/365)/E10</f>
        <v>3.8312760830557786</v>
      </c>
      <c r="G3" s="400"/>
    </row>
    <row r="4" spans="1:7">
      <c r="A4" s="25" t="s">
        <v>6</v>
      </c>
      <c r="B4" s="26">
        <f>COUNTIF(表2_3671626293038912131415232425262728383941[每日盈亏],"&lt;0")</f>
        <v>7</v>
      </c>
      <c r="C4" s="29"/>
      <c r="D4" s="32" t="s">
        <v>7</v>
      </c>
      <c r="E4" s="31">
        <f ca="1">-B9/E8</f>
        <v>37.956153846154095</v>
      </c>
      <c r="G4" s="2">
        <f>LOOKUP(999^10,表2_3671626293038912131415232425262728383941[累计净值])</f>
        <v>1.03</v>
      </c>
    </row>
    <row r="5" spans="1:7">
      <c r="A5" s="25" t="s">
        <v>8</v>
      </c>
      <c r="B5" s="26">
        <f>B2-B3-B4</f>
        <v>9</v>
      </c>
      <c r="C5" s="29"/>
      <c r="D5" s="33" t="s">
        <v>9</v>
      </c>
      <c r="E5" s="4">
        <f>245^0.5*(B10-0.025/365)/E9</f>
        <v>4.8860503597678306</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LOOKUP(999^10,表2_3671626293038912131415232425262728383941[累计净值])/$B$21-1</f>
        <v>3.0000000000000027E-2</v>
      </c>
      <c r="C8" s="40"/>
      <c r="D8" s="30" t="s">
        <v>13</v>
      </c>
      <c r="E8" s="41">
        <f ca="1">MIN(表2_3671626293038912131415232425262728383941[最大回撤])</f>
        <v>-6.4548162859979774E-3</v>
      </c>
    </row>
    <row r="9" spans="1:7">
      <c r="A9" s="25" t="s">
        <v>14</v>
      </c>
      <c r="B9" s="32">
        <f>B8*245/B2</f>
        <v>0.24500000000000022</v>
      </c>
      <c r="C9" s="40"/>
      <c r="D9" s="33" t="s">
        <v>15</v>
      </c>
      <c r="E9" s="6">
        <f>STDEV(表2_3671626293038912131415232425262728383941[下跌幅度])</f>
        <v>2.9840847683606053E-3</v>
      </c>
    </row>
    <row r="10" spans="1:7">
      <c r="A10" s="42" t="s">
        <v>16</v>
      </c>
      <c r="B10" s="43">
        <f>AVERAGE(表2_3671626293038912131415232425262728383941[每日盈亏])</f>
        <v>1.0000000000000009E-3</v>
      </c>
      <c r="C10" s="44"/>
      <c r="D10" s="33" t="s">
        <v>17</v>
      </c>
      <c r="E10" s="6">
        <f>STDEV(表2_3671626293038912131415232425262728383941[每日盈亏])</f>
        <v>3.8056219755369081E-3</v>
      </c>
    </row>
    <row r="11" spans="1:7">
      <c r="A11" s="7" t="s">
        <v>18</v>
      </c>
      <c r="B11" s="32">
        <f>B3/B2</f>
        <v>0.46666666666666667</v>
      </c>
      <c r="C11" s="40"/>
      <c r="D11" s="32" t="s">
        <v>19</v>
      </c>
      <c r="E11" s="41">
        <f>245^0.5*E10</f>
        <v>5.9567406037772982E-2</v>
      </c>
    </row>
    <row r="12" spans="1:7" ht="16" thickBot="1">
      <c r="A12" s="45" t="s">
        <v>20</v>
      </c>
      <c r="B12" s="46">
        <f>-(SUMIF(表2_3671626293038912131415232425262728383941[每日盈亏],"&gt;=0")/B3)/(SUMIF(表2_3671626293038912131415232425262728383941[每日盈亏],"&lt;0")/B4)</f>
        <v>1.4375000000000193</v>
      </c>
      <c r="C12" s="47"/>
      <c r="D12" s="48"/>
      <c r="E12" s="49"/>
    </row>
    <row r="14" spans="1:7" ht="32">
      <c r="A14" s="50" t="s">
        <v>21</v>
      </c>
      <c r="B14" s="50" t="s">
        <v>14</v>
      </c>
      <c r="C14" s="51" t="s">
        <v>19</v>
      </c>
      <c r="D14" s="51" t="s">
        <v>13</v>
      </c>
      <c r="E14" s="51" t="s">
        <v>5</v>
      </c>
      <c r="F14" s="51" t="s">
        <v>7</v>
      </c>
    </row>
    <row r="15" spans="1:7">
      <c r="A15" s="78">
        <f>B2</f>
        <v>30</v>
      </c>
      <c r="B15" s="53">
        <f>B9</f>
        <v>0.24500000000000022</v>
      </c>
      <c r="C15" s="53">
        <f>E11</f>
        <v>5.9567406037772982E-2</v>
      </c>
      <c r="D15" s="53">
        <f ca="1">E8</f>
        <v>-6.4548162859979774E-3</v>
      </c>
      <c r="E15" s="54">
        <f>E3</f>
        <v>3.8312760830557786</v>
      </c>
      <c r="F15" s="54">
        <f ca="1">E4</f>
        <v>37.956153846154095</v>
      </c>
    </row>
    <row r="19" spans="1:7">
      <c r="A19" s="8"/>
      <c r="B19" s="1" t="s">
        <v>22</v>
      </c>
    </row>
    <row r="20" spans="1:7" ht="16">
      <c r="A20" s="22" t="s">
        <v>23</v>
      </c>
      <c r="B20" s="22" t="s">
        <v>24</v>
      </c>
      <c r="C20" s="22" t="s">
        <v>25</v>
      </c>
      <c r="D20" s="22" t="s">
        <v>26</v>
      </c>
      <c r="E20" s="22" t="s">
        <v>27</v>
      </c>
      <c r="F20" s="22" t="s">
        <v>28</v>
      </c>
      <c r="G20" s="22" t="s">
        <v>29</v>
      </c>
    </row>
    <row r="21" spans="1:7">
      <c r="A21" s="15">
        <v>44286</v>
      </c>
      <c r="B21" s="16">
        <v>1</v>
      </c>
      <c r="C21" s="11">
        <f t="shared" ref="C21" si="0">IFERROR(B21-B20,0)</f>
        <v>0</v>
      </c>
      <c r="D21" s="12" t="str">
        <f>IF(C21&lt;0,C21,"/")</f>
        <v>/</v>
      </c>
      <c r="E21" s="12">
        <v>0</v>
      </c>
      <c r="F21" s="13">
        <f>表2_3671626293038912131415232425262728383941[[#This Row],[累计净值]]</f>
        <v>1</v>
      </c>
      <c r="G21" s="194" t="s">
        <v>30</v>
      </c>
    </row>
    <row r="22" spans="1:7">
      <c r="A22" s="15">
        <v>44287</v>
      </c>
      <c r="B22" s="112">
        <v>1</v>
      </c>
      <c r="C22" s="108">
        <f>IFERROR(B22-B21,0)</f>
        <v>0</v>
      </c>
      <c r="D22" s="109" t="str">
        <f t="shared" ref="D22:D24" si="1">IF(C22&lt;0,C22,"/")</f>
        <v>/</v>
      </c>
      <c r="E22" s="109">
        <f ca="1">IF(B22/MAX(INDIRECT("B21:B" &amp; ROW()))-1&lt;E21,B22/MAX(INDIRECT("B21:B" &amp; ROW()))-1,E21)</f>
        <v>0</v>
      </c>
      <c r="F22" s="110">
        <f>表2_3671626293038912131415232425262728383941[[#This Row],[累计净值]]</f>
        <v>1</v>
      </c>
      <c r="G22" s="20">
        <f>IF(表2_3671626293038912131415232425262728383941[[#This Row],[累计净值]]&gt;$B$21,0.7*(表2_3671626293038912131415232425262728383941[[#This Row],[累计净值]]/$B$21-1),表2_3671626293038912131415232425262728383941[[#This Row],[累计净值]]/$B$21-1)</f>
        <v>0</v>
      </c>
    </row>
    <row r="23" spans="1:7">
      <c r="A23" s="15">
        <v>44288</v>
      </c>
      <c r="B23" s="112">
        <v>1</v>
      </c>
      <c r="C23" s="108">
        <f t="shared" ref="C23:C24" si="2">IFERROR(B23-B22,0)</f>
        <v>0</v>
      </c>
      <c r="D23" s="109" t="str">
        <f t="shared" si="1"/>
        <v>/</v>
      </c>
      <c r="E23" s="109">
        <f t="shared" ref="E23:E38" ca="1" si="3">IF(B23/MAX(INDIRECT("B21:B" &amp; ROW()))-1&lt;E22,B23/MAX(INDIRECT("B21:B" &amp; ROW()))-1,E22)</f>
        <v>0</v>
      </c>
      <c r="F23" s="110">
        <f>表2_3671626293038912131415232425262728383941[[#This Row],[累计净值]]</f>
        <v>1</v>
      </c>
      <c r="G23" s="20">
        <f>IF(表2_3671626293038912131415232425262728383941[[#This Row],[累计净值]]&gt;$B$21,0.7*(表2_3671626293038912131415232425262728383941[[#This Row],[累计净值]]/$B$21-1),表2_3671626293038912131415232425262728383941[[#This Row],[累计净值]]/$B$21-1)</f>
        <v>0</v>
      </c>
    </row>
    <row r="24" spans="1:7">
      <c r="A24" s="15">
        <v>44292</v>
      </c>
      <c r="B24" s="112">
        <v>1</v>
      </c>
      <c r="C24" s="108">
        <f t="shared" si="2"/>
        <v>0</v>
      </c>
      <c r="D24" s="109" t="str">
        <f t="shared" si="1"/>
        <v>/</v>
      </c>
      <c r="E24" s="109">
        <f t="shared" ca="1" si="3"/>
        <v>0</v>
      </c>
      <c r="F24" s="110">
        <f>表2_3671626293038912131415232425262728383941[[#This Row],[累计净值]]</f>
        <v>1</v>
      </c>
      <c r="G24" s="20">
        <f>IF(表2_3671626293038912131415232425262728383941[[#This Row],[累计净值]]&gt;$B$21,0.7*(表2_3671626293038912131415232425262728383941[[#This Row],[累计净值]]/$B$21-1),表2_3671626293038912131415232425262728383941[[#This Row],[累计净值]]/$B$21-1)</f>
        <v>0</v>
      </c>
    </row>
    <row r="25" spans="1:7">
      <c r="A25" s="15">
        <v>44293</v>
      </c>
      <c r="B25" s="112">
        <v>1</v>
      </c>
      <c r="C25" s="108">
        <f t="shared" ref="C25:C26" si="4">IFERROR(B25-B24,0)</f>
        <v>0</v>
      </c>
      <c r="D25" s="109" t="str">
        <f t="shared" ref="D25:D26" si="5">IF(C25&lt;0,C25,"/")</f>
        <v>/</v>
      </c>
      <c r="E25" s="109">
        <f t="shared" ca="1" si="3"/>
        <v>0</v>
      </c>
      <c r="F25" s="110">
        <f>表2_3671626293038912131415232425262728383941[[#This Row],[累计净值]]</f>
        <v>1</v>
      </c>
      <c r="G25" s="20">
        <f>IF(表2_3671626293038912131415232425262728383941[[#This Row],[累计净值]]&gt;$B$21,0.7*(表2_3671626293038912131415232425262728383941[[#This Row],[累计净值]]/$B$21-1),表2_3671626293038912131415232425262728383941[[#This Row],[累计净值]]/$B$21-1)</f>
        <v>0</v>
      </c>
    </row>
    <row r="26" spans="1:7">
      <c r="A26" s="15">
        <v>44294</v>
      </c>
      <c r="B26" s="112">
        <v>0.999</v>
      </c>
      <c r="C26" s="108">
        <f t="shared" si="4"/>
        <v>-1.0000000000000009E-3</v>
      </c>
      <c r="D26" s="109">
        <f t="shared" si="5"/>
        <v>-1.0000000000000009E-3</v>
      </c>
      <c r="E26" s="109">
        <f t="shared" ca="1" si="3"/>
        <v>-1.0000000000000009E-3</v>
      </c>
      <c r="F26" s="110">
        <f>表2_3671626293038912131415232425262728383941[[#This Row],[累计净值]]</f>
        <v>0.999</v>
      </c>
      <c r="G26" s="20">
        <f>IF(表2_3671626293038912131415232425262728383941[[#This Row],[累计净值]]&gt;$B$21,0.7*(表2_3671626293038912131415232425262728383941[[#This Row],[累计净值]]/$B$21-1),表2_3671626293038912131415232425262728383941[[#This Row],[累计净值]]/$B$21-1)</f>
        <v>-1.0000000000000009E-3</v>
      </c>
    </row>
    <row r="27" spans="1:7">
      <c r="A27" s="15">
        <v>44295</v>
      </c>
      <c r="B27" s="112">
        <v>0.999</v>
      </c>
      <c r="C27" s="108">
        <f t="shared" ref="C27:C33" si="6">IFERROR(B27-B26,0)</f>
        <v>0</v>
      </c>
      <c r="D27" s="109" t="str">
        <f t="shared" ref="D27:D33" si="7">IF(C27&lt;0,C27,"/")</f>
        <v>/</v>
      </c>
      <c r="E27" s="109">
        <f t="shared" ca="1" si="3"/>
        <v>-1.0000000000000009E-3</v>
      </c>
      <c r="F27" s="110">
        <f>表2_3671626293038912131415232425262728383941[[#This Row],[累计净值]]</f>
        <v>0.999</v>
      </c>
      <c r="G27" s="20">
        <f>IF(表2_3671626293038912131415232425262728383941[[#This Row],[累计净值]]&gt;$B$21,0.7*(表2_3671626293038912131415232425262728383941[[#This Row],[累计净值]]/$B$21-1),表2_3671626293038912131415232425262728383941[[#This Row],[累计净值]]/$B$21-1)</f>
        <v>-1.0000000000000009E-3</v>
      </c>
    </row>
    <row r="28" spans="1:7">
      <c r="A28" s="15">
        <v>44298</v>
      </c>
      <c r="B28" s="112">
        <v>0.998</v>
      </c>
      <c r="C28" s="108">
        <f t="shared" si="6"/>
        <v>-1.0000000000000009E-3</v>
      </c>
      <c r="D28" s="109">
        <f t="shared" si="7"/>
        <v>-1.0000000000000009E-3</v>
      </c>
      <c r="E28" s="109">
        <f t="shared" ca="1" si="3"/>
        <v>-2.0000000000000018E-3</v>
      </c>
      <c r="F28" s="110">
        <f>表2_3671626293038912131415232425262728383941[[#This Row],[累计净值]]</f>
        <v>0.998</v>
      </c>
      <c r="G28" s="20">
        <f>IF(表2_3671626293038912131415232425262728383941[[#This Row],[累计净值]]&gt;$B$21,0.7*(表2_3671626293038912131415232425262728383941[[#This Row],[累计净值]]/$B$21-1),表2_3671626293038912131415232425262728383941[[#This Row],[累计净值]]/$B$21-1)</f>
        <v>-2.0000000000000018E-3</v>
      </c>
    </row>
    <row r="29" spans="1:7">
      <c r="A29" s="15">
        <v>44299</v>
      </c>
      <c r="B29" s="112">
        <v>0.997</v>
      </c>
      <c r="C29" s="108">
        <f t="shared" si="6"/>
        <v>-1.0000000000000009E-3</v>
      </c>
      <c r="D29" s="109">
        <f t="shared" si="7"/>
        <v>-1.0000000000000009E-3</v>
      </c>
      <c r="E29" s="109">
        <f t="shared" ca="1" si="3"/>
        <v>-3.0000000000000027E-3</v>
      </c>
      <c r="F29" s="110">
        <f>表2_3671626293038912131415232425262728383941[[#This Row],[累计净值]]</f>
        <v>0.997</v>
      </c>
      <c r="G29" s="20">
        <f>IF(表2_3671626293038912131415232425262728383941[[#This Row],[累计净值]]&gt;$B$21,0.7*(表2_3671626293038912131415232425262728383941[[#This Row],[累计净值]]/$B$21-1),表2_3671626293038912131415232425262728383941[[#This Row],[累计净值]]/$B$21-1)</f>
        <v>-3.0000000000000027E-3</v>
      </c>
    </row>
    <row r="30" spans="1:7">
      <c r="A30" s="15">
        <v>44300</v>
      </c>
      <c r="B30" s="112">
        <v>0.997</v>
      </c>
      <c r="C30" s="108">
        <f t="shared" si="6"/>
        <v>0</v>
      </c>
      <c r="D30" s="109" t="str">
        <f t="shared" si="7"/>
        <v>/</v>
      </c>
      <c r="E30" s="109">
        <f t="shared" ca="1" si="3"/>
        <v>-3.0000000000000027E-3</v>
      </c>
      <c r="F30" s="110">
        <f>表2_3671626293038912131415232425262728383941[[#This Row],[累计净值]]</f>
        <v>0.997</v>
      </c>
      <c r="G30" s="20">
        <f>IF(表2_3671626293038912131415232425262728383941[[#This Row],[累计净值]]&gt;$B$21,0.7*(表2_3671626293038912131415232425262728383941[[#This Row],[累计净值]]/$B$21-1),表2_3671626293038912131415232425262728383941[[#This Row],[累计净值]]/$B$21-1)</f>
        <v>-3.0000000000000027E-3</v>
      </c>
    </row>
    <row r="31" spans="1:7">
      <c r="A31" s="15">
        <v>44301</v>
      </c>
      <c r="B31" s="112">
        <v>0.999</v>
      </c>
      <c r="C31" s="108">
        <f t="shared" si="6"/>
        <v>2.0000000000000018E-3</v>
      </c>
      <c r="D31" s="109" t="str">
        <f t="shared" si="7"/>
        <v>/</v>
      </c>
      <c r="E31" s="109">
        <f t="shared" ca="1" si="3"/>
        <v>-3.0000000000000027E-3</v>
      </c>
      <c r="F31" s="110">
        <f>表2_3671626293038912131415232425262728383941[[#This Row],[累计净值]]</f>
        <v>0.999</v>
      </c>
      <c r="G31" s="20">
        <f>IF(表2_3671626293038912131415232425262728383941[[#This Row],[累计净值]]&gt;$B$21,0.7*(表2_3671626293038912131415232425262728383941[[#This Row],[累计净值]]/$B$21-1),表2_3671626293038912131415232425262728383941[[#This Row],[累计净值]]/$B$21-1)</f>
        <v>-1.0000000000000009E-3</v>
      </c>
    </row>
    <row r="32" spans="1:7">
      <c r="A32" s="15">
        <v>44302</v>
      </c>
      <c r="B32" s="112">
        <v>1.0009999999999999</v>
      </c>
      <c r="C32" s="108">
        <f t="shared" si="6"/>
        <v>1.9999999999998908E-3</v>
      </c>
      <c r="D32" s="109" t="str">
        <f t="shared" si="7"/>
        <v>/</v>
      </c>
      <c r="E32" s="109">
        <f t="shared" ca="1" si="3"/>
        <v>-3.0000000000000027E-3</v>
      </c>
      <c r="F32" s="110">
        <f>表2_3671626293038912131415232425262728383941[[#This Row],[累计净值]]</f>
        <v>1.0009999999999999</v>
      </c>
      <c r="G32" s="20">
        <f>IF(表2_3671626293038912131415232425262728383941[[#This Row],[累计净值]]&gt;$B$21,0.7*(表2_3671626293038912131415232425262728383941[[#This Row],[累计净值]]/$B$21-1),表2_3671626293038912131415232425262728383941[[#This Row],[累计净值]]/$B$21-1)</f>
        <v>6.9999999999992291E-4</v>
      </c>
    </row>
    <row r="33" spans="1:7">
      <c r="A33" s="15">
        <v>44305</v>
      </c>
      <c r="B33" s="112">
        <v>1</v>
      </c>
      <c r="C33" s="108">
        <f t="shared" si="6"/>
        <v>-9.9999999999988987E-4</v>
      </c>
      <c r="D33" s="109">
        <f t="shared" si="7"/>
        <v>-9.9999999999988987E-4</v>
      </c>
      <c r="E33" s="109">
        <f t="shared" ca="1" si="3"/>
        <v>-3.0000000000000027E-3</v>
      </c>
      <c r="F33" s="110">
        <f>表2_3671626293038912131415232425262728383941[[#This Row],[累计净值]]</f>
        <v>1</v>
      </c>
      <c r="G33" s="20">
        <f>IF(表2_3671626293038912131415232425262728383941[[#This Row],[累计净值]]&gt;$B$21,0.7*(表2_3671626293038912131415232425262728383941[[#This Row],[累计净值]]/$B$21-1),表2_3671626293038912131415232425262728383941[[#This Row],[累计净值]]/$B$21-1)</f>
        <v>0</v>
      </c>
    </row>
    <row r="34" spans="1:7">
      <c r="A34" s="15">
        <v>44306</v>
      </c>
      <c r="B34" s="112">
        <v>1.002</v>
      </c>
      <c r="C34" s="108">
        <f>IFERROR(B34-B33,0)</f>
        <v>2.0000000000000018E-3</v>
      </c>
      <c r="D34" s="109" t="str">
        <f>IF(C34&lt;0,C34,"/")</f>
        <v>/</v>
      </c>
      <c r="E34" s="109">
        <f t="shared" ca="1" si="3"/>
        <v>-3.0000000000000027E-3</v>
      </c>
      <c r="F34" s="110">
        <f>表2_3671626293038912131415232425262728383941[[#This Row],[累计净值]]</f>
        <v>1.002</v>
      </c>
      <c r="G34" s="20">
        <f>IF(表2_3671626293038912131415232425262728383941[[#This Row],[累计净值]]&gt;$B$21,0.7*(表2_3671626293038912131415232425262728383941[[#This Row],[累计净值]]/$B$21-1),表2_3671626293038912131415232425262728383941[[#This Row],[累计净值]]/$B$21-1)</f>
        <v>1.4000000000000011E-3</v>
      </c>
    </row>
    <row r="35" spans="1:7">
      <c r="A35" s="15">
        <v>44307</v>
      </c>
      <c r="B35" s="112">
        <v>1.0029999999999999</v>
      </c>
      <c r="C35" s="108">
        <f>IFERROR(B35-B34,0)</f>
        <v>9.9999999999988987E-4</v>
      </c>
      <c r="D35" s="109" t="str">
        <f>IF(C35&lt;0,C35,"/")</f>
        <v>/</v>
      </c>
      <c r="E35" s="109">
        <f t="shared" ca="1" si="3"/>
        <v>-3.0000000000000027E-3</v>
      </c>
      <c r="F35" s="110">
        <f>表2_3671626293038912131415232425262728383941[[#This Row],[累计净值]]</f>
        <v>1.0029999999999999</v>
      </c>
      <c r="G35" s="20">
        <f>IF(表2_3671626293038912131415232425262728383941[[#This Row],[累计净值]]&gt;$B$21,0.7*(表2_3671626293038912131415232425262728383941[[#This Row],[累计净值]]/$B$21-1),表2_3671626293038912131415232425262728383941[[#This Row],[累计净值]]/$B$21-1)</f>
        <v>2.099999999999924E-3</v>
      </c>
    </row>
    <row r="36" spans="1:7">
      <c r="A36" s="15">
        <v>44308</v>
      </c>
      <c r="B36" s="112">
        <v>1.0029999999999999</v>
      </c>
      <c r="C36" s="108">
        <f>IFERROR(B36-B35,0)</f>
        <v>0</v>
      </c>
      <c r="D36" s="109" t="str">
        <f>IF(C36&lt;0,C36,"/")</f>
        <v>/</v>
      </c>
      <c r="E36" s="109">
        <f t="shared" ca="1" si="3"/>
        <v>-3.0000000000000027E-3</v>
      </c>
      <c r="F36" s="110">
        <f>表2_3671626293038912131415232425262728383941[[#This Row],[累计净值]]</f>
        <v>1.0029999999999999</v>
      </c>
      <c r="G36" s="20">
        <f>IF(表2_3671626293038912131415232425262728383941[[#This Row],[累计净值]]&gt;$B$21,0.7*(表2_3671626293038912131415232425262728383941[[#This Row],[累计净值]]/$B$21-1),表2_3671626293038912131415232425262728383941[[#This Row],[累计净值]]/$B$21-1)</f>
        <v>2.099999999999924E-3</v>
      </c>
    </row>
    <row r="37" spans="1:7">
      <c r="A37" s="15">
        <v>44309</v>
      </c>
      <c r="B37" s="112">
        <v>1.0049999999999999</v>
      </c>
      <c r="C37" s="108">
        <f t="shared" ref="C37:C38" si="8">IFERROR(B37-B36,0)</f>
        <v>2.0000000000000018E-3</v>
      </c>
      <c r="D37" s="109" t="str">
        <f t="shared" ref="D37:D38" si="9">IF(C37&lt;0,C37,"/")</f>
        <v>/</v>
      </c>
      <c r="E37" s="109">
        <f t="shared" ca="1" si="3"/>
        <v>-3.0000000000000027E-3</v>
      </c>
      <c r="F37" s="110">
        <f>表2_3671626293038912131415232425262728383941[[#This Row],[累计净值]]</f>
        <v>1.0049999999999999</v>
      </c>
      <c r="G37" s="20">
        <f>IF(表2_3671626293038912131415232425262728383941[[#This Row],[累计净值]]&gt;$B$21,0.7*(表2_3671626293038912131415232425262728383941[[#This Row],[累计净值]]/$B$21-1),表2_3671626293038912131415232425262728383941[[#This Row],[累计净值]]/$B$21-1)</f>
        <v>3.499999999999925E-3</v>
      </c>
    </row>
    <row r="38" spans="1:7">
      <c r="A38" s="15">
        <v>44312</v>
      </c>
      <c r="B38" s="112">
        <v>1.0069999999999999</v>
      </c>
      <c r="C38" s="108">
        <f t="shared" si="8"/>
        <v>2.0000000000000018E-3</v>
      </c>
      <c r="D38" s="109" t="str">
        <f t="shared" si="9"/>
        <v>/</v>
      </c>
      <c r="E38" s="109">
        <f t="shared" ca="1" si="3"/>
        <v>-3.0000000000000027E-3</v>
      </c>
      <c r="F38" s="110">
        <f>表2_3671626293038912131415232425262728383941[[#This Row],[累计净值]]</f>
        <v>1.0069999999999999</v>
      </c>
      <c r="G38" s="20">
        <f>IF(表2_3671626293038912131415232425262728383941[[#This Row],[累计净值]]&gt;$B$21,0.7*(表2_3671626293038912131415232425262728383941[[#This Row],[累计净值]]/$B$21-1),表2_3671626293038912131415232425262728383941[[#This Row],[累计净值]]/$B$21-1)</f>
        <v>4.8999999999999261E-3</v>
      </c>
    </row>
    <row r="39" spans="1:7">
      <c r="A39" s="15">
        <v>44313</v>
      </c>
      <c r="B39" s="112">
        <v>1.0069999999999999</v>
      </c>
      <c r="C39" s="108">
        <f>IFERROR(B39-B38,0)</f>
        <v>0</v>
      </c>
      <c r="D39" s="109" t="str">
        <f>IF(C39&lt;0,C39,"/")</f>
        <v>/</v>
      </c>
      <c r="E39" s="109">
        <f ca="1">IF(表2_367162629303891213141523242526272835[[#This Row],[累计净值]]/MAX(INDIRECT("B21:B" &amp; ROW()))-1&lt;E38,表2_367162629303891213141523242526272835[[#This Row],[累计净值]]/MAX(INDIRECT("B21:B" &amp; ROW()))-1,E38)</f>
        <v>-6.4548162859979774E-3</v>
      </c>
      <c r="F39" s="110">
        <f>表2_3671626293038912131415232425262728383941[[#This Row],[累计净值]]</f>
        <v>1.0069999999999999</v>
      </c>
      <c r="G39" s="20">
        <f>IF(表2_3671626293038912131415232425262728383941[[#This Row],[累计净值]]&gt;$B$21,0.7*(表2_3671626293038912131415232425262728383941[[#This Row],[累计净值]]/$B$21-1),表2_3671626293038912131415232425262728383941[[#This Row],[累计净值]]/$B$21-1)</f>
        <v>4.8999999999999261E-3</v>
      </c>
    </row>
    <row r="40" spans="1:7">
      <c r="A40" s="15">
        <v>44314</v>
      </c>
      <c r="B40" s="112">
        <v>0.998</v>
      </c>
      <c r="C40" s="108">
        <f>IFERROR(B40-B39,0)</f>
        <v>-8.999999999999897E-3</v>
      </c>
      <c r="D40" s="109">
        <f>IF(C40&lt;0,C40,"/")</f>
        <v>-8.999999999999897E-3</v>
      </c>
      <c r="E40" s="109">
        <f ca="1">IF(表2_367162629303891213141523242526272835[[#This Row],[累计净值]]/MAX(INDIRECT("B21:B" &amp; ROW()))-1&lt;E39,表2_367162629303891213141523242526272835[[#This Row],[累计净值]]/MAX(INDIRECT("B21:B" &amp; ROW()))-1,E39)</f>
        <v>-6.4548162859979774E-3</v>
      </c>
      <c r="F40" s="110">
        <f>表2_3671626293038912131415232425262728383941[[#This Row],[累计净值]]</f>
        <v>0.998</v>
      </c>
      <c r="G40" s="20">
        <f>IF(表2_3671626293038912131415232425262728383941[[#This Row],[累计净值]]&gt;$B$21,0.7*(表2_3671626293038912131415232425262728383941[[#This Row],[累计净值]]/$B$21-1),表2_3671626293038912131415232425262728383941[[#This Row],[累计净值]]/$B$21-1)</f>
        <v>-2.0000000000000018E-3</v>
      </c>
    </row>
    <row r="41" spans="1:7">
      <c r="A41" s="15">
        <v>44315</v>
      </c>
      <c r="B41" s="112">
        <v>1.0009999999999999</v>
      </c>
      <c r="C41" s="108">
        <f t="shared" ref="C41:C42" si="10">IFERROR(B41-B40,0)</f>
        <v>2.9999999999998916E-3</v>
      </c>
      <c r="D41" s="109" t="str">
        <f t="shared" ref="D41:D42" si="11">IF(C41&lt;0,C41,"/")</f>
        <v>/</v>
      </c>
      <c r="E41" s="109">
        <f ca="1">IF(表2_367162629303891213141523242526272835[[#This Row],[累计净值]]/MAX(INDIRECT("B21:B" &amp; ROW()))-1&lt;E40,表2_367162629303891213141523242526272835[[#This Row],[累计净值]]/MAX(INDIRECT("B21:B" &amp; ROW()))-1,E40)</f>
        <v>-6.4548162859979774E-3</v>
      </c>
      <c r="F41" s="110">
        <f>表2_3671626293038912131415232425262728383941[[#This Row],[累计净值]]</f>
        <v>1.0009999999999999</v>
      </c>
      <c r="G41" s="20">
        <f>IF(表2_3671626293038912131415232425262728383941[[#This Row],[累计净值]]&gt;$B$21,0.7*(表2_3671626293038912131415232425262728383941[[#This Row],[累计净值]]/$B$21-1),表2_3671626293038912131415232425262728383941[[#This Row],[累计净值]]/$B$21-1)</f>
        <v>6.9999999999992291E-4</v>
      </c>
    </row>
    <row r="42" spans="1:7">
      <c r="A42" s="15">
        <v>44316</v>
      </c>
      <c r="B42" s="112">
        <v>1.004</v>
      </c>
      <c r="C42" s="108">
        <f t="shared" si="10"/>
        <v>3.0000000000001137E-3</v>
      </c>
      <c r="D42" s="109" t="str">
        <f t="shared" si="11"/>
        <v>/</v>
      </c>
      <c r="E42" s="109">
        <f ca="1">IF(表2_367162629303891213141523242526272835[[#This Row],[累计净值]]/MAX(INDIRECT("B21:B" &amp; ROW()))-1&lt;E41,表2_367162629303891213141523242526272835[[#This Row],[累计净值]]/MAX(INDIRECT("B21:B" &amp; ROW()))-1,E41)</f>
        <v>-6.4548162859979774E-3</v>
      </c>
      <c r="F42" s="110">
        <f>表2_3671626293038912131415232425262728383941[[#This Row],[累计净值]]</f>
        <v>1.004</v>
      </c>
      <c r="G42" s="20">
        <f>IF(表2_3671626293038912131415232425262728383941[[#This Row],[累计净值]]&gt;$B$21,0.7*(表2_3671626293038912131415232425262728383941[[#This Row],[累计净值]]/$B$21-1),表2_3671626293038912131415232425262728383941[[#This Row],[累计净值]]/$B$21-1)</f>
        <v>2.8000000000000021E-3</v>
      </c>
    </row>
    <row r="43" spans="1:7">
      <c r="A43" s="15">
        <v>44322</v>
      </c>
      <c r="B43" s="112">
        <v>1.0209999999999999</v>
      </c>
      <c r="C43" s="108">
        <f t="shared" ref="C43:C48" si="12">IFERROR(B43-B42,0)</f>
        <v>1.6999999999999904E-2</v>
      </c>
      <c r="D43" s="109" t="str">
        <f t="shared" ref="D43:D48" si="13">IF(C43&lt;0,C43,"/")</f>
        <v>/</v>
      </c>
      <c r="E43" s="109">
        <f ca="1">IF(表2_367162629303891213141523242526272835[[#This Row],[累计净值]]/MAX(INDIRECT("B21:B" &amp; ROW()))-1&lt;E42,表2_367162629303891213141523242526272835[[#This Row],[累计净值]]/MAX(INDIRECT("B21:B" &amp; ROW()))-1,E42)</f>
        <v>-6.4548162859979774E-3</v>
      </c>
      <c r="F43" s="110">
        <f>表2_3671626293038912131415232425262728383941[[#This Row],[累计净值]]</f>
        <v>1.0209999999999999</v>
      </c>
      <c r="G43" s="20">
        <f>IF(表2_3671626293038912131415232425262728383941[[#This Row],[累计净值]]&gt;$B$21,0.7*(表2_3671626293038912131415232425262728383941[[#This Row],[累计净值]]/$B$21-1),表2_3671626293038912131415232425262728383941[[#This Row],[累计净值]]/$B$21-1)</f>
        <v>1.4699999999999934E-2</v>
      </c>
    </row>
    <row r="44" spans="1:7">
      <c r="A44" s="15">
        <v>44323</v>
      </c>
      <c r="B44" s="112">
        <v>1.02</v>
      </c>
      <c r="C44" s="108">
        <f t="shared" si="12"/>
        <v>-9.9999999999988987E-4</v>
      </c>
      <c r="D44" s="109">
        <f t="shared" si="13"/>
        <v>-9.9999999999988987E-4</v>
      </c>
      <c r="E44" s="109">
        <f ca="1">IF(表2_367162629303891213141523242526272835[[#This Row],[累计净值]]/MAX(INDIRECT("B21:B" &amp; ROW()))-1&lt;E43,表2_367162629303891213141523242526272835[[#This Row],[累计净值]]/MAX(INDIRECT("B21:B" &amp; ROW()))-1,E43)</f>
        <v>-6.4548162859979774E-3</v>
      </c>
      <c r="F44" s="110">
        <f>表2_3671626293038912131415232425262728383941[[#This Row],[累计净值]]</f>
        <v>1.02</v>
      </c>
      <c r="G44" s="20">
        <f>IF(表2_3671626293038912131415232425262728383941[[#This Row],[累计净值]]&gt;$B$21,0.7*(表2_3671626293038912131415232425262728383941[[#This Row],[累计净值]]/$B$21-1),表2_3671626293038912131415232425262728383941[[#This Row],[累计净值]]/$B$21-1)</f>
        <v>1.4000000000000011E-2</v>
      </c>
    </row>
    <row r="45" spans="1:7">
      <c r="A45" s="15">
        <v>44326</v>
      </c>
      <c r="B45" s="112">
        <v>1.022</v>
      </c>
      <c r="C45" s="108">
        <f t="shared" si="12"/>
        <v>2.0000000000000018E-3</v>
      </c>
      <c r="D45" s="109" t="str">
        <f t="shared" si="13"/>
        <v>/</v>
      </c>
      <c r="E45" s="109">
        <f ca="1">IF(表2_367162629303891213141523242526272835[[#This Row],[累计净值]]/MAX(INDIRECT("B21:B" &amp; ROW()))-1&lt;E44,表2_367162629303891213141523242526272835[[#This Row],[累计净值]]/MAX(INDIRECT("B21:B" &amp; ROW()))-1,E44)</f>
        <v>-6.4548162859979774E-3</v>
      </c>
      <c r="F45" s="110">
        <f>表2_3671626293038912131415232425262728383941[[#This Row],[累计净值]]</f>
        <v>1.022</v>
      </c>
      <c r="G45" s="20">
        <f>IF(表2_3671626293038912131415232425262728383941[[#This Row],[累计净值]]&gt;$B$21,0.7*(表2_3671626293038912131415232425262728383941[[#This Row],[累计净值]]/$B$21-1),表2_3671626293038912131415232425262728383941[[#This Row],[累计净值]]/$B$21-1)</f>
        <v>1.5400000000000013E-2</v>
      </c>
    </row>
    <row r="46" spans="1:7">
      <c r="A46" s="15">
        <v>44327</v>
      </c>
      <c r="B46" s="112">
        <v>1.024</v>
      </c>
      <c r="C46" s="108">
        <f t="shared" si="12"/>
        <v>2.0000000000000018E-3</v>
      </c>
      <c r="D46" s="109" t="str">
        <f t="shared" si="13"/>
        <v>/</v>
      </c>
      <c r="E46" s="109">
        <f ca="1">IF(表2_367162629303891213141523242526272835[[#This Row],[累计净值]]/MAX(INDIRECT("B21:B" &amp; ROW()))-1&lt;E45,表2_367162629303891213141523242526272835[[#This Row],[累计净值]]/MAX(INDIRECT("B21:B" &amp; ROW()))-1,E45)</f>
        <v>-6.4548162859979774E-3</v>
      </c>
      <c r="F46" s="110">
        <f>表2_3671626293038912131415232425262728383941[[#This Row],[累计净值]]</f>
        <v>1.024</v>
      </c>
      <c r="G46" s="20">
        <f>IF(表2_3671626293038912131415232425262728383941[[#This Row],[累计净值]]&gt;$B$21,0.7*(表2_3671626293038912131415232425262728383941[[#This Row],[累计净值]]/$B$21-1),表2_3671626293038912131415232425262728383941[[#This Row],[累计净值]]/$B$21-1)</f>
        <v>1.6800000000000013E-2</v>
      </c>
    </row>
    <row r="47" spans="1:7">
      <c r="A47" s="15">
        <v>44328</v>
      </c>
      <c r="B47" s="112">
        <v>1.028</v>
      </c>
      <c r="C47" s="108">
        <f t="shared" si="12"/>
        <v>4.0000000000000036E-3</v>
      </c>
      <c r="D47" s="109" t="str">
        <f t="shared" si="13"/>
        <v>/</v>
      </c>
      <c r="E47" s="109">
        <f ca="1">IF(表2_367162629303891213141523242526272835[[#This Row],[累计净值]]/MAX(INDIRECT("B21:B" &amp; ROW()))-1&lt;E46,表2_367162629303891213141523242526272835[[#This Row],[累计净值]]/MAX(INDIRECT("B21:B" &amp; ROW()))-1,E46)</f>
        <v>-6.4548162859979774E-3</v>
      </c>
      <c r="F47" s="110">
        <f>表2_3671626293038912131415232425262728383941[[#This Row],[累计净值]]</f>
        <v>1.028</v>
      </c>
      <c r="G47" s="20">
        <f>IF(表2_3671626293038912131415232425262728383941[[#This Row],[累计净值]]&gt;$B$21,0.7*(表2_3671626293038912131415232425262728383941[[#This Row],[累计净值]]/$B$21-1),表2_3671626293038912131415232425262728383941[[#This Row],[累计净值]]/$B$21-1)</f>
        <v>1.9600000000000017E-2</v>
      </c>
    </row>
    <row r="48" spans="1:7">
      <c r="A48" s="15">
        <v>44329</v>
      </c>
      <c r="B48" s="112">
        <v>1.03</v>
      </c>
      <c r="C48" s="108">
        <f t="shared" si="12"/>
        <v>2.0000000000000018E-3</v>
      </c>
      <c r="D48" s="109" t="str">
        <f t="shared" si="13"/>
        <v>/</v>
      </c>
      <c r="E48" s="109">
        <f ca="1">IF(表2_367162629303891213141523242526272835[[#This Row],[累计净值]]/MAX(INDIRECT("B21:B" &amp; ROW()))-1&lt;E47,表2_367162629303891213141523242526272835[[#This Row],[累计净值]]/MAX(INDIRECT("B21:B" &amp; ROW()))-1,E47)</f>
        <v>-6.4548162859979774E-3</v>
      </c>
      <c r="F48" s="110">
        <f>表2_3671626293038912131415232425262728383941[[#This Row],[累计净值]]</f>
        <v>1.03</v>
      </c>
      <c r="G48" s="20">
        <f>IF(表2_3671626293038912131415232425262728383941[[#This Row],[累计净值]]&gt;$B$21,0.7*(表2_3671626293038912131415232425262728383941[[#This Row],[累计净值]]/$B$21-1),表2_3671626293038912131415232425262728383941[[#This Row],[累计净值]]/$B$21-1)</f>
        <v>2.1000000000000019E-2</v>
      </c>
    </row>
    <row r="49" spans="1:7">
      <c r="A49" s="15">
        <v>44330</v>
      </c>
      <c r="B49" s="112">
        <v>1.028</v>
      </c>
      <c r="C49" s="108">
        <f>IFERROR(B49-B48,0)</f>
        <v>-2.0000000000000018E-3</v>
      </c>
      <c r="D49" s="109">
        <f>IF(C49&lt;0,C49,"/")</f>
        <v>-2.0000000000000018E-3</v>
      </c>
      <c r="E49" s="109">
        <f ca="1">IF(表2_367162629303891213141523242526272835[[#This Row],[累计净值]]/MAX(INDIRECT("B21:B" &amp; ROW()))-1&lt;E48,表2_367162629303891213141523242526272835[[#This Row],[累计净值]]/MAX(INDIRECT("B21:B" &amp; ROW()))-1,E48)</f>
        <v>-6.4548162859979774E-3</v>
      </c>
      <c r="F49" s="110">
        <f>表2_3671626293038912131415232425262728383941[[#This Row],[累计净值]]</f>
        <v>1.028</v>
      </c>
      <c r="G49" s="20">
        <f>IF(表2_3671626293038912131415232425262728383941[[#This Row],[累计净值]]&gt;$B$21,0.7*(表2_3671626293038912131415232425262728383941[[#This Row],[累计净值]]/$B$21-1),表2_3671626293038912131415232425262728383941[[#This Row],[累计净值]]/$B$21-1)</f>
        <v>1.9600000000000017E-2</v>
      </c>
    </row>
    <row r="50" spans="1:7">
      <c r="A50" s="15">
        <v>44333</v>
      </c>
      <c r="B50" s="112">
        <v>1.03</v>
      </c>
      <c r="C50" s="108">
        <f>IFERROR(B50-B49,0)</f>
        <v>2.0000000000000018E-3</v>
      </c>
      <c r="D50" s="109" t="str">
        <f>IF(C50&lt;0,C50,"/")</f>
        <v>/</v>
      </c>
      <c r="E50" s="109">
        <f ca="1">IF(表2_367162629303891213141523242526272835[[#This Row],[累计净值]]/MAX(INDIRECT("B21:B" &amp; ROW()))-1&lt;E49,表2_367162629303891213141523242526272835[[#This Row],[累计净值]]/MAX(INDIRECT("B21:B" &amp; ROW()))-1,E49)</f>
        <v>-6.4548162859979774E-3</v>
      </c>
      <c r="F50" s="110">
        <f>表2_3671626293038912131415232425262728383941[[#This Row],[累计净值]]</f>
        <v>1.03</v>
      </c>
      <c r="G50" s="20">
        <f>IF(表2_3671626293038912131415232425262728383941[[#This Row],[累计净值]]&gt;$B$21,0.7*(表2_3671626293038912131415232425262728383941[[#This Row],[累计净值]]/$B$21-1),表2_3671626293038912131415232425262728383941[[#This Row],[累计净值]]/$B$21-1)</f>
        <v>2.1000000000000019E-2</v>
      </c>
    </row>
  </sheetData>
  <mergeCells count="1">
    <mergeCell ref="G2:G3"/>
  </mergeCells>
  <phoneticPr fontId="24" type="noConversion"/>
  <pageMargins left="0.7" right="0.7" top="0.75" bottom="0.75" header="0.3" footer="0.3"/>
  <pageSetup paperSize="9" orientation="portrait" horizontalDpi="4294967295" verticalDpi="4294967295"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34"/>
  <sheetViews>
    <sheetView topLeftCell="A7" workbookViewId="0">
      <selection activeCell="I34" sqref="I34"/>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COUNT(表2_3671626293038912131415232425262728383941434446[每日盈亏])</f>
        <v>14</v>
      </c>
      <c r="C2" s="27"/>
      <c r="D2" s="3" t="s">
        <v>1</v>
      </c>
      <c r="E2" s="28"/>
      <c r="F2" s="1" t="s">
        <v>2</v>
      </c>
      <c r="G2" s="400" t="s">
        <v>3</v>
      </c>
    </row>
    <row r="3" spans="1:7">
      <c r="A3" s="25" t="s">
        <v>4</v>
      </c>
      <c r="B3" s="26">
        <f>COUNTIF(表2_3671626293038912131415232425262728383941434446[每日盈亏],"&gt;0")</f>
        <v>6</v>
      </c>
      <c r="C3" s="29"/>
      <c r="D3" s="30" t="s">
        <v>5</v>
      </c>
      <c r="E3" s="31">
        <f>245^0.5*(B10-0.025/365)/E10</f>
        <v>1.1692411375229539</v>
      </c>
      <c r="G3" s="400"/>
    </row>
    <row r="4" spans="1:7">
      <c r="A4" s="25" t="s">
        <v>6</v>
      </c>
      <c r="B4" s="26">
        <f>COUNTIF(表2_3671626293038912131415232425262728383941434446[每日盈亏],"&lt;0")</f>
        <v>7</v>
      </c>
      <c r="C4" s="29"/>
      <c r="D4" s="32" t="s">
        <v>7</v>
      </c>
      <c r="E4" s="31">
        <f ca="1">-B9/E8</f>
        <v>19.078278549644217</v>
      </c>
      <c r="G4" s="2">
        <f>LOOKUP(999^10,表2_3671626293038912131415232425262728383941434446[累计净值])</f>
        <v>0.90329999999999999</v>
      </c>
    </row>
    <row r="5" spans="1:7">
      <c r="A5" s="25" t="s">
        <v>8</v>
      </c>
      <c r="B5" s="26">
        <f>B2-B3-B4</f>
        <v>1</v>
      </c>
      <c r="C5" s="29"/>
      <c r="D5" s="33" t="s">
        <v>9</v>
      </c>
      <c r="E5" s="4">
        <f>245^0.5*(B10-0.025/365)/E9</f>
        <v>1.8924451742815429</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LOOKUP(999^10,表2_3671626293038912131415232425262728383941434446[累计净值])/$B$21-1</f>
        <v>2.0332090816672421E-2</v>
      </c>
      <c r="C8" s="40"/>
      <c r="D8" s="30" t="s">
        <v>13</v>
      </c>
      <c r="E8" s="41">
        <f ca="1">MIN(表2_3671626293038912131415232425262728383941434446[最大回撤])</f>
        <v>-1.8650088809946785E-2</v>
      </c>
    </row>
    <row r="9" spans="1:7">
      <c r="A9" s="25" t="s">
        <v>14</v>
      </c>
      <c r="B9" s="32">
        <f>B8*245/B2</f>
        <v>0.35581158929176737</v>
      </c>
      <c r="C9" s="40"/>
      <c r="D9" s="33" t="s">
        <v>15</v>
      </c>
      <c r="E9" s="6">
        <f>STDEV(表2_3671626293038912131415232425262728383941434446[下跌幅度])</f>
        <v>1.0067675761470246E-2</v>
      </c>
    </row>
    <row r="10" spans="1:7">
      <c r="A10" s="42" t="s">
        <v>16</v>
      </c>
      <c r="B10" s="43">
        <f>AVERAGE(表2_3671626293038912131415232425262728383941434446[每日盈亏])</f>
        <v>1.2857142857142869E-3</v>
      </c>
      <c r="C10" s="44"/>
      <c r="D10" s="33" t="s">
        <v>17</v>
      </c>
      <c r="E10" s="6">
        <f>STDEV(表2_3671626293038912131415232425262728383941434446[每日盈亏])</f>
        <v>1.6294777697771171E-2</v>
      </c>
    </row>
    <row r="11" spans="1:7">
      <c r="A11" s="7" t="s">
        <v>18</v>
      </c>
      <c r="B11" s="32">
        <f>B3/B2</f>
        <v>0.42857142857142855</v>
      </c>
      <c r="C11" s="40"/>
      <c r="D11" s="32" t="s">
        <v>19</v>
      </c>
      <c r="E11" s="41">
        <f>245^0.5*E10</f>
        <v>0.25505361427324702</v>
      </c>
    </row>
    <row r="12" spans="1:7" ht="16" thickBot="1">
      <c r="A12" s="45" t="s">
        <v>20</v>
      </c>
      <c r="B12" s="46">
        <f>-(SUMIF(表2_3671626293038912131415232425262728383941434446[每日盈亏],"&gt;=0")/B3)/(SUMIF(表2_3671626293038912131415232425262728383941434446[每日盈亏],"&lt;0")/B4)</f>
        <v>1.4466666666666668</v>
      </c>
      <c r="C12" s="47"/>
      <c r="D12" s="48"/>
      <c r="E12" s="49"/>
    </row>
    <row r="14" spans="1:7" ht="32">
      <c r="A14" s="50" t="s">
        <v>21</v>
      </c>
      <c r="B14" s="50" t="s">
        <v>14</v>
      </c>
      <c r="C14" s="51" t="s">
        <v>19</v>
      </c>
      <c r="D14" s="51" t="s">
        <v>13</v>
      </c>
      <c r="E14" s="51" t="s">
        <v>5</v>
      </c>
      <c r="F14" s="51" t="s">
        <v>7</v>
      </c>
    </row>
    <row r="15" spans="1:7">
      <c r="A15" s="78">
        <f>B2</f>
        <v>14</v>
      </c>
      <c r="B15" s="53">
        <f>B9</f>
        <v>0.35581158929176737</v>
      </c>
      <c r="C15" s="53">
        <f>E11</f>
        <v>0.25505361427324702</v>
      </c>
      <c r="D15" s="53">
        <f ca="1">E8</f>
        <v>-1.8650088809946785E-2</v>
      </c>
      <c r="E15" s="54">
        <f>E3</f>
        <v>1.1692411375229539</v>
      </c>
      <c r="F15" s="54">
        <f ca="1">E4</f>
        <v>19.078278549644217</v>
      </c>
    </row>
    <row r="19" spans="1:7">
      <c r="A19" s="8"/>
      <c r="B19" s="1" t="s">
        <v>22</v>
      </c>
    </row>
    <row r="20" spans="1:7" ht="16">
      <c r="A20" s="22" t="s">
        <v>23</v>
      </c>
      <c r="B20" s="22" t="s">
        <v>24</v>
      </c>
      <c r="C20" s="22" t="s">
        <v>25</v>
      </c>
      <c r="D20" s="22" t="s">
        <v>26</v>
      </c>
      <c r="E20" s="22" t="s">
        <v>27</v>
      </c>
      <c r="F20" s="22" t="s">
        <v>28</v>
      </c>
      <c r="G20" s="22" t="s">
        <v>29</v>
      </c>
    </row>
    <row r="21" spans="1:7">
      <c r="A21" s="15">
        <v>44309</v>
      </c>
      <c r="B21" s="16">
        <v>0.88529999999999998</v>
      </c>
      <c r="C21" s="11">
        <f t="shared" ref="C21" si="0">IFERROR(B21-B20,0)</f>
        <v>0</v>
      </c>
      <c r="D21" s="12" t="str">
        <f>IF(C21&lt;0,C21,"/")</f>
        <v>/</v>
      </c>
      <c r="E21" s="12">
        <v>0</v>
      </c>
      <c r="F21" s="13">
        <f>表2_3671626293038912131415232425262728383941434446[[#This Row],[累计净值]]</f>
        <v>0.88529999999999998</v>
      </c>
      <c r="G21" s="194" t="s">
        <v>30</v>
      </c>
    </row>
    <row r="22" spans="1:7">
      <c r="A22" s="15">
        <v>44312</v>
      </c>
      <c r="B22" s="112">
        <v>0.89090000000000003</v>
      </c>
      <c r="C22" s="108">
        <f>IFERROR(B22-B21,0)</f>
        <v>5.6000000000000494E-3</v>
      </c>
      <c r="D22" s="109" t="str">
        <f t="shared" ref="D22:D24" si="1">IF(C22&lt;0,C22,"/")</f>
        <v>/</v>
      </c>
      <c r="E22" s="109">
        <f ca="1">IF(B22/MAX(INDIRECT("B21:B" &amp; ROW()))-1&lt;E21,B22/MAX(INDIRECT("B21:B" &amp; ROW()))-1,E21)</f>
        <v>0</v>
      </c>
      <c r="F22" s="110">
        <f>表2_3671626293038912131415232425262728383941434446[[#This Row],[累计净值]]</f>
        <v>0.89090000000000003</v>
      </c>
      <c r="G22" s="20">
        <f>IF(表2_3671626293038912131415232425262728383941434446[[#This Row],[累计净值]]&gt;$B$21,0.7*(表2_3671626293038912131415232425262728383941434446[[#This Row],[累计净值]]/$B$21-1),表2_3671626293038912131415232425262728383941434446[[#This Row],[累计净值]]/$B$21-1)</f>
        <v>4.4278775556309651E-3</v>
      </c>
    </row>
    <row r="23" spans="1:7">
      <c r="A23" s="15">
        <v>44313</v>
      </c>
      <c r="B23" s="112">
        <v>0.90080000000000005</v>
      </c>
      <c r="C23" s="108">
        <f t="shared" ref="C23:C24" si="2">IFERROR(B23-B22,0)</f>
        <v>9.9000000000000199E-3</v>
      </c>
      <c r="D23" s="109" t="str">
        <f t="shared" si="1"/>
        <v>/</v>
      </c>
      <c r="E23" s="109">
        <f t="shared" ref="E23:E24" ca="1" si="3">IF(B23/MAX(INDIRECT("B21:B" &amp; ROW()))-1&lt;E22,B23/MAX(INDIRECT("B21:B" &amp; ROW()))-1,E22)</f>
        <v>0</v>
      </c>
      <c r="F23" s="110">
        <f>表2_3671626293038912131415232425262728383941434446[[#This Row],[累计净值]]</f>
        <v>0.90080000000000005</v>
      </c>
      <c r="G23" s="20">
        <f>IF(表2_3671626293038912131415232425262728383941434446[[#This Row],[累计净值]]&gt;$B$21,0.7*(表2_3671626293038912131415232425262728383941434446[[#This Row],[累计净值]]/$B$21-1),表2_3671626293038912131415232425262728383941434446[[#This Row],[累计净值]]/$B$21-1)</f>
        <v>1.22557325200497E-2</v>
      </c>
    </row>
    <row r="24" spans="1:7">
      <c r="A24" s="15">
        <v>44314</v>
      </c>
      <c r="B24" s="112">
        <v>0.88400000000000001</v>
      </c>
      <c r="C24" s="108">
        <f t="shared" si="2"/>
        <v>-1.6800000000000037E-2</v>
      </c>
      <c r="D24" s="109">
        <f t="shared" si="1"/>
        <v>-1.6800000000000037E-2</v>
      </c>
      <c r="E24" s="109">
        <f t="shared" ca="1" si="3"/>
        <v>-1.8650088809946785E-2</v>
      </c>
      <c r="F24" s="110">
        <f>表2_3671626293038912131415232425262728383941434446[[#This Row],[累计净值]]</f>
        <v>0.88400000000000001</v>
      </c>
      <c r="G24" s="20">
        <f>IF(表2_3671626293038912131415232425262728383941434446[[#This Row],[累计净值]]&gt;$B$21,0.7*(表2_3671626293038912131415232425262728383941434446[[#This Row],[累计净值]]/$B$21-1),表2_3671626293038912131415232425262728383941434446[[#This Row],[累计净值]]/$B$21-1)</f>
        <v>-1.468428781204123E-3</v>
      </c>
    </row>
    <row r="25" spans="1:7">
      <c r="A25" s="15">
        <v>44315</v>
      </c>
      <c r="B25" s="112">
        <v>0.89019999999999999</v>
      </c>
      <c r="C25" s="108">
        <f>IFERROR(B25-B24,0)</f>
        <v>6.1999999999999833E-3</v>
      </c>
      <c r="D25" s="109" t="str">
        <f>IF(C25&lt;0,C25,"/")</f>
        <v>/</v>
      </c>
      <c r="E25" s="109">
        <f ca="1">IF(表2_367162629303891213141523242526272835[[#This Row],[累计净值]]/MAX(INDIRECT("B21:B" &amp; ROW()))-1&lt;E24,表2_367162629303891213141523242526272835[[#This Row],[累计净值]]/MAX(INDIRECT("B21:B" &amp; ROW()))-1,E24)</f>
        <v>-1.8650088809946785E-2</v>
      </c>
      <c r="F25" s="110">
        <f>表2_3671626293038912131415232425262728383941434446[[#This Row],[累计净值]]</f>
        <v>0.89019999999999999</v>
      </c>
      <c r="G25" s="20">
        <f>IF(表2_3671626293038912131415232425262728383941434446[[#This Row],[累计净值]]&gt;$B$21,0.7*(表2_3671626293038912131415232425262728383941434446[[#This Row],[累计净值]]/$B$21-1),表2_3671626293038912131415232425262728383941434446[[#This Row],[累计净值]]/$B$21-1)</f>
        <v>3.8743928611770558E-3</v>
      </c>
    </row>
    <row r="26" spans="1:7">
      <c r="A26" s="15">
        <v>44316</v>
      </c>
      <c r="B26" s="112">
        <v>0.88429999999999997</v>
      </c>
      <c r="C26" s="108">
        <f t="shared" ref="C26:C27" si="4">IFERROR(B26-B25,0)</f>
        <v>-5.9000000000000163E-3</v>
      </c>
      <c r="D26" s="109">
        <f t="shared" ref="D26:D27" si="5">IF(C26&lt;0,C26,"/")</f>
        <v>-5.9000000000000163E-3</v>
      </c>
      <c r="E26" s="109">
        <f ca="1">IF(表2_367162629303891213141523242526272835[[#This Row],[累计净值]]/MAX(INDIRECT("B21:B" &amp; ROW()))-1&lt;E25,表2_367162629303891213141523242526272835[[#This Row],[累计净值]]/MAX(INDIRECT("B21:B" &amp; ROW()))-1,E25)</f>
        <v>-1.8650088809946785E-2</v>
      </c>
      <c r="F26" s="110">
        <f>表2_3671626293038912131415232425262728383941434446[[#This Row],[累计净值]]</f>
        <v>0.88429999999999997</v>
      </c>
      <c r="G26" s="20">
        <f>IF(表2_3671626293038912131415232425262728383941434446[[#This Row],[累计净值]]&gt;$B$21,0.7*(表2_3671626293038912131415232425262728383941434446[[#This Row],[累计净值]]/$B$21-1),表2_3671626293038912131415232425262728383941434446[[#This Row],[累计净值]]/$B$21-1)</f>
        <v>-1.1295606009262826E-3</v>
      </c>
    </row>
    <row r="27" spans="1:7">
      <c r="A27" s="15">
        <v>44322</v>
      </c>
      <c r="B27" s="112">
        <v>0.89649999999999996</v>
      </c>
      <c r="C27" s="108">
        <f t="shared" si="4"/>
        <v>1.2199999999999989E-2</v>
      </c>
      <c r="D27" s="109" t="str">
        <f t="shared" si="5"/>
        <v>/</v>
      </c>
      <c r="E27" s="109">
        <f ca="1">IF(表2_367162629303891213141523242526272835[[#This Row],[累计净值]]/MAX(INDIRECT("B21:B" &amp; ROW()))-1&lt;E26,表2_367162629303891213141523242526272835[[#This Row],[累计净值]]/MAX(INDIRECT("B21:B" &amp; ROW()))-1,E26)</f>
        <v>-1.8650088809946785E-2</v>
      </c>
      <c r="F27" s="110">
        <f>表2_3671626293038912131415232425262728383941434446[[#This Row],[累计净值]]</f>
        <v>0.89649999999999996</v>
      </c>
      <c r="G27" s="20">
        <f>IF(表2_3671626293038912131415232425262728383941434446[[#This Row],[累计净值]]&gt;$B$21,0.7*(表2_3671626293038912131415232425262728383941434446[[#This Row],[累计净值]]/$B$21-1),表2_3671626293038912131415232425262728383941434446[[#This Row],[累计净值]]/$B$21-1)</f>
        <v>8.8557551112617757E-3</v>
      </c>
    </row>
    <row r="28" spans="1:7">
      <c r="A28" s="15">
        <v>44323</v>
      </c>
      <c r="B28" s="112">
        <v>0.89290000000000003</v>
      </c>
      <c r="C28" s="108">
        <f t="shared" ref="C28:C33" si="6">IFERROR(B28-B27,0)</f>
        <v>-3.5999999999999366E-3</v>
      </c>
      <c r="D28" s="109">
        <f t="shared" ref="D28:D33" si="7">IF(C28&lt;0,C28,"/")</f>
        <v>-3.5999999999999366E-3</v>
      </c>
      <c r="E28" s="109">
        <f ca="1">IF(表2_367162629303891213141523242526272835[[#This Row],[累计净值]]/MAX(INDIRECT("B21:B" &amp; ROW()))-1&lt;E27,表2_367162629303891213141523242526272835[[#This Row],[累计净值]]/MAX(INDIRECT("B21:B" &amp; ROW()))-1,E27)</f>
        <v>-1.8650088809946785E-2</v>
      </c>
      <c r="F28" s="110">
        <f>表2_3671626293038912131415232425262728383941434446[[#This Row],[累计净值]]</f>
        <v>0.89290000000000003</v>
      </c>
      <c r="G28" s="20">
        <f>IF(表2_3671626293038912131415232425262728383941434446[[#This Row],[累计净值]]&gt;$B$21,0.7*(表2_3671626293038912131415232425262728383941434446[[#This Row],[累计净值]]/$B$21-1),表2_3671626293038912131415232425262728383941434446[[#This Row],[累计净值]]/$B$21-1)</f>
        <v>6.0092623969276058E-3</v>
      </c>
    </row>
    <row r="29" spans="1:7">
      <c r="A29" s="15">
        <v>44326</v>
      </c>
      <c r="B29" s="112">
        <v>0.92220000000000002</v>
      </c>
      <c r="C29" s="108">
        <f t="shared" si="6"/>
        <v>2.9299999999999993E-2</v>
      </c>
      <c r="D29" s="109" t="str">
        <f t="shared" si="7"/>
        <v>/</v>
      </c>
      <c r="E29" s="109">
        <f ca="1">IF(表2_367162629303891213141523242526272835[[#This Row],[累计净值]]/MAX(INDIRECT("B21:B" &amp; ROW()))-1&lt;E28,表2_367162629303891213141523242526272835[[#This Row],[累计净值]]/MAX(INDIRECT("B21:B" &amp; ROW()))-1,E28)</f>
        <v>-1.8650088809946785E-2</v>
      </c>
      <c r="F29" s="110">
        <f>表2_3671626293038912131415232425262728383941434446[[#This Row],[累计净值]]</f>
        <v>0.92220000000000002</v>
      </c>
      <c r="G29" s="20">
        <f>IF(表2_3671626293038912131415232425262728383941434446[[#This Row],[累计净值]]&gt;$B$21,0.7*(表2_3671626293038912131415232425262728383941434446[[#This Row],[累计净值]]/$B$21-1),表2_3671626293038912131415232425262728383941434446[[#This Row],[累计净值]]/$B$21-1)</f>
        <v>2.9176550321924854E-2</v>
      </c>
    </row>
    <row r="30" spans="1:7">
      <c r="A30" s="15">
        <v>44327</v>
      </c>
      <c r="B30" s="112">
        <v>0.91369999999999996</v>
      </c>
      <c r="C30" s="108">
        <f t="shared" si="6"/>
        <v>-8.5000000000000631E-3</v>
      </c>
      <c r="D30" s="109">
        <f t="shared" si="7"/>
        <v>-8.5000000000000631E-3</v>
      </c>
      <c r="E30" s="109">
        <f ca="1">IF(表2_367162629303891213141523242526272835[[#This Row],[累计净值]]/MAX(INDIRECT("B21:B" &amp; ROW()))-1&lt;E29,表2_367162629303891213141523242526272835[[#This Row],[累计净值]]/MAX(INDIRECT("B21:B" &amp; ROW()))-1,E29)</f>
        <v>-1.8650088809946785E-2</v>
      </c>
      <c r="F30" s="110">
        <f>表2_3671626293038912131415232425262728383941434446[[#This Row],[累计净值]]</f>
        <v>0.91369999999999996</v>
      </c>
      <c r="G30" s="20">
        <f>IF(表2_3671626293038912131415232425262728383941434446[[#This Row],[累计净值]]&gt;$B$21,0.7*(表2_3671626293038912131415232425262728383941434446[[#This Row],[累计净值]]/$B$21-1),表2_3671626293038912131415232425262728383941434446[[#This Row],[累计净值]]/$B$21-1)</f>
        <v>2.2455664746413626E-2</v>
      </c>
    </row>
    <row r="31" spans="1:7">
      <c r="A31" s="15">
        <v>44328</v>
      </c>
      <c r="B31" s="112">
        <v>0.90849999999999997</v>
      </c>
      <c r="C31" s="108">
        <f t="shared" si="6"/>
        <v>-5.1999999999999824E-3</v>
      </c>
      <c r="D31" s="109">
        <f t="shared" si="7"/>
        <v>-5.1999999999999824E-3</v>
      </c>
      <c r="E31" s="109">
        <f ca="1">IF(表2_367162629303891213141523242526272835[[#This Row],[累计净值]]/MAX(INDIRECT("B21:B" &amp; ROW()))-1&lt;E30,表2_367162629303891213141523242526272835[[#This Row],[累计净值]]/MAX(INDIRECT("B21:B" &amp; ROW()))-1,E30)</f>
        <v>-1.8650088809946785E-2</v>
      </c>
      <c r="F31" s="110">
        <f>表2_3671626293038912131415232425262728383941434446[[#This Row],[累计净值]]</f>
        <v>0.90849999999999997</v>
      </c>
      <c r="G31" s="20">
        <f>IF(表2_3671626293038912131415232425262728383941434446[[#This Row],[累计净值]]&gt;$B$21,0.7*(表2_3671626293038912131415232425262728383941434446[[#This Row],[累计净值]]/$B$21-1),表2_3671626293038912131415232425262728383941434446[[#This Row],[累计净值]]/$B$21-1)</f>
        <v>1.8344064159042082E-2</v>
      </c>
    </row>
    <row r="32" spans="1:7">
      <c r="A32" s="15">
        <v>44329</v>
      </c>
      <c r="B32" s="112">
        <v>0.87739999999999996</v>
      </c>
      <c r="C32" s="108">
        <f t="shared" si="6"/>
        <v>-3.1100000000000017E-2</v>
      </c>
      <c r="D32" s="109">
        <f t="shared" si="7"/>
        <v>-3.1100000000000017E-2</v>
      </c>
      <c r="E32" s="109">
        <f ca="1">IF(表2_367162629303891213141523242526272835[[#This Row],[累计净值]]/MAX(INDIRECT("B21:B" &amp; ROW()))-1&lt;E31,表2_367162629303891213141523242526272835[[#This Row],[累计净值]]/MAX(INDIRECT("B21:B" &amp; ROW()))-1,E31)</f>
        <v>-1.8650088809946785E-2</v>
      </c>
      <c r="F32" s="110">
        <f>表2_3671626293038912131415232425262728383941434446[[#This Row],[累计净值]]</f>
        <v>0.87739999999999996</v>
      </c>
      <c r="G32" s="20">
        <f>IF(表2_3671626293038912131415232425262728383941434446[[#This Row],[累计净值]]&gt;$B$21,0.7*(表2_3671626293038912131415232425262728383941434446[[#This Row],[累计净值]]/$B$21-1),表2_3671626293038912131415232425262728383941434446[[#This Row],[累计净值]]/$B$21-1)</f>
        <v>-8.9235287473172775E-3</v>
      </c>
    </row>
    <row r="33" spans="1:7">
      <c r="A33" s="15">
        <v>44330</v>
      </c>
      <c r="B33" s="112">
        <v>0.90720000000000001</v>
      </c>
      <c r="C33" s="108">
        <f t="shared" si="6"/>
        <v>2.9800000000000049E-2</v>
      </c>
      <c r="D33" s="109" t="str">
        <f t="shared" si="7"/>
        <v>/</v>
      </c>
      <c r="E33" s="109">
        <f ca="1">IF(表2_367162629303891213141523242526272835[[#This Row],[累计净值]]/MAX(INDIRECT("B21:B" &amp; ROW()))-1&lt;E32,表2_367162629303891213141523242526272835[[#This Row],[累计净值]]/MAX(INDIRECT("B21:B" &amp; ROW()))-1,E32)</f>
        <v>-1.8650088809946785E-2</v>
      </c>
      <c r="F33" s="110">
        <f>表2_3671626293038912131415232425262728383941434446[[#This Row],[累计净值]]</f>
        <v>0.90720000000000001</v>
      </c>
      <c r="G33" s="20">
        <f>IF(表2_3671626293038912131415232425262728383941434446[[#This Row],[累计净值]]&gt;$B$21,0.7*(表2_3671626293038912131415232425262728383941434446[[#This Row],[累计净值]]/$B$21-1),表2_3671626293038912131415232425262728383941434446[[#This Row],[累计净值]]/$B$21-1)</f>
        <v>1.7316164012199351E-2</v>
      </c>
    </row>
    <row r="34" spans="1:7">
      <c r="A34" s="15">
        <v>44333</v>
      </c>
      <c r="B34" s="112">
        <v>0.90329999999999999</v>
      </c>
      <c r="C34" s="108">
        <f>IFERROR(B34-B33,0)</f>
        <v>-3.9000000000000146E-3</v>
      </c>
      <c r="D34" s="109">
        <f>IF(C34&lt;0,C34,"/")</f>
        <v>-3.9000000000000146E-3</v>
      </c>
      <c r="E34" s="109">
        <f ca="1">IF(表2_367162629303891213141523242526272835[[#This Row],[累计净值]]/MAX(INDIRECT("B21:B" &amp; ROW()))-1&lt;E33,表2_367162629303891213141523242526272835[[#This Row],[累计净值]]/MAX(INDIRECT("B21:B" &amp; ROW()))-1,E33)</f>
        <v>-1.8650088809946785E-2</v>
      </c>
      <c r="F34" s="110">
        <f>表2_3671626293038912131415232425262728383941434446[[#This Row],[累计净值]]</f>
        <v>0.90329999999999999</v>
      </c>
      <c r="G34" s="20">
        <f>IF(表2_3671626293038912131415232425262728383941434446[[#This Row],[累计净值]]&gt;$B$21,0.7*(表2_3671626293038912131415232425262728383941434446[[#This Row],[累计净值]]/$B$21-1),表2_3671626293038912131415232425262728383941434446[[#This Row],[累计净值]]/$B$21-1)</f>
        <v>1.4232463571670694E-2</v>
      </c>
    </row>
  </sheetData>
  <mergeCells count="1">
    <mergeCell ref="G2:G3"/>
  </mergeCells>
  <phoneticPr fontId="24" type="noConversion"/>
  <pageMargins left="0.7" right="0.7" top="0.75" bottom="0.75" header="0.3" footer="0.3"/>
  <pageSetup paperSize="9" orientation="portrait" horizontalDpi="4294967295" verticalDpi="4294967295"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31"/>
  <sheetViews>
    <sheetView workbookViewId="0">
      <selection activeCell="K33" sqref="K3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COUNT(表2_36716262930389121314152324252627283839414344454748[每日盈亏])</f>
        <v>11</v>
      </c>
      <c r="C2" s="27"/>
      <c r="D2" s="3" t="s">
        <v>1</v>
      </c>
      <c r="E2" s="28"/>
      <c r="F2" s="1" t="s">
        <v>2</v>
      </c>
      <c r="G2" s="400" t="s">
        <v>3</v>
      </c>
    </row>
    <row r="3" spans="1:7">
      <c r="A3" s="25" t="s">
        <v>4</v>
      </c>
      <c r="B3" s="26">
        <f>COUNTIF(表2_36716262930389121314152324252627283839414344454748[每日盈亏],"&gt;0")</f>
        <v>4</v>
      </c>
      <c r="C3" s="29"/>
      <c r="D3" s="30" t="s">
        <v>5</v>
      </c>
      <c r="E3" s="31">
        <f>245^0.5*(B10-0.025/365)/E10</f>
        <v>0.30881058095057795</v>
      </c>
      <c r="G3" s="400"/>
    </row>
    <row r="4" spans="1:7">
      <c r="A4" s="25" t="s">
        <v>6</v>
      </c>
      <c r="B4" s="26">
        <f>COUNTIF(表2_36716262930389121314152324252627283839414344454748[每日盈亏],"&lt;0")</f>
        <v>3</v>
      </c>
      <c r="C4" s="29"/>
      <c r="D4" s="32" t="s">
        <v>7</v>
      </c>
      <c r="E4" s="31">
        <f ca="1">-B9/E8</f>
        <v>8.7826211643247137E-2</v>
      </c>
      <c r="G4" s="2">
        <f>LOOKUP(999^10,表2_36716262930389121314152324252627283839414344454748[累计净值])</f>
        <v>1.254</v>
      </c>
    </row>
    <row r="5" spans="1:7">
      <c r="A5" s="25" t="s">
        <v>8</v>
      </c>
      <c r="B5" s="26">
        <f>B2-B3-B4</f>
        <v>4</v>
      </c>
      <c r="C5" s="29"/>
      <c r="D5" s="33" t="s">
        <v>9</v>
      </c>
      <c r="E5" s="4">
        <f>245^0.5*(B10-0.025/365)/E9</f>
        <v>0.60771594224452719</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LOOKUP(999^10,表2_36716262930389121314152324252627283839414344454748[累计净值])/$B$21-1</f>
        <v>7.9808459696728562E-4</v>
      </c>
      <c r="C8" s="40"/>
      <c r="D8" s="30" t="s">
        <v>13</v>
      </c>
      <c r="E8" s="41">
        <f ca="1">MIN(表2_36716262930389121314152324252627283839414344454748[最大回撤])</f>
        <v>-0.20239425379090181</v>
      </c>
    </row>
    <row r="9" spans="1:7">
      <c r="A9" s="25" t="s">
        <v>14</v>
      </c>
      <c r="B9" s="32">
        <f>B8*245/B2</f>
        <v>1.7775520568816816E-2</v>
      </c>
      <c r="C9" s="40"/>
      <c r="D9" s="33" t="s">
        <v>15</v>
      </c>
      <c r="E9" s="6">
        <f>STDEV(表2_36716262930389121314152324252627283839414344454748[下跌幅度])</f>
        <v>5.7735026918962634E-4</v>
      </c>
    </row>
    <row r="10" spans="1:7">
      <c r="A10" s="42" t="s">
        <v>16</v>
      </c>
      <c r="B10" s="43">
        <f>AVERAGE(表2_36716262930389121314152324252627283839414344454748[每日盈亏])</f>
        <v>9.0909090909101082E-5</v>
      </c>
      <c r="C10" s="44"/>
      <c r="D10" s="33" t="s">
        <v>17</v>
      </c>
      <c r="E10" s="6">
        <f>STDEV(表2_36716262930389121314152324252627283839414344454748[每日盈亏])</f>
        <v>1.1361818036340458E-3</v>
      </c>
    </row>
    <row r="11" spans="1:7">
      <c r="A11" s="7" t="s">
        <v>18</v>
      </c>
      <c r="B11" s="32">
        <f>B3/B2</f>
        <v>0.36363636363636365</v>
      </c>
      <c r="C11" s="40"/>
      <c r="D11" s="32" t="s">
        <v>19</v>
      </c>
      <c r="E11" s="41">
        <f>245^0.5*E10</f>
        <v>1.7784058234068308E-2</v>
      </c>
    </row>
    <row r="12" spans="1:7" ht="16" thickBot="1">
      <c r="A12" s="45" t="s">
        <v>20</v>
      </c>
      <c r="B12" s="46">
        <f>-(SUMIF(表2_36716262930389121314152324252627283839414344454748[每日盈亏],"&gt;=0")/B3)/(SUMIF(表2_36716262930389121314152324252627283839414344454748[每日盈亏],"&lt;0")/B4)</f>
        <v>0.93750000000002076</v>
      </c>
      <c r="C12" s="47"/>
      <c r="D12" s="48"/>
      <c r="E12" s="49"/>
    </row>
    <row r="14" spans="1:7" ht="32">
      <c r="A14" s="50" t="s">
        <v>21</v>
      </c>
      <c r="B14" s="50" t="s">
        <v>14</v>
      </c>
      <c r="C14" s="51" t="s">
        <v>19</v>
      </c>
      <c r="D14" s="51" t="s">
        <v>13</v>
      </c>
      <c r="E14" s="51" t="s">
        <v>5</v>
      </c>
      <c r="F14" s="51" t="s">
        <v>7</v>
      </c>
    </row>
    <row r="15" spans="1:7">
      <c r="A15" s="78">
        <f>B2</f>
        <v>11</v>
      </c>
      <c r="B15" s="53">
        <f>B9</f>
        <v>1.7775520568816816E-2</v>
      </c>
      <c r="C15" s="53">
        <f>E11</f>
        <v>1.7784058234068308E-2</v>
      </c>
      <c r="D15" s="53">
        <f ca="1">E8</f>
        <v>-0.20239425379090181</v>
      </c>
      <c r="E15" s="54">
        <f>E3</f>
        <v>0.30881058095057795</v>
      </c>
      <c r="F15" s="54">
        <f ca="1">E4</f>
        <v>8.7826211643247137E-2</v>
      </c>
    </row>
    <row r="19" spans="1:7">
      <c r="A19" s="8"/>
      <c r="B19" s="1" t="s">
        <v>22</v>
      </c>
    </row>
    <row r="20" spans="1:7" ht="16">
      <c r="A20" s="22" t="s">
        <v>23</v>
      </c>
      <c r="B20" s="22" t="s">
        <v>24</v>
      </c>
      <c r="C20" s="22" t="s">
        <v>25</v>
      </c>
      <c r="D20" s="22" t="s">
        <v>26</v>
      </c>
      <c r="E20" s="22" t="s">
        <v>27</v>
      </c>
      <c r="F20" s="22" t="s">
        <v>28</v>
      </c>
      <c r="G20" s="22" t="s">
        <v>29</v>
      </c>
    </row>
    <row r="21" spans="1:7">
      <c r="A21" s="15">
        <v>44313</v>
      </c>
      <c r="B21" s="112">
        <v>1.2529999999999999</v>
      </c>
      <c r="C21" s="11">
        <f t="shared" ref="C21" si="0">IFERROR(B21-B20,0)</f>
        <v>0</v>
      </c>
      <c r="D21" s="12" t="str">
        <f>IF(C21&lt;0,C21,"/")</f>
        <v>/</v>
      </c>
      <c r="E21" s="12">
        <v>0</v>
      </c>
      <c r="F21" s="13">
        <f>表2_36716262930389121314152324252627283839414344454748[[#This Row],[累计净值]]</f>
        <v>1.2529999999999999</v>
      </c>
      <c r="G21" s="194" t="s">
        <v>30</v>
      </c>
    </row>
    <row r="22" spans="1:7">
      <c r="A22" s="15">
        <v>44314</v>
      </c>
      <c r="B22" s="112">
        <v>1.2529999999999999</v>
      </c>
      <c r="C22" s="108">
        <f>IFERROR(B22-B21,0)</f>
        <v>0</v>
      </c>
      <c r="D22" s="109" t="str">
        <f t="shared" ref="D22:D24" si="1">IF(C22&lt;0,C22,"/")</f>
        <v>/</v>
      </c>
      <c r="E22" s="109">
        <f ca="1">IF(B22/MAX(INDIRECT("B21:B" &amp; ROW()))-1&lt;E21,B22/MAX(INDIRECT("B21:B" &amp; ROW()))-1,E21)</f>
        <v>0</v>
      </c>
      <c r="F22" s="110">
        <f>表2_36716262930389121314152324252627283839414344454748[[#This Row],[累计净值]]</f>
        <v>1.2529999999999999</v>
      </c>
      <c r="G22" s="20">
        <f>IF(表2_36716262930389121314152324252627283839414344454748[[#This Row],[累计净值]]&gt;$B$21,0.7*(表2_36716262930389121314152324252627283839414344454748[[#This Row],[累计净值]]/$B$21-1),表2_36716262930389121314152324252627283839414344454748[[#This Row],[累计净值]]/$B$21-1)</f>
        <v>0</v>
      </c>
    </row>
    <row r="23" spans="1:7">
      <c r="A23" s="15">
        <v>44315</v>
      </c>
      <c r="B23" s="112">
        <v>1.2509999999999999</v>
      </c>
      <c r="C23" s="108">
        <f t="shared" ref="C23:C24" si="2">IFERROR(B23-B22,0)</f>
        <v>-2.0000000000000018E-3</v>
      </c>
      <c r="D23" s="109">
        <f t="shared" si="1"/>
        <v>-2.0000000000000018E-3</v>
      </c>
      <c r="E23" s="109">
        <f t="shared" ref="E23:E24" ca="1" si="3">IF(B23/MAX(INDIRECT("B21:B" &amp; ROW()))-1&lt;E22,B23/MAX(INDIRECT("B21:B" &amp; ROW()))-1,E22)</f>
        <v>-1.5961691939345712E-3</v>
      </c>
      <c r="F23" s="110">
        <f>表2_36716262930389121314152324252627283839414344454748[[#This Row],[累计净值]]</f>
        <v>1.2509999999999999</v>
      </c>
      <c r="G23" s="20">
        <f>IF(表2_36716262930389121314152324252627283839414344454748[[#This Row],[累计净值]]&gt;$B$21,0.7*(表2_36716262930389121314152324252627283839414344454748[[#This Row],[累计净值]]/$B$21-1),表2_36716262930389121314152324252627283839414344454748[[#This Row],[累计净值]]/$B$21-1)</f>
        <v>-1.5961691939345712E-3</v>
      </c>
    </row>
    <row r="24" spans="1:7">
      <c r="A24" s="15">
        <v>44316</v>
      </c>
      <c r="B24" s="112">
        <v>1.252</v>
      </c>
      <c r="C24" s="108">
        <f t="shared" si="2"/>
        <v>1.0000000000001119E-3</v>
      </c>
      <c r="D24" s="109" t="str">
        <f t="shared" si="1"/>
        <v>/</v>
      </c>
      <c r="E24" s="109">
        <f t="shared" ca="1" si="3"/>
        <v>-1.5961691939345712E-3</v>
      </c>
      <c r="F24" s="110">
        <f>表2_36716262930389121314152324252627283839414344454748[[#This Row],[累计净值]]</f>
        <v>1.252</v>
      </c>
      <c r="G24" s="20">
        <f>IF(表2_36716262930389121314152324252627283839414344454748[[#This Row],[累计净值]]&gt;$B$21,0.7*(表2_36716262930389121314152324252627283839414344454748[[#This Row],[累计净值]]/$B$21-1),表2_36716262930389121314152324252627283839414344454748[[#This Row],[累计净值]]/$B$21-1)</f>
        <v>-7.980845969671746E-4</v>
      </c>
    </row>
    <row r="25" spans="1:7">
      <c r="A25" s="15">
        <v>44322</v>
      </c>
      <c r="B25" s="112">
        <v>1.2509999999999999</v>
      </c>
      <c r="C25" s="108">
        <f t="shared" ref="C25:C30" si="4">IFERROR(B25-B24,0)</f>
        <v>-1.0000000000001119E-3</v>
      </c>
      <c r="D25" s="109">
        <f t="shared" ref="D25:D30" si="5">IF(C25&lt;0,C25,"/")</f>
        <v>-1.0000000000001119E-3</v>
      </c>
      <c r="E25" s="109">
        <f ca="1">IF(表2_367162629303891213141523242526272835[[#This Row],[累计净值]]/MAX(INDIRECT("B21:B" &amp; ROW()))-1&lt;E24,表2_367162629303891213141523242526272835[[#This Row],[累计净值]]/MAX(INDIRECT("B21:B" &amp; ROW()))-1,E24)</f>
        <v>-0.20239425379090181</v>
      </c>
      <c r="F25" s="110">
        <f>表2_36716262930389121314152324252627283839414344454748[[#This Row],[累计净值]]</f>
        <v>1.2509999999999999</v>
      </c>
      <c r="G25" s="20">
        <f>IF(表2_36716262930389121314152324252627283839414344454748[[#This Row],[累计净值]]&gt;$B$21,0.7*(表2_36716262930389121314152324252627283839414344454748[[#This Row],[累计净值]]/$B$21-1),表2_36716262930389121314152324252627283839414344454748[[#This Row],[累计净值]]/$B$21-1)</f>
        <v>-1.5961691939345712E-3</v>
      </c>
    </row>
    <row r="26" spans="1:7">
      <c r="A26" s="15">
        <v>44323</v>
      </c>
      <c r="B26" s="112">
        <v>1.2529999999999999</v>
      </c>
      <c r="C26" s="108">
        <f t="shared" si="4"/>
        <v>2.0000000000000018E-3</v>
      </c>
      <c r="D26" s="109" t="str">
        <f t="shared" si="5"/>
        <v>/</v>
      </c>
      <c r="E26" s="109">
        <f ca="1">IF(表2_367162629303891213141523242526272835[[#This Row],[累计净值]]/MAX(INDIRECT("B21:B" &amp; ROW()))-1&lt;E25,表2_367162629303891213141523242526272835[[#This Row],[累计净值]]/MAX(INDIRECT("B21:B" &amp; ROW()))-1,E25)</f>
        <v>-0.20239425379090181</v>
      </c>
      <c r="F26" s="110">
        <f>表2_36716262930389121314152324252627283839414344454748[[#This Row],[累计净值]]</f>
        <v>1.2529999999999999</v>
      </c>
      <c r="G26" s="20">
        <f>IF(表2_36716262930389121314152324252627283839414344454748[[#This Row],[累计净值]]&gt;$B$21,0.7*(表2_36716262930389121314152324252627283839414344454748[[#This Row],[累计净值]]/$B$21-1),表2_36716262930389121314152324252627283839414344454748[[#This Row],[累计净值]]/$B$21-1)</f>
        <v>0</v>
      </c>
    </row>
    <row r="27" spans="1:7">
      <c r="A27" s="15">
        <v>44326</v>
      </c>
      <c r="B27" s="112">
        <v>1.2529999999999999</v>
      </c>
      <c r="C27" s="108">
        <f t="shared" si="4"/>
        <v>0</v>
      </c>
      <c r="D27" s="109" t="str">
        <f t="shared" si="5"/>
        <v>/</v>
      </c>
      <c r="E27" s="109">
        <f ca="1">IF(表2_367162629303891213141523242526272835[[#This Row],[累计净值]]/MAX(INDIRECT("B21:B" &amp; ROW()))-1&lt;E26,表2_367162629303891213141523242526272835[[#This Row],[累计净值]]/MAX(INDIRECT("B21:B" &amp; ROW()))-1,E26)</f>
        <v>-0.20239425379090181</v>
      </c>
      <c r="F27" s="110">
        <f>表2_36716262930389121314152324252627283839414344454748[[#This Row],[累计净值]]</f>
        <v>1.2529999999999999</v>
      </c>
      <c r="G27" s="20">
        <f>IF(表2_36716262930389121314152324252627283839414344454748[[#This Row],[累计净值]]&gt;$B$21,0.7*(表2_36716262930389121314152324252627283839414344454748[[#This Row],[累计净值]]/$B$21-1),表2_36716262930389121314152324252627283839414344454748[[#This Row],[累计净值]]/$B$21-1)</f>
        <v>0</v>
      </c>
    </row>
    <row r="28" spans="1:7">
      <c r="A28" s="15">
        <v>44327</v>
      </c>
      <c r="B28" s="112">
        <v>1.252</v>
      </c>
      <c r="C28" s="108">
        <f t="shared" si="4"/>
        <v>-9.9999999999988987E-4</v>
      </c>
      <c r="D28" s="109">
        <f t="shared" si="5"/>
        <v>-9.9999999999988987E-4</v>
      </c>
      <c r="E28" s="109">
        <f ca="1">IF(表2_367162629303891213141523242526272835[[#This Row],[累计净值]]/MAX(INDIRECT("B21:B" &amp; ROW()))-1&lt;E27,表2_367162629303891213141523242526272835[[#This Row],[累计净值]]/MAX(INDIRECT("B21:B" &amp; ROW()))-1,E27)</f>
        <v>-0.20239425379090181</v>
      </c>
      <c r="F28" s="110">
        <f>表2_36716262930389121314152324252627283839414344454748[[#This Row],[累计净值]]</f>
        <v>1.252</v>
      </c>
      <c r="G28" s="20">
        <f>IF(表2_36716262930389121314152324252627283839414344454748[[#This Row],[累计净值]]&gt;$B$21,0.7*(表2_36716262930389121314152324252627283839414344454748[[#This Row],[累计净值]]/$B$21-1),表2_36716262930389121314152324252627283839414344454748[[#This Row],[累计净值]]/$B$21-1)</f>
        <v>-7.980845969671746E-4</v>
      </c>
    </row>
    <row r="29" spans="1:7">
      <c r="A29" s="15">
        <v>44328</v>
      </c>
      <c r="B29" s="112">
        <v>1.252</v>
      </c>
      <c r="C29" s="108">
        <f t="shared" si="4"/>
        <v>0</v>
      </c>
      <c r="D29" s="109" t="str">
        <f t="shared" si="5"/>
        <v>/</v>
      </c>
      <c r="E29" s="109">
        <f ca="1">IF(表2_367162629303891213141523242526272835[[#This Row],[累计净值]]/MAX(INDIRECT("B21:B" &amp; ROW()))-1&lt;E28,表2_367162629303891213141523242526272835[[#This Row],[累计净值]]/MAX(INDIRECT("B21:B" &amp; ROW()))-1,E28)</f>
        <v>-0.20239425379090181</v>
      </c>
      <c r="F29" s="110">
        <f>表2_36716262930389121314152324252627283839414344454748[[#This Row],[累计净值]]</f>
        <v>1.252</v>
      </c>
      <c r="G29" s="20">
        <f>IF(表2_36716262930389121314152324252627283839414344454748[[#This Row],[累计净值]]&gt;$B$21,0.7*(表2_36716262930389121314152324252627283839414344454748[[#This Row],[累计净值]]/$B$21-1),表2_36716262930389121314152324252627283839414344454748[[#This Row],[累计净值]]/$B$21-1)</f>
        <v>-7.980845969671746E-4</v>
      </c>
    </row>
    <row r="30" spans="1:7">
      <c r="A30" s="15">
        <v>44329</v>
      </c>
      <c r="B30" s="112">
        <v>1.2529999999999999</v>
      </c>
      <c r="C30" s="108">
        <f t="shared" si="4"/>
        <v>9.9999999999988987E-4</v>
      </c>
      <c r="D30" s="109" t="str">
        <f t="shared" si="5"/>
        <v>/</v>
      </c>
      <c r="E30" s="109">
        <f ca="1">IF(表2_367162629303891213141523242526272835[[#This Row],[累计净值]]/MAX(INDIRECT("B21:B" &amp; ROW()))-1&lt;E29,表2_367162629303891213141523242526272835[[#This Row],[累计净值]]/MAX(INDIRECT("B21:B" &amp; ROW()))-1,E29)</f>
        <v>-0.20239425379090181</v>
      </c>
      <c r="F30" s="110">
        <f>表2_36716262930389121314152324252627283839414344454748[[#This Row],[累计净值]]</f>
        <v>1.2529999999999999</v>
      </c>
      <c r="G30" s="20">
        <f>IF(表2_36716262930389121314152324252627283839414344454748[[#This Row],[累计净值]]&gt;$B$21,0.7*(表2_36716262930389121314152324252627283839414344454748[[#This Row],[累计净值]]/$B$21-1),表2_36716262930389121314152324252627283839414344454748[[#This Row],[累计净值]]/$B$21-1)</f>
        <v>0</v>
      </c>
    </row>
    <row r="31" spans="1:7">
      <c r="A31" s="15">
        <v>44330</v>
      </c>
      <c r="B31" s="112">
        <v>1.254</v>
      </c>
      <c r="C31" s="108">
        <f>IFERROR(B31-B30,0)</f>
        <v>1.0000000000001119E-3</v>
      </c>
      <c r="D31" s="109" t="str">
        <f>IF(C31&lt;0,C31,"/")</f>
        <v>/</v>
      </c>
      <c r="E31" s="109">
        <f ca="1">IF(表2_367162629303891213141523242526272835[[#This Row],[累计净值]]/MAX(INDIRECT("B21:B" &amp; ROW()))-1&lt;E30,表2_367162629303891213141523242526272835[[#This Row],[累计净值]]/MAX(INDIRECT("B21:B" &amp; ROW()))-1,E30)</f>
        <v>-0.20239425379090181</v>
      </c>
      <c r="F31" s="110">
        <f>表2_36716262930389121314152324252627283839414344454748[[#This Row],[累计净值]]</f>
        <v>1.254</v>
      </c>
      <c r="G31" s="20">
        <f>IF(表2_36716262930389121314152324252627283839414344454748[[#This Row],[累计净值]]&gt;$B$21,0.7*(表2_36716262930389121314152324252627283839414344454748[[#This Row],[累计净值]]/$B$21-1),表2_36716262930389121314152324252627283839414344454748[[#This Row],[累计净值]]/$B$21-1)</f>
        <v>5.5865921787709991E-4</v>
      </c>
    </row>
  </sheetData>
  <mergeCells count="1">
    <mergeCell ref="G2:G3"/>
  </mergeCells>
  <phoneticPr fontId="24" type="noConversion"/>
  <pageMargins left="0.7" right="0.7" top="0.75" bottom="0.75" header="0.3" footer="0.3"/>
  <pageSetup paperSize="9" orientation="portrait" horizontalDpi="4294967295" verticalDpi="4294967295"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30"/>
  <sheetViews>
    <sheetView topLeftCell="A7" workbookViewId="0">
      <selection activeCell="J32" sqref="J32"/>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COUNT(表2_367162629303891213141523242526272838394143444547[每日盈亏])</f>
        <v>10</v>
      </c>
      <c r="C2" s="27"/>
      <c r="D2" s="3" t="s">
        <v>1</v>
      </c>
      <c r="E2" s="28"/>
      <c r="F2" s="1" t="s">
        <v>2</v>
      </c>
      <c r="G2" s="400" t="s">
        <v>3</v>
      </c>
    </row>
    <row r="3" spans="1:7">
      <c r="A3" s="25" t="s">
        <v>4</v>
      </c>
      <c r="B3" s="26">
        <f>COUNTIF(表2_367162629303891213141523242526272838394143444547[每日盈亏],"&gt;0")</f>
        <v>0</v>
      </c>
      <c r="C3" s="29"/>
      <c r="D3" s="30" t="s">
        <v>5</v>
      </c>
      <c r="E3" s="31">
        <f>245^0.5*(B10-0.025/365)/E10</f>
        <v>-12.531552432211107</v>
      </c>
      <c r="G3" s="400"/>
    </row>
    <row r="4" spans="1:7">
      <c r="A4" s="25" t="s">
        <v>6</v>
      </c>
      <c r="B4" s="26">
        <f>COUNTIF(表2_367162629303891213141523242526272838394143444547[每日盈亏],"&lt;0")</f>
        <v>6</v>
      </c>
      <c r="C4" s="29"/>
      <c r="D4" s="32" t="s">
        <v>7</v>
      </c>
      <c r="E4" s="31">
        <f ca="1">-B9/E8</f>
        <v>-64.312499999997883</v>
      </c>
      <c r="G4" s="2">
        <f>LOOKUP(999^10,表2_367162629303891213141523242526272838394143444547[累计净值])</f>
        <v>0.99690000000000001</v>
      </c>
    </row>
    <row r="5" spans="1:7">
      <c r="A5" s="25" t="s">
        <v>8</v>
      </c>
      <c r="B5" s="26">
        <f>B2-B3-B4</f>
        <v>4</v>
      </c>
      <c r="C5" s="29"/>
      <c r="D5" s="33" t="s">
        <v>9</v>
      </c>
      <c r="E5" s="4">
        <f>245^0.5*(B10-0.025/365)/E9</f>
        <v>-10.931984280662496</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LOOKUP(999^10,表2_367162629303891213141523242526272838394143444547[累计净值])/$B$21-1</f>
        <v>-2.1021021021020436E-3</v>
      </c>
      <c r="C8" s="40"/>
      <c r="D8" s="30" t="s">
        <v>13</v>
      </c>
      <c r="E8" s="41">
        <f ca="1">MIN(表2_367162629303891213141523242526272838394143444547[最大回撤])</f>
        <v>-8.0080080080080496E-4</v>
      </c>
    </row>
    <row r="9" spans="1:7">
      <c r="A9" s="25" t="s">
        <v>14</v>
      </c>
      <c r="B9" s="32">
        <f>B8*245/B2</f>
        <v>-5.1501501501500069E-2</v>
      </c>
      <c r="C9" s="40"/>
      <c r="D9" s="33" t="s">
        <v>15</v>
      </c>
      <c r="E9" s="6">
        <f>STDEV(表2_367162629303891213141523242526272838394143444547[下跌幅度])</f>
        <v>3.9874804074754947E-4</v>
      </c>
    </row>
    <row r="10" spans="1:7">
      <c r="A10" s="42" t="s">
        <v>16</v>
      </c>
      <c r="B10" s="43">
        <f>AVERAGE(表2_367162629303891213141523242526272838394143444547[每日盈亏])</f>
        <v>-2.0999999999999909E-4</v>
      </c>
      <c r="C10" s="44"/>
      <c r="D10" s="33" t="s">
        <v>17</v>
      </c>
      <c r="E10" s="6">
        <f>STDEV(表2_367162629303891213141523242526272838394143444547[每日盈亏])</f>
        <v>3.4785054261852886E-4</v>
      </c>
    </row>
    <row r="11" spans="1:7">
      <c r="A11" s="7" t="s">
        <v>18</v>
      </c>
      <c r="B11" s="32">
        <f>B3/B2</f>
        <v>0</v>
      </c>
      <c r="C11" s="40"/>
      <c r="D11" s="32" t="s">
        <v>19</v>
      </c>
      <c r="E11" s="41">
        <f>245^0.5*E10</f>
        <v>5.4447222151365274E-3</v>
      </c>
    </row>
    <row r="12" spans="1:7" ht="16" thickBot="1">
      <c r="A12" s="45" t="s">
        <v>20</v>
      </c>
      <c r="B12" s="46" t="e">
        <f>-(SUMIF(表2_367162629303891213141523242526272838394143444547[每日盈亏],"&gt;=0")/B3)/(SUMIF(表2_367162629303891213141523242526272838394143444547[每日盈亏],"&lt;0")/B4)</f>
        <v>#DIV/0!</v>
      </c>
      <c r="C12" s="47"/>
      <c r="D12" s="48"/>
      <c r="E12" s="49"/>
    </row>
    <row r="14" spans="1:7" ht="32">
      <c r="A14" s="50" t="s">
        <v>21</v>
      </c>
      <c r="B14" s="50" t="s">
        <v>14</v>
      </c>
      <c r="C14" s="51" t="s">
        <v>19</v>
      </c>
      <c r="D14" s="51" t="s">
        <v>13</v>
      </c>
      <c r="E14" s="51" t="s">
        <v>5</v>
      </c>
      <c r="F14" s="51" t="s">
        <v>7</v>
      </c>
    </row>
    <row r="15" spans="1:7">
      <c r="A15" s="78">
        <f>B2</f>
        <v>10</v>
      </c>
      <c r="B15" s="53">
        <f>B9</f>
        <v>-5.1501501501500069E-2</v>
      </c>
      <c r="C15" s="53">
        <f>E11</f>
        <v>5.4447222151365274E-3</v>
      </c>
      <c r="D15" s="53">
        <f ca="1">E8</f>
        <v>-8.0080080080080496E-4</v>
      </c>
      <c r="E15" s="54">
        <f>E3</f>
        <v>-12.531552432211107</v>
      </c>
      <c r="F15" s="54">
        <f ca="1">E4</f>
        <v>-64.312499999997883</v>
      </c>
    </row>
    <row r="19" spans="1:7">
      <c r="A19" s="8"/>
      <c r="B19" s="1" t="s">
        <v>22</v>
      </c>
    </row>
    <row r="20" spans="1:7" ht="16">
      <c r="A20" s="22" t="s">
        <v>23</v>
      </c>
      <c r="B20" s="22" t="s">
        <v>24</v>
      </c>
      <c r="C20" s="22" t="s">
        <v>25</v>
      </c>
      <c r="D20" s="22" t="s">
        <v>26</v>
      </c>
      <c r="E20" s="22" t="s">
        <v>27</v>
      </c>
      <c r="F20" s="22" t="s">
        <v>28</v>
      </c>
      <c r="G20" s="22" t="s">
        <v>29</v>
      </c>
    </row>
    <row r="21" spans="1:7">
      <c r="A21" s="15">
        <v>44314</v>
      </c>
      <c r="B21" s="112">
        <v>0.999</v>
      </c>
      <c r="C21" s="11">
        <f t="shared" ref="C21" si="0">IFERROR(B21-B20,0)</f>
        <v>0</v>
      </c>
      <c r="D21" s="12" t="str">
        <f>IF(C21&lt;0,C21,"/")</f>
        <v>/</v>
      </c>
      <c r="E21" s="12">
        <v>0</v>
      </c>
      <c r="F21" s="13">
        <f>表2_367162629303891213141523242526272838394143444547[[#This Row],[累计净值]]</f>
        <v>0.999</v>
      </c>
      <c r="G21" s="194" t="s">
        <v>30</v>
      </c>
    </row>
    <row r="22" spans="1:7">
      <c r="A22" s="15">
        <v>44315</v>
      </c>
      <c r="B22" s="112">
        <v>0.999</v>
      </c>
      <c r="C22" s="108">
        <f>IFERROR(B22-B21,0)</f>
        <v>0</v>
      </c>
      <c r="D22" s="109" t="str">
        <f t="shared" ref="D22:D24" si="1">IF(C22&lt;0,C22,"/")</f>
        <v>/</v>
      </c>
      <c r="E22" s="109">
        <f ca="1">IF(B22/MAX(INDIRECT("B21:B" &amp; ROW()))-1&lt;E21,B22/MAX(INDIRECT("B21:B" &amp; ROW()))-1,E21)</f>
        <v>0</v>
      </c>
      <c r="F22" s="110">
        <f>表2_367162629303891213141523242526272838394143444547[[#This Row],[累计净值]]</f>
        <v>0.999</v>
      </c>
      <c r="G22" s="20">
        <f>IF(表2_367162629303891213141523242526272838394143444547[[#This Row],[累计净值]]&gt;$B$21,0.7*(表2_367162629303891213141523242526272838394143444547[[#This Row],[累计净值]]/$B$21-1),表2_367162629303891213141523242526272838394143444547[[#This Row],[累计净值]]/$B$21-1)</f>
        <v>0</v>
      </c>
    </row>
    <row r="23" spans="1:7">
      <c r="A23" s="15">
        <v>44316</v>
      </c>
      <c r="B23" s="392">
        <v>0.99890000000000001</v>
      </c>
      <c r="C23" s="108">
        <f t="shared" ref="C23:C24" si="2">IFERROR(B23-B22,0)</f>
        <v>-9.9999999999988987E-5</v>
      </c>
      <c r="D23" s="109">
        <f t="shared" si="1"/>
        <v>-9.9999999999988987E-5</v>
      </c>
      <c r="E23" s="109">
        <f t="shared" ref="E23:E24" ca="1" si="3">IF(B23/MAX(INDIRECT("B21:B" &amp; ROW()))-1&lt;E22,B23/MAX(INDIRECT("B21:B" &amp; ROW()))-1,E22)</f>
        <v>-1.0010010010008674E-4</v>
      </c>
      <c r="F23" s="110">
        <f>表2_367162629303891213141523242526272838394143444547[[#This Row],[累计净值]]</f>
        <v>0.99890000000000001</v>
      </c>
      <c r="G23" s="20">
        <f>IF(表2_367162629303891213141523242526272838394143444547[[#This Row],[累计净值]]&gt;$B$21,0.7*(表2_367162629303891213141523242526272838394143444547[[#This Row],[累计净值]]/$B$21-1),表2_367162629303891213141523242526272838394143444547[[#This Row],[累计净值]]/$B$21-1)</f>
        <v>-1.0010010010008674E-4</v>
      </c>
    </row>
    <row r="24" spans="1:7">
      <c r="A24" s="15">
        <v>44322</v>
      </c>
      <c r="B24" s="112">
        <v>0.99819999999999998</v>
      </c>
      <c r="C24" s="108">
        <f t="shared" si="2"/>
        <v>-7.0000000000003393E-4</v>
      </c>
      <c r="D24" s="109">
        <f t="shared" si="1"/>
        <v>-7.0000000000003393E-4</v>
      </c>
      <c r="E24" s="109">
        <f t="shared" ca="1" si="3"/>
        <v>-8.0080080080080496E-4</v>
      </c>
      <c r="F24" s="110">
        <f>表2_367162629303891213141523242526272838394143444547[[#This Row],[累计净值]]</f>
        <v>0.99819999999999998</v>
      </c>
      <c r="G24" s="20">
        <f>IF(表2_367162629303891213141523242526272838394143444547[[#This Row],[累计净值]]&gt;$B$21,0.7*(表2_367162629303891213141523242526272838394143444547[[#This Row],[累计净值]]/$B$21-1),表2_367162629303891213141523242526272838394143444547[[#This Row],[累计净值]]/$B$21-1)</f>
        <v>-8.0080080080080496E-4</v>
      </c>
    </row>
    <row r="25" spans="1:7">
      <c r="A25" s="15">
        <v>44323</v>
      </c>
      <c r="B25" s="112">
        <v>0.99809999999999999</v>
      </c>
      <c r="C25" s="108">
        <f t="shared" ref="C25:C30" si="4">IFERROR(B25-B24,0)</f>
        <v>-9.9999999999988987E-5</v>
      </c>
      <c r="D25" s="109">
        <f t="shared" ref="D25:D30" si="5">IF(C25&lt;0,C25,"/")</f>
        <v>-9.9999999999988987E-5</v>
      </c>
      <c r="E25" s="109">
        <f ca="1">IF(表2_367162629303891213141523242526272835[[#This Row],[累计净值]]/MAX(INDIRECT("B21:B" &amp; ROW()))-1&lt;E24,表2_367162629303891213141523242526272835[[#This Row],[累计净值]]/MAX(INDIRECT("B21:B" &amp; ROW()))-1,E24)</f>
        <v>-8.0080080080080496E-4</v>
      </c>
      <c r="F25" s="110">
        <f>表2_367162629303891213141523242526272838394143444547[[#This Row],[累计净值]]</f>
        <v>0.99809999999999999</v>
      </c>
      <c r="G25" s="20">
        <f>IF(表2_367162629303891213141523242526272838394143444547[[#This Row],[累计净值]]&gt;$B$21,0.7*(表2_367162629303891213141523242526272838394143444547[[#This Row],[累计净值]]/$B$21-1),表2_367162629303891213141523242526272838394143444547[[#This Row],[累计净值]]/$B$21-1)</f>
        <v>-9.009009009008917E-4</v>
      </c>
    </row>
    <row r="26" spans="1:7">
      <c r="A26" s="15">
        <v>44326</v>
      </c>
      <c r="B26" s="112">
        <v>0.99709999999999999</v>
      </c>
      <c r="C26" s="108">
        <f t="shared" si="4"/>
        <v>-1.0000000000000009E-3</v>
      </c>
      <c r="D26" s="109">
        <f t="shared" si="5"/>
        <v>-1.0000000000000009E-3</v>
      </c>
      <c r="E26" s="109">
        <f ca="1">IF(表2_367162629303891213141523242526272835[[#This Row],[累计净值]]/MAX(INDIRECT("B21:B" &amp; ROW()))-1&lt;E25,表2_367162629303891213141523242526272835[[#This Row],[累计净值]]/MAX(INDIRECT("B21:B" &amp; ROW()))-1,E25)</f>
        <v>-8.0080080080080496E-4</v>
      </c>
      <c r="F26" s="110">
        <f>表2_367162629303891213141523242526272838394143444547[[#This Row],[累计净值]]</f>
        <v>0.99709999999999999</v>
      </c>
      <c r="G26" s="20">
        <f>IF(表2_367162629303891213141523242526272838394143444547[[#This Row],[累计净值]]&gt;$B$21,0.7*(表2_367162629303891213141523242526272838394143444547[[#This Row],[累计净值]]/$B$21-1),表2_367162629303891213141523242526272838394143444547[[#This Row],[累计净值]]/$B$21-1)</f>
        <v>-1.9019019019018701E-3</v>
      </c>
    </row>
    <row r="27" spans="1:7">
      <c r="A27" s="15">
        <v>44327</v>
      </c>
      <c r="B27" s="112">
        <v>0.99709999999999999</v>
      </c>
      <c r="C27" s="108">
        <f t="shared" si="4"/>
        <v>0</v>
      </c>
      <c r="D27" s="109" t="str">
        <f t="shared" si="5"/>
        <v>/</v>
      </c>
      <c r="E27" s="109">
        <f ca="1">IF(表2_367162629303891213141523242526272835[[#This Row],[累计净值]]/MAX(INDIRECT("B21:B" &amp; ROW()))-1&lt;E26,表2_367162629303891213141523242526272835[[#This Row],[累计净值]]/MAX(INDIRECT("B21:B" &amp; ROW()))-1,E26)</f>
        <v>-8.0080080080080496E-4</v>
      </c>
      <c r="F27" s="110">
        <f>表2_367162629303891213141523242526272838394143444547[[#This Row],[累计净值]]</f>
        <v>0.99709999999999999</v>
      </c>
      <c r="G27" s="20">
        <f>IF(表2_367162629303891213141523242526272838394143444547[[#This Row],[累计净值]]&gt;$B$21,0.7*(表2_367162629303891213141523242526272838394143444547[[#This Row],[累计净值]]/$B$21-1),表2_367162629303891213141523242526272838394143444547[[#This Row],[累计净值]]/$B$21-1)</f>
        <v>-1.9019019019018701E-3</v>
      </c>
    </row>
    <row r="28" spans="1:7">
      <c r="A28" s="15">
        <v>44328</v>
      </c>
      <c r="B28" s="112">
        <v>0.997</v>
      </c>
      <c r="C28" s="108">
        <f t="shared" si="4"/>
        <v>-9.9999999999988987E-5</v>
      </c>
      <c r="D28" s="109">
        <f t="shared" si="5"/>
        <v>-9.9999999999988987E-5</v>
      </c>
      <c r="E28" s="109">
        <f ca="1">IF(表2_367162629303891213141523242526272835[[#This Row],[累计净值]]/MAX(INDIRECT("B21:B" &amp; ROW()))-1&lt;E27,表2_367162629303891213141523242526272835[[#This Row],[累计净值]]/MAX(INDIRECT("B21:B" &amp; ROW()))-1,E27)</f>
        <v>-8.0080080080080496E-4</v>
      </c>
      <c r="F28" s="110">
        <f>表2_367162629303891213141523242526272838394143444547[[#This Row],[累计净值]]</f>
        <v>0.997</v>
      </c>
      <c r="G28" s="20">
        <f>IF(表2_367162629303891213141523242526272838394143444547[[#This Row],[累计净值]]&gt;$B$21,0.7*(表2_367162629303891213141523242526272838394143444547[[#This Row],[累计净值]]/$B$21-1),表2_367162629303891213141523242526272838394143444547[[#This Row],[累计净值]]/$B$21-1)</f>
        <v>-2.0020020020019569E-3</v>
      </c>
    </row>
    <row r="29" spans="1:7">
      <c r="A29" s="15">
        <v>44329</v>
      </c>
      <c r="B29" s="112">
        <v>0.99690000000000001</v>
      </c>
      <c r="C29" s="108">
        <f t="shared" si="4"/>
        <v>-9.9999999999988987E-5</v>
      </c>
      <c r="D29" s="109">
        <f t="shared" si="5"/>
        <v>-9.9999999999988987E-5</v>
      </c>
      <c r="E29" s="109">
        <f ca="1">IF(表2_367162629303891213141523242526272835[[#This Row],[累计净值]]/MAX(INDIRECT("B21:B" &amp; ROW()))-1&lt;E28,表2_367162629303891213141523242526272835[[#This Row],[累计净值]]/MAX(INDIRECT("B21:B" &amp; ROW()))-1,E28)</f>
        <v>-8.0080080080080496E-4</v>
      </c>
      <c r="F29" s="110">
        <f>表2_367162629303891213141523242526272838394143444547[[#This Row],[累计净值]]</f>
        <v>0.99690000000000001</v>
      </c>
      <c r="G29" s="20">
        <f>IF(表2_367162629303891213141523242526272838394143444547[[#This Row],[累计净值]]&gt;$B$21,0.7*(表2_367162629303891213141523242526272838394143444547[[#This Row],[累计净值]]/$B$21-1),表2_367162629303891213141523242526272838394143444547[[#This Row],[累计净值]]/$B$21-1)</f>
        <v>-2.1021021021020436E-3</v>
      </c>
    </row>
    <row r="30" spans="1:7">
      <c r="A30" s="15">
        <v>44330</v>
      </c>
      <c r="B30" s="112">
        <v>0.99690000000000001</v>
      </c>
      <c r="C30" s="108">
        <f t="shared" si="4"/>
        <v>0</v>
      </c>
      <c r="D30" s="109" t="str">
        <f t="shared" si="5"/>
        <v>/</v>
      </c>
      <c r="E30" s="109">
        <f ca="1">IF(表2_367162629303891213141523242526272835[[#This Row],[累计净值]]/MAX(INDIRECT("B21:B" &amp; ROW()))-1&lt;E29,表2_367162629303891213141523242526272835[[#This Row],[累计净值]]/MAX(INDIRECT("B21:B" &amp; ROW()))-1,E29)</f>
        <v>-8.0080080080080496E-4</v>
      </c>
      <c r="F30" s="110">
        <f>表2_367162629303891213141523242526272838394143444547[[#This Row],[累计净值]]</f>
        <v>0.99690000000000001</v>
      </c>
      <c r="G30" s="20">
        <f>IF(表2_367162629303891213141523242526272838394143444547[[#This Row],[累计净值]]&gt;$B$21,0.7*(表2_367162629303891213141523242526272838394143444547[[#This Row],[累计净值]]/$B$21-1),表2_367162629303891213141523242526272838394143444547[[#This Row],[累计净值]]/$B$21-1)</f>
        <v>-2.1021021021020436E-3</v>
      </c>
    </row>
  </sheetData>
  <mergeCells count="1">
    <mergeCell ref="G2:G3"/>
  </mergeCells>
  <phoneticPr fontId="24" type="noConversion"/>
  <pageMargins left="0.7" right="0.7" top="0.75" bottom="0.75" header="0.3" footer="0.3"/>
  <pageSetup paperSize="9" orientation="portrait" horizontalDpi="4294967295" verticalDpi="4294967295"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90"/>
  <sheetViews>
    <sheetView workbookViewId="0">
      <pane xSplit="1" ySplit="20" topLeftCell="B376" activePane="bottomRight" state="frozen"/>
      <selection pane="topRight" activeCell="B1" sqref="B1"/>
      <selection pane="bottomLeft" activeCell="A21" sqref="A21"/>
      <selection pane="bottomRight" activeCell="L385" sqref="L385"/>
    </sheetView>
  </sheetViews>
  <sheetFormatPr baseColWidth="10" defaultColWidth="9" defaultRowHeight="15"/>
  <cols>
    <col min="1" max="1" width="11.6640625" style="120" bestFit="1" customWidth="1"/>
    <col min="2" max="2" width="13" style="120" customWidth="1"/>
    <col min="3" max="4" width="13.5" style="120" bestFit="1" customWidth="1"/>
    <col min="5" max="5" width="10.6640625" style="120" customWidth="1"/>
    <col min="6" max="6" width="11.1640625" style="120" customWidth="1"/>
    <col min="7" max="7" width="18.83203125" style="121" customWidth="1"/>
    <col min="8" max="8" width="9" style="120"/>
    <col min="9" max="9" width="14.1640625" style="120" customWidth="1"/>
    <col min="10" max="10" width="12" style="120" bestFit="1" customWidth="1"/>
    <col min="11" max="16384" width="9" style="120"/>
  </cols>
  <sheetData>
    <row r="1" spans="1:7" ht="16" thickBot="1"/>
    <row r="2" spans="1:7" ht="16" thickBot="1">
      <c r="A2" s="122" t="s">
        <v>0</v>
      </c>
      <c r="B2" s="123">
        <f>COUNT(表2_36716262930381020[每日盈亏])</f>
        <v>370</v>
      </c>
      <c r="C2" s="124"/>
      <c r="D2" s="125" t="s">
        <v>1</v>
      </c>
      <c r="E2" s="126"/>
      <c r="F2" s="120" t="s">
        <v>2</v>
      </c>
      <c r="G2" s="401" t="s">
        <v>3</v>
      </c>
    </row>
    <row r="3" spans="1:7">
      <c r="A3" s="127" t="s">
        <v>4</v>
      </c>
      <c r="B3" s="128">
        <f>COUNTIF(表2_36716262930381020[每日盈亏],"&gt;0")</f>
        <v>212</v>
      </c>
      <c r="C3" s="129"/>
      <c r="D3" s="130" t="s">
        <v>5</v>
      </c>
      <c r="E3" s="131">
        <f>245^0.5*(B10-0.025/365)/E10</f>
        <v>1.9051719296571332</v>
      </c>
      <c r="G3" s="401"/>
    </row>
    <row r="4" spans="1:7">
      <c r="A4" s="127" t="s">
        <v>6</v>
      </c>
      <c r="B4" s="128">
        <f>COUNTIF(表2_36716262930381020[每日盈亏],"&lt;0")</f>
        <v>154</v>
      </c>
      <c r="C4" s="129"/>
      <c r="D4" s="132" t="s">
        <v>7</v>
      </c>
      <c r="E4" s="131">
        <f ca="1">-B9/E8</f>
        <v>4.260462596357721</v>
      </c>
      <c r="G4" s="121">
        <f>LOOKUP(999^10,表2_36716262930381020[累计净值])</f>
        <v>1.4478</v>
      </c>
    </row>
    <row r="5" spans="1:7">
      <c r="A5" s="127" t="s">
        <v>8</v>
      </c>
      <c r="B5" s="128">
        <f>B2-B3-B4</f>
        <v>4</v>
      </c>
      <c r="C5" s="129"/>
      <c r="D5" s="133" t="s">
        <v>9</v>
      </c>
      <c r="E5" s="134">
        <f>245^0.5*(B10-0.025/365)/E9</f>
        <v>2.8207158008643169</v>
      </c>
    </row>
    <row r="6" spans="1:7" ht="16" thickBot="1">
      <c r="A6" s="135"/>
      <c r="B6" s="136"/>
      <c r="C6" s="136"/>
      <c r="D6" s="136"/>
      <c r="E6" s="137"/>
    </row>
    <row r="7" spans="1:7" ht="16" thickBot="1">
      <c r="A7" s="138" t="s">
        <v>10</v>
      </c>
      <c r="B7" s="136"/>
      <c r="C7" s="136"/>
      <c r="D7" s="125" t="s">
        <v>11</v>
      </c>
      <c r="E7" s="139"/>
    </row>
    <row r="8" spans="1:7">
      <c r="A8" s="140" t="s">
        <v>12</v>
      </c>
      <c r="B8" s="141">
        <f>LOOKUP(999^10,表2_36716262930381020[累计净值])/$B$21-1</f>
        <v>0.46065375302663436</v>
      </c>
      <c r="C8" s="142"/>
      <c r="D8" s="130" t="s">
        <v>13</v>
      </c>
      <c r="E8" s="143">
        <f ca="1">MIN(表2_36716262930381020[最大回撤])</f>
        <v>-7.1594921493501551E-2</v>
      </c>
    </row>
    <row r="9" spans="1:7">
      <c r="A9" s="127" t="s">
        <v>14</v>
      </c>
      <c r="B9" s="132">
        <f>B8*245/B2</f>
        <v>0.30502748511223082</v>
      </c>
      <c r="C9" s="142"/>
      <c r="D9" s="133" t="s">
        <v>15</v>
      </c>
      <c r="E9" s="144">
        <f>STDEV(表2_36716262930381020[下跌幅度])</f>
        <v>6.467831277917363E-3</v>
      </c>
    </row>
    <row r="10" spans="1:7">
      <c r="A10" s="145" t="s">
        <v>16</v>
      </c>
      <c r="B10" s="146">
        <f>AVERAGE(表2_36716262930381020[每日盈亏])</f>
        <v>1.234054054054054E-3</v>
      </c>
      <c r="C10" s="147"/>
      <c r="D10" s="133" t="s">
        <v>17</v>
      </c>
      <c r="E10" s="144">
        <f>STDEV(表2_36716262930381020[每日盈亏])</f>
        <v>9.5759934308024593E-3</v>
      </c>
    </row>
    <row r="11" spans="1:7">
      <c r="A11" s="148" t="s">
        <v>18</v>
      </c>
      <c r="B11" s="132">
        <f>B3/B2</f>
        <v>0.572972972972973</v>
      </c>
      <c r="C11" s="142"/>
      <c r="D11" s="132" t="s">
        <v>19</v>
      </c>
      <c r="E11" s="143">
        <f>245^0.5*E10</f>
        <v>0.1498880058435601</v>
      </c>
    </row>
    <row r="12" spans="1:7" ht="16" thickBot="1">
      <c r="A12" s="149" t="s">
        <v>20</v>
      </c>
      <c r="B12" s="150">
        <f>-(SUMIF(表2_36716262930381020[每日盈亏],"&gt;=0")/B3)/(SUMIF(表2_36716262930381020[每日盈亏],"&lt;0")/B4)</f>
        <v>1.0343541269971961</v>
      </c>
      <c r="C12" s="151"/>
      <c r="D12" s="152"/>
      <c r="E12" s="153"/>
    </row>
    <row r="14" spans="1:7" ht="32">
      <c r="A14" s="200" t="s">
        <v>21</v>
      </c>
      <c r="B14" s="200" t="s">
        <v>14</v>
      </c>
      <c r="C14" s="201" t="s">
        <v>19</v>
      </c>
      <c r="D14" s="201" t="s">
        <v>13</v>
      </c>
      <c r="E14" s="201" t="s">
        <v>5</v>
      </c>
      <c r="F14" s="201" t="s">
        <v>7</v>
      </c>
    </row>
    <row r="15" spans="1:7">
      <c r="A15" s="156">
        <f>B2</f>
        <v>370</v>
      </c>
      <c r="B15" s="157">
        <f>B9</f>
        <v>0.30502748511223082</v>
      </c>
      <c r="C15" s="157">
        <f>E11</f>
        <v>0.1498880058435601</v>
      </c>
      <c r="D15" s="157">
        <f ca="1">E8</f>
        <v>-7.1594921493501551E-2</v>
      </c>
      <c r="E15" s="158">
        <f>E3</f>
        <v>1.9051719296571332</v>
      </c>
      <c r="F15" s="158">
        <f ca="1">E4</f>
        <v>4.260462596357721</v>
      </c>
    </row>
    <row r="19" spans="1:8">
      <c r="A19" s="159"/>
      <c r="B19" s="120" t="s">
        <v>22</v>
      </c>
    </row>
    <row r="20" spans="1:8" ht="16">
      <c r="A20" s="160" t="s">
        <v>23</v>
      </c>
      <c r="B20" s="160" t="s">
        <v>24</v>
      </c>
      <c r="C20" s="160" t="s">
        <v>25</v>
      </c>
      <c r="D20" s="160" t="s">
        <v>26</v>
      </c>
      <c r="E20" s="160" t="s">
        <v>27</v>
      </c>
      <c r="F20" s="160" t="s">
        <v>28</v>
      </c>
      <c r="G20" s="160" t="s">
        <v>29</v>
      </c>
      <c r="H20" s="160" t="s">
        <v>35</v>
      </c>
    </row>
    <row r="21" spans="1:8">
      <c r="A21" s="161">
        <v>43775</v>
      </c>
      <c r="B21" s="174">
        <v>0.99119999999999997</v>
      </c>
      <c r="C21" s="163">
        <f>IFERROR(B21-B20,0)</f>
        <v>0</v>
      </c>
      <c r="D21" s="164" t="str">
        <f>IF(C21&lt;0,C21,"/")</f>
        <v>/</v>
      </c>
      <c r="E21" s="164">
        <f ca="1">IF(表2_36716262930381020[[#This Row],[累计净值]]/MAX(INDIRECT("B21:B" &amp; ROW()))-1&lt;E20,表2_36716262930381020[[#This Row],[累计净值]]/MAX(INDIRECT("B21:B" &amp; ROW()))-1,E20)</f>
        <v>0</v>
      </c>
      <c r="F21" s="165">
        <v>0.99119999999999997</v>
      </c>
      <c r="G21" s="166" t="s">
        <v>30</v>
      </c>
    </row>
    <row r="22" spans="1:8">
      <c r="A22" s="161">
        <v>43776</v>
      </c>
      <c r="B22" s="162">
        <v>0.99119999999999997</v>
      </c>
      <c r="C22" s="179">
        <f>IFERROR(B22-B21,0)</f>
        <v>0</v>
      </c>
      <c r="D22" s="168" t="str">
        <f>IF(C22&lt;0,C22,"/")</f>
        <v>/</v>
      </c>
      <c r="E22" s="168">
        <f ca="1">IF(表2_36716262930381020[[#This Row],[累计净值]]/MAX(INDIRECT("B21:B" &amp; ROW()))-1&lt;E21,表2_36716262930381020[[#This Row],[累计净值]]/MAX(INDIRECT("B21:B" &amp; ROW()))-1,E21)</f>
        <v>0</v>
      </c>
      <c r="F22" s="169">
        <f>表2_36716262930381020[[#This Row],[累计净值]]</f>
        <v>0.99119999999999997</v>
      </c>
      <c r="G22" s="180">
        <f>表2_36716262930381020[[#This Row],[累计净值]]/$B$21-1</f>
        <v>0</v>
      </c>
    </row>
    <row r="23" spans="1:8">
      <c r="A23" s="161">
        <v>43777</v>
      </c>
      <c r="B23" s="162">
        <v>0.99080000000000001</v>
      </c>
      <c r="C23" s="167">
        <f>IFERROR(B23-B22,0)</f>
        <v>-3.9999999999995595E-4</v>
      </c>
      <c r="D23" s="168">
        <f>IF(C23&lt;0,C23,"/")</f>
        <v>-3.9999999999995595E-4</v>
      </c>
      <c r="E23" s="168">
        <f ca="1">IF(表2_36716262930381020[[#This Row],[累计净值]]/MAX(INDIRECT("B21:B" &amp; ROW()))-1&lt;E22,表2_36716262930381020[[#This Row],[累计净值]]/MAX(INDIRECT("B21:B" &amp; ROW()))-1,E22)</f>
        <v>-4.0355125100888234E-4</v>
      </c>
      <c r="F23" s="169">
        <f>表2_36716262930381020[[#This Row],[累计净值]]</f>
        <v>0.99080000000000001</v>
      </c>
      <c r="G23" s="170">
        <f>表2_36716262930381020[[#This Row],[累计净值]]/$B$21-1</f>
        <v>-4.0355125100888234E-4</v>
      </c>
    </row>
    <row r="24" spans="1:8">
      <c r="A24" s="161">
        <v>43780</v>
      </c>
      <c r="B24" s="162">
        <v>0.99399999999999999</v>
      </c>
      <c r="C24" s="171">
        <f t="shared" ref="C24:C41" si="0">IFERROR(B24-B23,0)</f>
        <v>3.1999999999999806E-3</v>
      </c>
      <c r="D24" s="168" t="str">
        <f t="shared" ref="D24:D41" si="1">IF(C24&lt;0,C24,"/")</f>
        <v>/</v>
      </c>
      <c r="E24" s="168">
        <f ca="1">IF(表2_36716262930381020[[#This Row],[累计净值]]/MAX(INDIRECT("B21:B" &amp; ROW()))-1&lt;E23,表2_36716262930381020[[#This Row],[累计净值]]/MAX(INDIRECT("B21:B" &amp; ROW()))-1,E23)</f>
        <v>-4.0355125100888234E-4</v>
      </c>
      <c r="F24" s="169">
        <f>表2_36716262930381020[[#This Row],[累计净值]]</f>
        <v>0.99399999999999999</v>
      </c>
      <c r="G24" s="170">
        <f>表2_36716262930381020[[#This Row],[累计净值]]/$B$21-1</f>
        <v>2.8248587570620654E-3</v>
      </c>
    </row>
    <row r="25" spans="1:8">
      <c r="A25" s="161">
        <v>43781</v>
      </c>
      <c r="B25" s="162">
        <v>0.99450000000000005</v>
      </c>
      <c r="C25" s="171">
        <f t="shared" si="0"/>
        <v>5.0000000000005596E-4</v>
      </c>
      <c r="D25" s="168" t="str">
        <f t="shared" si="1"/>
        <v>/</v>
      </c>
      <c r="E25" s="168">
        <f ca="1">IF(表2_36716262930381020[[#This Row],[累计净值]]/MAX(INDIRECT("B21:B" &amp; ROW()))-1&lt;E24,表2_36716262930381020[[#This Row],[累计净值]]/MAX(INDIRECT("B21:B" &amp; ROW()))-1,E24)</f>
        <v>-4.0355125100888234E-4</v>
      </c>
      <c r="F25" s="169">
        <f>表2_36716262930381020[[#This Row],[累计净值]]</f>
        <v>0.99450000000000005</v>
      </c>
      <c r="G25" s="170">
        <f>表2_36716262930381020[[#This Row],[累计净值]]/$B$21-1</f>
        <v>3.3292978208232515E-3</v>
      </c>
    </row>
    <row r="26" spans="1:8">
      <c r="A26" s="161">
        <v>43782</v>
      </c>
      <c r="B26" s="162">
        <v>0.99</v>
      </c>
      <c r="C26" s="171">
        <f t="shared" si="0"/>
        <v>-4.5000000000000595E-3</v>
      </c>
      <c r="D26" s="168">
        <f t="shared" si="1"/>
        <v>-4.5000000000000595E-3</v>
      </c>
      <c r="E26" s="168">
        <f ca="1">IF(表2_36716262930381020[[#This Row],[累计净值]]/MAX(INDIRECT("B21:B" &amp; ROW()))-1&lt;E25,表2_36716262930381020[[#This Row],[累计净值]]/MAX(INDIRECT("B21:B" &amp; ROW()))-1,E25)</f>
        <v>-4.5248868778281492E-3</v>
      </c>
      <c r="F26" s="169">
        <f>表2_36716262930381020[[#This Row],[累计净值]]</f>
        <v>0.99</v>
      </c>
      <c r="G26" s="170">
        <f>表2_36716262930381020[[#This Row],[累计净值]]/$B$21-1</f>
        <v>-1.210653753026647E-3</v>
      </c>
    </row>
    <row r="27" spans="1:8">
      <c r="A27" s="161">
        <v>43783</v>
      </c>
      <c r="B27" s="162">
        <v>0.99</v>
      </c>
      <c r="C27" s="171">
        <f t="shared" si="0"/>
        <v>0</v>
      </c>
      <c r="D27" s="168" t="str">
        <f t="shared" si="1"/>
        <v>/</v>
      </c>
      <c r="E27" s="168">
        <f ca="1">IF(表2_36716262930381020[[#This Row],[累计净值]]/MAX(INDIRECT("B21:B" &amp; ROW()))-1&lt;E26,表2_36716262930381020[[#This Row],[累计净值]]/MAX(INDIRECT("B21:B" &amp; ROW()))-1,E26)</f>
        <v>-4.5248868778281492E-3</v>
      </c>
      <c r="F27" s="169">
        <f>表2_36716262930381020[[#This Row],[累计净值]]</f>
        <v>0.99</v>
      </c>
      <c r="G27" s="170">
        <f>表2_36716262930381020[[#This Row],[累计净值]]/$B$21-1</f>
        <v>-1.210653753026647E-3</v>
      </c>
    </row>
    <row r="28" spans="1:8">
      <c r="A28" s="161">
        <v>43784</v>
      </c>
      <c r="B28" s="162">
        <v>0.99539999999999995</v>
      </c>
      <c r="C28" s="171">
        <f t="shared" si="0"/>
        <v>5.3999999999999604E-3</v>
      </c>
      <c r="D28" s="168" t="str">
        <f t="shared" si="1"/>
        <v>/</v>
      </c>
      <c r="E28" s="168">
        <f ca="1">IF(表2_36716262930381020[[#This Row],[累计净值]]/MAX(INDIRECT("B21:B" &amp; ROW()))-1&lt;E27,表2_36716262930381020[[#This Row],[累计净值]]/MAX(INDIRECT("B21:B" &amp; ROW()))-1,E27)</f>
        <v>-4.5248868778281492E-3</v>
      </c>
      <c r="F28" s="169">
        <f>表2_36716262930381020[[#This Row],[累计净值]]</f>
        <v>0.99539999999999995</v>
      </c>
      <c r="G28" s="170">
        <f>表2_36716262930381020[[#This Row],[累计净值]]/$B$21-1</f>
        <v>4.237288135593209E-3</v>
      </c>
    </row>
    <row r="29" spans="1:8">
      <c r="A29" s="161">
        <v>43787</v>
      </c>
      <c r="B29" s="181">
        <v>0.99680000000000002</v>
      </c>
      <c r="C29" s="182">
        <f t="shared" si="0"/>
        <v>1.4000000000000679E-3</v>
      </c>
      <c r="D29" s="183" t="str">
        <f t="shared" si="1"/>
        <v>/</v>
      </c>
      <c r="E29" s="183">
        <f ca="1">IF(表2_36716262930381020[[#This Row],[累计净值]]/MAX(INDIRECT("B21:B" &amp; ROW()))-1&lt;E28,表2_36716262930381020[[#This Row],[累计净值]]/MAX(INDIRECT("B21:B" &amp; ROW()))-1,E28)</f>
        <v>-4.5248868778281492E-3</v>
      </c>
      <c r="F29" s="169">
        <f>表2_36716262930381020[[#This Row],[累计净值]]</f>
        <v>0.99680000000000002</v>
      </c>
      <c r="G29" s="170">
        <f>表2_36716262930381020[[#This Row],[累计净值]]/$B$21-1</f>
        <v>5.6497175141243527E-3</v>
      </c>
    </row>
    <row r="30" spans="1:8">
      <c r="A30" s="161">
        <v>43788</v>
      </c>
      <c r="B30" s="162">
        <v>0.99650000000000005</v>
      </c>
      <c r="C30" s="171">
        <f t="shared" si="0"/>
        <v>-2.9999999999996696E-4</v>
      </c>
      <c r="D30" s="168">
        <f t="shared" si="1"/>
        <v>-2.9999999999996696E-4</v>
      </c>
      <c r="E30" s="168">
        <f ca="1">IF(表2_36716262930381020[[#This Row],[累计净值]]/MAX(INDIRECT("B21:B" &amp; ROW()))-1&lt;E29,表2_36716262930381020[[#This Row],[累计净值]]/MAX(INDIRECT("B21:B" &amp; ROW()))-1,E29)</f>
        <v>-4.5248868778281492E-3</v>
      </c>
      <c r="F30" s="169">
        <f>表2_36716262930381020[[#This Row],[累计净值]]</f>
        <v>0.99650000000000005</v>
      </c>
      <c r="G30" s="170">
        <f>表2_36716262930381020[[#This Row],[累计净值]]/$B$21-1</f>
        <v>5.3470540758677743E-3</v>
      </c>
    </row>
    <row r="31" spans="1:8">
      <c r="A31" s="161">
        <v>43789</v>
      </c>
      <c r="B31" s="162">
        <v>0.99929999999999997</v>
      </c>
      <c r="C31" s="171">
        <f t="shared" si="0"/>
        <v>2.7999999999999137E-3</v>
      </c>
      <c r="D31" s="168" t="str">
        <f t="shared" si="1"/>
        <v>/</v>
      </c>
      <c r="E31" s="168">
        <f ca="1">IF(表2_36716262930381020[[#This Row],[累计净值]]/MAX(INDIRECT("B21:B" &amp; ROW()))-1&lt;E30,表2_36716262930381020[[#This Row],[累计净值]]/MAX(INDIRECT("B21:B" &amp; ROW()))-1,E30)</f>
        <v>-4.5248868778281492E-3</v>
      </c>
      <c r="F31" s="169">
        <f>表2_36716262930381020[[#This Row],[累计净值]]</f>
        <v>0.99929999999999997</v>
      </c>
      <c r="G31" s="170">
        <f>表2_36716262930381020[[#This Row],[累计净值]]/$B$21-1</f>
        <v>8.1719128329298396E-3</v>
      </c>
    </row>
    <row r="32" spans="1:8">
      <c r="A32" s="161">
        <v>43790</v>
      </c>
      <c r="B32" s="162">
        <v>0.99439999999999995</v>
      </c>
      <c r="C32" s="171">
        <f t="shared" si="0"/>
        <v>-4.9000000000000155E-3</v>
      </c>
      <c r="D32" s="168">
        <f t="shared" si="1"/>
        <v>-4.9000000000000155E-3</v>
      </c>
      <c r="E32" s="168">
        <f ca="1">IF(表2_36716262930381020[[#This Row],[累计净值]]/MAX(INDIRECT("B21:B" &amp; ROW()))-1&lt;E31,表2_36716262930381020[[#This Row],[累计净值]]/MAX(INDIRECT("B21:B" &amp; ROW()))-1,E31)</f>
        <v>-4.9034324026818732E-3</v>
      </c>
      <c r="F32" s="169">
        <f>表2_36716262930381020[[#This Row],[累计净值]]</f>
        <v>0.99439999999999995</v>
      </c>
      <c r="G32" s="170">
        <f>表2_36716262930381020[[#This Row],[累计净值]]/$B$21-1</f>
        <v>3.2284100080710587E-3</v>
      </c>
    </row>
    <row r="33" spans="1:7">
      <c r="A33" s="161">
        <v>43791</v>
      </c>
      <c r="B33" s="162">
        <v>0.99270000000000003</v>
      </c>
      <c r="C33" s="171">
        <f t="shared" si="0"/>
        <v>-1.6999999999999238E-3</v>
      </c>
      <c r="D33" s="168">
        <f t="shared" si="1"/>
        <v>-1.6999999999999238E-3</v>
      </c>
      <c r="E33" s="168">
        <f ca="1">IF(表2_36716262930381020[[#This Row],[累计净值]]/MAX(INDIRECT("B21:B" &amp; ROW()))-1&lt;E32,表2_36716262930381020[[#This Row],[累计净值]]/MAX(INDIRECT("B21:B" &amp; ROW()))-1,E32)</f>
        <v>-6.6046232362653168E-3</v>
      </c>
      <c r="F33" s="169">
        <f>表2_36716262930381020[[#This Row],[累计净值]]</f>
        <v>0.99270000000000003</v>
      </c>
      <c r="G33" s="170">
        <f>表2_36716262930381020[[#This Row],[累计净值]]/$B$21-1</f>
        <v>1.5133171912833365E-3</v>
      </c>
    </row>
    <row r="34" spans="1:7">
      <c r="A34" s="161">
        <v>43794</v>
      </c>
      <c r="B34" s="162">
        <v>0.99639999999999995</v>
      </c>
      <c r="C34" s="171">
        <f t="shared" si="0"/>
        <v>3.6999999999999256E-3</v>
      </c>
      <c r="D34" s="168" t="str">
        <f t="shared" si="1"/>
        <v>/</v>
      </c>
      <c r="E34" s="168">
        <f ca="1">IF(表2_36716262930381020[[#This Row],[累计净值]]/MAX(INDIRECT("B21:B" &amp; ROW()))-1&lt;E33,表2_36716262930381020[[#This Row],[累计净值]]/MAX(INDIRECT("B21:B" &amp; ROW()))-1,E33)</f>
        <v>-6.6046232362653168E-3</v>
      </c>
      <c r="F34" s="169">
        <f>表2_36716262930381020[[#This Row],[累计净值]]</f>
        <v>0.99639999999999995</v>
      </c>
      <c r="G34" s="170">
        <f>表2_36716262930381020[[#This Row],[累计净值]]/$B$21-1</f>
        <v>5.2461662631153594E-3</v>
      </c>
    </row>
    <row r="35" spans="1:7">
      <c r="A35" s="161">
        <v>43795</v>
      </c>
      <c r="B35" s="162">
        <v>0.99539999999999995</v>
      </c>
      <c r="C35" s="171">
        <f t="shared" si="0"/>
        <v>-1.0000000000000009E-3</v>
      </c>
      <c r="D35" s="168">
        <f t="shared" si="1"/>
        <v>-1.0000000000000009E-3</v>
      </c>
      <c r="E35" s="168">
        <f ca="1">IF(表2_36716262930381020[[#This Row],[累计净值]]/MAX(INDIRECT("B21:B" &amp; ROW()))-1&lt;E34,表2_36716262930381020[[#This Row],[累计净值]]/MAX(INDIRECT("B21:B" &amp; ROW()))-1,E34)</f>
        <v>-6.6046232362653168E-3</v>
      </c>
      <c r="F35" s="169">
        <f>表2_36716262930381020[[#This Row],[累计净值]]</f>
        <v>0.99539999999999995</v>
      </c>
      <c r="G35" s="170">
        <f>表2_36716262930381020[[#This Row],[累计净值]]/$B$21-1</f>
        <v>4.237288135593209E-3</v>
      </c>
    </row>
    <row r="36" spans="1:7">
      <c r="A36" s="161">
        <v>43796</v>
      </c>
      <c r="B36" s="162">
        <v>0.99209999999999998</v>
      </c>
      <c r="C36" s="171">
        <f t="shared" si="0"/>
        <v>-3.2999999999999696E-3</v>
      </c>
      <c r="D36" s="168">
        <f t="shared" si="1"/>
        <v>-3.2999999999999696E-3</v>
      </c>
      <c r="E36" s="168">
        <f ca="1">IF(表2_36716262930381020[[#This Row],[累计净值]]/MAX(INDIRECT("B21:B" &amp; ROW()))-1&lt;E35,表2_36716262930381020[[#This Row],[累计净值]]/MAX(INDIRECT("B21:B" &amp; ROW()))-1,E35)</f>
        <v>-7.2050435304713556E-3</v>
      </c>
      <c r="F36" s="169">
        <f>表2_36716262930381020[[#This Row],[累计净值]]</f>
        <v>0.99209999999999998</v>
      </c>
      <c r="G36" s="170">
        <f>表2_36716262930381020[[#This Row],[累计净值]]/$B$21-1</f>
        <v>9.0799031476995751E-4</v>
      </c>
    </row>
    <row r="37" spans="1:7">
      <c r="A37" s="161">
        <v>43797</v>
      </c>
      <c r="B37" s="162">
        <v>0.99080000000000001</v>
      </c>
      <c r="C37" s="171">
        <f t="shared" si="0"/>
        <v>-1.2999999999999678E-3</v>
      </c>
      <c r="D37" s="168">
        <f t="shared" si="1"/>
        <v>-1.2999999999999678E-3</v>
      </c>
      <c r="E37" s="168">
        <f ca="1">IF(表2_36716262930381020[[#This Row],[累计净值]]/MAX(INDIRECT("B21:B" &amp; ROW()))-1&lt;E36,表2_36716262930381020[[#This Row],[累计净值]]/MAX(INDIRECT("B21:B" &amp; ROW()))-1,E36)</f>
        <v>-8.50595416791744E-3</v>
      </c>
      <c r="F37" s="169">
        <f>表2_36716262930381020[[#This Row],[累计净值]]</f>
        <v>0.99080000000000001</v>
      </c>
      <c r="G37" s="170">
        <f>表2_36716262930381020[[#This Row],[累计净值]]/$B$21-1</f>
        <v>-4.0355125100888234E-4</v>
      </c>
    </row>
    <row r="38" spans="1:7">
      <c r="A38" s="161">
        <v>43798</v>
      </c>
      <c r="B38" s="162">
        <v>0.99319999999999997</v>
      </c>
      <c r="C38" s="171">
        <f t="shared" si="0"/>
        <v>2.3999999999999577E-3</v>
      </c>
      <c r="D38" s="168" t="str">
        <f t="shared" si="1"/>
        <v>/</v>
      </c>
      <c r="E38" s="168">
        <f ca="1">IF(表2_36716262930381020[[#This Row],[累计净值]]/MAX(INDIRECT("B21:B" &amp; ROW()))-1&lt;E37,表2_36716262930381020[[#This Row],[累计净值]]/MAX(INDIRECT("B21:B" &amp; ROW()))-1,E37)</f>
        <v>-8.50595416791744E-3</v>
      </c>
      <c r="F38" s="169">
        <f>表2_36716262930381020[[#This Row],[累计净值]]</f>
        <v>0.99319999999999997</v>
      </c>
      <c r="G38" s="170">
        <f>表2_36716262930381020[[#This Row],[累计净值]]/$B$21-1</f>
        <v>2.0177562550443007E-3</v>
      </c>
    </row>
    <row r="39" spans="1:7">
      <c r="A39" s="161">
        <v>43801</v>
      </c>
      <c r="B39" s="162">
        <v>0.98760000000000003</v>
      </c>
      <c r="C39" s="171">
        <f t="shared" si="0"/>
        <v>-5.5999999999999384E-3</v>
      </c>
      <c r="D39" s="168">
        <f t="shared" si="1"/>
        <v>-5.5999999999999384E-3</v>
      </c>
      <c r="E39" s="168">
        <f ca="1">IF(表2_36716262930381020[[#This Row],[累计净值]]/MAX(INDIRECT("B21:B" &amp; ROW()))-1&lt;E38,表2_36716262930381020[[#This Row],[累计净值]]/MAX(INDIRECT("B21:B" &amp; ROW()))-1,E38)</f>
        <v>-1.170819573701587E-2</v>
      </c>
      <c r="F39" s="169">
        <f>表2_36716262930381020[[#This Row],[累计净值]]</f>
        <v>0.98760000000000003</v>
      </c>
      <c r="G39" s="170">
        <f>表2_36716262930381020[[#This Row],[累计净值]]/$B$21-1</f>
        <v>-3.63196125907983E-3</v>
      </c>
    </row>
    <row r="40" spans="1:7">
      <c r="A40" s="161">
        <v>43802</v>
      </c>
      <c r="B40" s="162">
        <v>0.98970000000000002</v>
      </c>
      <c r="C40" s="171">
        <f t="shared" si="0"/>
        <v>2.0999999999999908E-3</v>
      </c>
      <c r="D40" s="168" t="str">
        <f t="shared" si="1"/>
        <v>/</v>
      </c>
      <c r="E40" s="168">
        <f ca="1">IF(表2_36716262930381020[[#This Row],[累计净值]]/MAX(INDIRECT("B21:B" &amp; ROW()))-1&lt;E39,表2_36716262930381020[[#This Row],[累计净值]]/MAX(INDIRECT("B21:B" &amp; ROW()))-1,E39)</f>
        <v>-1.170819573701587E-2</v>
      </c>
      <c r="F40" s="169">
        <f>表2_36716262930381020[[#This Row],[累计净值]]</f>
        <v>0.98970000000000002</v>
      </c>
      <c r="G40" s="170">
        <f>表2_36716262930381020[[#This Row],[累计净值]]/$B$21-1</f>
        <v>-1.5133171912832255E-3</v>
      </c>
    </row>
    <row r="41" spans="1:7">
      <c r="A41" s="161">
        <v>43803</v>
      </c>
      <c r="B41" s="162">
        <v>0.98870000000000002</v>
      </c>
      <c r="C41" s="171">
        <f t="shared" si="0"/>
        <v>-1.0000000000000009E-3</v>
      </c>
      <c r="D41" s="168">
        <f t="shared" si="1"/>
        <v>-1.0000000000000009E-3</v>
      </c>
      <c r="E41" s="168">
        <f ca="1">IF(表2_36716262930381020[[#This Row],[累计净值]]/MAX(INDIRECT("B21:B" &amp; ROW()))-1&lt;E40,表2_36716262930381020[[#This Row],[累计净值]]/MAX(INDIRECT("B21:B" &amp; ROW()))-1,E40)</f>
        <v>-1.170819573701587E-2</v>
      </c>
      <c r="F41" s="169">
        <f>表2_36716262930381020[[#This Row],[累计净值]]</f>
        <v>0.98870000000000002</v>
      </c>
      <c r="G41" s="170">
        <f>表2_36716262930381020[[#This Row],[累计净值]]/$B$21-1</f>
        <v>-2.5221953188054869E-3</v>
      </c>
    </row>
    <row r="42" spans="1:7">
      <c r="A42" s="161">
        <v>43804</v>
      </c>
      <c r="B42" s="162">
        <v>0.98209999999999997</v>
      </c>
      <c r="C42" s="171">
        <f>IFERROR(B42-B41,0)</f>
        <v>-6.6000000000000503E-3</v>
      </c>
      <c r="D42" s="168">
        <f>IF(C42&lt;0,C42,"/")</f>
        <v>-6.6000000000000503E-3</v>
      </c>
      <c r="E42" s="168">
        <f ca="1">IF(表2_36716262930381020[[#This Row],[累计净值]]/MAX(INDIRECT("B21:B" &amp; ROW()))-1&lt;E41,表2_36716262930381020[[#This Row],[累计净值]]/MAX(INDIRECT("B21:B" &amp; ROW()))-1,E41)</f>
        <v>-1.7212048433903782E-2</v>
      </c>
      <c r="F42" s="169">
        <f>表2_36716262930381020[[#This Row],[累计净值]]</f>
        <v>0.98209999999999997</v>
      </c>
      <c r="G42" s="170">
        <f>表2_36716262930381020[[#This Row],[累计净值]]/$B$21-1</f>
        <v>-9.1807909604519899E-3</v>
      </c>
    </row>
    <row r="43" spans="1:7">
      <c r="A43" s="161">
        <v>43805</v>
      </c>
      <c r="B43" s="162">
        <v>0.97719999999999996</v>
      </c>
      <c r="C43" s="171">
        <f>IFERROR(B43-B42,0)</f>
        <v>-4.9000000000000155E-3</v>
      </c>
      <c r="D43" s="168">
        <f>IF(C43&lt;0,C43,"/")</f>
        <v>-4.9000000000000155E-3</v>
      </c>
      <c r="E43" s="168">
        <f ca="1">IF(表2_36716262930381020[[#This Row],[累计净值]]/MAX(INDIRECT("B21:B" &amp; ROW()))-1&lt;E42,表2_36716262930381020[[#This Row],[累计净值]]/MAX(INDIRECT("B21:B" &amp; ROW()))-1,E42)</f>
        <v>-2.2115480836585655E-2</v>
      </c>
      <c r="F43" s="169">
        <f>表2_36716262930381020[[#This Row],[累计净值]]</f>
        <v>0.97719999999999996</v>
      </c>
      <c r="G43" s="170">
        <f>表2_36716262930381020[[#This Row],[累计净值]]/$B$21-1</f>
        <v>-1.4124293785310771E-2</v>
      </c>
    </row>
    <row r="44" spans="1:7">
      <c r="A44" s="161">
        <v>43808</v>
      </c>
      <c r="B44" s="162">
        <v>0.99760000000000004</v>
      </c>
      <c r="C44" s="171">
        <f>IFERROR(B44-B43,0)</f>
        <v>2.0400000000000085E-2</v>
      </c>
      <c r="D44" s="168" t="str">
        <f>IF(C44&lt;0,C44,"/")</f>
        <v>/</v>
      </c>
      <c r="E44" s="168">
        <f ca="1">IF(表2_36716262930381020[[#This Row],[累计净值]]/MAX(INDIRECT("B21:B" &amp; ROW()))-1&lt;E43,表2_36716262930381020[[#This Row],[累计净值]]/MAX(INDIRECT("B21:B" &amp; ROW()))-1,E43)</f>
        <v>-2.2115480836585655E-2</v>
      </c>
      <c r="F44" s="169">
        <f>表2_36716262930381020[[#This Row],[累计净值]]</f>
        <v>0.99760000000000004</v>
      </c>
      <c r="G44" s="170">
        <f>表2_36716262930381020[[#This Row],[累计净值]]/$B$21-1</f>
        <v>6.4568200161421174E-3</v>
      </c>
    </row>
    <row r="45" spans="1:7">
      <c r="A45" s="161">
        <v>43809</v>
      </c>
      <c r="B45" s="162">
        <v>1.0014000000000001</v>
      </c>
      <c r="C45" s="171">
        <f>IFERROR(B45-B44,0)</f>
        <v>3.8000000000000256E-3</v>
      </c>
      <c r="D45" s="168" t="str">
        <f>IF(C45&lt;0,C45,"/")</f>
        <v>/</v>
      </c>
      <c r="E45" s="168">
        <f ca="1">IF(表2_36716262930381020[[#This Row],[累计净值]]/MAX(INDIRECT("B21:B" &amp; ROW()))-1&lt;E44,表2_36716262930381020[[#This Row],[累计净值]]/MAX(INDIRECT("B21:B" &amp; ROW()))-1,E44)</f>
        <v>-2.2115480836585655E-2</v>
      </c>
      <c r="F45" s="169">
        <f>表2_36716262930381020[[#This Row],[累计净值]]</f>
        <v>1.0014000000000001</v>
      </c>
      <c r="G45" s="170">
        <f>表2_36716262930381020[[#This Row],[累计净值]]/$B$21-1</f>
        <v>1.0290556900726555E-2</v>
      </c>
    </row>
    <row r="46" spans="1:7">
      <c r="A46" s="161">
        <v>43810</v>
      </c>
      <c r="B46" s="162">
        <v>1</v>
      </c>
      <c r="C46" s="171">
        <f>IFERROR(B46-B45,0)</f>
        <v>-1.4000000000000679E-3</v>
      </c>
      <c r="D46" s="168">
        <f>IF(C46&lt;0,C46,"/")</f>
        <v>-1.4000000000000679E-3</v>
      </c>
      <c r="E46" s="168">
        <f ca="1">IF(表2_36716262930381020[[#This Row],[累计净值]]/MAX(INDIRECT("B21:B" &amp; ROW()))-1&lt;E45,表2_36716262930381020[[#This Row],[累计净值]]/MAX(INDIRECT("B21:B" &amp; ROW()))-1,E45)</f>
        <v>-2.2115480836585655E-2</v>
      </c>
      <c r="F46" s="169">
        <f>表2_36716262930381020[[#This Row],[累计净值]]</f>
        <v>1</v>
      </c>
      <c r="G46" s="170">
        <f>表2_36716262930381020[[#This Row],[累计净值]]/$B$21-1</f>
        <v>8.8781275221954115E-3</v>
      </c>
    </row>
    <row r="47" spans="1:7">
      <c r="A47" s="161">
        <v>43811</v>
      </c>
      <c r="B47" s="162">
        <v>1.0011000000000001</v>
      </c>
      <c r="C47" s="171">
        <f t="shared" ref="C47:C60" si="2">IFERROR(B47-B46,0)</f>
        <v>1.1000000000001009E-3</v>
      </c>
      <c r="D47" s="168" t="str">
        <f t="shared" ref="D47:D60" si="3">IF(C47&lt;0,C47,"/")</f>
        <v>/</v>
      </c>
      <c r="E47" s="168">
        <f ca="1">IF(表2_36716262930381020[[#This Row],[累计净值]]/MAX(INDIRECT("B21:B" &amp; ROW()))-1&lt;E46,表2_36716262930381020[[#This Row],[累计净值]]/MAX(INDIRECT("B21:B" &amp; ROW()))-1,E46)</f>
        <v>-2.2115480836585655E-2</v>
      </c>
      <c r="F47" s="169">
        <f>表2_36716262930381020[[#This Row],[累计净值]]</f>
        <v>1.0011000000000001</v>
      </c>
      <c r="G47" s="170">
        <f>表2_36716262930381020[[#This Row],[累计净值]]/$B$21-1</f>
        <v>9.9878934624699767E-3</v>
      </c>
    </row>
    <row r="48" spans="1:7">
      <c r="A48" s="161">
        <v>43812</v>
      </c>
      <c r="B48" s="162">
        <v>1.0013000000000001</v>
      </c>
      <c r="C48" s="171">
        <f t="shared" si="2"/>
        <v>1.9999999999997797E-4</v>
      </c>
      <c r="D48" s="168" t="str">
        <f t="shared" si="3"/>
        <v>/</v>
      </c>
      <c r="E48" s="168">
        <f ca="1">IF(表2_36716262930381020[[#This Row],[累计净值]]/MAX(INDIRECT("B21:B" &amp; ROW()))-1&lt;E47,表2_36716262930381020[[#This Row],[累计净值]]/MAX(INDIRECT("B21:B" &amp; ROW()))-1,E47)</f>
        <v>-2.2115480836585655E-2</v>
      </c>
      <c r="F48" s="169">
        <f>表2_36716262930381020[[#This Row],[累计净值]]</f>
        <v>1.0013000000000001</v>
      </c>
      <c r="G48" s="170">
        <f>表2_36716262930381020[[#This Row],[累计净值]]/$B$21-1</f>
        <v>1.0189669087974362E-2</v>
      </c>
    </row>
    <row r="49" spans="1:7">
      <c r="A49" s="161">
        <v>43815</v>
      </c>
      <c r="B49" s="162">
        <v>1.0051000000000001</v>
      </c>
      <c r="C49" s="171">
        <f t="shared" si="2"/>
        <v>3.8000000000000256E-3</v>
      </c>
      <c r="D49" s="168" t="str">
        <f t="shared" si="3"/>
        <v>/</v>
      </c>
      <c r="E49" s="168">
        <f ca="1">IF(表2_36716262930381020[[#This Row],[累计净值]]/MAX(INDIRECT("B21:B" &amp; ROW()))-1&lt;E48,表2_36716262930381020[[#This Row],[累计净值]]/MAX(INDIRECT("B21:B" &amp; ROW()))-1,E48)</f>
        <v>-2.2115480836585655E-2</v>
      </c>
      <c r="F49" s="169">
        <f>表2_36716262930381020[[#This Row],[累计净值]]</f>
        <v>1.0051000000000001</v>
      </c>
      <c r="G49" s="170">
        <f>表2_36716262930381020[[#This Row],[累计净值]]/$B$21-1</f>
        <v>1.4023405972558578E-2</v>
      </c>
    </row>
    <row r="50" spans="1:7">
      <c r="A50" s="161">
        <v>43816</v>
      </c>
      <c r="B50" s="162">
        <v>0.99690000000000001</v>
      </c>
      <c r="C50" s="171">
        <f t="shared" si="2"/>
        <v>-8.2000000000000961E-3</v>
      </c>
      <c r="D50" s="168">
        <f t="shared" si="3"/>
        <v>-8.2000000000000961E-3</v>
      </c>
      <c r="E50" s="168">
        <f ca="1">IF(表2_36716262930381020[[#This Row],[累计净值]]/MAX(INDIRECT("B21:B" &amp; ROW()))-1&lt;E49,表2_36716262930381020[[#This Row],[累计净值]]/MAX(INDIRECT("B21:B" &amp; ROW()))-1,E49)</f>
        <v>-2.2115480836585655E-2</v>
      </c>
      <c r="F50" s="169">
        <f>表2_36716262930381020[[#This Row],[累计净值]]</f>
        <v>0.99690000000000001</v>
      </c>
      <c r="G50" s="170">
        <f>表2_36716262930381020[[#This Row],[累计净值]]/$B$21-1</f>
        <v>5.7506053268765456E-3</v>
      </c>
    </row>
    <row r="51" spans="1:7">
      <c r="A51" s="161">
        <v>43817</v>
      </c>
      <c r="B51" s="162">
        <v>0.99670000000000003</v>
      </c>
      <c r="C51" s="171">
        <f t="shared" si="2"/>
        <v>-1.9999999999997797E-4</v>
      </c>
      <c r="D51" s="168">
        <f t="shared" si="3"/>
        <v>-1.9999999999997797E-4</v>
      </c>
      <c r="E51" s="168">
        <f ca="1">IF(表2_36716262930381020[[#This Row],[累计净值]]/MAX(INDIRECT("B21:B" &amp; ROW()))-1&lt;E50,表2_36716262930381020[[#This Row],[累计净值]]/MAX(INDIRECT("B21:B" &amp; ROW()))-1,E50)</f>
        <v>-2.2115480836585655E-2</v>
      </c>
      <c r="F51" s="169">
        <f>表2_36716262930381020[[#This Row],[累计净值]]</f>
        <v>0.99670000000000003</v>
      </c>
      <c r="G51" s="170">
        <f>表2_36716262930381020[[#This Row],[累计净值]]/$B$21-1</f>
        <v>5.5488297013721599E-3</v>
      </c>
    </row>
    <row r="52" spans="1:7">
      <c r="A52" s="161">
        <v>43818</v>
      </c>
      <c r="B52" s="162">
        <v>1.0017</v>
      </c>
      <c r="C52" s="171">
        <f t="shared" si="2"/>
        <v>5.0000000000000044E-3</v>
      </c>
      <c r="D52" s="168" t="str">
        <f t="shared" si="3"/>
        <v>/</v>
      </c>
      <c r="E52" s="168">
        <f ca="1">IF(表2_36716262930381020[[#This Row],[累计净值]]/MAX(INDIRECT("B21:B" &amp; ROW()))-1&lt;E51,表2_36716262930381020[[#This Row],[累计净值]]/MAX(INDIRECT("B21:B" &amp; ROW()))-1,E51)</f>
        <v>-2.2115480836585655E-2</v>
      </c>
      <c r="F52" s="169">
        <f>表2_36716262930381020[[#This Row],[累计净值]]</f>
        <v>1.0017</v>
      </c>
      <c r="G52" s="170">
        <f>表2_36716262930381020[[#This Row],[累计净值]]/$B$21-1</f>
        <v>1.0593220338983134E-2</v>
      </c>
    </row>
    <row r="53" spans="1:7">
      <c r="A53" s="161">
        <v>43819</v>
      </c>
      <c r="B53" s="162">
        <v>1.0072000000000001</v>
      </c>
      <c r="C53" s="171">
        <f t="shared" si="2"/>
        <v>5.5000000000000604E-3</v>
      </c>
      <c r="D53" s="168" t="str">
        <f t="shared" si="3"/>
        <v>/</v>
      </c>
      <c r="E53" s="168">
        <f ca="1">IF(表2_36716262930381020[[#This Row],[累计净值]]/MAX(INDIRECT("B21:B" &amp; ROW()))-1&lt;E52,表2_36716262930381020[[#This Row],[累计净值]]/MAX(INDIRECT("B21:B" &amp; ROW()))-1,E52)</f>
        <v>-2.2115480836585655E-2</v>
      </c>
      <c r="F53" s="169">
        <f>表2_36716262930381020[[#This Row],[累计净值]]</f>
        <v>1.0072000000000001</v>
      </c>
      <c r="G53" s="170">
        <f>表2_36716262930381020[[#This Row],[累计净值]]/$B$21-1</f>
        <v>1.6142050040355294E-2</v>
      </c>
    </row>
    <row r="54" spans="1:7">
      <c r="A54" s="161">
        <v>43822</v>
      </c>
      <c r="B54" s="162">
        <v>1.0105999999999999</v>
      </c>
      <c r="C54" s="171">
        <f t="shared" si="2"/>
        <v>3.3999999999998476E-3</v>
      </c>
      <c r="D54" s="168" t="str">
        <f t="shared" si="3"/>
        <v>/</v>
      </c>
      <c r="E54" s="168">
        <f ca="1">IF(表2_36716262930381020[[#This Row],[累计净值]]/MAX(INDIRECT("B21:B" &amp; ROW()))-1&lt;E53,表2_36716262930381020[[#This Row],[累计净值]]/MAX(INDIRECT("B21:B" &amp; ROW()))-1,E53)</f>
        <v>-2.2115480836585655E-2</v>
      </c>
      <c r="F54" s="169">
        <f>表2_36716262930381020[[#This Row],[累计净值]]</f>
        <v>1.0105999999999999</v>
      </c>
      <c r="G54" s="170">
        <f>表2_36716262930381020[[#This Row],[累计净值]]/$B$21-1</f>
        <v>1.9572235673930516E-2</v>
      </c>
    </row>
    <row r="55" spans="1:7">
      <c r="A55" s="161">
        <v>43823</v>
      </c>
      <c r="B55" s="162">
        <v>1.0085</v>
      </c>
      <c r="C55" s="171">
        <f t="shared" si="2"/>
        <v>-2.0999999999999908E-3</v>
      </c>
      <c r="D55" s="168">
        <f t="shared" si="3"/>
        <v>-2.0999999999999908E-3</v>
      </c>
      <c r="E55" s="168">
        <f ca="1">IF(表2_36716262930381020[[#This Row],[累计净值]]/MAX(INDIRECT("B21:B" &amp; ROW()))-1&lt;E54,表2_36716262930381020[[#This Row],[累计净值]]/MAX(INDIRECT("B21:B" &amp; ROW()))-1,E54)</f>
        <v>-2.2115480836585655E-2</v>
      </c>
      <c r="F55" s="169">
        <f>表2_36716262930381020[[#This Row],[累计净值]]</f>
        <v>1.0085</v>
      </c>
      <c r="G55" s="170">
        <f>表2_36716262930381020[[#This Row],[累计净值]]/$B$21-1</f>
        <v>1.7453591606134022E-2</v>
      </c>
    </row>
    <row r="56" spans="1:7">
      <c r="A56" s="161">
        <v>43824</v>
      </c>
      <c r="B56" s="162">
        <v>1.0082</v>
      </c>
      <c r="C56" s="171">
        <f t="shared" si="2"/>
        <v>-2.9999999999996696E-4</v>
      </c>
      <c r="D56" s="168">
        <f t="shared" si="3"/>
        <v>-2.9999999999996696E-4</v>
      </c>
      <c r="E56" s="168">
        <f ca="1">IF(表2_36716262930381020[[#This Row],[累计净值]]/MAX(INDIRECT("B21:B" &amp; ROW()))-1&lt;E55,表2_36716262930381020[[#This Row],[累计净值]]/MAX(INDIRECT("B21:B" &amp; ROW()))-1,E55)</f>
        <v>-2.2115480836585655E-2</v>
      </c>
      <c r="F56" s="169">
        <f>表2_36716262930381020[[#This Row],[累计净值]]</f>
        <v>1.0082</v>
      </c>
      <c r="G56" s="170">
        <f>表2_36716262930381020[[#This Row],[累计净值]]/$B$21-1</f>
        <v>1.7150928167877444E-2</v>
      </c>
    </row>
    <row r="57" spans="1:7">
      <c r="A57" s="161">
        <v>43825</v>
      </c>
      <c r="B57" s="162">
        <v>1.0065</v>
      </c>
      <c r="C57" s="171">
        <f t="shared" si="2"/>
        <v>-1.7000000000000348E-3</v>
      </c>
      <c r="D57" s="168">
        <f t="shared" si="3"/>
        <v>-1.7000000000000348E-3</v>
      </c>
      <c r="E57" s="168">
        <f ca="1">IF(表2_36716262930381020[[#This Row],[累计净值]]/MAX(INDIRECT("B21:B" &amp; ROW()))-1&lt;E56,表2_36716262930381020[[#This Row],[累计净值]]/MAX(INDIRECT("B21:B" &amp; ROW()))-1,E56)</f>
        <v>-2.2115480836585655E-2</v>
      </c>
      <c r="F57" s="169">
        <f>表2_36716262930381020[[#This Row],[累计净值]]</f>
        <v>1.0065</v>
      </c>
      <c r="G57" s="170">
        <f>表2_36716262930381020[[#This Row],[累计净值]]/$B$21-1</f>
        <v>1.54358353510895E-2</v>
      </c>
    </row>
    <row r="58" spans="1:7">
      <c r="A58" s="161">
        <v>43826</v>
      </c>
      <c r="B58" s="178">
        <v>1.0145</v>
      </c>
      <c r="C58" s="171">
        <f t="shared" si="2"/>
        <v>8.0000000000000071E-3</v>
      </c>
      <c r="D58" s="168" t="str">
        <f t="shared" si="3"/>
        <v>/</v>
      </c>
      <c r="E58" s="168">
        <f ca="1">IF(表2_36716262930381020[[#This Row],[累计净值]]/MAX(INDIRECT("B21:B" &amp; ROW()))-1&lt;E57,表2_36716262930381020[[#This Row],[累计净值]]/MAX(INDIRECT("B21:B" &amp; ROW()))-1,E57)</f>
        <v>-2.2115480836585655E-2</v>
      </c>
      <c r="F58" s="169">
        <f>表2_36716262930381020[[#This Row],[累计净值]]</f>
        <v>1.0145</v>
      </c>
      <c r="G58" s="170">
        <f>表2_36716262930381020[[#This Row],[累计净值]]/$B$21-1</f>
        <v>2.3506860371267146E-2</v>
      </c>
    </row>
    <row r="59" spans="1:7">
      <c r="A59" s="161">
        <v>43829</v>
      </c>
      <c r="B59" s="162">
        <v>1.0094000000000001</v>
      </c>
      <c r="C59" s="171">
        <f t="shared" si="2"/>
        <v>-5.0999999999998824E-3</v>
      </c>
      <c r="D59" s="168">
        <f t="shared" si="3"/>
        <v>-5.0999999999998824E-3</v>
      </c>
      <c r="E59" s="168">
        <f ca="1">IF(表2_36716262930381020[[#This Row],[累计净值]]/MAX(INDIRECT("B21:B" &amp; ROW()))-1&lt;E58,表2_36716262930381020[[#This Row],[累计净值]]/MAX(INDIRECT("B21:B" &amp; ROW()))-1,E58)</f>
        <v>-2.2115480836585655E-2</v>
      </c>
      <c r="F59" s="169">
        <f>表2_36716262930381020[[#This Row],[累计净值]]</f>
        <v>1.0094000000000001</v>
      </c>
      <c r="G59" s="170">
        <f>表2_36716262930381020[[#This Row],[累计净值]]/$B$21-1</f>
        <v>1.836158192090398E-2</v>
      </c>
    </row>
    <row r="60" spans="1:7">
      <c r="A60" s="161">
        <v>43830</v>
      </c>
      <c r="B60" s="162">
        <v>1.0095000000000001</v>
      </c>
      <c r="C60" s="171">
        <f t="shared" si="2"/>
        <v>9.9999999999988987E-5</v>
      </c>
      <c r="D60" s="168" t="str">
        <f t="shared" si="3"/>
        <v>/</v>
      </c>
      <c r="E60" s="168">
        <f ca="1">IF(表2_36716262930381020[[#This Row],[累计净值]]/MAX(INDIRECT("B21:B" &amp; ROW()))-1&lt;E59,表2_36716262930381020[[#This Row],[累计净值]]/MAX(INDIRECT("B21:B" &amp; ROW()))-1,E59)</f>
        <v>-2.2115480836585655E-2</v>
      </c>
      <c r="F60" s="169">
        <f>表2_36716262930381020[[#This Row],[累计净值]]</f>
        <v>1.0095000000000001</v>
      </c>
      <c r="G60" s="170">
        <f>表2_36716262930381020[[#This Row],[累计净值]]/$B$21-1</f>
        <v>1.8462469733656173E-2</v>
      </c>
    </row>
    <row r="61" spans="1:7">
      <c r="A61" s="161">
        <v>43832</v>
      </c>
      <c r="B61" s="162">
        <v>1.0079</v>
      </c>
      <c r="C61" s="171">
        <f>IFERROR(B61-B60,0)</f>
        <v>-1.6000000000000458E-3</v>
      </c>
      <c r="D61" s="168">
        <f>IF(C61&lt;0,C61,"/")</f>
        <v>-1.6000000000000458E-3</v>
      </c>
      <c r="E61" s="168">
        <f ca="1">IF(表2_36716262930381020[[#This Row],[累计净值]]/MAX(INDIRECT("B21:B" &amp; ROW()))-1&lt;E60,表2_36716262930381020[[#This Row],[累计净值]]/MAX(INDIRECT("B21:B" &amp; ROW()))-1,E60)</f>
        <v>-2.2115480836585655E-2</v>
      </c>
      <c r="F61" s="169">
        <f>表2_36716262930381020[[#This Row],[累计净值]]</f>
        <v>1.0079</v>
      </c>
      <c r="G61" s="170">
        <f>表2_36716262930381020[[#This Row],[累计净值]]/$B$21-1</f>
        <v>1.6848264729620643E-2</v>
      </c>
    </row>
    <row r="62" spans="1:7">
      <c r="A62" s="161">
        <v>43833</v>
      </c>
      <c r="B62" s="162">
        <v>1.0132000000000001</v>
      </c>
      <c r="C62" s="171">
        <f>IFERROR(B62-B61,0)</f>
        <v>5.3000000000000824E-3</v>
      </c>
      <c r="D62" s="168" t="str">
        <f>IF(C62&lt;0,C62,"/")</f>
        <v>/</v>
      </c>
      <c r="E62" s="168">
        <f ca="1">IF(表2_36716262930381020[[#This Row],[累计净值]]/MAX(INDIRECT("B21:B" &amp; ROW()))-1&lt;E61,表2_36716262930381020[[#This Row],[累计净值]]/MAX(INDIRECT("B21:B" &amp; ROW()))-1,E61)</f>
        <v>-2.2115480836585655E-2</v>
      </c>
      <c r="F62" s="169">
        <f>表2_36716262930381020[[#This Row],[累计净值]]</f>
        <v>1.0132000000000001</v>
      </c>
      <c r="G62" s="170">
        <f>表2_36716262930381020[[#This Row],[累计净值]]/$B$21-1</f>
        <v>2.2195318805488418E-2</v>
      </c>
    </row>
    <row r="63" spans="1:7">
      <c r="A63" s="161">
        <v>43836</v>
      </c>
      <c r="B63" s="162">
        <v>1.0076000000000001</v>
      </c>
      <c r="C63" s="171">
        <f t="shared" ref="C63:C126" si="4">IFERROR(B63-B62,0)</f>
        <v>-5.6000000000000494E-3</v>
      </c>
      <c r="D63" s="168">
        <f t="shared" ref="D63:D126" si="5">IF(C63&lt;0,C63,"/")</f>
        <v>-5.6000000000000494E-3</v>
      </c>
      <c r="E63" s="168">
        <f ca="1">IF(表2_36716262930381020[[#This Row],[累计净值]]/MAX(INDIRECT("B21:B" &amp; ROW()))-1&lt;E62,表2_36716262930381020[[#This Row],[累计净值]]/MAX(INDIRECT("B21:B" &amp; ROW()))-1,E62)</f>
        <v>-2.2115480836585655E-2</v>
      </c>
      <c r="F63" s="169">
        <f>表2_36716262930381020[[#This Row],[累计净值]]</f>
        <v>1.0076000000000001</v>
      </c>
      <c r="G63" s="170">
        <f>表2_36716262930381020[[#This Row],[累计净值]]/$B$21-1</f>
        <v>1.6545601291364065E-2</v>
      </c>
    </row>
    <row r="64" spans="1:7">
      <c r="A64" s="161">
        <v>43837</v>
      </c>
      <c r="B64" s="162">
        <v>1.0017</v>
      </c>
      <c r="C64" s="171">
        <f t="shared" si="4"/>
        <v>-5.9000000000000163E-3</v>
      </c>
      <c r="D64" s="168">
        <f t="shared" si="5"/>
        <v>-5.9000000000000163E-3</v>
      </c>
      <c r="E64" s="168">
        <f ca="1">IF(表2_36716262930381020[[#This Row],[累计净值]]/MAX(INDIRECT("B21:B" &amp; ROW()))-1&lt;E63,表2_36716262930381020[[#This Row],[累计净值]]/MAX(INDIRECT("B21:B" &amp; ROW()))-1,E63)</f>
        <v>-2.2115480836585655E-2</v>
      </c>
      <c r="F64" s="169">
        <f>表2_36716262930381020[[#This Row],[累计净值]]</f>
        <v>1.0017</v>
      </c>
      <c r="G64" s="170">
        <f>表2_36716262930381020[[#This Row],[累计净值]]/$B$21-1</f>
        <v>1.0593220338983134E-2</v>
      </c>
    </row>
    <row r="65" spans="1:7">
      <c r="A65" s="161">
        <v>43838</v>
      </c>
      <c r="B65" s="162">
        <v>1.0035000000000001</v>
      </c>
      <c r="C65" s="171">
        <f t="shared" si="4"/>
        <v>1.8000000000000238E-3</v>
      </c>
      <c r="D65" s="168" t="str">
        <f t="shared" si="5"/>
        <v>/</v>
      </c>
      <c r="E65" s="168">
        <f ca="1">IF(表2_36716262930381020[[#This Row],[累计净值]]/MAX(INDIRECT("B21:B" &amp; ROW()))-1&lt;E64,表2_36716262930381020[[#This Row],[累计净值]]/MAX(INDIRECT("B21:B" &amp; ROW()))-1,E64)</f>
        <v>-2.2115480836585655E-2</v>
      </c>
      <c r="F65" s="169">
        <f>表2_36716262930381020[[#This Row],[累计净值]]</f>
        <v>1.0035000000000001</v>
      </c>
      <c r="G65" s="170">
        <f>表2_36716262930381020[[#This Row],[累计净值]]/$B$21-1</f>
        <v>1.2409200968523049E-2</v>
      </c>
    </row>
    <row r="66" spans="1:7">
      <c r="A66" s="161">
        <v>43839</v>
      </c>
      <c r="B66" s="162">
        <v>1.0093000000000001</v>
      </c>
      <c r="C66" s="171">
        <f t="shared" si="4"/>
        <v>5.8000000000000274E-3</v>
      </c>
      <c r="D66" s="168" t="str">
        <f t="shared" si="5"/>
        <v>/</v>
      </c>
      <c r="E66" s="168">
        <f ca="1">IF(表2_36716262930381020[[#This Row],[累计净值]]/MAX(INDIRECT("B21:B" &amp; ROW()))-1&lt;E65,表2_36716262930381020[[#This Row],[累计净值]]/MAX(INDIRECT("B21:B" &amp; ROW()))-1,E65)</f>
        <v>-2.2115480836585655E-2</v>
      </c>
      <c r="F66" s="169">
        <f>表2_36716262930381020[[#This Row],[累计净值]]</f>
        <v>1.0093000000000001</v>
      </c>
      <c r="G66" s="170">
        <f>表2_36716262930381020[[#This Row],[累计净值]]/$B$21-1</f>
        <v>1.8260694108151787E-2</v>
      </c>
    </row>
    <row r="67" spans="1:7">
      <c r="A67" s="161">
        <v>43840</v>
      </c>
      <c r="B67" s="162">
        <v>1.0169999999999999</v>
      </c>
      <c r="C67" s="171">
        <f t="shared" si="4"/>
        <v>7.6999999999998181E-3</v>
      </c>
      <c r="D67" s="168" t="str">
        <f t="shared" si="5"/>
        <v>/</v>
      </c>
      <c r="E67" s="168">
        <f ca="1">IF(表2_36716262930381020[[#This Row],[累计净值]]/MAX(INDIRECT("B21:B" &amp; ROW()))-1&lt;E66,表2_36716262930381020[[#This Row],[累计净值]]/MAX(INDIRECT("B21:B" &amp; ROW()))-1,E66)</f>
        <v>-2.2115480836585655E-2</v>
      </c>
      <c r="F67" s="169">
        <f>表2_36716262930381020[[#This Row],[累计净值]]</f>
        <v>1.0169999999999999</v>
      </c>
      <c r="G67" s="170">
        <f>表2_36716262930381020[[#This Row],[累计净值]]/$B$21-1</f>
        <v>2.6029055690072633E-2</v>
      </c>
    </row>
    <row r="68" spans="1:7">
      <c r="A68" s="161">
        <v>43843</v>
      </c>
      <c r="B68" s="178">
        <v>1.0194000000000001</v>
      </c>
      <c r="C68" s="171">
        <f t="shared" si="4"/>
        <v>2.4000000000001798E-3</v>
      </c>
      <c r="D68" s="168" t="str">
        <f t="shared" si="5"/>
        <v>/</v>
      </c>
      <c r="E68" s="168">
        <f ca="1">IF(表2_36716262930381020[[#This Row],[累计净值]]/MAX(INDIRECT("B21:B" &amp; ROW()))-1&lt;E67,表2_36716262930381020[[#This Row],[累计净值]]/MAX(INDIRECT("B21:B" &amp; ROW()))-1,E67)</f>
        <v>-2.2115480836585655E-2</v>
      </c>
      <c r="F68" s="169">
        <f>表2_36716262930381020[[#This Row],[累计净值]]</f>
        <v>1.0194000000000001</v>
      </c>
      <c r="G68" s="170">
        <f>表2_36716262930381020[[#This Row],[累计净值]]/$B$21-1</f>
        <v>2.8450363196125927E-2</v>
      </c>
    </row>
    <row r="69" spans="1:7">
      <c r="A69" s="161">
        <v>43844</v>
      </c>
      <c r="B69" s="162">
        <v>1.0190999999999999</v>
      </c>
      <c r="C69" s="171">
        <f t="shared" si="4"/>
        <v>-3.00000000000189E-4</v>
      </c>
      <c r="D69" s="168">
        <f t="shared" si="5"/>
        <v>-3.00000000000189E-4</v>
      </c>
      <c r="E69" s="168">
        <f ca="1">IF(表2_36716262930381020[[#This Row],[累计净值]]/MAX(INDIRECT("B21:B" &amp; ROW()))-1&lt;E68,表2_36716262930381020[[#This Row],[累计净值]]/MAX(INDIRECT("B21:B" &amp; ROW()))-1,E68)</f>
        <v>-2.2115480836585655E-2</v>
      </c>
      <c r="F69" s="169">
        <f>表2_36716262930381020[[#This Row],[累计净值]]</f>
        <v>1.0190999999999999</v>
      </c>
      <c r="G69" s="170">
        <f>表2_36716262930381020[[#This Row],[累计净值]]/$B$21-1</f>
        <v>2.8147699757869127E-2</v>
      </c>
    </row>
    <row r="70" spans="1:7">
      <c r="A70" s="161">
        <v>43845</v>
      </c>
      <c r="B70" s="162">
        <v>1.0158</v>
      </c>
      <c r="C70" s="171">
        <f t="shared" si="4"/>
        <v>-3.2999999999998586E-3</v>
      </c>
      <c r="D70" s="168">
        <f t="shared" si="5"/>
        <v>-3.2999999999998586E-3</v>
      </c>
      <c r="E70" s="168">
        <f ca="1">IF(表2_36716262930381020[[#This Row],[累计净值]]/MAX(INDIRECT("B21:B" &amp; ROW()))-1&lt;E69,表2_36716262930381020[[#This Row],[累计净值]]/MAX(INDIRECT("B21:B" &amp; ROW()))-1,E69)</f>
        <v>-2.2115480836585655E-2</v>
      </c>
      <c r="F70" s="169">
        <f>表2_36716262930381020[[#This Row],[累计净值]]</f>
        <v>1.0158</v>
      </c>
      <c r="G70" s="170">
        <f>表2_36716262930381020[[#This Row],[累计净值]]/$B$21-1</f>
        <v>2.4818401937046097E-2</v>
      </c>
    </row>
    <row r="71" spans="1:7">
      <c r="A71" s="161">
        <v>43846</v>
      </c>
      <c r="B71" s="162">
        <v>1.0123</v>
      </c>
      <c r="C71" s="171">
        <f t="shared" si="4"/>
        <v>-3.5000000000000586E-3</v>
      </c>
      <c r="D71" s="168">
        <f t="shared" si="5"/>
        <v>-3.5000000000000586E-3</v>
      </c>
      <c r="E71" s="168">
        <f ca="1">IF(表2_36716262930381020[[#This Row],[累计净值]]/MAX(INDIRECT("B21:B" &amp; ROW()))-1&lt;E70,表2_36716262930381020[[#This Row],[累计净值]]/MAX(INDIRECT("B21:B" &amp; ROW()))-1,E70)</f>
        <v>-2.2115480836585655E-2</v>
      </c>
      <c r="F71" s="169">
        <f>表2_36716262930381020[[#This Row],[累计净值]]</f>
        <v>1.0123</v>
      </c>
      <c r="G71" s="170">
        <f>表2_36716262930381020[[#This Row],[累计净值]]/$B$21-1</f>
        <v>2.1287328490718238E-2</v>
      </c>
    </row>
    <row r="72" spans="1:7">
      <c r="A72" s="161">
        <v>43847</v>
      </c>
      <c r="B72" s="162">
        <v>1.0077</v>
      </c>
      <c r="C72" s="171">
        <f t="shared" si="4"/>
        <v>-4.5999999999999375E-3</v>
      </c>
      <c r="D72" s="168">
        <f t="shared" si="5"/>
        <v>-4.5999999999999375E-3</v>
      </c>
      <c r="E72" s="168">
        <f ca="1">IF(表2_36716262930381020[[#This Row],[累计净值]]/MAX(INDIRECT("B21:B" &amp; ROW()))-1&lt;E71,表2_36716262930381020[[#This Row],[累计净值]]/MAX(INDIRECT("B21:B" &amp; ROW()))-1,E71)</f>
        <v>-2.2115480836585655E-2</v>
      </c>
      <c r="F72" s="169">
        <f>表2_36716262930381020[[#This Row],[累计净值]]</f>
        <v>1.0077</v>
      </c>
      <c r="G72" s="170">
        <f>表2_36716262930381020[[#This Row],[累计净值]]/$B$21-1</f>
        <v>1.6646489104116258E-2</v>
      </c>
    </row>
    <row r="73" spans="1:7">
      <c r="A73" s="161">
        <v>43850</v>
      </c>
      <c r="B73" s="162">
        <v>1.0082</v>
      </c>
      <c r="C73" s="171">
        <f t="shared" si="4"/>
        <v>4.9999999999994493E-4</v>
      </c>
      <c r="D73" s="168" t="str">
        <f t="shared" si="5"/>
        <v>/</v>
      </c>
      <c r="E73" s="168">
        <f ca="1">IF(表2_36716262930381020[[#This Row],[累计净值]]/MAX(INDIRECT("B21:B" &amp; ROW()))-1&lt;E72,表2_36716262930381020[[#This Row],[累计净值]]/MAX(INDIRECT("B21:B" &amp; ROW()))-1,E72)</f>
        <v>-2.2115480836585655E-2</v>
      </c>
      <c r="F73" s="169">
        <f>表2_36716262930381020[[#This Row],[累计净值]]</f>
        <v>1.0082</v>
      </c>
      <c r="G73" s="170">
        <f>表2_36716262930381020[[#This Row],[累计净值]]/$B$21-1</f>
        <v>1.7150928167877444E-2</v>
      </c>
    </row>
    <row r="74" spans="1:7">
      <c r="A74" s="161">
        <v>43851</v>
      </c>
      <c r="B74" s="162">
        <v>1.0081</v>
      </c>
      <c r="C74" s="171">
        <f t="shared" si="4"/>
        <v>-9.9999999999988987E-5</v>
      </c>
      <c r="D74" s="168">
        <f t="shared" si="5"/>
        <v>-9.9999999999988987E-5</v>
      </c>
      <c r="E74" s="168">
        <f ca="1">IF(表2_36716262930381020[[#This Row],[累计净值]]/MAX(INDIRECT("B21:B" &amp; ROW()))-1&lt;E73,表2_36716262930381020[[#This Row],[累计净值]]/MAX(INDIRECT("B21:B" &amp; ROW()))-1,E73)</f>
        <v>-2.2115480836585655E-2</v>
      </c>
      <c r="F74" s="169">
        <f>表2_36716262930381020[[#This Row],[累计净值]]</f>
        <v>1.0081</v>
      </c>
      <c r="G74" s="170">
        <f>表2_36716262930381020[[#This Row],[累计净值]]/$B$21-1</f>
        <v>1.7050040355125029E-2</v>
      </c>
    </row>
    <row r="75" spans="1:7">
      <c r="A75" s="161">
        <v>43852</v>
      </c>
      <c r="B75" s="162">
        <v>1.0182</v>
      </c>
      <c r="C75" s="171">
        <f t="shared" si="4"/>
        <v>1.0099999999999998E-2</v>
      </c>
      <c r="D75" s="168" t="str">
        <f t="shared" si="5"/>
        <v>/</v>
      </c>
      <c r="E75" s="168">
        <f ca="1">IF(表2_36716262930381020[[#This Row],[累计净值]]/MAX(INDIRECT("B21:B" &amp; ROW()))-1&lt;E74,表2_36716262930381020[[#This Row],[累计净值]]/MAX(INDIRECT("B21:B" &amp; ROW()))-1,E74)</f>
        <v>-2.2115480836585655E-2</v>
      </c>
      <c r="F75" s="169">
        <f>表2_36716262930381020[[#This Row],[累计净值]]</f>
        <v>1.0182</v>
      </c>
      <c r="G75" s="170">
        <f>表2_36716262930381020[[#This Row],[累计净值]]/$B$21-1</f>
        <v>2.7239709443099391E-2</v>
      </c>
    </row>
    <row r="76" spans="1:7">
      <c r="A76" s="161">
        <v>43853</v>
      </c>
      <c r="B76" s="162">
        <v>1.0244</v>
      </c>
      <c r="C76" s="171">
        <f t="shared" si="4"/>
        <v>6.1999999999999833E-3</v>
      </c>
      <c r="D76" s="168" t="str">
        <f t="shared" si="5"/>
        <v>/</v>
      </c>
      <c r="E76" s="168">
        <f ca="1">IF(表2_36716262930381020[[#This Row],[累计净值]]/MAX(INDIRECT("B21:B" &amp; ROW()))-1&lt;E75,表2_36716262930381020[[#This Row],[累计净值]]/MAX(INDIRECT("B21:B" &amp; ROW()))-1,E75)</f>
        <v>-2.2115480836585655E-2</v>
      </c>
      <c r="F76" s="169">
        <f>表2_36716262930381020[[#This Row],[累计净值]]</f>
        <v>1.0244</v>
      </c>
      <c r="G76" s="170">
        <f>表2_36716262930381020[[#This Row],[累计净值]]/$B$21-1</f>
        <v>3.3494753833736901E-2</v>
      </c>
    </row>
    <row r="77" spans="1:7">
      <c r="A77" s="161">
        <v>43864</v>
      </c>
      <c r="B77" s="162">
        <v>1.0604</v>
      </c>
      <c r="C77" s="171">
        <f t="shared" si="4"/>
        <v>3.6000000000000032E-2</v>
      </c>
      <c r="D77" s="168" t="str">
        <f t="shared" si="5"/>
        <v>/</v>
      </c>
      <c r="E77" s="168">
        <f ca="1">IF(表2_36716262930381020[[#This Row],[累计净值]]/MAX(INDIRECT("B21:B" &amp; ROW()))-1&lt;E76,表2_36716262930381020[[#This Row],[累计净值]]/MAX(INDIRECT("B21:B" &amp; ROW()))-1,E76)</f>
        <v>-2.2115480836585655E-2</v>
      </c>
      <c r="F77" s="169">
        <f>表2_36716262930381020[[#This Row],[累计净值]]</f>
        <v>1.0604</v>
      </c>
      <c r="G77" s="170">
        <f>表2_36716262930381020[[#This Row],[累计净值]]/$B$21-1</f>
        <v>6.9814366424535867E-2</v>
      </c>
    </row>
    <row r="78" spans="1:7">
      <c r="A78" s="161">
        <v>43865</v>
      </c>
      <c r="B78" s="178">
        <v>1.0826</v>
      </c>
      <c r="C78" s="171">
        <f t="shared" si="4"/>
        <v>2.2199999999999998E-2</v>
      </c>
      <c r="D78" s="168" t="str">
        <f t="shared" si="5"/>
        <v>/</v>
      </c>
      <c r="E78" s="168">
        <f ca="1">IF(表2_36716262930381020[[#This Row],[累计净值]]/MAX(INDIRECT("B21:B" &amp; ROW()))-1&lt;E77,表2_36716262930381020[[#This Row],[累计净值]]/MAX(INDIRECT("B21:B" &amp; ROW()))-1,E77)</f>
        <v>-2.2115480836585655E-2</v>
      </c>
      <c r="F78" s="169">
        <f>表2_36716262930381020[[#This Row],[累计净值]]</f>
        <v>1.0826</v>
      </c>
      <c r="G78" s="170">
        <f>表2_36716262930381020[[#This Row],[累计净值]]/$B$21-1</f>
        <v>9.2211460855528671E-2</v>
      </c>
    </row>
    <row r="79" spans="1:7">
      <c r="A79" s="161">
        <v>43866</v>
      </c>
      <c r="B79" s="162">
        <v>1.0819000000000001</v>
      </c>
      <c r="C79" s="171">
        <f t="shared" si="4"/>
        <v>-6.9999999999992291E-4</v>
      </c>
      <c r="D79" s="168">
        <f t="shared" si="5"/>
        <v>-6.9999999999992291E-4</v>
      </c>
      <c r="E79" s="168">
        <f ca="1">IF(表2_36716262930381020[[#This Row],[累计净值]]/MAX(INDIRECT("B21:B" &amp; ROW()))-1&lt;E78,表2_36716262930381020[[#This Row],[累计净值]]/MAX(INDIRECT("B21:B" &amp; ROW()))-1,E78)</f>
        <v>-2.2115480836585655E-2</v>
      </c>
      <c r="F79" s="169">
        <f>表2_36716262930381020[[#This Row],[累计净值]]</f>
        <v>1.0819000000000001</v>
      </c>
      <c r="G79" s="170">
        <f>表2_36716262930381020[[#This Row],[累计净值]]/$B$21-1</f>
        <v>9.1505246166263321E-2</v>
      </c>
    </row>
    <row r="80" spans="1:7">
      <c r="A80" s="161">
        <v>43867</v>
      </c>
      <c r="B80" s="162">
        <v>1.0809</v>
      </c>
      <c r="C80" s="171">
        <f t="shared" si="4"/>
        <v>-1.0000000000001119E-3</v>
      </c>
      <c r="D80" s="168">
        <f t="shared" si="5"/>
        <v>-1.0000000000001119E-3</v>
      </c>
      <c r="E80" s="168">
        <f ca="1">IF(表2_36716262930381020[[#This Row],[累计净值]]/MAX(INDIRECT("B21:B" &amp; ROW()))-1&lt;E79,表2_36716262930381020[[#This Row],[累计净值]]/MAX(INDIRECT("B21:B" &amp; ROW()))-1,E79)</f>
        <v>-2.2115480836585655E-2</v>
      </c>
      <c r="F80" s="169">
        <f>表2_36716262930381020[[#This Row],[累计净值]]</f>
        <v>1.0809</v>
      </c>
      <c r="G80" s="170">
        <f>表2_36716262930381020[[#This Row],[累计净值]]/$B$21-1</f>
        <v>9.0496368038740949E-2</v>
      </c>
    </row>
    <row r="81" spans="1:7">
      <c r="A81" s="161">
        <v>43868</v>
      </c>
      <c r="B81" s="162">
        <v>1.0759000000000001</v>
      </c>
      <c r="C81" s="171">
        <f t="shared" si="4"/>
        <v>-4.9999999999998934E-3</v>
      </c>
      <c r="D81" s="168">
        <f t="shared" si="5"/>
        <v>-4.9999999999998934E-3</v>
      </c>
      <c r="E81" s="168">
        <f ca="1">IF(表2_36716262930381020[[#This Row],[累计净值]]/MAX(INDIRECT("B21:B" &amp; ROW()))-1&lt;E80,表2_36716262930381020[[#This Row],[累计净值]]/MAX(INDIRECT("B21:B" &amp; ROW()))-1,E80)</f>
        <v>-2.2115480836585655E-2</v>
      </c>
      <c r="F81" s="169">
        <f>表2_36716262930381020[[#This Row],[累计净值]]</f>
        <v>1.0759000000000001</v>
      </c>
      <c r="G81" s="170">
        <f>表2_36716262930381020[[#This Row],[累计净值]]/$B$21-1</f>
        <v>8.5451977401129975E-2</v>
      </c>
    </row>
    <row r="82" spans="1:7">
      <c r="A82" s="161">
        <v>43871</v>
      </c>
      <c r="B82" s="178">
        <v>1.083</v>
      </c>
      <c r="C82" s="171">
        <f t="shared" si="4"/>
        <v>7.0999999999998842E-3</v>
      </c>
      <c r="D82" s="168" t="str">
        <f t="shared" si="5"/>
        <v>/</v>
      </c>
      <c r="E82" s="168">
        <f ca="1">IF(表2_36716262930381020[[#This Row],[累计净值]]/MAX(INDIRECT("B21:B" &amp; ROW()))-1&lt;E81,表2_36716262930381020[[#This Row],[累计净值]]/MAX(INDIRECT("B21:B" &amp; ROW()))-1,E81)</f>
        <v>-2.2115480836585655E-2</v>
      </c>
      <c r="F82" s="169">
        <f>表2_36716262930381020[[#This Row],[累计净值]]</f>
        <v>1.083</v>
      </c>
      <c r="G82" s="170">
        <f>表2_36716262930381020[[#This Row],[累计净值]]/$B$21-1</f>
        <v>9.2615012106537442E-2</v>
      </c>
    </row>
    <row r="83" spans="1:7">
      <c r="A83" s="161">
        <v>43872</v>
      </c>
      <c r="B83" s="162">
        <v>1.0746</v>
      </c>
      <c r="C83" s="171">
        <f t="shared" si="4"/>
        <v>-8.3999999999999631E-3</v>
      </c>
      <c r="D83" s="168">
        <f t="shared" si="5"/>
        <v>-8.3999999999999631E-3</v>
      </c>
      <c r="E83" s="168">
        <f ca="1">IF(表2_36716262930381020[[#This Row],[累计净值]]/MAX(INDIRECT("B21:B" &amp; ROW()))-1&lt;E82,表2_36716262930381020[[#This Row],[累计净值]]/MAX(INDIRECT("B21:B" &amp; ROW()))-1,E82)</f>
        <v>-2.2115480836585655E-2</v>
      </c>
      <c r="F83" s="169">
        <f>表2_36716262930381020[[#This Row],[累计净值]]</f>
        <v>1.0746</v>
      </c>
      <c r="G83" s="170">
        <f>表2_36716262930381020[[#This Row],[累计净值]]/$B$21-1</f>
        <v>8.4140435835351024E-2</v>
      </c>
    </row>
    <row r="84" spans="1:7">
      <c r="A84" s="161">
        <v>43873</v>
      </c>
      <c r="B84" s="162">
        <v>1.0775999999999999</v>
      </c>
      <c r="C84" s="171">
        <f t="shared" si="4"/>
        <v>2.9999999999998916E-3</v>
      </c>
      <c r="D84" s="168" t="str">
        <f t="shared" si="5"/>
        <v>/</v>
      </c>
      <c r="E84" s="168">
        <f ca="1">IF(表2_36716262930381020[[#This Row],[累计净值]]/MAX(INDIRECT("B21:B" &amp; ROW()))-1&lt;E83,表2_36716262930381020[[#This Row],[累计净值]]/MAX(INDIRECT("B21:B" &amp; ROW()))-1,E83)</f>
        <v>-2.2115480836585655E-2</v>
      </c>
      <c r="F84" s="169">
        <f>表2_36716262930381020[[#This Row],[累计净值]]</f>
        <v>1.0775999999999999</v>
      </c>
      <c r="G84" s="170">
        <f>表2_36716262930381020[[#This Row],[累计净值]]/$B$21-1</f>
        <v>8.7167070217917697E-2</v>
      </c>
    </row>
    <row r="85" spans="1:7">
      <c r="A85" s="161">
        <v>43874</v>
      </c>
      <c r="B85" s="162">
        <v>1.0681</v>
      </c>
      <c r="C85" s="171">
        <f t="shared" si="4"/>
        <v>-9.4999999999998419E-3</v>
      </c>
      <c r="D85" s="168">
        <f t="shared" si="5"/>
        <v>-9.4999999999998419E-3</v>
      </c>
      <c r="E85" s="168">
        <f ca="1">IF(表2_36716262930381020[[#This Row],[累计净值]]/MAX(INDIRECT("B21:B" &amp; ROW()))-1&lt;E84,表2_36716262930381020[[#This Row],[累计净值]]/MAX(INDIRECT("B21:B" &amp; ROW()))-1,E84)</f>
        <v>-2.2115480836585655E-2</v>
      </c>
      <c r="F85" s="169">
        <f>表2_36716262930381020[[#This Row],[累计净值]]</f>
        <v>1.0681</v>
      </c>
      <c r="G85" s="170">
        <f>表2_36716262930381020[[#This Row],[累计净值]]/$B$21-1</f>
        <v>7.7582728006456936E-2</v>
      </c>
    </row>
    <row r="86" spans="1:7">
      <c r="A86" s="161">
        <v>43875</v>
      </c>
      <c r="B86" s="162">
        <v>1.0677000000000001</v>
      </c>
      <c r="C86" s="171">
        <f t="shared" si="4"/>
        <v>-3.9999999999995595E-4</v>
      </c>
      <c r="D86" s="168">
        <f t="shared" si="5"/>
        <v>-3.9999999999995595E-4</v>
      </c>
      <c r="E86" s="168">
        <f ca="1">IF(表2_36716262930381020[[#This Row],[累计净值]]/MAX(INDIRECT("B21:B" &amp; ROW()))-1&lt;E85,表2_36716262930381020[[#This Row],[累计净值]]/MAX(INDIRECT("B21:B" &amp; ROW()))-1,E85)</f>
        <v>-2.2115480836585655E-2</v>
      </c>
      <c r="F86" s="169">
        <f>表2_36716262930381020[[#This Row],[累计净值]]</f>
        <v>1.0677000000000001</v>
      </c>
      <c r="G86" s="170">
        <f>表2_36716262930381020[[#This Row],[累计净值]]/$B$21-1</f>
        <v>7.7179176755448164E-2</v>
      </c>
    </row>
    <row r="87" spans="1:7">
      <c r="A87" s="161">
        <v>43878</v>
      </c>
      <c r="B87" s="162">
        <v>1.0671999999999999</v>
      </c>
      <c r="C87" s="171">
        <f t="shared" si="4"/>
        <v>-5.0000000000016698E-4</v>
      </c>
      <c r="D87" s="168">
        <f t="shared" si="5"/>
        <v>-5.0000000000016698E-4</v>
      </c>
      <c r="E87" s="168">
        <f ca="1">IF(表2_36716262930381020[[#This Row],[累计净值]]/MAX(INDIRECT("B21:B" &amp; ROW()))-1&lt;E86,表2_36716262930381020[[#This Row],[累计净值]]/MAX(INDIRECT("B21:B" &amp; ROW()))-1,E86)</f>
        <v>-2.2115480836585655E-2</v>
      </c>
      <c r="F87" s="169">
        <f>表2_36716262930381020[[#This Row],[累计净值]]</f>
        <v>1.0671999999999999</v>
      </c>
      <c r="G87" s="170">
        <f>表2_36716262930381020[[#This Row],[累计净值]]/$B$21-1</f>
        <v>7.6674737691686756E-2</v>
      </c>
    </row>
    <row r="88" spans="1:7">
      <c r="A88" s="161">
        <v>43879</v>
      </c>
      <c r="B88" s="162">
        <v>1.0633999999999999</v>
      </c>
      <c r="C88" s="171">
        <f t="shared" si="4"/>
        <v>-3.8000000000000256E-3</v>
      </c>
      <c r="D88" s="168">
        <f t="shared" si="5"/>
        <v>-3.8000000000000256E-3</v>
      </c>
      <c r="E88" s="168">
        <f ca="1">IF(表2_36716262930381020[[#This Row],[累计净值]]/MAX(INDIRECT("B21:B" &amp; ROW()))-1&lt;E87,表2_36716262930381020[[#This Row],[累计净值]]/MAX(INDIRECT("B21:B" &amp; ROW()))-1,E87)</f>
        <v>-2.2115480836585655E-2</v>
      </c>
      <c r="F88" s="169">
        <f>表2_36716262930381020[[#This Row],[累计净值]]</f>
        <v>1.0633999999999999</v>
      </c>
      <c r="G88" s="170">
        <f>表2_36716262930381020[[#This Row],[累计净值]]/$B$21-1</f>
        <v>7.2841000807102541E-2</v>
      </c>
    </row>
    <row r="89" spans="1:7">
      <c r="A89" s="161">
        <v>43880</v>
      </c>
      <c r="B89" s="162">
        <v>1.0568</v>
      </c>
      <c r="C89" s="171">
        <f t="shared" si="4"/>
        <v>-6.5999999999999392E-3</v>
      </c>
      <c r="D89" s="168">
        <f t="shared" si="5"/>
        <v>-6.5999999999999392E-3</v>
      </c>
      <c r="E89" s="168">
        <f ca="1">IF(表2_36716262930381020[[#This Row],[累计净值]]/MAX(INDIRECT("B21:B" &amp; ROW()))-1&lt;E88,表2_36716262930381020[[#This Row],[累计净值]]/MAX(INDIRECT("B21:B" &amp; ROW()))-1,E88)</f>
        <v>-2.4192059095106133E-2</v>
      </c>
      <c r="F89" s="169">
        <f>表2_36716262930381020[[#This Row],[累计净值]]</f>
        <v>1.0568</v>
      </c>
      <c r="G89" s="170">
        <f>表2_36716262930381020[[#This Row],[累计净值]]/$B$21-1</f>
        <v>6.6182405165456037E-2</v>
      </c>
    </row>
    <row r="90" spans="1:7">
      <c r="A90" s="161">
        <v>43881</v>
      </c>
      <c r="B90" s="162">
        <v>1.0484</v>
      </c>
      <c r="C90" s="171">
        <f t="shared" si="4"/>
        <v>-8.3999999999999631E-3</v>
      </c>
      <c r="D90" s="168">
        <f t="shared" si="5"/>
        <v>-8.3999999999999631E-3</v>
      </c>
      <c r="E90" s="168">
        <f ca="1">IF(表2_36716262930381020[[#This Row],[累计净值]]/MAX(INDIRECT("B21:B" &amp; ROW()))-1&lt;E89,表2_36716262930381020[[#This Row],[累计净值]]/MAX(INDIRECT("B21:B" &amp; ROW()))-1,E89)</f>
        <v>-3.1948291782086802E-2</v>
      </c>
      <c r="F90" s="169">
        <f>表2_36716262930381020[[#This Row],[累计净值]]</f>
        <v>1.0484</v>
      </c>
      <c r="G90" s="170">
        <f>表2_36716262930381020[[#This Row],[累计净值]]/$B$21-1</f>
        <v>5.7707828894269619E-2</v>
      </c>
    </row>
    <row r="91" spans="1:7">
      <c r="A91" s="161">
        <v>43882</v>
      </c>
      <c r="B91" s="162">
        <v>1.0488999999999999</v>
      </c>
      <c r="C91" s="171">
        <f t="shared" si="4"/>
        <v>4.9999999999994493E-4</v>
      </c>
      <c r="D91" s="168" t="str">
        <f t="shared" si="5"/>
        <v>/</v>
      </c>
      <c r="E91" s="168">
        <f ca="1">IF(表2_36716262930381020[[#This Row],[累计净值]]/MAX(INDIRECT("B21:B" &amp; ROW()))-1&lt;E90,表2_36716262930381020[[#This Row],[累计净值]]/MAX(INDIRECT("B21:B" &amp; ROW()))-1,E90)</f>
        <v>-3.1948291782086802E-2</v>
      </c>
      <c r="F91" s="169">
        <f>表2_36716262930381020[[#This Row],[累计净值]]</f>
        <v>1.0488999999999999</v>
      </c>
      <c r="G91" s="170">
        <f>表2_36716262930381020[[#This Row],[累计净值]]/$B$21-1</f>
        <v>5.8212267958030584E-2</v>
      </c>
    </row>
    <row r="92" spans="1:7">
      <c r="A92" s="161">
        <v>43885</v>
      </c>
      <c r="B92" s="162">
        <v>1.071</v>
      </c>
      <c r="C92" s="171">
        <f t="shared" si="4"/>
        <v>2.2100000000000009E-2</v>
      </c>
      <c r="D92" s="168" t="str">
        <f t="shared" si="5"/>
        <v>/</v>
      </c>
      <c r="E92" s="168">
        <f ca="1">IF(表2_36716262930381020[[#This Row],[累计净值]]/MAX(INDIRECT("B21:B" &amp; ROW()))-1&lt;E91,表2_36716262930381020[[#This Row],[累计净值]]/MAX(INDIRECT("B21:B" &amp; ROW()))-1,E91)</f>
        <v>-3.1948291782086802E-2</v>
      </c>
      <c r="F92" s="169">
        <f>表2_36716262930381020[[#This Row],[累计净值]]</f>
        <v>1.071</v>
      </c>
      <c r="G92" s="170">
        <f>表2_36716262930381020[[#This Row],[累计净值]]/$B$21-1</f>
        <v>8.0508474576271194E-2</v>
      </c>
    </row>
    <row r="93" spans="1:7">
      <c r="A93" s="161">
        <v>43886</v>
      </c>
      <c r="B93" s="162">
        <v>1.0738000000000001</v>
      </c>
      <c r="C93" s="171">
        <f t="shared" si="4"/>
        <v>2.8000000000001357E-3</v>
      </c>
      <c r="D93" s="168" t="str">
        <f t="shared" si="5"/>
        <v>/</v>
      </c>
      <c r="E93" s="168">
        <f ca="1">IF(表2_36716262930381020[[#This Row],[累计净值]]/MAX(INDIRECT("B21:B" &amp; ROW()))-1&lt;E92,表2_36716262930381020[[#This Row],[累计净值]]/MAX(INDIRECT("B21:B" &amp; ROW()))-1,E92)</f>
        <v>-3.1948291782086802E-2</v>
      </c>
      <c r="F93" s="169">
        <f>表2_36716262930381020[[#This Row],[累计净值]]</f>
        <v>1.0738000000000001</v>
      </c>
      <c r="G93" s="170">
        <f>表2_36716262930381020[[#This Row],[累计净值]]/$B$21-1</f>
        <v>8.3333333333333481E-2</v>
      </c>
    </row>
    <row r="94" spans="1:7">
      <c r="A94" s="161">
        <v>43887</v>
      </c>
      <c r="B94" s="162">
        <v>1.077</v>
      </c>
      <c r="C94" s="171">
        <f t="shared" si="4"/>
        <v>3.1999999999998696E-3</v>
      </c>
      <c r="D94" s="168" t="str">
        <f t="shared" si="5"/>
        <v>/</v>
      </c>
      <c r="E94" s="168">
        <f ca="1">IF(表2_36716262930381020[[#This Row],[累计净值]]/MAX(INDIRECT("B21:B" &amp; ROW()))-1&lt;E93,表2_36716262930381020[[#This Row],[累计净值]]/MAX(INDIRECT("B21:B" &amp; ROW()))-1,E93)</f>
        <v>-3.1948291782086802E-2</v>
      </c>
      <c r="F94" s="169">
        <f>表2_36716262930381020[[#This Row],[累计净值]]</f>
        <v>1.077</v>
      </c>
      <c r="G94" s="170">
        <f>表2_36716262930381020[[#This Row],[累计净值]]/$B$21-1</f>
        <v>8.6561743341404318E-2</v>
      </c>
    </row>
    <row r="95" spans="1:7">
      <c r="A95" s="161">
        <v>43888</v>
      </c>
      <c r="B95" s="162">
        <v>1.0981000000000001</v>
      </c>
      <c r="C95" s="171">
        <f t="shared" si="4"/>
        <v>2.1100000000000119E-2</v>
      </c>
      <c r="D95" s="168" t="str">
        <f t="shared" si="5"/>
        <v>/</v>
      </c>
      <c r="E95" s="168">
        <f ca="1">IF(表2_36716262930381020[[#This Row],[累计净值]]/MAX(INDIRECT("B21:B" &amp; ROW()))-1&lt;E94,表2_36716262930381020[[#This Row],[累计净值]]/MAX(INDIRECT("B21:B" &amp; ROW()))-1,E94)</f>
        <v>-3.1948291782086802E-2</v>
      </c>
      <c r="F95" s="169">
        <f>表2_36716262930381020[[#This Row],[累计净值]]</f>
        <v>1.0981000000000001</v>
      </c>
      <c r="G95" s="170">
        <f>表2_36716262930381020[[#This Row],[累计净值]]/$B$21-1</f>
        <v>0.10784907183212278</v>
      </c>
    </row>
    <row r="96" spans="1:7">
      <c r="A96" s="161">
        <v>43889</v>
      </c>
      <c r="B96" s="162">
        <v>1.1177999999999999</v>
      </c>
      <c r="C96" s="171">
        <f t="shared" si="4"/>
        <v>1.9699999999999829E-2</v>
      </c>
      <c r="D96" s="168" t="str">
        <f t="shared" si="5"/>
        <v>/</v>
      </c>
      <c r="E96" s="168">
        <f ca="1">IF(表2_36716262930381020[[#This Row],[累计净值]]/MAX(INDIRECT("B21:B" &amp; ROW()))-1&lt;E95,表2_36716262930381020[[#This Row],[累计净值]]/MAX(INDIRECT("B21:B" &amp; ROW()))-1,E95)</f>
        <v>-3.1948291782086802E-2</v>
      </c>
      <c r="F96" s="169">
        <f>表2_36716262930381020[[#This Row],[累计净值]]</f>
        <v>1.1177999999999999</v>
      </c>
      <c r="G96" s="170">
        <f>表2_36716262930381020[[#This Row],[累计净值]]/$B$21-1</f>
        <v>0.12772397094430987</v>
      </c>
    </row>
    <row r="97" spans="1:7">
      <c r="A97" s="161">
        <v>43892</v>
      </c>
      <c r="B97" s="162">
        <v>1.125</v>
      </c>
      <c r="C97" s="171">
        <f t="shared" si="4"/>
        <v>7.2000000000000952E-3</v>
      </c>
      <c r="D97" s="168" t="str">
        <f t="shared" si="5"/>
        <v>/</v>
      </c>
      <c r="E97" s="168">
        <f ca="1">IF(表2_36716262930381020[[#This Row],[累计净值]]/MAX(INDIRECT("B21:B" &amp; ROW()))-1&lt;E96,表2_36716262930381020[[#This Row],[累计净值]]/MAX(INDIRECT("B21:B" &amp; ROW()))-1,E96)</f>
        <v>-3.1948291782086802E-2</v>
      </c>
      <c r="F97" s="169">
        <f>表2_36716262930381020[[#This Row],[累计净值]]</f>
        <v>1.125</v>
      </c>
      <c r="G97" s="170">
        <f>表2_36716262930381020[[#This Row],[累计净值]]/$B$21-1</f>
        <v>0.13498789346246975</v>
      </c>
    </row>
    <row r="98" spans="1:7">
      <c r="A98" s="161">
        <v>43893</v>
      </c>
      <c r="B98" s="162">
        <v>1.1124000000000001</v>
      </c>
      <c r="C98" s="171">
        <f t="shared" si="4"/>
        <v>-1.2599999999999945E-2</v>
      </c>
      <c r="D98" s="168">
        <f t="shared" si="5"/>
        <v>-1.2599999999999945E-2</v>
      </c>
      <c r="E98" s="168">
        <f ca="1">IF(表2_36716262930381020[[#This Row],[累计净值]]/MAX(INDIRECT("B21:B" &amp; ROW()))-1&lt;E97,表2_36716262930381020[[#This Row],[累计净值]]/MAX(INDIRECT("B21:B" &amp; ROW()))-1,E97)</f>
        <v>-3.1948291782086802E-2</v>
      </c>
      <c r="F98" s="169">
        <f>表2_36716262930381020[[#This Row],[累计净值]]</f>
        <v>1.1124000000000001</v>
      </c>
      <c r="G98" s="170">
        <f>表2_36716262930381020[[#This Row],[累计净值]]/$B$21-1</f>
        <v>0.12227602905569013</v>
      </c>
    </row>
    <row r="99" spans="1:7">
      <c r="A99" s="161">
        <v>43894</v>
      </c>
      <c r="B99" s="162">
        <v>1.1195999999999999</v>
      </c>
      <c r="C99" s="171">
        <f t="shared" si="4"/>
        <v>7.1999999999998732E-3</v>
      </c>
      <c r="D99" s="168" t="str">
        <f t="shared" si="5"/>
        <v>/</v>
      </c>
      <c r="E99" s="168">
        <f ca="1">IF(表2_36716262930381020[[#This Row],[累计净值]]/MAX(INDIRECT("B21:B" &amp; ROW()))-1&lt;E98,表2_36716262930381020[[#This Row],[累计净值]]/MAX(INDIRECT("B21:B" &amp; ROW()))-1,E98)</f>
        <v>-3.1948291782086802E-2</v>
      </c>
      <c r="F99" s="169">
        <f>表2_36716262930381020[[#This Row],[累计净值]]</f>
        <v>1.1195999999999999</v>
      </c>
      <c r="G99" s="170">
        <f>表2_36716262930381020[[#This Row],[累计净值]]/$B$21-1</f>
        <v>0.12953995157384979</v>
      </c>
    </row>
    <row r="100" spans="1:7">
      <c r="A100" s="161">
        <v>43895</v>
      </c>
      <c r="B100" s="162">
        <v>1.1215999999999999</v>
      </c>
      <c r="C100" s="171">
        <f t="shared" si="4"/>
        <v>2.0000000000000018E-3</v>
      </c>
      <c r="D100" s="168" t="str">
        <f t="shared" si="5"/>
        <v>/</v>
      </c>
      <c r="E100" s="168">
        <f ca="1">IF(表2_36716262930381020[[#This Row],[累计净值]]/MAX(INDIRECT("B21:B" &amp; ROW()))-1&lt;E99,表2_36716262930381020[[#This Row],[累计净值]]/MAX(INDIRECT("B21:B" &amp; ROW()))-1,E99)</f>
        <v>-3.1948291782086802E-2</v>
      </c>
      <c r="F100" s="169">
        <f>表2_36716262930381020[[#This Row],[累计净值]]</f>
        <v>1.1215999999999999</v>
      </c>
      <c r="G100" s="170">
        <f>表2_36716262930381020[[#This Row],[累计净值]]/$B$21-1</f>
        <v>0.13155770782889431</v>
      </c>
    </row>
    <row r="101" spans="1:7">
      <c r="A101" s="161">
        <v>43896</v>
      </c>
      <c r="B101" s="162">
        <v>1.1299999999999999</v>
      </c>
      <c r="C101" s="171">
        <f t="shared" si="4"/>
        <v>8.3999999999999631E-3</v>
      </c>
      <c r="D101" s="168" t="str">
        <f t="shared" si="5"/>
        <v>/</v>
      </c>
      <c r="E101" s="168">
        <f ca="1">IF(表2_36716262930381020[[#This Row],[累计净值]]/MAX(INDIRECT("B21:B" &amp; ROW()))-1&lt;E100,表2_36716262930381020[[#This Row],[累计净值]]/MAX(INDIRECT("B21:B" &amp; ROW()))-1,E100)</f>
        <v>-3.1948291782086802E-2</v>
      </c>
      <c r="F101" s="169">
        <f>表2_36716262930381020[[#This Row],[累计净值]]</f>
        <v>1.1299999999999999</v>
      </c>
      <c r="G101" s="170">
        <f>表2_36716262930381020[[#This Row],[累计净值]]/$B$21-1</f>
        <v>0.14003228410008073</v>
      </c>
    </row>
    <row r="102" spans="1:7">
      <c r="A102" s="161">
        <v>43899</v>
      </c>
      <c r="B102" s="162">
        <v>1.1452</v>
      </c>
      <c r="C102" s="171">
        <f t="shared" si="4"/>
        <v>1.5200000000000102E-2</v>
      </c>
      <c r="D102" s="168" t="str">
        <f t="shared" si="5"/>
        <v>/</v>
      </c>
      <c r="E102" s="168">
        <f ca="1">IF(表2_36716262930381020[[#This Row],[累计净值]]/MAX(INDIRECT("B21:B" &amp; ROW()))-1&lt;E101,表2_36716262930381020[[#This Row],[累计净值]]/MAX(INDIRECT("B21:B" &amp; ROW()))-1,E101)</f>
        <v>-3.1948291782086802E-2</v>
      </c>
      <c r="F102" s="169">
        <f>表2_36716262930381020[[#This Row],[累计净值]]</f>
        <v>1.1452</v>
      </c>
      <c r="G102" s="170">
        <f>表2_36716262930381020[[#This Row],[累计净值]]/$B$21-1</f>
        <v>0.15536723163841804</v>
      </c>
    </row>
    <row r="103" spans="1:7">
      <c r="A103" s="161">
        <v>43900</v>
      </c>
      <c r="B103" s="162">
        <v>1.1447000000000001</v>
      </c>
      <c r="C103" s="171">
        <f t="shared" si="4"/>
        <v>-4.9999999999994493E-4</v>
      </c>
      <c r="D103" s="168">
        <f t="shared" si="5"/>
        <v>-4.9999999999994493E-4</v>
      </c>
      <c r="E103" s="168">
        <f ca="1">IF(表2_36716262930381020[[#This Row],[累计净值]]/MAX(INDIRECT("B21:B" &amp; ROW()))-1&lt;E102,表2_36716262930381020[[#This Row],[累计净值]]/MAX(INDIRECT("B21:B" &amp; ROW()))-1,E102)</f>
        <v>-3.1948291782086802E-2</v>
      </c>
      <c r="F103" s="169">
        <f>表2_36716262930381020[[#This Row],[累计净值]]</f>
        <v>1.1447000000000001</v>
      </c>
      <c r="G103" s="170">
        <f>表2_36716262930381020[[#This Row],[累计净值]]/$B$21-1</f>
        <v>0.15486279257465707</v>
      </c>
    </row>
    <row r="104" spans="1:7">
      <c r="A104" s="161">
        <v>43901</v>
      </c>
      <c r="B104" s="162">
        <v>1.1466000000000001</v>
      </c>
      <c r="C104" s="171">
        <f t="shared" si="4"/>
        <v>1.9000000000000128E-3</v>
      </c>
      <c r="D104" s="168" t="str">
        <f t="shared" si="5"/>
        <v>/</v>
      </c>
      <c r="E104" s="168">
        <f ca="1">IF(表2_36716262930381020[[#This Row],[累计净值]]/MAX(INDIRECT("B21:B" &amp; ROW()))-1&lt;E103,表2_36716262930381020[[#This Row],[累计净值]]/MAX(INDIRECT("B21:B" &amp; ROW()))-1,E103)</f>
        <v>-3.1948291782086802E-2</v>
      </c>
      <c r="F104" s="169">
        <f>表2_36716262930381020[[#This Row],[累计净值]]</f>
        <v>1.1466000000000001</v>
      </c>
      <c r="G104" s="170">
        <f>表2_36716262930381020[[#This Row],[累计净值]]/$B$21-1</f>
        <v>0.15677966101694918</v>
      </c>
    </row>
    <row r="105" spans="1:7">
      <c r="A105" s="161">
        <v>43902</v>
      </c>
      <c r="B105" s="162">
        <v>1.1586000000000001</v>
      </c>
      <c r="C105" s="171">
        <f t="shared" si="4"/>
        <v>1.2000000000000011E-2</v>
      </c>
      <c r="D105" s="168" t="str">
        <f t="shared" si="5"/>
        <v>/</v>
      </c>
      <c r="E105" s="168">
        <f ca="1">IF(表2_36716262930381020[[#This Row],[累计净值]]/MAX(INDIRECT("B21:B" &amp; ROW()))-1&lt;E104,表2_36716262930381020[[#This Row],[累计净值]]/MAX(INDIRECT("B21:B" &amp; ROW()))-1,E104)</f>
        <v>-3.1948291782086802E-2</v>
      </c>
      <c r="F105" s="169">
        <f>表2_36716262930381020[[#This Row],[累计净值]]</f>
        <v>1.1586000000000001</v>
      </c>
      <c r="G105" s="170">
        <f>表2_36716262930381020[[#This Row],[累计净值]]/$B$21-1</f>
        <v>0.16888619854721565</v>
      </c>
    </row>
    <row r="106" spans="1:7">
      <c r="A106" s="161">
        <v>43903</v>
      </c>
      <c r="B106" s="178">
        <v>1.1617</v>
      </c>
      <c r="C106" s="171">
        <f t="shared" si="4"/>
        <v>3.0999999999998806E-3</v>
      </c>
      <c r="D106" s="168" t="str">
        <f t="shared" si="5"/>
        <v>/</v>
      </c>
      <c r="E106" s="168">
        <f ca="1">IF(表2_36716262930381020[[#This Row],[累计净值]]/MAX(INDIRECT("B21:B" &amp; ROW()))-1&lt;E105,表2_36716262930381020[[#This Row],[累计净值]]/MAX(INDIRECT("B21:B" &amp; ROW()))-1,E105)</f>
        <v>-3.1948291782086802E-2</v>
      </c>
      <c r="F106" s="169">
        <f>表2_36716262930381020[[#This Row],[累计净值]]</f>
        <v>1.1617</v>
      </c>
      <c r="G106" s="170">
        <f>表2_36716262930381020[[#This Row],[累计净值]]/$B$21-1</f>
        <v>0.17201372074253429</v>
      </c>
    </row>
    <row r="107" spans="1:7">
      <c r="A107" s="161">
        <v>43906</v>
      </c>
      <c r="B107" s="162">
        <v>1.1140000000000001</v>
      </c>
      <c r="C107" s="171">
        <f t="shared" si="4"/>
        <v>-4.7699999999999854E-2</v>
      </c>
      <c r="D107" s="168">
        <f t="shared" si="5"/>
        <v>-4.7699999999999854E-2</v>
      </c>
      <c r="E107" s="168">
        <f ca="1">IF(表2_36716262930381020[[#This Row],[累计净值]]/MAX(INDIRECT("B21:B" &amp; ROW()))-1&lt;E106,表2_36716262930381020[[#This Row],[累计净值]]/MAX(INDIRECT("B21:B" &amp; ROW()))-1,E106)</f>
        <v>-4.1060514762847444E-2</v>
      </c>
      <c r="F107" s="169">
        <f>表2_36716262930381020[[#This Row],[累计净值]]</f>
        <v>1.1140000000000001</v>
      </c>
      <c r="G107" s="170">
        <f>表2_36716262930381020[[#This Row],[累计净值]]/$B$21-1</f>
        <v>0.12389023405972566</v>
      </c>
    </row>
    <row r="108" spans="1:7">
      <c r="A108" s="161">
        <v>43907</v>
      </c>
      <c r="B108" s="162">
        <v>1.1183000000000001</v>
      </c>
      <c r="C108" s="171">
        <f t="shared" si="4"/>
        <v>4.2999999999999705E-3</v>
      </c>
      <c r="D108" s="168" t="str">
        <f t="shared" si="5"/>
        <v>/</v>
      </c>
      <c r="E108" s="168">
        <f ca="1">IF(表2_36716262930381020[[#This Row],[累计净值]]/MAX(INDIRECT("B21:B" &amp; ROW()))-1&lt;E107,表2_36716262930381020[[#This Row],[累计净值]]/MAX(INDIRECT("B21:B" &amp; ROW()))-1,E107)</f>
        <v>-4.1060514762847444E-2</v>
      </c>
      <c r="F108" s="169">
        <f>表2_36716262930381020[[#This Row],[累计净值]]</f>
        <v>1.1183000000000001</v>
      </c>
      <c r="G108" s="170">
        <f>表2_36716262930381020[[#This Row],[累计净值]]/$B$21-1</f>
        <v>0.12822841000807106</v>
      </c>
    </row>
    <row r="109" spans="1:7">
      <c r="A109" s="161">
        <v>43908</v>
      </c>
      <c r="B109" s="162">
        <v>1.1523000000000001</v>
      </c>
      <c r="C109" s="171">
        <f t="shared" si="4"/>
        <v>3.400000000000003E-2</v>
      </c>
      <c r="D109" s="168" t="str">
        <f t="shared" si="5"/>
        <v>/</v>
      </c>
      <c r="E109" s="168">
        <f ca="1">IF(表2_36716262930381020[[#This Row],[累计净值]]/MAX(INDIRECT("B21:B" &amp; ROW()))-1&lt;E108,表2_36716262930381020[[#This Row],[累计净值]]/MAX(INDIRECT("B21:B" &amp; ROW()))-1,E108)</f>
        <v>-4.1060514762847444E-2</v>
      </c>
      <c r="F109" s="169">
        <f>表2_36716262930381020[[#This Row],[累计净值]]</f>
        <v>1.1523000000000001</v>
      </c>
      <c r="G109" s="170">
        <f>表2_36716262930381020[[#This Row],[累计净值]]/$B$21-1</f>
        <v>0.16253026634382572</v>
      </c>
    </row>
    <row r="110" spans="1:7">
      <c r="A110" s="161">
        <v>43909</v>
      </c>
      <c r="B110" s="162">
        <v>1.1624000000000001</v>
      </c>
      <c r="C110" s="171">
        <f t="shared" si="4"/>
        <v>1.0099999999999998E-2</v>
      </c>
      <c r="D110" s="168" t="str">
        <f t="shared" si="5"/>
        <v>/</v>
      </c>
      <c r="E110" s="168">
        <f ca="1">IF(表2_36716262930381020[[#This Row],[累计净值]]/MAX(INDIRECT("B21:B" &amp; ROW()))-1&lt;E109,表2_36716262930381020[[#This Row],[累计净值]]/MAX(INDIRECT("B21:B" &amp; ROW()))-1,E109)</f>
        <v>-4.1060514762847444E-2</v>
      </c>
      <c r="F110" s="169">
        <f>表2_36716262930381020[[#This Row],[累计净值]]</f>
        <v>1.1624000000000001</v>
      </c>
      <c r="G110" s="170">
        <f>表2_36716262930381020[[#This Row],[累计净值]]/$B$21-1</f>
        <v>0.17271993543179986</v>
      </c>
    </row>
    <row r="111" spans="1:7">
      <c r="A111" s="161">
        <v>43910</v>
      </c>
      <c r="B111" s="178">
        <v>1.1807000000000001</v>
      </c>
      <c r="C111" s="171">
        <f t="shared" si="4"/>
        <v>1.8299999999999983E-2</v>
      </c>
      <c r="D111" s="168" t="str">
        <f t="shared" si="5"/>
        <v>/</v>
      </c>
      <c r="E111" s="168">
        <f ca="1">IF(表2_36716262930381020[[#This Row],[累计净值]]/MAX(INDIRECT("B21:B" &amp; ROW()))-1&lt;E110,表2_36716262930381020[[#This Row],[累计净值]]/MAX(INDIRECT("B21:B" &amp; ROW()))-1,E110)</f>
        <v>-4.1060514762847444E-2</v>
      </c>
      <c r="F111" s="169">
        <f>表2_36716262930381020[[#This Row],[累计净值]]</f>
        <v>1.1807000000000001</v>
      </c>
      <c r="G111" s="170">
        <f>表2_36716262930381020[[#This Row],[累计净值]]/$B$21-1</f>
        <v>0.19118240516545604</v>
      </c>
    </row>
    <row r="112" spans="1:7">
      <c r="A112" s="161">
        <v>43913</v>
      </c>
      <c r="B112" s="162">
        <v>1.1598999999999999</v>
      </c>
      <c r="C112" s="171">
        <f t="shared" si="4"/>
        <v>-2.0800000000000152E-2</v>
      </c>
      <c r="D112" s="168">
        <f t="shared" si="5"/>
        <v>-2.0800000000000152E-2</v>
      </c>
      <c r="E112" s="168">
        <f ca="1">IF(表2_36716262930381020[[#This Row],[累计净值]]/MAX(INDIRECT("B21:B" &amp; ROW()))-1&lt;E111,表2_36716262930381020[[#This Row],[累计净值]]/MAX(INDIRECT("B21:B" &amp; ROW()))-1,E111)</f>
        <v>-4.1060514762847444E-2</v>
      </c>
      <c r="F112" s="169">
        <f>表2_36716262930381020[[#This Row],[累计净值]]</f>
        <v>1.1598999999999999</v>
      </c>
      <c r="G112" s="170">
        <f>表2_36716262930381020[[#This Row],[累计净值]]/$B$21-1</f>
        <v>0.17019774011299438</v>
      </c>
    </row>
    <row r="113" spans="1:7">
      <c r="A113" s="161">
        <v>43914</v>
      </c>
      <c r="B113" s="162">
        <v>1.1564000000000001</v>
      </c>
      <c r="C113" s="171">
        <f t="shared" si="4"/>
        <v>-3.4999999999998366E-3</v>
      </c>
      <c r="D113" s="168">
        <f t="shared" si="5"/>
        <v>-3.4999999999998366E-3</v>
      </c>
      <c r="E113" s="168">
        <f ca="1">IF(表2_36716262930381020[[#This Row],[累计净值]]/MAX(INDIRECT("B21:B" &amp; ROW()))-1&lt;E112,表2_36716262930381020[[#This Row],[累计净值]]/MAX(INDIRECT("B21:B" &amp; ROW()))-1,E112)</f>
        <v>-4.1060514762847444E-2</v>
      </c>
      <c r="F113" s="169">
        <f>表2_36716262930381020[[#This Row],[累计净值]]</f>
        <v>1.1564000000000001</v>
      </c>
      <c r="G113" s="170">
        <f>表2_36716262930381020[[#This Row],[累计净值]]/$B$21-1</f>
        <v>0.16666666666666674</v>
      </c>
    </row>
    <row r="114" spans="1:7">
      <c r="A114" s="161">
        <v>43915</v>
      </c>
      <c r="B114" s="162">
        <v>1.1526000000000001</v>
      </c>
      <c r="C114" s="171">
        <f t="shared" si="4"/>
        <v>-3.8000000000000256E-3</v>
      </c>
      <c r="D114" s="168">
        <f t="shared" si="5"/>
        <v>-3.8000000000000256E-3</v>
      </c>
      <c r="E114" s="168">
        <f ca="1">IF(表2_36716262930381020[[#This Row],[累计净值]]/MAX(INDIRECT("B21:B" &amp; ROW()))-1&lt;E113,表2_36716262930381020[[#This Row],[累计净值]]/MAX(INDIRECT("B21:B" &amp; ROW()))-1,E113)</f>
        <v>-4.1060514762847444E-2</v>
      </c>
      <c r="F114" s="169">
        <f>表2_36716262930381020[[#This Row],[累计净值]]</f>
        <v>1.1526000000000001</v>
      </c>
      <c r="G114" s="170">
        <f>表2_36716262930381020[[#This Row],[累计净值]]/$B$21-1</f>
        <v>0.16283292978208252</v>
      </c>
    </row>
    <row r="115" spans="1:7">
      <c r="A115" s="161">
        <v>43916</v>
      </c>
      <c r="B115" s="162">
        <v>1.1591</v>
      </c>
      <c r="C115" s="171">
        <f t="shared" si="4"/>
        <v>6.4999999999999503E-3</v>
      </c>
      <c r="D115" s="168" t="str">
        <f t="shared" si="5"/>
        <v>/</v>
      </c>
      <c r="E115" s="168">
        <f ca="1">IF(表2_36716262930381020[[#This Row],[累计净值]]/MAX(INDIRECT("B21:B" &amp; ROW()))-1&lt;E114,表2_36716262930381020[[#This Row],[累计净值]]/MAX(INDIRECT("B21:B" &amp; ROW()))-1,E114)</f>
        <v>-4.1060514762847444E-2</v>
      </c>
      <c r="F115" s="169">
        <f>表2_36716262930381020[[#This Row],[累计净值]]</f>
        <v>1.1591</v>
      </c>
      <c r="G115" s="170">
        <f>表2_36716262930381020[[#This Row],[累计净值]]/$B$21-1</f>
        <v>0.16939063761097661</v>
      </c>
    </row>
    <row r="116" spans="1:7">
      <c r="A116" s="161">
        <v>43917</v>
      </c>
      <c r="B116" s="162">
        <v>1.1593</v>
      </c>
      <c r="C116" s="171">
        <f t="shared" si="4"/>
        <v>1.9999999999997797E-4</v>
      </c>
      <c r="D116" s="168" t="str">
        <f t="shared" si="5"/>
        <v>/</v>
      </c>
      <c r="E116" s="168">
        <f ca="1">IF(表2_36716262930381020[[#This Row],[累计净值]]/MAX(INDIRECT("B21:B" &amp; ROW()))-1&lt;E115,表2_36716262930381020[[#This Row],[累计净值]]/MAX(INDIRECT("B21:B" &amp; ROW()))-1,E115)</f>
        <v>-4.1060514762847444E-2</v>
      </c>
      <c r="F116" s="169">
        <f>表2_36716262930381020[[#This Row],[累计净值]]</f>
        <v>1.1593</v>
      </c>
      <c r="G116" s="170">
        <f>表2_36716262930381020[[#This Row],[累计净值]]/$B$21-1</f>
        <v>0.169592413236481</v>
      </c>
    </row>
    <row r="117" spans="1:7">
      <c r="A117" s="161">
        <v>43920</v>
      </c>
      <c r="B117" s="162">
        <v>1.1753</v>
      </c>
      <c r="C117" s="171">
        <f t="shared" si="4"/>
        <v>1.6000000000000014E-2</v>
      </c>
      <c r="D117" s="168" t="str">
        <f t="shared" si="5"/>
        <v>/</v>
      </c>
      <c r="E117" s="168">
        <f ca="1">IF(表2_36716262930381020[[#This Row],[累计净值]]/MAX(INDIRECT("B21:B" &amp; ROW()))-1&lt;E116,表2_36716262930381020[[#This Row],[累计净值]]/MAX(INDIRECT("B21:B" &amp; ROW()))-1,E116)</f>
        <v>-4.1060514762847444E-2</v>
      </c>
      <c r="F117" s="169">
        <f>表2_36716262930381020[[#This Row],[累计净值]]</f>
        <v>1.1753</v>
      </c>
      <c r="G117" s="170">
        <f>表2_36716262930381020[[#This Row],[累计净值]]/$B$21-1</f>
        <v>0.18573446327683629</v>
      </c>
    </row>
    <row r="118" spans="1:7">
      <c r="A118" s="161">
        <v>43921</v>
      </c>
      <c r="B118" s="162">
        <v>1.1711</v>
      </c>
      <c r="C118" s="171">
        <f t="shared" si="4"/>
        <v>-4.1999999999999815E-3</v>
      </c>
      <c r="D118" s="168">
        <f t="shared" si="5"/>
        <v>-4.1999999999999815E-3</v>
      </c>
      <c r="E118" s="168">
        <f ca="1">IF(表2_36716262930381020[[#This Row],[累计净值]]/MAX(INDIRECT("B21:B" &amp; ROW()))-1&lt;E117,表2_36716262930381020[[#This Row],[累计净值]]/MAX(INDIRECT("B21:B" &amp; ROW()))-1,E117)</f>
        <v>-4.1060514762847444E-2</v>
      </c>
      <c r="F118" s="169">
        <f>表2_36716262930381020[[#This Row],[累计净值]]</f>
        <v>1.1711</v>
      </c>
      <c r="G118" s="170">
        <f>表2_36716262930381020[[#This Row],[累计净值]]/$B$21-1</f>
        <v>0.18149717514124308</v>
      </c>
    </row>
    <row r="119" spans="1:7">
      <c r="A119" s="161">
        <v>43922</v>
      </c>
      <c r="B119" s="162">
        <v>1.1783999999999999</v>
      </c>
      <c r="C119" s="171">
        <f t="shared" si="4"/>
        <v>7.2999999999998622E-3</v>
      </c>
      <c r="D119" s="168" t="str">
        <f t="shared" si="5"/>
        <v>/</v>
      </c>
      <c r="E119" s="168">
        <f ca="1">IF(表2_36716262930381020[[#This Row],[累计净值]]/MAX(INDIRECT("B21:B" &amp; ROW()))-1&lt;E118,表2_36716262930381020[[#This Row],[累计净值]]/MAX(INDIRECT("B21:B" &amp; ROW()))-1,E118)</f>
        <v>-4.1060514762847444E-2</v>
      </c>
      <c r="F119" s="169">
        <f>表2_36716262930381020[[#This Row],[累计净值]]</f>
        <v>1.1783999999999999</v>
      </c>
      <c r="G119" s="170">
        <f>表2_36716262930381020[[#This Row],[累计净值]]/$B$21-1</f>
        <v>0.18886198547215494</v>
      </c>
    </row>
    <row r="120" spans="1:7">
      <c r="A120" s="161">
        <v>43923</v>
      </c>
      <c r="B120" s="162">
        <v>1.1973</v>
      </c>
      <c r="C120" s="171">
        <f t="shared" si="4"/>
        <v>1.8900000000000139E-2</v>
      </c>
      <c r="D120" s="168" t="str">
        <f t="shared" si="5"/>
        <v>/</v>
      </c>
      <c r="E120" s="168">
        <f ca="1">IF(表2_36716262930381020[[#This Row],[累计净值]]/MAX(INDIRECT("B21:B" &amp; ROW()))-1&lt;E119,表2_36716262930381020[[#This Row],[累计净值]]/MAX(INDIRECT("B21:B" &amp; ROW()))-1,E119)</f>
        <v>-4.1060514762847444E-2</v>
      </c>
      <c r="F120" s="169">
        <f>表2_36716262930381020[[#This Row],[累计净值]]</f>
        <v>1.1973</v>
      </c>
      <c r="G120" s="170">
        <f>表2_36716262930381020[[#This Row],[累计净值]]/$B$21-1</f>
        <v>0.20792978208232449</v>
      </c>
    </row>
    <row r="121" spans="1:7">
      <c r="A121" s="161">
        <v>43924</v>
      </c>
      <c r="B121" s="162">
        <v>1.1856</v>
      </c>
      <c r="C121" s="171">
        <f t="shared" si="4"/>
        <v>-1.1700000000000044E-2</v>
      </c>
      <c r="D121" s="168">
        <f t="shared" si="5"/>
        <v>-1.1700000000000044E-2</v>
      </c>
      <c r="E121" s="168">
        <f ca="1">IF(表2_36716262930381020[[#This Row],[累计净值]]/MAX(INDIRECT("B21:B" &amp; ROW()))-1&lt;E120,表2_36716262930381020[[#This Row],[累计净值]]/MAX(INDIRECT("B21:B" &amp; ROW()))-1,E120)</f>
        <v>-4.1060514762847444E-2</v>
      </c>
      <c r="F121" s="169">
        <f>表2_36716262930381020[[#This Row],[累计净值]]</f>
        <v>1.1856</v>
      </c>
      <c r="G121" s="170">
        <f>表2_36716262930381020[[#This Row],[累计净值]]/$B$21-1</f>
        <v>0.19612590799031482</v>
      </c>
    </row>
    <row r="122" spans="1:7">
      <c r="A122" s="161">
        <v>43928</v>
      </c>
      <c r="B122" s="162">
        <v>1.1805000000000001</v>
      </c>
      <c r="C122" s="171">
        <f t="shared" si="4"/>
        <v>-5.0999999999998824E-3</v>
      </c>
      <c r="D122" s="168">
        <f t="shared" si="5"/>
        <v>-5.0999999999998824E-3</v>
      </c>
      <c r="E122" s="168">
        <f ca="1">IF(表2_36716262930381020[[#This Row],[累计净值]]/MAX(INDIRECT("B21:B" &amp; ROW()))-1&lt;E121,表2_36716262930381020[[#This Row],[累计净值]]/MAX(INDIRECT("B21:B" &amp; ROW()))-1,E121)</f>
        <v>-4.1060514762847444E-2</v>
      </c>
      <c r="F122" s="169">
        <f>表2_36716262930381020[[#This Row],[累计净值]]</f>
        <v>1.1805000000000001</v>
      </c>
      <c r="G122" s="170">
        <f>表2_36716262930381020[[#This Row],[累计净值]]/$B$21-1</f>
        <v>0.19098062953995165</v>
      </c>
    </row>
    <row r="123" spans="1:7">
      <c r="A123" s="161">
        <v>43929</v>
      </c>
      <c r="B123" s="162">
        <v>1.1971000000000001</v>
      </c>
      <c r="C123" s="171">
        <f t="shared" si="4"/>
        <v>1.6599999999999948E-2</v>
      </c>
      <c r="D123" s="168" t="str">
        <f t="shared" si="5"/>
        <v>/</v>
      </c>
      <c r="E123" s="168">
        <f ca="1">IF(表2_36716262930381020[[#This Row],[累计净值]]/MAX(INDIRECT("B21:B" &amp; ROW()))-1&lt;E122,表2_36716262930381020[[#This Row],[累计净值]]/MAX(INDIRECT("B21:B" &amp; ROW()))-1,E122)</f>
        <v>-4.1060514762847444E-2</v>
      </c>
      <c r="F123" s="169">
        <f>表2_36716262930381020[[#This Row],[累计净值]]</f>
        <v>1.1971000000000001</v>
      </c>
      <c r="G123" s="170">
        <f>表2_36716262930381020[[#This Row],[累计净值]]/$B$21-1</f>
        <v>0.2077280064568201</v>
      </c>
    </row>
    <row r="124" spans="1:7">
      <c r="A124" s="161">
        <v>43930</v>
      </c>
      <c r="B124" s="162">
        <v>1.2035</v>
      </c>
      <c r="C124" s="171">
        <f t="shared" si="4"/>
        <v>6.3999999999999613E-3</v>
      </c>
      <c r="D124" s="168" t="str">
        <f t="shared" si="5"/>
        <v>/</v>
      </c>
      <c r="E124" s="168">
        <f ca="1">IF(表2_36716262930381020[[#This Row],[累计净值]]/MAX(INDIRECT("B21:B" &amp; ROW()))-1&lt;E123,表2_36716262930381020[[#This Row],[累计净值]]/MAX(INDIRECT("B21:B" &amp; ROW()))-1,E123)</f>
        <v>-4.1060514762847444E-2</v>
      </c>
      <c r="F124" s="169">
        <f>表2_36716262930381020[[#This Row],[累计净值]]</f>
        <v>1.2035</v>
      </c>
      <c r="G124" s="170">
        <f>表2_36716262930381020[[#This Row],[累计净值]]/$B$21-1</f>
        <v>0.21418482647296222</v>
      </c>
    </row>
    <row r="125" spans="1:7">
      <c r="A125" s="161">
        <v>43931</v>
      </c>
      <c r="B125" s="162">
        <v>1.2068000000000001</v>
      </c>
      <c r="C125" s="171">
        <f t="shared" si="4"/>
        <v>3.3000000000000806E-3</v>
      </c>
      <c r="D125" s="168" t="str">
        <f t="shared" si="5"/>
        <v>/</v>
      </c>
      <c r="E125" s="168">
        <f ca="1">IF(表2_36716262930381020[[#This Row],[累计净值]]/MAX(INDIRECT("B21:B" &amp; ROW()))-1&lt;E124,表2_36716262930381020[[#This Row],[累计净值]]/MAX(INDIRECT("B21:B" &amp; ROW()))-1,E124)</f>
        <v>-4.1060514762847444E-2</v>
      </c>
      <c r="F125" s="169">
        <f>表2_36716262930381020[[#This Row],[累计净值]]</f>
        <v>1.2068000000000001</v>
      </c>
      <c r="G125" s="170">
        <f>表2_36716262930381020[[#This Row],[累计净值]]/$B$21-1</f>
        <v>0.21751412429378547</v>
      </c>
    </row>
    <row r="126" spans="1:7">
      <c r="A126" s="161">
        <v>43934</v>
      </c>
      <c r="B126" s="162">
        <v>1.2009000000000001</v>
      </c>
      <c r="C126" s="171">
        <f t="shared" si="4"/>
        <v>-5.9000000000000163E-3</v>
      </c>
      <c r="D126" s="168">
        <f t="shared" si="5"/>
        <v>-5.9000000000000163E-3</v>
      </c>
      <c r="E126" s="168">
        <f ca="1">IF(表2_36716262930381020[[#This Row],[累计净值]]/MAX(INDIRECT("B21:B" &amp; ROW()))-1&lt;E125,表2_36716262930381020[[#This Row],[累计净值]]/MAX(INDIRECT("B21:B" &amp; ROW()))-1,E125)</f>
        <v>-4.1060514762847444E-2</v>
      </c>
      <c r="F126" s="169">
        <f>表2_36716262930381020[[#This Row],[累计净值]]</f>
        <v>1.2009000000000001</v>
      </c>
      <c r="G126" s="170">
        <f>表2_36716262930381020[[#This Row],[累计净值]]/$B$21-1</f>
        <v>0.21156174334140454</v>
      </c>
    </row>
    <row r="127" spans="1:7">
      <c r="A127" s="161">
        <v>43935</v>
      </c>
      <c r="B127" s="162">
        <v>1.2302</v>
      </c>
      <c r="C127" s="171">
        <f t="shared" ref="C127:C164" si="6">IFERROR(B127-B126,0)</f>
        <v>2.9299999999999882E-2</v>
      </c>
      <c r="D127" s="168" t="str">
        <f t="shared" ref="D127:D164" si="7">IF(C127&lt;0,C127,"/")</f>
        <v>/</v>
      </c>
      <c r="E127" s="168">
        <f ca="1">IF(表2_36716262930381020[[#This Row],[累计净值]]/MAX(INDIRECT("B21:B" &amp; ROW()))-1&lt;E126,表2_36716262930381020[[#This Row],[累计净值]]/MAX(INDIRECT("B21:B" &amp; ROW()))-1,E126)</f>
        <v>-4.1060514762847444E-2</v>
      </c>
      <c r="F127" s="169">
        <f>表2_36716262930381020[[#This Row],[累计净值]]</f>
        <v>1.2302</v>
      </c>
      <c r="G127" s="170">
        <f>表2_36716262930381020[[#This Row],[累计净值]]/$B$21-1</f>
        <v>0.24112187247780459</v>
      </c>
    </row>
    <row r="128" spans="1:7">
      <c r="A128" s="161">
        <v>43936</v>
      </c>
      <c r="B128" s="162">
        <v>1.2369000000000001</v>
      </c>
      <c r="C128" s="171">
        <f t="shared" si="6"/>
        <v>6.7000000000001503E-3</v>
      </c>
      <c r="D128" s="168" t="str">
        <f t="shared" si="7"/>
        <v>/</v>
      </c>
      <c r="E128" s="168">
        <f ca="1">IF(表2_36716262930381020[[#This Row],[累计净值]]/MAX(INDIRECT("B21:B" &amp; ROW()))-1&lt;E127,表2_36716262930381020[[#This Row],[累计净值]]/MAX(INDIRECT("B21:B" &amp; ROW()))-1,E127)</f>
        <v>-4.1060514762847444E-2</v>
      </c>
      <c r="F128" s="169">
        <f>表2_36716262930381020[[#This Row],[累计净值]]</f>
        <v>1.2369000000000001</v>
      </c>
      <c r="G128" s="170">
        <f>表2_36716262930381020[[#This Row],[累计净值]]/$B$21-1</f>
        <v>0.24788135593220351</v>
      </c>
    </row>
    <row r="129" spans="1:7">
      <c r="A129" s="161">
        <v>43937</v>
      </c>
      <c r="B129" s="162">
        <v>1.2415</v>
      </c>
      <c r="C129" s="171">
        <f t="shared" si="6"/>
        <v>4.5999999999999375E-3</v>
      </c>
      <c r="D129" s="168" t="str">
        <f t="shared" si="7"/>
        <v>/</v>
      </c>
      <c r="E129" s="168">
        <f ca="1">IF(表2_36716262930381020[[#This Row],[累计净值]]/MAX(INDIRECT("B21:B" &amp; ROW()))-1&lt;E128,表2_36716262930381020[[#This Row],[累计净值]]/MAX(INDIRECT("B21:B" &amp; ROW()))-1,E128)</f>
        <v>-4.1060514762847444E-2</v>
      </c>
      <c r="F129" s="169">
        <f>表2_36716262930381020[[#This Row],[累计净值]]</f>
        <v>1.2415</v>
      </c>
      <c r="G129" s="170">
        <f>表2_36716262930381020[[#This Row],[累计净值]]/$B$21-1</f>
        <v>0.25252219531880549</v>
      </c>
    </row>
    <row r="130" spans="1:7">
      <c r="A130" s="161">
        <v>43938</v>
      </c>
      <c r="B130" s="162">
        <v>1.2484</v>
      </c>
      <c r="C130" s="171">
        <f t="shared" si="6"/>
        <v>6.8999999999999062E-3</v>
      </c>
      <c r="D130" s="168" t="str">
        <f t="shared" si="7"/>
        <v>/</v>
      </c>
      <c r="E130" s="168">
        <f ca="1">IF(表2_36716262930381020[[#This Row],[累计净值]]/MAX(INDIRECT("B21:B" &amp; ROW()))-1&lt;E129,表2_36716262930381020[[#This Row],[累计净值]]/MAX(INDIRECT("B21:B" &amp; ROW()))-1,E129)</f>
        <v>-4.1060514762847444E-2</v>
      </c>
      <c r="F130" s="169">
        <f>表2_36716262930381020[[#This Row],[累计净值]]</f>
        <v>1.2484</v>
      </c>
      <c r="G130" s="170">
        <f>表2_36716262930381020[[#This Row],[累计净值]]/$B$21-1</f>
        <v>0.25948345439870857</v>
      </c>
    </row>
    <row r="131" spans="1:7">
      <c r="A131" s="161">
        <v>43941</v>
      </c>
      <c r="B131" s="162">
        <v>1.2533000000000001</v>
      </c>
      <c r="C131" s="171">
        <f t="shared" si="6"/>
        <v>4.9000000000001265E-3</v>
      </c>
      <c r="D131" s="168" t="str">
        <f t="shared" si="7"/>
        <v>/</v>
      </c>
      <c r="E131" s="168">
        <f ca="1">IF(表2_36716262930381020[[#This Row],[累计净值]]/MAX(INDIRECT("B21:B" &amp; ROW()))-1&lt;E130,表2_36716262930381020[[#This Row],[累计净值]]/MAX(INDIRECT("B21:B" &amp; ROW()))-1,E130)</f>
        <v>-4.1060514762847444E-2</v>
      </c>
      <c r="F131" s="169">
        <f>表2_36716262930381020[[#This Row],[累计净值]]</f>
        <v>1.2533000000000001</v>
      </c>
      <c r="G131" s="170">
        <f>表2_36716262930381020[[#This Row],[累计净值]]/$B$21-1</f>
        <v>0.26442695722356757</v>
      </c>
    </row>
    <row r="132" spans="1:7">
      <c r="A132" s="161">
        <v>43942</v>
      </c>
      <c r="B132" s="162">
        <v>1.2272000000000001</v>
      </c>
      <c r="C132" s="171">
        <f t="shared" si="6"/>
        <v>-2.6100000000000012E-2</v>
      </c>
      <c r="D132" s="168">
        <f t="shared" si="7"/>
        <v>-2.6100000000000012E-2</v>
      </c>
      <c r="E132" s="168">
        <f ca="1">IF(表2_36716262930381020[[#This Row],[累计净值]]/MAX(INDIRECT("B21:B" &amp; ROW()))-1&lt;E131,表2_36716262930381020[[#This Row],[累计净值]]/MAX(INDIRECT("B21:B" &amp; ROW()))-1,E131)</f>
        <v>-4.1060514762847444E-2</v>
      </c>
      <c r="F132" s="169">
        <f>表2_36716262930381020[[#This Row],[累计净值]]</f>
        <v>1.2272000000000001</v>
      </c>
      <c r="G132" s="170">
        <f>表2_36716262930381020[[#This Row],[累计净值]]/$B$21-1</f>
        <v>0.23809523809523814</v>
      </c>
    </row>
    <row r="133" spans="1:7">
      <c r="A133" s="161">
        <v>43943</v>
      </c>
      <c r="B133" s="162">
        <v>1.2474000000000001</v>
      </c>
      <c r="C133" s="171">
        <f t="shared" si="6"/>
        <v>2.0199999999999996E-2</v>
      </c>
      <c r="D133" s="168" t="str">
        <f t="shared" si="7"/>
        <v>/</v>
      </c>
      <c r="E133" s="168">
        <f ca="1">IF(表2_36716262930381020[[#This Row],[累计净值]]/MAX(INDIRECT("B21:B" &amp; ROW()))-1&lt;E132,表2_36716262930381020[[#This Row],[累计净值]]/MAX(INDIRECT("B21:B" &amp; ROW()))-1,E132)</f>
        <v>-4.1060514762847444E-2</v>
      </c>
      <c r="F133" s="169">
        <f>表2_36716262930381020[[#This Row],[累计净值]]</f>
        <v>1.2474000000000001</v>
      </c>
      <c r="G133" s="170">
        <f>表2_36716262930381020[[#This Row],[累计净值]]/$B$21-1</f>
        <v>0.25847457627118664</v>
      </c>
    </row>
    <row r="134" spans="1:7">
      <c r="A134" s="161">
        <v>43944</v>
      </c>
      <c r="B134" s="162">
        <v>1.2618</v>
      </c>
      <c r="C134" s="171">
        <f t="shared" si="6"/>
        <v>1.4399999999999968E-2</v>
      </c>
      <c r="D134" s="168" t="str">
        <f t="shared" si="7"/>
        <v>/</v>
      </c>
      <c r="E134" s="168">
        <f ca="1">IF(表2_36716262930381020[[#This Row],[累计净值]]/MAX(INDIRECT("B21:B" &amp; ROW()))-1&lt;E133,表2_36716262930381020[[#This Row],[累计净值]]/MAX(INDIRECT("B21:B" &amp; ROW()))-1,E133)</f>
        <v>-4.1060514762847444E-2</v>
      </c>
      <c r="F134" s="169">
        <f>表2_36716262930381020[[#This Row],[累计净值]]</f>
        <v>1.2618</v>
      </c>
      <c r="G134" s="170">
        <f>表2_36716262930381020[[#This Row],[累计净值]]/$B$21-1</f>
        <v>0.27300242130750618</v>
      </c>
    </row>
    <row r="135" spans="1:7">
      <c r="A135" s="161">
        <v>43945</v>
      </c>
      <c r="B135" s="162">
        <v>1.2630999999999999</v>
      </c>
      <c r="C135" s="171">
        <f t="shared" si="6"/>
        <v>1.2999999999998568E-3</v>
      </c>
      <c r="D135" s="168" t="str">
        <f t="shared" si="7"/>
        <v>/</v>
      </c>
      <c r="E135" s="168">
        <f ca="1">IF(表2_36716262930381020[[#This Row],[累计净值]]/MAX(INDIRECT("B21:B" &amp; ROW()))-1&lt;E134,表2_36716262930381020[[#This Row],[累计净值]]/MAX(INDIRECT("B21:B" &amp; ROW()))-1,E134)</f>
        <v>-4.1060514762847444E-2</v>
      </c>
      <c r="F135" s="169">
        <f>表2_36716262930381020[[#This Row],[累计净值]]</f>
        <v>1.2630999999999999</v>
      </c>
      <c r="G135" s="170">
        <f>表2_36716262930381020[[#This Row],[累计净值]]/$B$21-1</f>
        <v>0.27431396287328491</v>
      </c>
    </row>
    <row r="136" spans="1:7">
      <c r="A136" s="161">
        <v>43948</v>
      </c>
      <c r="B136" s="162">
        <v>1.2808999999999999</v>
      </c>
      <c r="C136" s="171">
        <f t="shared" si="6"/>
        <v>1.7800000000000038E-2</v>
      </c>
      <c r="D136" s="168" t="str">
        <f t="shared" si="7"/>
        <v>/</v>
      </c>
      <c r="E136" s="168">
        <f ca="1">IF(表2_36716262930381020[[#This Row],[累计净值]]/MAX(INDIRECT("B21:B" &amp; ROW()))-1&lt;E135,表2_36716262930381020[[#This Row],[累计净值]]/MAX(INDIRECT("B21:B" &amp; ROW()))-1,E135)</f>
        <v>-4.1060514762847444E-2</v>
      </c>
      <c r="F136" s="169">
        <f>表2_36716262930381020[[#This Row],[累计净值]]</f>
        <v>1.2808999999999999</v>
      </c>
      <c r="G136" s="170">
        <f>表2_36716262930381020[[#This Row],[累计净值]]/$B$21-1</f>
        <v>0.2922719935431799</v>
      </c>
    </row>
    <row r="137" spans="1:7">
      <c r="A137" s="161">
        <v>43949</v>
      </c>
      <c r="B137" s="162">
        <v>1.2676000000000001</v>
      </c>
      <c r="C137" s="171">
        <f t="shared" si="6"/>
        <v>-1.3299999999999867E-2</v>
      </c>
      <c r="D137" s="168">
        <f t="shared" si="7"/>
        <v>-1.3299999999999867E-2</v>
      </c>
      <c r="E137" s="168">
        <f ca="1">IF(表2_36716262930381020[[#This Row],[累计净值]]/MAX(INDIRECT("B21:B" &amp; ROW()))-1&lt;E136,表2_36716262930381020[[#This Row],[累计净值]]/MAX(INDIRECT("B21:B" &amp; ROW()))-1,E136)</f>
        <v>-4.1060514762847444E-2</v>
      </c>
      <c r="F137" s="169">
        <f>表2_36716262930381020[[#This Row],[累计净值]]</f>
        <v>1.2676000000000001</v>
      </c>
      <c r="G137" s="170">
        <f>表2_36716262930381020[[#This Row],[累计净值]]/$B$21-1</f>
        <v>0.27885391444713492</v>
      </c>
    </row>
    <row r="138" spans="1:7">
      <c r="A138" s="161">
        <v>43950</v>
      </c>
      <c r="B138" s="162">
        <v>1.2585</v>
      </c>
      <c r="C138" s="171">
        <f t="shared" si="6"/>
        <v>-9.100000000000108E-3</v>
      </c>
      <c r="D138" s="168">
        <f t="shared" si="7"/>
        <v>-9.100000000000108E-3</v>
      </c>
      <c r="E138" s="168">
        <f ca="1">IF(表2_36716262930381020[[#This Row],[累计净值]]/MAX(INDIRECT("B21:B" &amp; ROW()))-1&lt;E137,表2_36716262930381020[[#This Row],[累计净值]]/MAX(INDIRECT("B21:B" &amp; ROW()))-1,E137)</f>
        <v>-4.1060514762847444E-2</v>
      </c>
      <c r="F138" s="169">
        <f>表2_36716262930381020[[#This Row],[累计净值]]</f>
        <v>1.2585</v>
      </c>
      <c r="G138" s="170">
        <f>表2_36716262930381020[[#This Row],[累计净值]]/$B$21-1</f>
        <v>0.26967312348668271</v>
      </c>
    </row>
    <row r="139" spans="1:7">
      <c r="A139" s="161">
        <v>43951</v>
      </c>
      <c r="B139" s="162">
        <v>1.2606999999999999</v>
      </c>
      <c r="C139" s="171">
        <f t="shared" si="6"/>
        <v>2.1999999999999797E-3</v>
      </c>
      <c r="D139" s="168" t="str">
        <f t="shared" si="7"/>
        <v>/</v>
      </c>
      <c r="E139" s="168">
        <f ca="1">IF(表2_36716262930381020[[#This Row],[累计净值]]/MAX(INDIRECT("B21:B" &amp; ROW()))-1&lt;E138,表2_36716262930381020[[#This Row],[累计净值]]/MAX(INDIRECT("B21:B" &amp; ROW()))-1,E138)</f>
        <v>-4.1060514762847444E-2</v>
      </c>
      <c r="F139" s="169">
        <f>表2_36716262930381020[[#This Row],[累计净值]]</f>
        <v>1.2606999999999999</v>
      </c>
      <c r="G139" s="170">
        <f>表2_36716262930381020[[#This Row],[累计净值]]/$B$21-1</f>
        <v>0.27189265536723162</v>
      </c>
    </row>
    <row r="140" spans="1:7">
      <c r="A140" s="161">
        <v>43957</v>
      </c>
      <c r="B140" s="162">
        <v>1.2824</v>
      </c>
      <c r="C140" s="171">
        <f t="shared" si="6"/>
        <v>2.1700000000000053E-2</v>
      </c>
      <c r="D140" s="168" t="str">
        <f t="shared" si="7"/>
        <v>/</v>
      </c>
      <c r="E140" s="168">
        <f ca="1">IF(表2_36716262930381020[[#This Row],[累计净值]]/MAX(INDIRECT("B21:B" &amp; ROW()))-1&lt;E139,表2_36716262930381020[[#This Row],[累计净值]]/MAX(INDIRECT("B21:B" &amp; ROW()))-1,E139)</f>
        <v>-4.1060514762847444E-2</v>
      </c>
      <c r="F140" s="169">
        <f>表2_36716262930381020[[#This Row],[累计净值]]</f>
        <v>1.2824</v>
      </c>
      <c r="G140" s="170">
        <f>表2_36716262930381020[[#This Row],[累计净值]]/$B$21-1</f>
        <v>0.29378531073446323</v>
      </c>
    </row>
    <row r="141" spans="1:7">
      <c r="A141" s="161">
        <v>43958</v>
      </c>
      <c r="B141" s="162">
        <v>1.2886</v>
      </c>
      <c r="C141" s="171">
        <f t="shared" si="6"/>
        <v>6.1999999999999833E-3</v>
      </c>
      <c r="D141" s="168" t="str">
        <f t="shared" si="7"/>
        <v>/</v>
      </c>
      <c r="E141" s="168">
        <f ca="1">IF(表2_36716262930381020[[#This Row],[累计净值]]/MAX(INDIRECT("B21:B" &amp; ROW()))-1&lt;E140,表2_36716262930381020[[#This Row],[累计净值]]/MAX(INDIRECT("B21:B" &amp; ROW()))-1,E140)</f>
        <v>-4.1060514762847444E-2</v>
      </c>
      <c r="F141" s="169">
        <f>表2_36716262930381020[[#This Row],[累计净值]]</f>
        <v>1.2886</v>
      </c>
      <c r="G141" s="170">
        <f>表2_36716262930381020[[#This Row],[累计净值]]/$B$21-1</f>
        <v>0.30004035512510097</v>
      </c>
    </row>
    <row r="142" spans="1:7">
      <c r="A142" s="161">
        <v>43959</v>
      </c>
      <c r="B142" s="162">
        <v>1.2915000000000001</v>
      </c>
      <c r="C142" s="171">
        <f t="shared" si="6"/>
        <v>2.9000000000001247E-3</v>
      </c>
      <c r="D142" s="168" t="str">
        <f t="shared" si="7"/>
        <v>/</v>
      </c>
      <c r="E142" s="168">
        <f ca="1">IF(表2_36716262930381020[[#This Row],[累计净值]]/MAX(INDIRECT("B21:B" &amp; ROW()))-1&lt;E141,表2_36716262930381020[[#This Row],[累计净值]]/MAX(INDIRECT("B21:B" &amp; ROW()))-1,E141)</f>
        <v>-4.1060514762847444E-2</v>
      </c>
      <c r="F142" s="169">
        <f>表2_36716262930381020[[#This Row],[累计净值]]</f>
        <v>1.2915000000000001</v>
      </c>
      <c r="G142" s="170">
        <f>表2_36716262930381020[[#This Row],[累计净值]]/$B$21-1</f>
        <v>0.30296610169491545</v>
      </c>
    </row>
    <row r="143" spans="1:7">
      <c r="A143" s="161">
        <v>43962</v>
      </c>
      <c r="B143" s="162">
        <v>1.2935000000000001</v>
      </c>
      <c r="C143" s="171">
        <f t="shared" si="6"/>
        <v>2.0000000000000018E-3</v>
      </c>
      <c r="D143" s="168" t="str">
        <f t="shared" si="7"/>
        <v>/</v>
      </c>
      <c r="E143" s="168">
        <f ca="1">IF(表2_36716262930381020[[#This Row],[累计净值]]/MAX(INDIRECT("B21:B" &amp; ROW()))-1&lt;E142,表2_36716262930381020[[#This Row],[累计净值]]/MAX(INDIRECT("B21:B" &amp; ROW()))-1,E142)</f>
        <v>-4.1060514762847444E-2</v>
      </c>
      <c r="F143" s="169">
        <f>表2_36716262930381020[[#This Row],[累计净值]]</f>
        <v>1.2935000000000001</v>
      </c>
      <c r="G143" s="170">
        <f>表2_36716262930381020[[#This Row],[累计净值]]/$B$21-1</f>
        <v>0.30498385794995975</v>
      </c>
    </row>
    <row r="144" spans="1:7">
      <c r="A144" s="161">
        <v>43963</v>
      </c>
      <c r="B144" s="162">
        <v>1.3030999999999999</v>
      </c>
      <c r="C144" s="171">
        <f t="shared" si="6"/>
        <v>9.5999999999998309E-3</v>
      </c>
      <c r="D144" s="168" t="str">
        <f t="shared" si="7"/>
        <v>/</v>
      </c>
      <c r="E144" s="168">
        <f ca="1">IF(表2_36716262930381020[[#This Row],[累计净值]]/MAX(INDIRECT("B21:B" &amp; ROW()))-1&lt;E143,表2_36716262930381020[[#This Row],[累计净值]]/MAX(INDIRECT("B21:B" &amp; ROW()))-1,E143)</f>
        <v>-4.1060514762847444E-2</v>
      </c>
      <c r="F144" s="169">
        <f>表2_36716262930381020[[#This Row],[累计净值]]</f>
        <v>1.3030999999999999</v>
      </c>
      <c r="G144" s="170">
        <f>表2_36716262930381020[[#This Row],[累计净值]]/$B$21-1</f>
        <v>0.3146690879741727</v>
      </c>
    </row>
    <row r="145" spans="1:8">
      <c r="A145" s="161">
        <v>43964</v>
      </c>
      <c r="B145" s="162">
        <v>1.3117000000000001</v>
      </c>
      <c r="C145" s="171">
        <f t="shared" si="6"/>
        <v>8.6000000000001631E-3</v>
      </c>
      <c r="D145" s="168" t="str">
        <f t="shared" si="7"/>
        <v>/</v>
      </c>
      <c r="E145" s="168">
        <f ca="1">IF(表2_36716262930381020[[#This Row],[累计净值]]/MAX(INDIRECT("B21:B" &amp; ROW()))-1&lt;E144,表2_36716262930381020[[#This Row],[累计净值]]/MAX(INDIRECT("B21:B" &amp; ROW()))-1,E144)</f>
        <v>-4.1060514762847444E-2</v>
      </c>
      <c r="F145" s="169">
        <f>表2_36716262930381020[[#This Row],[累计净值]]</f>
        <v>1.3117000000000001</v>
      </c>
      <c r="G145" s="170">
        <f>表2_36716262930381020[[#This Row],[累计净值]]/$B$21-1</f>
        <v>0.32334543987086373</v>
      </c>
    </row>
    <row r="146" spans="1:8">
      <c r="A146" s="161">
        <v>43965</v>
      </c>
      <c r="B146" s="178">
        <v>1.3169999999999999</v>
      </c>
      <c r="C146" s="171">
        <f t="shared" si="6"/>
        <v>5.2999999999998604E-3</v>
      </c>
      <c r="D146" s="168" t="str">
        <f t="shared" si="7"/>
        <v>/</v>
      </c>
      <c r="E146" s="168">
        <f ca="1">IF(表2_36716262930381020[[#This Row],[累计净值]]/MAX(INDIRECT("B21:B" &amp; ROW()))-1&lt;E145,表2_36716262930381020[[#This Row],[累计净值]]/MAX(INDIRECT("B21:B" &amp; ROW()))-1,E145)</f>
        <v>-4.1060514762847444E-2</v>
      </c>
      <c r="F146" s="169">
        <f>表2_36716262930381020[[#This Row],[累计净值]]</f>
        <v>1.3169999999999999</v>
      </c>
      <c r="G146" s="170">
        <f>表2_36716262930381020[[#This Row],[累计净值]]/$B$21-1</f>
        <v>0.32869249394673128</v>
      </c>
    </row>
    <row r="147" spans="1:8">
      <c r="A147" s="161">
        <v>43966</v>
      </c>
      <c r="B147" s="162">
        <v>1.3072999999999999</v>
      </c>
      <c r="C147" s="171">
        <f t="shared" si="6"/>
        <v>-9.7000000000000419E-3</v>
      </c>
      <c r="D147" s="168">
        <f t="shared" si="7"/>
        <v>-9.7000000000000419E-3</v>
      </c>
      <c r="E147" s="168">
        <f ca="1">IF(表2_36716262930381020[[#This Row],[累计净值]]/MAX(INDIRECT("B21:B" &amp; ROW()))-1&lt;E146,表2_36716262930381020[[#This Row],[累计净值]]/MAX(INDIRECT("B21:B" &amp; ROW()))-1,E146)</f>
        <v>-4.1060514762847444E-2</v>
      </c>
      <c r="F147" s="169">
        <f>表2_36716262930381020[[#This Row],[累计净值]]</f>
        <v>1.3072999999999999</v>
      </c>
      <c r="G147" s="170">
        <f>表2_36716262930381020[[#This Row],[累计净值]]/$B$21-1</f>
        <v>0.31890637610976591</v>
      </c>
    </row>
    <row r="148" spans="1:8">
      <c r="A148" s="161">
        <v>43969</v>
      </c>
      <c r="B148" s="162">
        <v>1.3076000000000001</v>
      </c>
      <c r="C148" s="171">
        <f t="shared" si="6"/>
        <v>3.00000000000189E-4</v>
      </c>
      <c r="D148" s="168" t="str">
        <f t="shared" si="7"/>
        <v>/</v>
      </c>
      <c r="E148" s="168">
        <f ca="1">IF(表2_36716262930381020[[#This Row],[累计净值]]/MAX(INDIRECT("B21:B" &amp; ROW()))-1&lt;E147,表2_36716262930381020[[#This Row],[累计净值]]/MAX(INDIRECT("B21:B" &amp; ROW()))-1,E147)</f>
        <v>-4.1060514762847444E-2</v>
      </c>
      <c r="F148" s="169">
        <f>表2_36716262930381020[[#This Row],[累计净值]]</f>
        <v>1.3076000000000001</v>
      </c>
      <c r="G148" s="170">
        <f>表2_36716262930381020[[#This Row],[累计净值]]/$B$21-1</f>
        <v>0.31920903954802271</v>
      </c>
    </row>
    <row r="149" spans="1:8">
      <c r="A149" s="161">
        <v>43970</v>
      </c>
      <c r="B149" s="162">
        <v>1.3005</v>
      </c>
      <c r="C149" s="171">
        <f t="shared" si="6"/>
        <v>-7.1000000000001062E-3</v>
      </c>
      <c r="D149" s="168">
        <f t="shared" si="7"/>
        <v>-7.1000000000001062E-3</v>
      </c>
      <c r="E149" s="168">
        <f ca="1">IF(表2_36716262930381020[[#This Row],[累计净值]]/MAX(INDIRECT("B21:B" &amp; ROW()))-1&lt;E148,表2_36716262930381020[[#This Row],[累计净值]]/MAX(INDIRECT("B21:B" &amp; ROW()))-1,E148)</f>
        <v>-4.1060514762847444E-2</v>
      </c>
      <c r="F149" s="169">
        <f>表2_36716262930381020[[#This Row],[累计净值]]</f>
        <v>1.3005</v>
      </c>
      <c r="G149" s="170">
        <f>表2_36716262930381020[[#This Row],[累计净值]]/$B$21-1</f>
        <v>0.31204600484261502</v>
      </c>
    </row>
    <row r="150" spans="1:8">
      <c r="A150" s="161">
        <v>43971</v>
      </c>
      <c r="B150" s="162">
        <v>1.2948</v>
      </c>
      <c r="C150" s="171">
        <f t="shared" si="6"/>
        <v>-5.7000000000000384E-3</v>
      </c>
      <c r="D150" s="168">
        <f t="shared" si="7"/>
        <v>-5.7000000000000384E-3</v>
      </c>
      <c r="E150" s="168">
        <f ca="1">IF(表2_36716262930381020[[#This Row],[累计净值]]/MAX(INDIRECT("B21:B" &amp; ROW()))-1&lt;E149,表2_36716262930381020[[#This Row],[累计净值]]/MAX(INDIRECT("B21:B" &amp; ROW()))-1,E149)</f>
        <v>-4.1060514762847444E-2</v>
      </c>
      <c r="F150" s="169">
        <f>表2_36716262930381020[[#This Row],[累计净值]]</f>
        <v>1.2948</v>
      </c>
      <c r="G150" s="170">
        <f>表2_36716262930381020[[#This Row],[累计净值]]/$B$21-1</f>
        <v>0.30629539951573848</v>
      </c>
    </row>
    <row r="151" spans="1:8">
      <c r="A151" s="161">
        <v>43972</v>
      </c>
      <c r="B151" s="162">
        <v>1.2928999999999999</v>
      </c>
      <c r="C151" s="171">
        <f t="shared" si="6"/>
        <v>-1.9000000000000128E-3</v>
      </c>
      <c r="D151" s="168">
        <f t="shared" si="7"/>
        <v>-1.9000000000000128E-3</v>
      </c>
      <c r="E151" s="168">
        <f ca="1">IF(表2_36716262930381020[[#This Row],[累计净值]]/MAX(INDIRECT("B21:B" &amp; ROW()))-1&lt;E150,表2_36716262930381020[[#This Row],[累计净值]]/MAX(INDIRECT("B21:B" &amp; ROW()))-1,E150)</f>
        <v>-4.1060514762847444E-2</v>
      </c>
      <c r="F151" s="169">
        <f>表2_36716262930381020[[#This Row],[累计净值]]</f>
        <v>1.2928999999999999</v>
      </c>
      <c r="G151" s="170">
        <f>表2_36716262930381020[[#This Row],[累计净值]]/$B$21-1</f>
        <v>0.30437853107344637</v>
      </c>
    </row>
    <row r="152" spans="1:8">
      <c r="A152" s="161">
        <v>43973</v>
      </c>
      <c r="B152" s="162">
        <v>1.2968999999999999</v>
      </c>
      <c r="C152" s="171">
        <f t="shared" si="6"/>
        <v>4.0000000000000036E-3</v>
      </c>
      <c r="D152" s="168" t="str">
        <f t="shared" si="7"/>
        <v>/</v>
      </c>
      <c r="E152" s="168">
        <f ca="1">IF(表2_36716262930381020[[#This Row],[累计净值]]/MAX(INDIRECT("B21:B" &amp; ROW()))-1&lt;E151,表2_36716262930381020[[#This Row],[累计净值]]/MAX(INDIRECT("B21:B" &amp; ROW()))-1,E151)</f>
        <v>-4.1060514762847444E-2</v>
      </c>
      <c r="F152" s="169">
        <f>表2_36716262930381020[[#This Row],[累计净值]]</f>
        <v>1.2968999999999999</v>
      </c>
      <c r="G152" s="170">
        <f>表2_36716262930381020[[#This Row],[累计净值]]/$B$21-1</f>
        <v>0.30841404358353519</v>
      </c>
    </row>
    <row r="153" spans="1:8">
      <c r="A153" s="161">
        <v>43976</v>
      </c>
      <c r="B153" s="162">
        <v>1.3004</v>
      </c>
      <c r="C153" s="171">
        <f t="shared" si="6"/>
        <v>3.5000000000000586E-3</v>
      </c>
      <c r="D153" s="168" t="str">
        <f t="shared" si="7"/>
        <v>/</v>
      </c>
      <c r="E153" s="168">
        <f ca="1">IF(表2_36716262930381020[[#This Row],[累计净值]]/MAX(INDIRECT("B21:B" &amp; ROW()))-1&lt;E152,表2_36716262930381020[[#This Row],[累计净值]]/MAX(INDIRECT("B21:B" &amp; ROW()))-1,E152)</f>
        <v>-4.1060514762847444E-2</v>
      </c>
      <c r="F153" s="169">
        <f>表2_36716262930381020[[#This Row],[累计净值]]</f>
        <v>1.3004</v>
      </c>
      <c r="G153" s="170">
        <f>表2_36716262930381020[[#This Row],[累计净值]]/$B$21-1</f>
        <v>0.31194511702986283</v>
      </c>
    </row>
    <row r="154" spans="1:8">
      <c r="A154" s="161">
        <v>43977</v>
      </c>
      <c r="B154" s="162">
        <v>1.2937000000000001</v>
      </c>
      <c r="C154" s="171">
        <f t="shared" si="6"/>
        <v>-6.6999999999999282E-3</v>
      </c>
      <c r="D154" s="168">
        <f t="shared" si="7"/>
        <v>-6.6999999999999282E-3</v>
      </c>
      <c r="E154" s="168">
        <f ca="1">IF(表2_36716262930381020[[#This Row],[累计净值]]/MAX(INDIRECT("B21:B" &amp; ROW()))-1&lt;E153,表2_36716262930381020[[#This Row],[累计净值]]/MAX(INDIRECT("B21:B" &amp; ROW()))-1,E153)</f>
        <v>-4.1060514762847444E-2</v>
      </c>
      <c r="F154" s="169">
        <f>表2_36716262930381020[[#This Row],[累计净值]]</f>
        <v>1.2937000000000001</v>
      </c>
      <c r="G154" s="170">
        <f>表2_36716262930381020[[#This Row],[累计净值]]/$B$21-1</f>
        <v>0.30518563357546413</v>
      </c>
    </row>
    <row r="155" spans="1:8">
      <c r="A155" s="161">
        <v>43978</v>
      </c>
      <c r="B155" s="162">
        <v>1.2790999999999999</v>
      </c>
      <c r="C155" s="171">
        <f t="shared" si="6"/>
        <v>-1.4600000000000168E-2</v>
      </c>
      <c r="D155" s="168">
        <f t="shared" si="7"/>
        <v>-1.4600000000000168E-2</v>
      </c>
      <c r="E155" s="168">
        <f ca="1">IF(表2_36716262930381020[[#This Row],[累计净值]]/MAX(INDIRECT("B21:B" &amp; ROW()))-1&lt;E154,表2_36716262930381020[[#This Row],[累计净值]]/MAX(INDIRECT("B21:B" &amp; ROW()))-1,E154)</f>
        <v>-4.1060514762847444E-2</v>
      </c>
      <c r="F155" s="169">
        <f>表2_36716262930381020[[#This Row],[累计净值]]</f>
        <v>1.2790999999999999</v>
      </c>
      <c r="G155" s="170">
        <f>表2_36716262930381020[[#This Row],[累计净值]]/$B$21-1</f>
        <v>0.29045601291363998</v>
      </c>
    </row>
    <row r="156" spans="1:8">
      <c r="A156" s="173">
        <v>43979</v>
      </c>
      <c r="B156" s="174">
        <v>1.2830999999999999</v>
      </c>
      <c r="C156" s="175">
        <f t="shared" si="6"/>
        <v>4.0000000000000036E-3</v>
      </c>
      <c r="D156" s="164" t="str">
        <f t="shared" si="7"/>
        <v>/</v>
      </c>
      <c r="E156" s="164">
        <f ca="1">IF(表2_36716262930381020[[#This Row],[累计净值]]/MAX(INDIRECT("B21:B" &amp; ROW()))-1&lt;E155,表2_36716262930381020[[#This Row],[累计净值]]/MAX(INDIRECT("B21:B" &amp; ROW()))-1,E155)</f>
        <v>-4.1060514762847444E-2</v>
      </c>
      <c r="F156" s="165">
        <f>表2_36716262930381020[[#This Row],[累计净值]]</f>
        <v>1.2830999999999999</v>
      </c>
      <c r="G156" s="184">
        <f>表2_36716262930381020[[#This Row],[累计净值]]/$B$21-1</f>
        <v>0.29449152542372881</v>
      </c>
      <c r="H156" s="185" t="s">
        <v>30</v>
      </c>
    </row>
    <row r="157" spans="1:8">
      <c r="A157" s="161">
        <v>43980</v>
      </c>
      <c r="B157" s="162">
        <v>1.2912999999999999</v>
      </c>
      <c r="C157" s="171">
        <f t="shared" si="6"/>
        <v>8.1999999999999851E-3</v>
      </c>
      <c r="D157" s="168" t="str">
        <f t="shared" si="7"/>
        <v>/</v>
      </c>
      <c r="E157" s="168">
        <f ca="1">IF(表2_36716262930381020[[#This Row],[累计净值]]/MAX(INDIRECT("B21:B" &amp; ROW()))-1&lt;E156,表2_36716262930381020[[#This Row],[累计净值]]/MAX(INDIRECT("B21:B" &amp; ROW()))-1,E156)</f>
        <v>-4.1060514762847444E-2</v>
      </c>
      <c r="F157" s="169">
        <f>表2_36716262930381020[[#This Row],[累计净值]]</f>
        <v>1.2912999999999999</v>
      </c>
      <c r="G157" s="170">
        <f>表2_36716262930381020[[#This Row],[累计净值]]/$B$21-1</f>
        <v>0.30276432606941084</v>
      </c>
      <c r="H157" s="170">
        <f>表2_36716262930381020[[#This Row],[累计净值]]/$B$156-1</f>
        <v>6.3907723482190537E-3</v>
      </c>
    </row>
    <row r="158" spans="1:8">
      <c r="A158" s="161">
        <v>43983</v>
      </c>
      <c r="B158" s="162">
        <v>1.3016000000000001</v>
      </c>
      <c r="C158" s="171">
        <f t="shared" si="6"/>
        <v>1.0300000000000198E-2</v>
      </c>
      <c r="D158" s="168" t="str">
        <f t="shared" si="7"/>
        <v>/</v>
      </c>
      <c r="E158" s="168">
        <f ca="1">IF(表2_36716262930381020[[#This Row],[累计净值]]/MAX(INDIRECT("B21:B" &amp; ROW()))-1&lt;E157,表2_36716262930381020[[#This Row],[累计净值]]/MAX(INDIRECT("B21:B" &amp; ROW()))-1,E157)</f>
        <v>-4.1060514762847444E-2</v>
      </c>
      <c r="F158" s="169">
        <f>表2_36716262930381020[[#This Row],[累计净值]]</f>
        <v>1.3016000000000001</v>
      </c>
      <c r="G158" s="170">
        <f>表2_36716262930381020[[#This Row],[累计净值]]/$B$21-1</f>
        <v>0.31315577078288959</v>
      </c>
      <c r="H158" s="170">
        <f>表2_36716262930381020[[#This Row],[累计净值]]/$B$156-1</f>
        <v>1.4418205907567705E-2</v>
      </c>
    </row>
    <row r="159" spans="1:8">
      <c r="A159" s="161">
        <v>43984</v>
      </c>
      <c r="B159" s="162">
        <v>1.3066</v>
      </c>
      <c r="C159" s="171">
        <f t="shared" si="6"/>
        <v>4.9999999999998934E-3</v>
      </c>
      <c r="D159" s="168" t="str">
        <f t="shared" si="7"/>
        <v>/</v>
      </c>
      <c r="E159" s="168">
        <f ca="1">IF(表2_36716262930381020[[#This Row],[累计净值]]/MAX(INDIRECT("B21:B" &amp; ROW()))-1&lt;E158,表2_36716262930381020[[#This Row],[累计净值]]/MAX(INDIRECT("B21:B" &amp; ROW()))-1,E158)</f>
        <v>-4.1060514762847444E-2</v>
      </c>
      <c r="F159" s="169">
        <f>表2_36716262930381020[[#This Row],[累计净值]]</f>
        <v>1.3066</v>
      </c>
      <c r="G159" s="170">
        <f>表2_36716262930381020[[#This Row],[累计净值]]/$B$21-1</f>
        <v>0.31820016142050034</v>
      </c>
      <c r="H159" s="170">
        <f>表2_36716262930381020[[#This Row],[累计净值]]/$B$156-1</f>
        <v>1.8315018315018472E-2</v>
      </c>
    </row>
    <row r="160" spans="1:8">
      <c r="A160" s="161">
        <v>43985</v>
      </c>
      <c r="B160" s="162">
        <v>1.31</v>
      </c>
      <c r="C160" s="171">
        <f t="shared" si="6"/>
        <v>3.4000000000000696E-3</v>
      </c>
      <c r="D160" s="168" t="str">
        <f t="shared" si="7"/>
        <v>/</v>
      </c>
      <c r="E160" s="168">
        <f ca="1">IF(表2_36716262930381020[[#This Row],[累计净值]]/MAX(INDIRECT("B21:B" &amp; ROW()))-1&lt;E159,表2_36716262930381020[[#This Row],[累计净值]]/MAX(INDIRECT("B21:B" &amp; ROW()))-1,E159)</f>
        <v>-4.1060514762847444E-2</v>
      </c>
      <c r="F160" s="169">
        <f>表2_36716262930381020[[#This Row],[累计净值]]</f>
        <v>1.31</v>
      </c>
      <c r="G160" s="170">
        <f>表2_36716262930381020[[#This Row],[累计净值]]/$B$21-1</f>
        <v>0.321630347054076</v>
      </c>
      <c r="H160" s="170">
        <f>表2_36716262930381020[[#This Row],[累计净值]]/$B$156-1</f>
        <v>2.0964850752084985E-2</v>
      </c>
    </row>
    <row r="161" spans="1:8">
      <c r="A161" s="161">
        <v>43986</v>
      </c>
      <c r="B161" s="162">
        <v>1.3069999999999999</v>
      </c>
      <c r="C161" s="171">
        <f t="shared" si="6"/>
        <v>-3.0000000000001137E-3</v>
      </c>
      <c r="D161" s="168">
        <f t="shared" si="7"/>
        <v>-3.0000000000001137E-3</v>
      </c>
      <c r="E161" s="168">
        <f ca="1">IF(表2_36716262930381020[[#This Row],[累计净值]]/MAX(INDIRECT("B21:B" &amp; ROW()))-1&lt;E160,表2_36716262930381020[[#This Row],[累计净值]]/MAX(INDIRECT("B21:B" &amp; ROW()))-1,E160)</f>
        <v>-4.1060514762847444E-2</v>
      </c>
      <c r="F161" s="169">
        <f>表2_36716262930381020[[#This Row],[累计净值]]</f>
        <v>1.3069999999999999</v>
      </c>
      <c r="G161" s="170">
        <f>表2_36716262930381020[[#This Row],[累计净值]]/$B$21-1</f>
        <v>0.31860371267150933</v>
      </c>
      <c r="H161" s="170">
        <f>表2_36716262930381020[[#This Row],[累计净值]]/$B$156-1</f>
        <v>1.862676330761448E-2</v>
      </c>
    </row>
    <row r="162" spans="1:8">
      <c r="A162" s="161">
        <v>43987</v>
      </c>
      <c r="B162" s="162">
        <v>1.3031999999999999</v>
      </c>
      <c r="C162" s="171">
        <f t="shared" si="6"/>
        <v>-3.8000000000000256E-3</v>
      </c>
      <c r="D162" s="168">
        <f t="shared" si="7"/>
        <v>-3.8000000000000256E-3</v>
      </c>
      <c r="E162" s="168">
        <f ca="1">IF(表2_36716262930381020[[#This Row],[累计净值]]/MAX(INDIRECT("B21:B" &amp; ROW()))-1&lt;E161,表2_36716262930381020[[#This Row],[累计净值]]/MAX(INDIRECT("B21:B" &amp; ROW()))-1,E161)</f>
        <v>-4.1060514762847444E-2</v>
      </c>
      <c r="F162" s="169">
        <f>表2_36716262930381020[[#This Row],[累计净值]]</f>
        <v>1.3031999999999999</v>
      </c>
      <c r="G162" s="170">
        <f>表2_36716262930381020[[#This Row],[累计净值]]/$B$21-1</f>
        <v>0.31476997578692489</v>
      </c>
      <c r="H162" s="170">
        <f>表2_36716262930381020[[#This Row],[累计净值]]/$B$156-1</f>
        <v>1.5665185877951737E-2</v>
      </c>
    </row>
    <row r="163" spans="1:8">
      <c r="A163" s="161">
        <v>43990</v>
      </c>
      <c r="B163" s="162">
        <v>1.3231999999999999</v>
      </c>
      <c r="C163" s="171">
        <f t="shared" si="6"/>
        <v>2.0000000000000018E-2</v>
      </c>
      <c r="D163" s="168" t="str">
        <f t="shared" si="7"/>
        <v>/</v>
      </c>
      <c r="E163" s="168">
        <f ca="1">IF(表2_36716262930381020[[#This Row],[累计净值]]/MAX(INDIRECT("B21:B" &amp; ROW()))-1&lt;E162,表2_36716262930381020[[#This Row],[累计净值]]/MAX(INDIRECT("B21:B" &amp; ROW()))-1,E162)</f>
        <v>-4.1060514762847444E-2</v>
      </c>
      <c r="F163" s="169">
        <f>表2_36716262930381020[[#This Row],[累计净值]]</f>
        <v>1.3231999999999999</v>
      </c>
      <c r="G163" s="170">
        <f>表2_36716262930381020[[#This Row],[累计净值]]/$B$21-1</f>
        <v>0.33494753833736879</v>
      </c>
      <c r="H163" s="170">
        <f>表2_36716262930381020[[#This Row],[累计净值]]/$B$156-1</f>
        <v>3.1252435507754583E-2</v>
      </c>
    </row>
    <row r="164" spans="1:8">
      <c r="A164" s="161">
        <v>43991</v>
      </c>
      <c r="B164" s="162">
        <v>1.3263</v>
      </c>
      <c r="C164" s="171">
        <f t="shared" si="6"/>
        <v>3.1000000000001027E-3</v>
      </c>
      <c r="D164" s="168" t="str">
        <f t="shared" si="7"/>
        <v>/</v>
      </c>
      <c r="E164" s="168">
        <f ca="1">IF(表2_36716262930381020[[#This Row],[累计净值]]/MAX(INDIRECT("B21:B" &amp; ROW()))-1&lt;E163,表2_36716262930381020[[#This Row],[累计净值]]/MAX(INDIRECT("B21:B" &amp; ROW()))-1,E163)</f>
        <v>-4.1060514762847444E-2</v>
      </c>
      <c r="F164" s="169">
        <f>表2_36716262930381020[[#This Row],[累计净值]]</f>
        <v>1.3263</v>
      </c>
      <c r="G164" s="170">
        <f>表2_36716262930381020[[#This Row],[累计净值]]/$B$21-1</f>
        <v>0.33807506053268765</v>
      </c>
      <c r="H164" s="170">
        <f>表2_36716262930381020[[#This Row],[累计净值]]/$B$156-1</f>
        <v>3.3668459200374201E-2</v>
      </c>
    </row>
    <row r="165" spans="1:8">
      <c r="A165" s="161">
        <v>43992</v>
      </c>
      <c r="B165" s="162">
        <v>1.3293999999999999</v>
      </c>
      <c r="C165" s="171">
        <f t="shared" ref="C165:C170" si="8">IFERROR(B165-B164,0)</f>
        <v>3.0999999999998806E-3</v>
      </c>
      <c r="D165" s="168" t="str">
        <f t="shared" ref="D165:D170" si="9">IF(C165&lt;0,C165,"/")</f>
        <v>/</v>
      </c>
      <c r="E165" s="168">
        <f ca="1">IF(表2_36716262930381020[[#This Row],[累计净值]]/MAX(INDIRECT("B21:B" &amp; ROW()))-1&lt;E164,表2_36716262930381020[[#This Row],[累计净值]]/MAX(INDIRECT("B21:B" &amp; ROW()))-1,E164)</f>
        <v>-4.1060514762847444E-2</v>
      </c>
      <c r="F165" s="169">
        <f>表2_36716262930381020[[#This Row],[累计净值]]</f>
        <v>1.3293999999999999</v>
      </c>
      <c r="G165" s="170">
        <f>表2_36716262930381020[[#This Row],[累计净值]]/$B$21-1</f>
        <v>0.34120258272800652</v>
      </c>
      <c r="H165" s="170">
        <f>表2_36716262930381020[[#This Row],[累计净值]]/$B$156-1</f>
        <v>3.6084482892993597E-2</v>
      </c>
    </row>
    <row r="166" spans="1:8">
      <c r="A166" s="161">
        <v>43993</v>
      </c>
      <c r="B166" s="162">
        <v>1.3273999999999999</v>
      </c>
      <c r="C166" s="171">
        <f t="shared" si="8"/>
        <v>-2.0000000000000018E-3</v>
      </c>
      <c r="D166" s="168">
        <f t="shared" si="9"/>
        <v>-2.0000000000000018E-3</v>
      </c>
      <c r="E166" s="168">
        <f ca="1">IF(表2_36716262930381020[[#This Row],[累计净值]]/MAX(INDIRECT("B21:B" &amp; ROW()))-1&lt;E165,表2_36716262930381020[[#This Row],[累计净值]]/MAX(INDIRECT("B21:B" &amp; ROW()))-1,E165)</f>
        <v>-4.1060514762847444E-2</v>
      </c>
      <c r="F166" s="169">
        <f>表2_36716262930381020[[#This Row],[累计净值]]</f>
        <v>1.3273999999999999</v>
      </c>
      <c r="G166" s="170">
        <f>表2_36716262930381020[[#This Row],[累计净值]]/$B$21-1</f>
        <v>0.339184826472962</v>
      </c>
      <c r="H166" s="170">
        <f>表2_36716262930381020[[#This Row],[累计净值]]/$B$156-1</f>
        <v>3.4525757930013334E-2</v>
      </c>
    </row>
    <row r="167" spans="1:8">
      <c r="A167" s="161">
        <v>43994</v>
      </c>
      <c r="B167" s="162">
        <v>1.3252999999999999</v>
      </c>
      <c r="C167" s="171">
        <f t="shared" si="8"/>
        <v>-2.0999999999999908E-3</v>
      </c>
      <c r="D167" s="168">
        <f t="shared" si="9"/>
        <v>-2.0999999999999908E-3</v>
      </c>
      <c r="E167" s="168">
        <f ca="1">IF(表2_36716262930381020[[#This Row],[累计净值]]/MAX(INDIRECT("B21:B" &amp; ROW()))-1&lt;E166,表2_36716262930381020[[#This Row],[累计净值]]/MAX(INDIRECT("B21:B" &amp; ROW()))-1,E166)</f>
        <v>-4.1060514762847444E-2</v>
      </c>
      <c r="F167" s="169">
        <f>表2_36716262930381020[[#This Row],[累计净值]]</f>
        <v>1.3252999999999999</v>
      </c>
      <c r="G167" s="170">
        <f>表2_36716262930381020[[#This Row],[累计净值]]/$B$21-1</f>
        <v>0.3370661824051655</v>
      </c>
      <c r="H167" s="170">
        <f>表2_36716262930381020[[#This Row],[累计净值]]/$B$156-1</f>
        <v>3.2889096718883959E-2</v>
      </c>
    </row>
    <row r="168" spans="1:8">
      <c r="A168" s="161">
        <v>43997</v>
      </c>
      <c r="B168" s="162">
        <v>1.3182</v>
      </c>
      <c r="C168" s="171">
        <f t="shared" si="8"/>
        <v>-7.0999999999998842E-3</v>
      </c>
      <c r="D168" s="168">
        <f t="shared" si="9"/>
        <v>-7.0999999999998842E-3</v>
      </c>
      <c r="E168" s="168">
        <f ca="1">IF(表2_36716262930381020[[#This Row],[累计净值]]/MAX(INDIRECT("B21:B" &amp; ROW()))-1&lt;E167,表2_36716262930381020[[#This Row],[累计净值]]/MAX(INDIRECT("B21:B" &amp; ROW()))-1,E167)</f>
        <v>-4.1060514762847444E-2</v>
      </c>
      <c r="F168" s="169">
        <f>表2_36716262930381020[[#This Row],[累计净值]]</f>
        <v>1.3182</v>
      </c>
      <c r="G168" s="170">
        <f>表2_36716262930381020[[#This Row],[累计净值]]/$B$21-1</f>
        <v>0.32990314769975804</v>
      </c>
      <c r="H168" s="170">
        <f>表2_36716262930381020[[#This Row],[累计净值]]/$B$156-1</f>
        <v>2.7355623100304038E-2</v>
      </c>
    </row>
    <row r="169" spans="1:8">
      <c r="A169" s="161">
        <v>43998</v>
      </c>
      <c r="B169" s="162">
        <v>1.3293999999999999</v>
      </c>
      <c r="C169" s="171">
        <f t="shared" si="8"/>
        <v>1.1199999999999877E-2</v>
      </c>
      <c r="D169" s="168" t="str">
        <f t="shared" si="9"/>
        <v>/</v>
      </c>
      <c r="E169" s="168">
        <f ca="1">IF(表2_36716262930381020[[#This Row],[累计净值]]/MAX(INDIRECT("B21:B" &amp; ROW()))-1&lt;E168,表2_36716262930381020[[#This Row],[累计净值]]/MAX(INDIRECT("B21:B" &amp; ROW()))-1,E168)</f>
        <v>-4.1060514762847444E-2</v>
      </c>
      <c r="F169" s="169">
        <f>表2_36716262930381020[[#This Row],[累计净值]]</f>
        <v>1.3293999999999999</v>
      </c>
      <c r="G169" s="170">
        <f>表2_36716262930381020[[#This Row],[累计净值]]/$B$21-1</f>
        <v>0.34120258272800652</v>
      </c>
      <c r="H169" s="170">
        <f>表2_36716262930381020[[#This Row],[累计净值]]/$B$156-1</f>
        <v>3.6084482892993597E-2</v>
      </c>
    </row>
    <row r="170" spans="1:8">
      <c r="A170" s="161">
        <v>43999</v>
      </c>
      <c r="B170" s="178">
        <v>1.3310999999999999</v>
      </c>
      <c r="C170" s="171">
        <f t="shared" si="8"/>
        <v>1.7000000000000348E-3</v>
      </c>
      <c r="D170" s="168" t="str">
        <f t="shared" si="9"/>
        <v>/</v>
      </c>
      <c r="E170" s="168">
        <f ca="1">IF(表2_36716262930381020[[#This Row],[累计净值]]/MAX(INDIRECT("B21:B" &amp; ROW()))-1&lt;E169,表2_36716262930381020[[#This Row],[累计净值]]/MAX(INDIRECT("B21:B" &amp; ROW()))-1,E169)</f>
        <v>-4.1060514762847444E-2</v>
      </c>
      <c r="F170" s="169">
        <f>表2_36716262930381020[[#This Row],[累计净值]]</f>
        <v>1.3310999999999999</v>
      </c>
      <c r="G170" s="170">
        <f>表2_36716262930381020[[#This Row],[累计净值]]/$B$21-1</f>
        <v>0.34291767554479424</v>
      </c>
      <c r="H170" s="170">
        <f>表2_36716262930381020[[#This Row],[累计净值]]/$B$156-1</f>
        <v>3.7409399111526742E-2</v>
      </c>
    </row>
    <row r="171" spans="1:8">
      <c r="A171" s="161">
        <v>44000</v>
      </c>
      <c r="B171" s="162">
        <v>1.3297000000000001</v>
      </c>
      <c r="C171" s="171">
        <f t="shared" ref="C171:C176" si="10">IFERROR(B171-B170,0)</f>
        <v>-1.3999999999998458E-3</v>
      </c>
      <c r="D171" s="168">
        <f t="shared" ref="D171:D176" si="11">IF(C171&lt;0,C171,"/")</f>
        <v>-1.3999999999998458E-3</v>
      </c>
      <c r="E171" s="168">
        <f ca="1">IF(表2_36716262930381020[[#This Row],[累计净值]]/MAX(INDIRECT("B21:B" &amp; ROW()))-1&lt;E170,表2_36716262930381020[[#This Row],[累计净值]]/MAX(INDIRECT("B21:B" &amp; ROW()))-1,E170)</f>
        <v>-4.1060514762847444E-2</v>
      </c>
      <c r="F171" s="169">
        <f>表2_36716262930381020[[#This Row],[累计净值]]</f>
        <v>1.3297000000000001</v>
      </c>
      <c r="G171" s="170">
        <f>表2_36716262930381020[[#This Row],[累计净值]]/$B$21-1</f>
        <v>0.34150524616626332</v>
      </c>
      <c r="H171" s="170">
        <f>表2_36716262930381020[[#This Row],[累计净值]]/$B$156-1</f>
        <v>3.6318291637440714E-2</v>
      </c>
    </row>
    <row r="172" spans="1:8">
      <c r="A172" s="161">
        <v>44001</v>
      </c>
      <c r="B172" s="162">
        <v>1.3212999999999999</v>
      </c>
      <c r="C172" s="171">
        <f t="shared" si="10"/>
        <v>-8.4000000000001851E-3</v>
      </c>
      <c r="D172" s="168">
        <f t="shared" si="11"/>
        <v>-8.4000000000001851E-3</v>
      </c>
      <c r="E172" s="168">
        <f ca="1">IF(表2_36716262930381020[[#This Row],[累计净值]]/MAX(INDIRECT("B21:B" &amp; ROW()))-1&lt;E171,表2_36716262930381020[[#This Row],[累计净值]]/MAX(INDIRECT("B21:B" &amp; ROW()))-1,E171)</f>
        <v>-4.1060514762847444E-2</v>
      </c>
      <c r="F172" s="169">
        <f>表2_36716262930381020[[#This Row],[累计净值]]</f>
        <v>1.3212999999999999</v>
      </c>
      <c r="G172" s="170">
        <f>表2_36716262930381020[[#This Row],[累计净值]]/$B$21-1</f>
        <v>0.33303066989507668</v>
      </c>
      <c r="H172" s="170">
        <f>表2_36716262930381020[[#This Row],[累计净值]]/$B$156-1</f>
        <v>2.9771646792923434E-2</v>
      </c>
    </row>
    <row r="173" spans="1:8">
      <c r="A173" s="161">
        <v>44004</v>
      </c>
      <c r="B173" s="162">
        <v>1.3126</v>
      </c>
      <c r="C173" s="171">
        <f t="shared" si="10"/>
        <v>-8.69999999999993E-3</v>
      </c>
      <c r="D173" s="168">
        <f t="shared" si="11"/>
        <v>-8.69999999999993E-3</v>
      </c>
      <c r="E173" s="168">
        <f ca="1">IF(表2_36716262930381020[[#This Row],[累计净值]]/MAX(INDIRECT("B21:B" &amp; ROW()))-1&lt;E172,表2_36716262930381020[[#This Row],[累计净值]]/MAX(INDIRECT("B21:B" &amp; ROW()))-1,E172)</f>
        <v>-4.1060514762847444E-2</v>
      </c>
      <c r="F173" s="169">
        <f>表2_36716262930381020[[#This Row],[累计净值]]</f>
        <v>1.3126</v>
      </c>
      <c r="G173" s="170">
        <f>表2_36716262930381020[[#This Row],[累计净值]]/$B$21-1</f>
        <v>0.32425343018563368</v>
      </c>
      <c r="H173" s="170">
        <f>表2_36716262930381020[[#This Row],[累计净值]]/$B$156-1</f>
        <v>2.2991193203959259E-2</v>
      </c>
    </row>
    <row r="174" spans="1:8">
      <c r="A174" s="161">
        <v>44005</v>
      </c>
      <c r="B174" s="162">
        <v>1.3147</v>
      </c>
      <c r="C174" s="171">
        <f t="shared" si="10"/>
        <v>2.0999999999999908E-3</v>
      </c>
      <c r="D174" s="168" t="str">
        <f t="shared" si="11"/>
        <v>/</v>
      </c>
      <c r="E174" s="168">
        <f ca="1">IF(表2_36716262930381020[[#This Row],[累计净值]]/MAX(INDIRECT("B21:B" &amp; ROW()))-1&lt;E173,表2_36716262930381020[[#This Row],[累计净值]]/MAX(INDIRECT("B21:B" &amp; ROW()))-1,E173)</f>
        <v>-4.1060514762847444E-2</v>
      </c>
      <c r="F174" s="169">
        <f>表2_36716262930381020[[#This Row],[累计净值]]</f>
        <v>1.3147</v>
      </c>
      <c r="G174" s="170">
        <f>表2_36716262930381020[[#This Row],[累计净值]]/$B$21-1</f>
        <v>0.32637207425343018</v>
      </c>
      <c r="H174" s="170">
        <f>表2_36716262930381020[[#This Row],[累计净值]]/$B$156-1</f>
        <v>2.4627854415088413E-2</v>
      </c>
    </row>
    <row r="175" spans="1:8">
      <c r="A175" s="161">
        <v>44006</v>
      </c>
      <c r="B175" s="162">
        <v>1.3123</v>
      </c>
      <c r="C175" s="171">
        <f t="shared" si="10"/>
        <v>-2.3999999999999577E-3</v>
      </c>
      <c r="D175" s="168">
        <f t="shared" si="11"/>
        <v>-2.3999999999999577E-3</v>
      </c>
      <c r="E175" s="168">
        <f ca="1">IF(表2_36716262930381020[[#This Row],[累计净值]]/MAX(INDIRECT("B21:B" &amp; ROW()))-1&lt;E174,表2_36716262930381020[[#This Row],[累计净值]]/MAX(INDIRECT("B21:B" &amp; ROW()))-1,E174)</f>
        <v>-4.1060514762847444E-2</v>
      </c>
      <c r="F175" s="169">
        <f>表2_36716262930381020[[#This Row],[累计净值]]</f>
        <v>1.3123</v>
      </c>
      <c r="G175" s="170">
        <f>表2_36716262930381020[[#This Row],[累计净值]]/$B$21-1</f>
        <v>0.32395076674737688</v>
      </c>
      <c r="H175" s="170">
        <f>表2_36716262930381020[[#This Row],[累计净值]]/$B$156-1</f>
        <v>2.2757384459512142E-2</v>
      </c>
    </row>
    <row r="176" spans="1:8">
      <c r="A176" s="161">
        <v>44011</v>
      </c>
      <c r="B176" s="162">
        <v>1.3149999999999999</v>
      </c>
      <c r="C176" s="171">
        <f t="shared" si="10"/>
        <v>2.6999999999999247E-3</v>
      </c>
      <c r="D176" s="168" t="str">
        <f t="shared" si="11"/>
        <v>/</v>
      </c>
      <c r="E176" s="168">
        <f ca="1">IF(表2_36716262930381020[[#This Row],[累计净值]]/MAX(INDIRECT("B21:B" &amp; ROW()))-1&lt;E175,表2_36716262930381020[[#This Row],[累计净值]]/MAX(INDIRECT("B21:B" &amp; ROW()))-1,E175)</f>
        <v>-4.1060514762847444E-2</v>
      </c>
      <c r="F176" s="169">
        <f>表2_36716262930381020[[#This Row],[累计净值]]</f>
        <v>1.3149999999999999</v>
      </c>
      <c r="G176" s="170">
        <f>表2_36716262930381020[[#This Row],[累计净值]]/$B$21-1</f>
        <v>0.32667473769168676</v>
      </c>
      <c r="H176" s="170">
        <f>表2_36716262930381020[[#This Row],[累计净值]]/$B$156-1</f>
        <v>2.486166315953553E-2</v>
      </c>
    </row>
    <row r="177" spans="1:8">
      <c r="A177" s="161">
        <v>44012</v>
      </c>
      <c r="B177" s="162">
        <v>1.3248</v>
      </c>
      <c r="C177" s="171">
        <f t="shared" ref="C177:C182" si="12">IFERROR(B177-B176,0)</f>
        <v>9.8000000000000309E-3</v>
      </c>
      <c r="D177" s="168" t="str">
        <f t="shared" ref="D177:D182" si="13">IF(C177&lt;0,C177,"/")</f>
        <v>/</v>
      </c>
      <c r="E177" s="168">
        <f ca="1">IF(表2_36716262930381020[[#This Row],[累计净值]]/MAX(INDIRECT("B21:B" &amp; ROW()))-1&lt;E176,表2_36716262930381020[[#This Row],[累计净值]]/MAX(INDIRECT("B21:B" &amp; ROW()))-1,E176)</f>
        <v>-4.1060514762847444E-2</v>
      </c>
      <c r="F177" s="169">
        <f>表2_36716262930381020[[#This Row],[累计净值]]</f>
        <v>1.3248</v>
      </c>
      <c r="G177" s="170">
        <f>表2_36716262930381020[[#This Row],[累计净值]]/$B$21-1</f>
        <v>0.33656174334140432</v>
      </c>
      <c r="H177" s="170">
        <f>表2_36716262930381020[[#This Row],[累计净值]]/$B$156-1</f>
        <v>3.2499415478138838E-2</v>
      </c>
    </row>
    <row r="178" spans="1:8">
      <c r="A178" s="161">
        <v>44013</v>
      </c>
      <c r="B178" s="162">
        <v>1.3136000000000001</v>
      </c>
      <c r="C178" s="171">
        <f t="shared" si="12"/>
        <v>-1.1199999999999877E-2</v>
      </c>
      <c r="D178" s="168">
        <f t="shared" si="13"/>
        <v>-1.1199999999999877E-2</v>
      </c>
      <c r="E178" s="168">
        <f ca="1">IF(表2_36716262930381020[[#This Row],[累计净值]]/MAX(INDIRECT("B21:B" &amp; ROW()))-1&lt;E177,表2_36716262930381020[[#This Row],[累计净值]]/MAX(INDIRECT("B21:B" &amp; ROW()))-1,E177)</f>
        <v>-4.1060514762847444E-2</v>
      </c>
      <c r="F178" s="169">
        <f>表2_36716262930381020[[#This Row],[累计净值]]</f>
        <v>1.3136000000000001</v>
      </c>
      <c r="G178" s="170">
        <f>表2_36716262930381020[[#This Row],[累计净值]]/$B$21-1</f>
        <v>0.32526230831315583</v>
      </c>
      <c r="H178" s="170">
        <f>表2_36716262930381020[[#This Row],[累计净值]]/$B$156-1</f>
        <v>2.3770555685449501E-2</v>
      </c>
    </row>
    <row r="179" spans="1:8">
      <c r="A179" s="161">
        <v>44014</v>
      </c>
      <c r="B179" s="162">
        <v>1.3008</v>
      </c>
      <c r="C179" s="171">
        <f t="shared" si="12"/>
        <v>-1.2800000000000145E-2</v>
      </c>
      <c r="D179" s="168">
        <f t="shared" si="13"/>
        <v>-1.2800000000000145E-2</v>
      </c>
      <c r="E179" s="168">
        <f ca="1">IF(表2_36716262930381020[[#This Row],[累计净值]]/MAX(INDIRECT("B21:B" &amp; ROW()))-1&lt;E178,表2_36716262930381020[[#This Row],[累计净值]]/MAX(INDIRECT("B21:B" &amp; ROW()))-1,E178)</f>
        <v>-4.1060514762847444E-2</v>
      </c>
      <c r="F179" s="169">
        <f>表2_36716262930381020[[#This Row],[累计净值]]</f>
        <v>1.3008</v>
      </c>
      <c r="G179" s="170">
        <f>表2_36716262930381020[[#This Row],[累计净值]]/$B$21-1</f>
        <v>0.3123486682808716</v>
      </c>
      <c r="H179" s="170">
        <f>表2_36716262930381020[[#This Row],[累计净值]]/$B$156-1</f>
        <v>1.3794715922375467E-2</v>
      </c>
    </row>
    <row r="180" spans="1:8">
      <c r="A180" s="161">
        <v>44015</v>
      </c>
      <c r="B180" s="162">
        <v>1.2908999999999999</v>
      </c>
      <c r="C180" s="171">
        <f t="shared" si="12"/>
        <v>-9.9000000000000199E-3</v>
      </c>
      <c r="D180" s="168">
        <f t="shared" si="13"/>
        <v>-9.9000000000000199E-3</v>
      </c>
      <c r="E180" s="168">
        <f ca="1">IF(表2_36716262930381020[[#This Row],[累计净值]]/MAX(INDIRECT("B21:B" &amp; ROW()))-1&lt;E179,表2_36716262930381020[[#This Row],[累计净值]]/MAX(INDIRECT("B21:B" &amp; ROW()))-1,E179)</f>
        <v>-4.1060514762847444E-2</v>
      </c>
      <c r="F180" s="169">
        <f>表2_36716262930381020[[#This Row],[累计净值]]</f>
        <v>1.2908999999999999</v>
      </c>
      <c r="G180" s="170">
        <f>表2_36716262930381020[[#This Row],[累计净值]]/$B$21-1</f>
        <v>0.30236077481840185</v>
      </c>
      <c r="H180" s="170">
        <f>表2_36716262930381020[[#This Row],[累计净值]]/$B$156-1</f>
        <v>6.0790273556230456E-3</v>
      </c>
    </row>
    <row r="181" spans="1:8">
      <c r="A181" s="161">
        <v>44018</v>
      </c>
      <c r="B181" s="162">
        <v>1.2722</v>
      </c>
      <c r="C181" s="171">
        <f t="shared" si="12"/>
        <v>-1.8699999999999939E-2</v>
      </c>
      <c r="D181" s="168">
        <f t="shared" si="13"/>
        <v>-1.8699999999999939E-2</v>
      </c>
      <c r="E181" s="168">
        <f ca="1">IF(表2_36716262930381020[[#This Row],[累计净值]]/MAX(INDIRECT("B21:B" &amp; ROW()))-1&lt;E180,表2_36716262930381020[[#This Row],[累计净值]]/MAX(INDIRECT("B21:B" &amp; ROW()))-1,E180)</f>
        <v>-4.4249117271429661E-2</v>
      </c>
      <c r="F181" s="169">
        <f>表2_36716262930381020[[#This Row],[累计净值]]</f>
        <v>1.2722</v>
      </c>
      <c r="G181" s="170">
        <f>表2_36716262930381020[[#This Row],[累计净值]]/$B$21-1</f>
        <v>0.2834947538337369</v>
      </c>
      <c r="H181" s="170">
        <f>表2_36716262930381020[[#This Row],[累计净值]]/$B$156-1</f>
        <v>-8.4950510482424413E-3</v>
      </c>
    </row>
    <row r="182" spans="1:8">
      <c r="A182" s="161">
        <v>44019</v>
      </c>
      <c r="B182" s="162">
        <v>1.2947</v>
      </c>
      <c r="C182" s="171">
        <f t="shared" si="12"/>
        <v>2.2499999999999964E-2</v>
      </c>
      <c r="D182" s="168" t="str">
        <f t="shared" si="13"/>
        <v>/</v>
      </c>
      <c r="E182" s="168">
        <f ca="1">IF(表2_36716262930381020[[#This Row],[累计净值]]/MAX(INDIRECT("B21:B" &amp; ROW()))-1&lt;E181,表2_36716262930381020[[#This Row],[累计净值]]/MAX(INDIRECT("B21:B" &amp; ROW()))-1,E181)</f>
        <v>-4.4249117271429661E-2</v>
      </c>
      <c r="F182" s="169">
        <f>表2_36716262930381020[[#This Row],[累计净值]]</f>
        <v>1.2947</v>
      </c>
      <c r="G182" s="170">
        <f>表2_36716262930381020[[#This Row],[累计净值]]/$B$21-1</f>
        <v>0.30619451170298628</v>
      </c>
      <c r="H182" s="170">
        <f>表2_36716262930381020[[#This Row],[累计净值]]/$B$156-1</f>
        <v>9.0406047852857885E-3</v>
      </c>
    </row>
    <row r="183" spans="1:8">
      <c r="A183" s="161">
        <v>44020</v>
      </c>
      <c r="B183" s="162">
        <v>1.2897000000000001</v>
      </c>
      <c r="C183" s="171">
        <f t="shared" ref="C183:C188" si="14">IFERROR(B183-B182,0)</f>
        <v>-4.9999999999998934E-3</v>
      </c>
      <c r="D183" s="168">
        <f t="shared" ref="D183:D188" si="15">IF(C183&lt;0,C183,"/")</f>
        <v>-4.9999999999998934E-3</v>
      </c>
      <c r="E183" s="168">
        <f ca="1">IF(表2_36716262930381020[[#This Row],[累计净值]]/MAX(INDIRECT("B21:B" &amp; ROW()))-1&lt;E182,表2_36716262930381020[[#This Row],[累计净值]]/MAX(INDIRECT("B21:B" &amp; ROW()))-1,E182)</f>
        <v>-4.4249117271429661E-2</v>
      </c>
      <c r="F183" s="169">
        <f>表2_36716262930381020[[#This Row],[累计净值]]</f>
        <v>1.2897000000000001</v>
      </c>
      <c r="G183" s="170">
        <f>表2_36716262930381020[[#This Row],[累计净值]]/$B$21-1</f>
        <v>0.30115012106537531</v>
      </c>
      <c r="H183" s="170">
        <f>表2_36716262930381020[[#This Row],[累计净值]]/$B$156-1</f>
        <v>5.1437923778350214E-3</v>
      </c>
    </row>
    <row r="184" spans="1:8">
      <c r="A184" s="161">
        <v>44021</v>
      </c>
      <c r="B184" s="162">
        <v>1.2859</v>
      </c>
      <c r="C184" s="171">
        <f t="shared" si="14"/>
        <v>-3.8000000000000256E-3</v>
      </c>
      <c r="D184" s="168">
        <f t="shared" si="15"/>
        <v>-3.8000000000000256E-3</v>
      </c>
      <c r="E184" s="168">
        <f ca="1">IF(表2_36716262930381020[[#This Row],[累计净值]]/MAX(INDIRECT("B21:B" &amp; ROW()))-1&lt;E183,表2_36716262930381020[[#This Row],[累计净值]]/MAX(INDIRECT("B21:B" &amp; ROW()))-1,E183)</f>
        <v>-4.4249117271429661E-2</v>
      </c>
      <c r="F184" s="169">
        <f>表2_36716262930381020[[#This Row],[累计净值]]</f>
        <v>1.2859</v>
      </c>
      <c r="G184" s="170">
        <f>表2_36716262930381020[[#This Row],[累计净值]]/$B$21-1</f>
        <v>0.29731638418079109</v>
      </c>
      <c r="H184" s="170">
        <f>表2_36716262930381020[[#This Row],[累计净值]]/$B$156-1</f>
        <v>2.1822149481725006E-3</v>
      </c>
    </row>
    <row r="185" spans="1:8">
      <c r="A185" s="161">
        <v>44022</v>
      </c>
      <c r="B185" s="162">
        <v>1.2865</v>
      </c>
      <c r="C185" s="171">
        <f t="shared" si="14"/>
        <v>5.9999999999993392E-4</v>
      </c>
      <c r="D185" s="168" t="str">
        <f t="shared" si="15"/>
        <v>/</v>
      </c>
      <c r="E185" s="168">
        <f ca="1">IF(表2_36716262930381020[[#This Row],[累计净值]]/MAX(INDIRECT("B21:B" &amp; ROW()))-1&lt;E184,表2_36716262930381020[[#This Row],[累计净值]]/MAX(INDIRECT("B21:B" &amp; ROW()))-1,E184)</f>
        <v>-4.4249117271429661E-2</v>
      </c>
      <c r="F185" s="169">
        <f>表2_36716262930381020[[#This Row],[累计净值]]</f>
        <v>1.2865</v>
      </c>
      <c r="G185" s="170">
        <f>表2_36716262930381020[[#This Row],[累计净值]]/$B$21-1</f>
        <v>0.29792171105730425</v>
      </c>
      <c r="H185" s="170">
        <f>表2_36716262930381020[[#This Row],[累计净值]]/$B$156-1</f>
        <v>2.6498324370665127E-3</v>
      </c>
    </row>
    <row r="186" spans="1:8">
      <c r="A186" s="161">
        <v>44025</v>
      </c>
      <c r="B186" s="162">
        <v>1.3010999999999999</v>
      </c>
      <c r="C186" s="171">
        <f t="shared" si="14"/>
        <v>1.4599999999999946E-2</v>
      </c>
      <c r="D186" s="168" t="str">
        <f t="shared" si="15"/>
        <v>/</v>
      </c>
      <c r="E186" s="168">
        <f ca="1">IF(表2_36716262930381020[[#This Row],[累计净值]]/MAX(INDIRECT("B21:B" &amp; ROW()))-1&lt;E185,表2_36716262930381020[[#This Row],[累计净值]]/MAX(INDIRECT("B21:B" &amp; ROW()))-1,E185)</f>
        <v>-4.4249117271429661E-2</v>
      </c>
      <c r="F186" s="169">
        <f>表2_36716262930381020[[#This Row],[累计净值]]</f>
        <v>1.3010999999999999</v>
      </c>
      <c r="G186" s="170">
        <f>表2_36716262930381020[[#This Row],[累计净值]]/$B$21-1</f>
        <v>0.3126513317191284</v>
      </c>
      <c r="H186" s="170">
        <f>表2_36716262930381020[[#This Row],[累计净值]]/$B$156-1</f>
        <v>1.4028524666822584E-2</v>
      </c>
    </row>
    <row r="187" spans="1:8">
      <c r="A187" s="161">
        <v>44026</v>
      </c>
      <c r="B187" s="162">
        <v>1.2895000000000001</v>
      </c>
      <c r="C187" s="171">
        <f t="shared" si="14"/>
        <v>-1.1599999999999833E-2</v>
      </c>
      <c r="D187" s="168">
        <f t="shared" si="15"/>
        <v>-1.1599999999999833E-2</v>
      </c>
      <c r="E187" s="168">
        <f ca="1">IF(表2_36716262930381020[[#This Row],[累计净值]]/MAX(INDIRECT("B21:B" &amp; ROW()))-1&lt;E186,表2_36716262930381020[[#This Row],[累计净值]]/MAX(INDIRECT("B21:B" &amp; ROW()))-1,E186)</f>
        <v>-4.4249117271429661E-2</v>
      </c>
      <c r="F187" s="169">
        <f>表2_36716262930381020[[#This Row],[累计净值]]</f>
        <v>1.2895000000000001</v>
      </c>
      <c r="G187" s="170">
        <f>表2_36716262930381020[[#This Row],[累计净值]]/$B$21-1</f>
        <v>0.30094834543987092</v>
      </c>
      <c r="H187" s="170">
        <f>表2_36716262930381020[[#This Row],[累计净值]]/$B$156-1</f>
        <v>4.9879198815370174E-3</v>
      </c>
    </row>
    <row r="188" spans="1:8">
      <c r="A188" s="161">
        <v>44027</v>
      </c>
      <c r="B188" s="162">
        <v>1.2836000000000001</v>
      </c>
      <c r="C188" s="171">
        <f t="shared" si="14"/>
        <v>-5.9000000000000163E-3</v>
      </c>
      <c r="D188" s="168">
        <f t="shared" si="15"/>
        <v>-5.9000000000000163E-3</v>
      </c>
      <c r="E188" s="168">
        <f ca="1">IF(表2_36716262930381020[[#This Row],[累计净值]]/MAX(INDIRECT("B21:B" &amp; ROW()))-1&lt;E187,表2_36716262930381020[[#This Row],[累计净值]]/MAX(INDIRECT("B21:B" &amp; ROW()))-1,E187)</f>
        <v>-4.4249117271429661E-2</v>
      </c>
      <c r="F188" s="169">
        <f>表2_36716262930381020[[#This Row],[累计净值]]</f>
        <v>1.2836000000000001</v>
      </c>
      <c r="G188" s="170">
        <f>表2_36716262930381020[[#This Row],[累计净值]]/$B$21-1</f>
        <v>0.29499596448748999</v>
      </c>
      <c r="H188" s="170">
        <f>表2_36716262930381020[[#This Row],[累计净值]]/$B$156-1</f>
        <v>3.8968124074512112E-4</v>
      </c>
    </row>
    <row r="189" spans="1:8">
      <c r="A189" s="161">
        <v>44028</v>
      </c>
      <c r="B189" s="162">
        <v>1.2652000000000001</v>
      </c>
      <c r="C189" s="171">
        <f t="shared" ref="C189:C195" si="16">IFERROR(B189-B188,0)</f>
        <v>-1.8399999999999972E-2</v>
      </c>
      <c r="D189" s="168">
        <f t="shared" ref="D189:D195" si="17">IF(C189&lt;0,C189,"/")</f>
        <v>-1.8399999999999972E-2</v>
      </c>
      <c r="E189" s="168">
        <f ca="1">IF(表2_36716262930381020[[#This Row],[累计净值]]/MAX(INDIRECT("B21:B" &amp; ROW()))-1&lt;E188,表2_36716262930381020[[#This Row],[累计净值]]/MAX(INDIRECT("B21:B" &amp; ROW()))-1,E188)</f>
        <v>-4.9507925775674089E-2</v>
      </c>
      <c r="F189" s="169">
        <f>表2_36716262930381020[[#This Row],[累计净值]]</f>
        <v>1.2652000000000001</v>
      </c>
      <c r="G189" s="170">
        <f>表2_36716262930381020[[#This Row],[累计净值]]/$B$21-1</f>
        <v>0.27643260694108163</v>
      </c>
      <c r="H189" s="170">
        <f>表2_36716262930381020[[#This Row],[累计净值]]/$B$156-1</f>
        <v>-1.395058841867336E-2</v>
      </c>
    </row>
    <row r="190" spans="1:8">
      <c r="A190" s="161">
        <v>44029</v>
      </c>
      <c r="B190" s="162">
        <v>1.2776000000000001</v>
      </c>
      <c r="C190" s="171">
        <f t="shared" si="16"/>
        <v>1.2399999999999967E-2</v>
      </c>
      <c r="D190" s="168" t="str">
        <f t="shared" si="17"/>
        <v>/</v>
      </c>
      <c r="E190" s="168">
        <f ca="1">IF(表2_36716262930381020[[#This Row],[累计净值]]/MAX(INDIRECT("B21:B" &amp; ROW()))-1&lt;E189,表2_36716262930381020[[#This Row],[累计净值]]/MAX(INDIRECT("B21:B" &amp; ROW()))-1,E189)</f>
        <v>-4.9507925775674089E-2</v>
      </c>
      <c r="F190" s="169">
        <f>表2_36716262930381020[[#This Row],[累计净值]]</f>
        <v>1.2776000000000001</v>
      </c>
      <c r="G190" s="170">
        <f>表2_36716262930381020[[#This Row],[累计净值]]/$B$21-1</f>
        <v>0.28894269572235687</v>
      </c>
      <c r="H190" s="170">
        <f>表2_36716262930381020[[#This Row],[累计净值]]/$B$156-1</f>
        <v>-4.2864936481956661E-3</v>
      </c>
    </row>
    <row r="191" spans="1:8">
      <c r="A191" s="161">
        <v>44032</v>
      </c>
      <c r="B191" s="162">
        <v>1.2845</v>
      </c>
      <c r="C191" s="171">
        <f t="shared" si="16"/>
        <v>6.8999999999999062E-3</v>
      </c>
      <c r="D191" s="168" t="str">
        <f t="shared" si="17"/>
        <v>/</v>
      </c>
      <c r="E191" s="168">
        <f ca="1">IF(表2_36716262930381020[[#This Row],[累计净值]]/MAX(INDIRECT("B21:B" &amp; ROW()))-1&lt;E190,表2_36716262930381020[[#This Row],[累计净值]]/MAX(INDIRECT("B21:B" &amp; ROW()))-1,E190)</f>
        <v>-4.9507925775674089E-2</v>
      </c>
      <c r="F191" s="169">
        <f>表2_36716262930381020[[#This Row],[累计净值]]</f>
        <v>1.2845</v>
      </c>
      <c r="G191" s="170">
        <f>表2_36716262930381020[[#This Row],[累计净值]]/$B$21-1</f>
        <v>0.29590395480225995</v>
      </c>
      <c r="H191" s="170">
        <f>表2_36716262930381020[[#This Row],[累计净值]]/$B$156-1</f>
        <v>1.0911074740862503E-3</v>
      </c>
    </row>
    <row r="192" spans="1:8">
      <c r="A192" s="161">
        <v>44033</v>
      </c>
      <c r="B192" s="162">
        <v>1.2929999999999999</v>
      </c>
      <c r="C192" s="171">
        <f t="shared" si="16"/>
        <v>8.499999999999952E-3</v>
      </c>
      <c r="D192" s="168" t="str">
        <f t="shared" si="17"/>
        <v>/</v>
      </c>
      <c r="E192" s="168">
        <f ca="1">IF(表2_36716262930381020[[#This Row],[累计净值]]/MAX(INDIRECT("B21:B" &amp; ROW()))-1&lt;E191,表2_36716262930381020[[#This Row],[累计净值]]/MAX(INDIRECT("B21:B" &amp; ROW()))-1,E191)</f>
        <v>-4.9507925775674089E-2</v>
      </c>
      <c r="F192" s="169">
        <f>表2_36716262930381020[[#This Row],[累计净值]]</f>
        <v>1.2929999999999999</v>
      </c>
      <c r="G192" s="170">
        <f>表2_36716262930381020[[#This Row],[累计净值]]/$B$21-1</f>
        <v>0.30447941888619856</v>
      </c>
      <c r="H192" s="170">
        <f>表2_36716262930381020[[#This Row],[累计净值]]/$B$156-1</f>
        <v>7.7156885667524211E-3</v>
      </c>
    </row>
    <row r="193" spans="1:8">
      <c r="A193" s="161">
        <v>44034</v>
      </c>
      <c r="B193" s="162">
        <v>1.2879</v>
      </c>
      <c r="C193" s="171">
        <f t="shared" si="16"/>
        <v>-5.0999999999998824E-3</v>
      </c>
      <c r="D193" s="168">
        <f t="shared" si="17"/>
        <v>-5.0999999999998824E-3</v>
      </c>
      <c r="E193" s="168">
        <f ca="1">IF(表2_36716262930381020[[#This Row],[累计净值]]/MAX(INDIRECT("B21:B" &amp; ROW()))-1&lt;E192,表2_36716262930381020[[#This Row],[累计净值]]/MAX(INDIRECT("B21:B" &amp; ROW()))-1,E192)</f>
        <v>-4.9507925775674089E-2</v>
      </c>
      <c r="F193" s="169">
        <f>表2_36716262930381020[[#This Row],[累计净值]]</f>
        <v>1.2879</v>
      </c>
      <c r="G193" s="170">
        <f>表2_36716262930381020[[#This Row],[累计净值]]/$B$21-1</f>
        <v>0.29933414043583539</v>
      </c>
      <c r="H193" s="170">
        <f>表2_36716262930381020[[#This Row],[累计净值]]/$B$156-1</f>
        <v>3.740939911152763E-3</v>
      </c>
    </row>
    <row r="194" spans="1:8">
      <c r="A194" s="161">
        <v>44035</v>
      </c>
      <c r="B194" s="162">
        <v>1.2748999999999999</v>
      </c>
      <c r="C194" s="171">
        <f t="shared" si="16"/>
        <v>-1.3000000000000123E-2</v>
      </c>
      <c r="D194" s="168">
        <f t="shared" si="17"/>
        <v>-1.3000000000000123E-2</v>
      </c>
      <c r="E194" s="168">
        <f ca="1">IF(表2_36716262930381020[[#This Row],[累计净值]]/MAX(INDIRECT("B21:B" &amp; ROW()))-1&lt;E193,表2_36716262930381020[[#This Row],[累计净值]]/MAX(INDIRECT("B21:B" &amp; ROW()))-1,E193)</f>
        <v>-4.9507925775674089E-2</v>
      </c>
      <c r="F194" s="169">
        <f>表2_36716262930381020[[#This Row],[累计净值]]</f>
        <v>1.2748999999999999</v>
      </c>
      <c r="G194" s="170">
        <f>表2_36716262930381020[[#This Row],[累计净值]]/$B$21-1</f>
        <v>0.28621872477804677</v>
      </c>
      <c r="H194" s="170">
        <f>表2_36716262930381020[[#This Row],[累计净值]]/$B$156-1</f>
        <v>-6.3907723482191647E-3</v>
      </c>
    </row>
    <row r="195" spans="1:8">
      <c r="A195" s="161">
        <v>44036</v>
      </c>
      <c r="B195" s="162">
        <v>1.2451000000000001</v>
      </c>
      <c r="C195" s="171">
        <f t="shared" si="16"/>
        <v>-2.9799999999999827E-2</v>
      </c>
      <c r="D195" s="168">
        <f t="shared" si="17"/>
        <v>-2.9799999999999827E-2</v>
      </c>
      <c r="E195" s="168">
        <f ca="1">IF(表2_36716262930381020[[#This Row],[累计净值]]/MAX(INDIRECT("B21:B" &amp; ROW()))-1&lt;E194,表2_36716262930381020[[#This Row],[累计净值]]/MAX(INDIRECT("B21:B" &amp; ROW()))-1,E194)</f>
        <v>-6.4608218766433634E-2</v>
      </c>
      <c r="F195" s="169">
        <f>表2_36716262930381020[[#This Row],[累计净值]]</f>
        <v>1.2451000000000001</v>
      </c>
      <c r="G195" s="170">
        <f>表2_36716262930381020[[#This Row],[累计净值]]/$B$21-1</f>
        <v>0.25615415657788554</v>
      </c>
      <c r="H195" s="170">
        <f>表2_36716262930381020[[#This Row],[累计净值]]/$B$156-1</f>
        <v>-2.9615774296625208E-2</v>
      </c>
    </row>
    <row r="196" spans="1:8">
      <c r="A196" s="161">
        <v>44039</v>
      </c>
      <c r="B196" s="162">
        <v>1.2484</v>
      </c>
      <c r="C196" s="171">
        <f t="shared" ref="C196:C201" si="18">IFERROR(B196-B195,0)</f>
        <v>3.2999999999998586E-3</v>
      </c>
      <c r="D196" s="168" t="str">
        <f t="shared" ref="D196:D201" si="19">IF(C196&lt;0,C196,"/")</f>
        <v>/</v>
      </c>
      <c r="E196" s="168">
        <f ca="1">IF(表2_36716262930381020[[#This Row],[累计净值]]/MAX(INDIRECT("B21:B" &amp; ROW()))-1&lt;E195,表2_36716262930381020[[#This Row],[累计净值]]/MAX(INDIRECT("B21:B" &amp; ROW()))-1,E195)</f>
        <v>-6.4608218766433634E-2</v>
      </c>
      <c r="F196" s="169">
        <f>表2_36716262930381020[[#This Row],[累计净值]]</f>
        <v>1.2484</v>
      </c>
      <c r="G196" s="170">
        <f>表2_36716262930381020[[#This Row],[累计净值]]/$B$21-1</f>
        <v>0.25948345439870857</v>
      </c>
      <c r="H196" s="170">
        <f>表2_36716262930381020[[#This Row],[累计净值]]/$B$156-1</f>
        <v>-2.7043878107707808E-2</v>
      </c>
    </row>
    <row r="197" spans="1:8">
      <c r="A197" s="161">
        <v>44040</v>
      </c>
      <c r="B197" s="162">
        <v>1.2421</v>
      </c>
      <c r="C197" s="171">
        <f t="shared" si="18"/>
        <v>-6.2999999999999723E-3</v>
      </c>
      <c r="D197" s="168">
        <f t="shared" si="19"/>
        <v>-6.2999999999999723E-3</v>
      </c>
      <c r="E197" s="168">
        <f ca="1">IF(表2_36716262930381020[[#This Row],[累计净值]]/MAX(INDIRECT("B21:B" &amp; ROW()))-1&lt;E196,表2_36716262930381020[[#This Row],[累计净值]]/MAX(INDIRECT("B21:B" &amp; ROW()))-1,E196)</f>
        <v>-6.6861993839681499E-2</v>
      </c>
      <c r="F197" s="169">
        <f>表2_36716262930381020[[#This Row],[累计净值]]</f>
        <v>1.2421</v>
      </c>
      <c r="G197" s="170">
        <f>表2_36716262930381020[[#This Row],[累计净值]]/$B$21-1</f>
        <v>0.25312752219531887</v>
      </c>
      <c r="H197" s="170">
        <f>表2_36716262930381020[[#This Row],[累计净值]]/$B$156-1</f>
        <v>-3.1953861741095713E-2</v>
      </c>
    </row>
    <row r="198" spans="1:8">
      <c r="A198" s="161">
        <v>44041</v>
      </c>
      <c r="B198" s="162">
        <v>1.2386999999999999</v>
      </c>
      <c r="C198" s="171">
        <f t="shared" si="18"/>
        <v>-3.4000000000000696E-3</v>
      </c>
      <c r="D198" s="168">
        <f t="shared" si="19"/>
        <v>-3.4000000000000696E-3</v>
      </c>
      <c r="E198" s="168">
        <f ca="1">IF(表2_36716262930381020[[#This Row],[累计净值]]/MAX(INDIRECT("B21:B" &amp; ROW()))-1&lt;E197,表2_36716262930381020[[#This Row],[累计净值]]/MAX(INDIRECT("B21:B" &amp; ROW()))-1,E197)</f>
        <v>-6.9416272256028866E-2</v>
      </c>
      <c r="F198" s="169">
        <f>表2_36716262930381020[[#This Row],[累计净值]]</f>
        <v>1.2386999999999999</v>
      </c>
      <c r="G198" s="170">
        <f>表2_36716262930381020[[#This Row],[累计净值]]/$B$21-1</f>
        <v>0.2496973365617432</v>
      </c>
      <c r="H198" s="170">
        <f>表2_36716262930381020[[#This Row],[累计净值]]/$B$156-1</f>
        <v>-3.4603694178162225E-2</v>
      </c>
    </row>
    <row r="199" spans="1:8">
      <c r="A199" s="161">
        <v>44042</v>
      </c>
      <c r="B199" s="162">
        <v>1.2358</v>
      </c>
      <c r="C199" s="171">
        <f t="shared" si="18"/>
        <v>-2.8999999999999027E-3</v>
      </c>
      <c r="D199" s="168">
        <f t="shared" si="19"/>
        <v>-2.8999999999999027E-3</v>
      </c>
      <c r="E199" s="168">
        <f ca="1">IF(表2_36716262930381020[[#This Row],[累计净值]]/MAX(INDIRECT("B21:B" &amp; ROW()))-1&lt;E198,表2_36716262930381020[[#This Row],[累计净值]]/MAX(INDIRECT("B21:B" &amp; ROW()))-1,E198)</f>
        <v>-7.1594921493501551E-2</v>
      </c>
      <c r="F199" s="169">
        <f>表2_36716262930381020[[#This Row],[累计净值]]</f>
        <v>1.2358</v>
      </c>
      <c r="G199" s="170">
        <f>表2_36716262930381020[[#This Row],[累计净值]]/$B$21-1</f>
        <v>0.24677158999192894</v>
      </c>
      <c r="H199" s="170">
        <f>表2_36716262930381020[[#This Row],[累计净值]]/$B$156-1</f>
        <v>-3.6863845374483617E-2</v>
      </c>
    </row>
    <row r="200" spans="1:8">
      <c r="A200" s="161">
        <v>44043</v>
      </c>
      <c r="B200" s="162">
        <v>1.2374000000000001</v>
      </c>
      <c r="C200" s="171">
        <f t="shared" si="18"/>
        <v>1.6000000000000458E-3</v>
      </c>
      <c r="D200" s="168" t="str">
        <f t="shared" si="19"/>
        <v>/</v>
      </c>
      <c r="E200" s="168">
        <f ca="1">IF(表2_36716262930381020[[#This Row],[累计净值]]/MAX(INDIRECT("B21:B" &amp; ROW()))-1&lt;E199,表2_36716262930381020[[#This Row],[累计净值]]/MAX(INDIRECT("B21:B" &amp; ROW()))-1,E199)</f>
        <v>-7.1594921493501551E-2</v>
      </c>
      <c r="F200" s="169">
        <f>表2_36716262930381020[[#This Row],[累计净值]]</f>
        <v>1.2374000000000001</v>
      </c>
      <c r="G200" s="170">
        <f>表2_36716262930381020[[#This Row],[累计净值]]/$B$21-1</f>
        <v>0.24838579499596447</v>
      </c>
      <c r="H200" s="170">
        <f>表2_36716262930381020[[#This Row],[累计净值]]/$B$156-1</f>
        <v>-3.5616865404099363E-2</v>
      </c>
    </row>
    <row r="201" spans="1:8">
      <c r="A201" s="161">
        <v>44046</v>
      </c>
      <c r="B201" s="162">
        <v>1.242</v>
      </c>
      <c r="C201" s="171">
        <f t="shared" si="18"/>
        <v>4.5999999999999375E-3</v>
      </c>
      <c r="D201" s="168" t="str">
        <f t="shared" si="19"/>
        <v>/</v>
      </c>
      <c r="E201" s="168">
        <f ca="1">IF(表2_36716262930381020[[#This Row],[累计净值]]/MAX(INDIRECT("B21:B" &amp; ROW()))-1&lt;E200,表2_36716262930381020[[#This Row],[累计净值]]/MAX(INDIRECT("B21:B" &amp; ROW()))-1,E200)</f>
        <v>-7.1594921493501551E-2</v>
      </c>
      <c r="F201" s="169">
        <f>表2_36716262930381020[[#This Row],[累计净值]]</f>
        <v>1.242</v>
      </c>
      <c r="G201" s="170">
        <f>表2_36716262930381020[[#This Row],[累计净值]]/$B$21-1</f>
        <v>0.25302663438256667</v>
      </c>
      <c r="H201" s="170">
        <f>表2_36716262930381020[[#This Row],[累计净值]]/$B$156-1</f>
        <v>-3.2031797989244715E-2</v>
      </c>
    </row>
    <row r="202" spans="1:8">
      <c r="A202" s="161">
        <v>44047</v>
      </c>
      <c r="B202" s="162">
        <v>1.2524</v>
      </c>
      <c r="C202" s="171">
        <f t="shared" ref="C202:C207" si="20">IFERROR(B202-B201,0)</f>
        <v>1.0399999999999965E-2</v>
      </c>
      <c r="D202" s="168" t="str">
        <f t="shared" ref="D202:D207" si="21">IF(C202&lt;0,C202,"/")</f>
        <v>/</v>
      </c>
      <c r="E202" s="168">
        <f ca="1">IF(表2_36716262930381020[[#This Row],[累计净值]]/MAX(INDIRECT("B21:B" &amp; ROW()))-1&lt;E201,表2_36716262930381020[[#This Row],[累计净值]]/MAX(INDIRECT("B21:B" &amp; ROW()))-1,E201)</f>
        <v>-7.1594921493501551E-2</v>
      </c>
      <c r="F202" s="169">
        <f>表2_36716262930381020[[#This Row],[累计净值]]</f>
        <v>1.2524</v>
      </c>
      <c r="G202" s="170">
        <f>表2_36716262930381020[[#This Row],[累计净值]]/$B$21-1</f>
        <v>0.26351896690879739</v>
      </c>
      <c r="H202" s="170">
        <f>表2_36716262930381020[[#This Row],[累计净值]]/$B$156-1</f>
        <v>-2.3926428181747283E-2</v>
      </c>
    </row>
    <row r="203" spans="1:8">
      <c r="A203" s="161">
        <v>44048</v>
      </c>
      <c r="B203" s="162">
        <v>1.2545999999999999</v>
      </c>
      <c r="C203" s="171">
        <f t="shared" si="20"/>
        <v>2.1999999999999797E-3</v>
      </c>
      <c r="D203" s="168" t="str">
        <f t="shared" si="21"/>
        <v>/</v>
      </c>
      <c r="E203" s="168">
        <f ca="1">IF(表2_36716262930381020[[#This Row],[累计净值]]/MAX(INDIRECT("B21:B" &amp; ROW()))-1&lt;E202,表2_36716262930381020[[#This Row],[累计净值]]/MAX(INDIRECT("B21:B" &amp; ROW()))-1,E202)</f>
        <v>-7.1594921493501551E-2</v>
      </c>
      <c r="F203" s="169">
        <f>表2_36716262930381020[[#This Row],[累计净值]]</f>
        <v>1.2545999999999999</v>
      </c>
      <c r="G203" s="170">
        <f>表2_36716262930381020[[#This Row],[累计净值]]/$B$21-1</f>
        <v>0.2657384987893463</v>
      </c>
      <c r="H203" s="170">
        <f>表2_36716262930381020[[#This Row],[累计净值]]/$B$156-1</f>
        <v>-2.2211830722469017E-2</v>
      </c>
    </row>
    <row r="204" spans="1:8">
      <c r="A204" s="161">
        <v>44049</v>
      </c>
      <c r="B204" s="162">
        <v>1.2625</v>
      </c>
      <c r="C204" s="171">
        <f t="shared" si="20"/>
        <v>7.9000000000000181E-3</v>
      </c>
      <c r="D204" s="168" t="str">
        <f t="shared" si="21"/>
        <v>/</v>
      </c>
      <c r="E204" s="168">
        <f ca="1">IF(表2_36716262930381020[[#This Row],[累计净值]]/MAX(INDIRECT("B21:B" &amp; ROW()))-1&lt;E203,表2_36716262930381020[[#This Row],[累计净值]]/MAX(INDIRECT("B21:B" &amp; ROW()))-1,E203)</f>
        <v>-7.1594921493501551E-2</v>
      </c>
      <c r="F204" s="169">
        <f>表2_36716262930381020[[#This Row],[累计净值]]</f>
        <v>1.2625</v>
      </c>
      <c r="G204" s="170">
        <f>表2_36716262930381020[[#This Row],[累计净值]]/$B$21-1</f>
        <v>0.27370863599677153</v>
      </c>
      <c r="H204" s="170">
        <f>表2_36716262930381020[[#This Row],[累计净值]]/$B$156-1</f>
        <v>-1.6054867118696858E-2</v>
      </c>
    </row>
    <row r="205" spans="1:8">
      <c r="A205" s="161">
        <v>44050</v>
      </c>
      <c r="B205" s="162">
        <v>1.2563</v>
      </c>
      <c r="C205" s="171">
        <f t="shared" si="20"/>
        <v>-6.1999999999999833E-3</v>
      </c>
      <c r="D205" s="168">
        <f t="shared" si="21"/>
        <v>-6.1999999999999833E-3</v>
      </c>
      <c r="E205" s="168">
        <f ca="1">IF(表2_36716262930381020[[#This Row],[累计净值]]/MAX(INDIRECT("B21:B" &amp; ROW()))-1&lt;E204,表2_36716262930381020[[#This Row],[累计净值]]/MAX(INDIRECT("B21:B" &amp; ROW()))-1,E204)</f>
        <v>-7.1594921493501551E-2</v>
      </c>
      <c r="F205" s="169">
        <f>表2_36716262930381020[[#This Row],[累计净值]]</f>
        <v>1.2563</v>
      </c>
      <c r="G205" s="170">
        <f>表2_36716262930381020[[#This Row],[累计净值]]/$B$21-1</f>
        <v>0.26745359160613402</v>
      </c>
      <c r="H205" s="170">
        <f>表2_36716262930381020[[#This Row],[累计净值]]/$B$156-1</f>
        <v>-2.0886914503935761E-2</v>
      </c>
    </row>
    <row r="206" spans="1:8">
      <c r="A206" s="161">
        <v>44053</v>
      </c>
      <c r="B206" s="162">
        <v>1.2597</v>
      </c>
      <c r="C206" s="171">
        <f t="shared" si="20"/>
        <v>3.4000000000000696E-3</v>
      </c>
      <c r="D206" s="168" t="str">
        <f t="shared" si="21"/>
        <v>/</v>
      </c>
      <c r="E206" s="168">
        <f ca="1">IF(表2_36716262930381020[[#This Row],[累计净值]]/MAX(INDIRECT("B21:B" &amp; ROW()))-1&lt;E205,表2_36716262930381020[[#This Row],[累计净值]]/MAX(INDIRECT("B21:B" &amp; ROW()))-1,E205)</f>
        <v>-7.1594921493501551E-2</v>
      </c>
      <c r="F206" s="169">
        <f>表2_36716262930381020[[#This Row],[累计净值]]</f>
        <v>1.2597</v>
      </c>
      <c r="G206" s="170">
        <f>表2_36716262930381020[[#This Row],[累计净值]]/$B$21-1</f>
        <v>0.27088377723970947</v>
      </c>
      <c r="H206" s="170">
        <f>表2_36716262930381020[[#This Row],[累计净值]]/$B$156-1</f>
        <v>-1.8237082066869248E-2</v>
      </c>
    </row>
    <row r="207" spans="1:8">
      <c r="A207" s="161">
        <v>44054</v>
      </c>
      <c r="B207" s="162">
        <v>1.2753000000000001</v>
      </c>
      <c r="C207" s="171">
        <f t="shared" si="20"/>
        <v>1.5600000000000058E-2</v>
      </c>
      <c r="D207" s="168" t="str">
        <f t="shared" si="21"/>
        <v>/</v>
      </c>
      <c r="E207" s="168">
        <f ca="1">IF(表2_36716262930381020[[#This Row],[累计净值]]/MAX(INDIRECT("B21:B" &amp; ROW()))-1&lt;E206,表2_36716262930381020[[#This Row],[累计净值]]/MAX(INDIRECT("B21:B" &amp; ROW()))-1,E206)</f>
        <v>-7.1594921493501551E-2</v>
      </c>
      <c r="F207" s="169">
        <f>表2_36716262930381020[[#This Row],[累计净值]]</f>
        <v>1.2753000000000001</v>
      </c>
      <c r="G207" s="170">
        <f>表2_36716262930381020[[#This Row],[累计净值]]/$B$21-1</f>
        <v>0.28662227602905577</v>
      </c>
      <c r="H207" s="170">
        <f>表2_36716262930381020[[#This Row],[累计净值]]/$B$156-1</f>
        <v>-6.0790273556229346E-3</v>
      </c>
    </row>
    <row r="208" spans="1:8">
      <c r="A208" s="161">
        <v>44055</v>
      </c>
      <c r="B208" s="162">
        <v>1.2789999999999999</v>
      </c>
      <c r="C208" s="171">
        <f t="shared" ref="C208:C213" si="22">IFERROR(B208-B207,0)</f>
        <v>3.6999999999998145E-3</v>
      </c>
      <c r="D208" s="168" t="str">
        <f t="shared" ref="D208:D213" si="23">IF(C208&lt;0,C208,"/")</f>
        <v>/</v>
      </c>
      <c r="E208" s="168">
        <f ca="1">IF(表2_36716262930381020[[#This Row],[累计净值]]/MAX(INDIRECT("B21:B" &amp; ROW()))-1&lt;E207,表2_36716262930381020[[#This Row],[累计净值]]/MAX(INDIRECT("B21:B" &amp; ROW()))-1,E207)</f>
        <v>-7.1594921493501551E-2</v>
      </c>
      <c r="F208" s="169">
        <f>表2_36716262930381020[[#This Row],[累计净值]]</f>
        <v>1.2789999999999999</v>
      </c>
      <c r="G208" s="170">
        <f>表2_36716262930381020[[#This Row],[累计净值]]/$B$21-1</f>
        <v>0.29035512510088779</v>
      </c>
      <c r="H208" s="170">
        <f>表2_36716262930381020[[#This Row],[累计净值]]/$B$156-1</f>
        <v>-3.1953861741095269E-3</v>
      </c>
    </row>
    <row r="209" spans="1:8">
      <c r="A209" s="161">
        <v>44056</v>
      </c>
      <c r="B209" s="162">
        <v>1.2823</v>
      </c>
      <c r="C209" s="171">
        <f t="shared" si="22"/>
        <v>3.3000000000000806E-3</v>
      </c>
      <c r="D209" s="168" t="str">
        <f t="shared" si="23"/>
        <v>/</v>
      </c>
      <c r="E209" s="168">
        <f ca="1">IF(表2_36716262930381020[[#This Row],[累计净值]]/MAX(INDIRECT("B21:B" &amp; ROW()))-1&lt;E208,表2_36716262930381020[[#This Row],[累计净值]]/MAX(INDIRECT("B21:B" &amp; ROW()))-1,E208)</f>
        <v>-7.1594921493501551E-2</v>
      </c>
      <c r="F209" s="169">
        <f>表2_36716262930381020[[#This Row],[累计净值]]</f>
        <v>1.2823</v>
      </c>
      <c r="G209" s="170">
        <f>表2_36716262930381020[[#This Row],[累计净值]]/$B$21-1</f>
        <v>0.29368442292171104</v>
      </c>
      <c r="H209" s="170">
        <f>表2_36716262930381020[[#This Row],[累计净值]]/$B$156-1</f>
        <v>-6.2348998519201615E-4</v>
      </c>
    </row>
    <row r="210" spans="1:8">
      <c r="A210" s="161">
        <v>44057</v>
      </c>
      <c r="B210" s="162">
        <v>1.2844</v>
      </c>
      <c r="C210" s="171">
        <f t="shared" si="22"/>
        <v>2.0999999999999908E-3</v>
      </c>
      <c r="D210" s="168" t="str">
        <f t="shared" si="23"/>
        <v>/</v>
      </c>
      <c r="E210" s="168">
        <f ca="1">IF(表2_36716262930381020[[#This Row],[累计净值]]/MAX(INDIRECT("B21:B" &amp; ROW()))-1&lt;E209,表2_36716262930381020[[#This Row],[累计净值]]/MAX(INDIRECT("B21:B" &amp; ROW()))-1,E209)</f>
        <v>-7.1594921493501551E-2</v>
      </c>
      <c r="F210" s="169">
        <f>表2_36716262930381020[[#This Row],[累计净值]]</f>
        <v>1.2844</v>
      </c>
      <c r="G210" s="170">
        <f>表2_36716262930381020[[#This Row],[累计净值]]/$B$21-1</f>
        <v>0.29580306698950776</v>
      </c>
      <c r="H210" s="170">
        <f>表2_36716262930381020[[#This Row],[累计净值]]/$B$156-1</f>
        <v>1.0131712259371373E-3</v>
      </c>
    </row>
    <row r="211" spans="1:8">
      <c r="A211" s="161">
        <v>44060</v>
      </c>
      <c r="B211" s="162">
        <v>1.2766</v>
      </c>
      <c r="C211" s="171">
        <f t="shared" si="22"/>
        <v>-7.8000000000000291E-3</v>
      </c>
      <c r="D211" s="168">
        <f t="shared" si="23"/>
        <v>-7.8000000000000291E-3</v>
      </c>
      <c r="E211" s="168">
        <f ca="1">IF(表2_36716262930381020[[#This Row],[累计净值]]/MAX(INDIRECT("B21:B" &amp; ROW()))-1&lt;E210,表2_36716262930381020[[#This Row],[累计净值]]/MAX(INDIRECT("B21:B" &amp; ROW()))-1,E210)</f>
        <v>-7.1594921493501551E-2</v>
      </c>
      <c r="F211" s="169">
        <f>表2_36716262930381020[[#This Row],[累计净值]]</f>
        <v>1.2766</v>
      </c>
      <c r="G211" s="170">
        <f>表2_36716262930381020[[#This Row],[累计净值]]/$B$21-1</f>
        <v>0.2879338175948345</v>
      </c>
      <c r="H211" s="170">
        <f>表2_36716262930381020[[#This Row],[累计净值]]/$B$156-1</f>
        <v>-5.0658561296859084E-3</v>
      </c>
    </row>
    <row r="212" spans="1:8">
      <c r="A212" s="161">
        <v>44061</v>
      </c>
      <c r="B212" s="162">
        <v>1.2785</v>
      </c>
      <c r="C212" s="171">
        <f t="shared" si="22"/>
        <v>1.9000000000000128E-3</v>
      </c>
      <c r="D212" s="168" t="str">
        <f t="shared" si="23"/>
        <v>/</v>
      </c>
      <c r="E212" s="168">
        <f ca="1">IF(表2_36716262930381020[[#This Row],[累计净值]]/MAX(INDIRECT("B21:B" &amp; ROW()))-1&lt;E211,表2_36716262930381020[[#This Row],[累计净值]]/MAX(INDIRECT("B21:B" &amp; ROW()))-1,E211)</f>
        <v>-7.1594921493501551E-2</v>
      </c>
      <c r="F212" s="169">
        <f>表2_36716262930381020[[#This Row],[累计净值]]</f>
        <v>1.2785</v>
      </c>
      <c r="G212" s="170">
        <f>表2_36716262930381020[[#This Row],[累计净值]]/$B$21-1</f>
        <v>0.28985068603712683</v>
      </c>
      <c r="H212" s="170">
        <f>表2_36716262930381020[[#This Row],[累计净值]]/$B$156-1</f>
        <v>-3.585067414854648E-3</v>
      </c>
    </row>
    <row r="213" spans="1:8">
      <c r="A213" s="161">
        <v>44062</v>
      </c>
      <c r="B213" s="162">
        <v>1.2867</v>
      </c>
      <c r="C213" s="171">
        <f t="shared" si="22"/>
        <v>8.1999999999999851E-3</v>
      </c>
      <c r="D213" s="168" t="str">
        <f t="shared" si="23"/>
        <v>/</v>
      </c>
      <c r="E213" s="168">
        <f ca="1">IF(表2_36716262930381020[[#This Row],[累计净值]]/MAX(INDIRECT("B21:B" &amp; ROW()))-1&lt;E212,表2_36716262930381020[[#This Row],[累计净值]]/MAX(INDIRECT("B21:B" &amp; ROW()))-1,E212)</f>
        <v>-7.1594921493501551E-2</v>
      </c>
      <c r="F213" s="169">
        <f>表2_36716262930381020[[#This Row],[累计净值]]</f>
        <v>1.2867</v>
      </c>
      <c r="G213" s="170">
        <f>表2_36716262930381020[[#This Row],[累计净值]]/$B$21-1</f>
        <v>0.29812348668280864</v>
      </c>
      <c r="H213" s="170">
        <f>表2_36716262930381020[[#This Row],[累计净值]]/$B$156-1</f>
        <v>2.8057049333645168E-3</v>
      </c>
    </row>
    <row r="214" spans="1:8">
      <c r="A214" s="161">
        <v>44063</v>
      </c>
      <c r="B214" s="162">
        <v>1.2927</v>
      </c>
      <c r="C214" s="171">
        <f>IFERROR(B214-B213,0)</f>
        <v>6.0000000000000053E-3</v>
      </c>
      <c r="D214" s="168" t="str">
        <f>IF(C214&lt;0,C214,"/")</f>
        <v>/</v>
      </c>
      <c r="E214" s="168">
        <f ca="1">IF(表2_36716262930381020[[#This Row],[累计净值]]/MAX(INDIRECT("B21:B" &amp; ROW()))-1&lt;E213,表2_36716262930381020[[#This Row],[累计净值]]/MAX(INDIRECT("B21:B" &amp; ROW()))-1,E213)</f>
        <v>-7.1594921493501551E-2</v>
      </c>
      <c r="F214" s="169">
        <f>表2_36716262930381020[[#This Row],[累计净值]]</f>
        <v>1.2927</v>
      </c>
      <c r="G214" s="170">
        <f>表2_36716262930381020[[#This Row],[累计净值]]/$B$21-1</f>
        <v>0.30417675544794198</v>
      </c>
      <c r="H214" s="170">
        <f>表2_36716262930381020[[#This Row],[累计净值]]/$B$156-1</f>
        <v>7.481879822305304E-3</v>
      </c>
    </row>
    <row r="215" spans="1:8">
      <c r="A215" s="161">
        <v>44064</v>
      </c>
      <c r="B215" s="162">
        <v>1.2969999999999999</v>
      </c>
      <c r="C215" s="171">
        <f>IFERROR(B215-B214,0)</f>
        <v>4.2999999999999705E-3</v>
      </c>
      <c r="D215" s="168" t="str">
        <f>IF(C215&lt;0,C215,"/")</f>
        <v>/</v>
      </c>
      <c r="E215" s="168">
        <f ca="1">IF(表2_36716262930381020[[#This Row],[累计净值]]/MAX(INDIRECT("B21:B" &amp; ROW()))-1&lt;E214,表2_36716262930381020[[#This Row],[累计净值]]/MAX(INDIRECT("B21:B" &amp; ROW()))-1,E214)</f>
        <v>-7.1594921493501551E-2</v>
      </c>
      <c r="F215" s="169">
        <f>表2_36716262930381020[[#This Row],[累计净值]]</f>
        <v>1.2969999999999999</v>
      </c>
      <c r="G215" s="170">
        <f>表2_36716262930381020[[#This Row],[累计净值]]/$B$21-1</f>
        <v>0.30851493139628738</v>
      </c>
      <c r="H215" s="170">
        <f>表2_36716262930381020[[#This Row],[累计净值]]/$B$156-1</f>
        <v>1.0833138492712946E-2</v>
      </c>
    </row>
    <row r="216" spans="1:8">
      <c r="A216" s="161">
        <v>44067</v>
      </c>
      <c r="B216" s="162">
        <v>1.298</v>
      </c>
      <c r="C216" s="171">
        <f t="shared" ref="C216:C221" si="24">IFERROR(B216-B215,0)</f>
        <v>1.0000000000001119E-3</v>
      </c>
      <c r="D216" s="168" t="str">
        <f t="shared" ref="D216:D221" si="25">IF(C216&lt;0,C216,"/")</f>
        <v>/</v>
      </c>
      <c r="E216" s="168">
        <f ca="1">IF(表2_36716262930381020[[#This Row],[累计净值]]/MAX(INDIRECT("B21:B" &amp; ROW()))-1&lt;E215,表2_36716262930381020[[#This Row],[累计净值]]/MAX(INDIRECT("B21:B" &amp; ROW()))-1,E215)</f>
        <v>-7.1594921493501551E-2</v>
      </c>
      <c r="F216" s="169">
        <f>表2_36716262930381020[[#This Row],[累计净值]]</f>
        <v>1.298</v>
      </c>
      <c r="G216" s="170">
        <f>表2_36716262930381020[[#This Row],[累计净值]]/$B$21-1</f>
        <v>0.30952380952380953</v>
      </c>
      <c r="H216" s="170">
        <f>表2_36716262930381020[[#This Row],[累计净值]]/$B$156-1</f>
        <v>1.1612500974203188E-2</v>
      </c>
    </row>
    <row r="217" spans="1:8">
      <c r="A217" s="161">
        <v>44068</v>
      </c>
      <c r="B217" s="162">
        <v>1.2922</v>
      </c>
      <c r="C217" s="171">
        <f t="shared" si="24"/>
        <v>-5.8000000000000274E-3</v>
      </c>
      <c r="D217" s="168">
        <f t="shared" si="25"/>
        <v>-5.8000000000000274E-3</v>
      </c>
      <c r="E217" s="168">
        <f ca="1">IF(表2_36716262930381020[[#This Row],[累计净值]]/MAX(INDIRECT("B21:B" &amp; ROW()))-1&lt;E216,表2_36716262930381020[[#This Row],[累计净值]]/MAX(INDIRECT("B21:B" &amp; ROW()))-1,E216)</f>
        <v>-7.1594921493501551E-2</v>
      </c>
      <c r="F217" s="169">
        <f>表2_36716262930381020[[#This Row],[累计净值]]</f>
        <v>1.2922</v>
      </c>
      <c r="G217" s="170">
        <f>表2_36716262930381020[[#This Row],[累计净值]]/$B$21-1</f>
        <v>0.3036723163841808</v>
      </c>
      <c r="H217" s="170">
        <f>表2_36716262930381020[[#This Row],[累计净值]]/$B$156-1</f>
        <v>7.0921985815604049E-3</v>
      </c>
    </row>
    <row r="218" spans="1:8">
      <c r="A218" s="161">
        <v>44069</v>
      </c>
      <c r="B218" s="162">
        <v>1.2867999999999999</v>
      </c>
      <c r="C218" s="171">
        <f t="shared" si="24"/>
        <v>-5.4000000000000714E-3</v>
      </c>
      <c r="D218" s="168">
        <f t="shared" si="25"/>
        <v>-5.4000000000000714E-3</v>
      </c>
      <c r="E218" s="168">
        <f ca="1">IF(表2_36716262930381020[[#This Row],[累计净值]]/MAX(INDIRECT("B21:B" &amp; ROW()))-1&lt;E217,表2_36716262930381020[[#This Row],[累计净值]]/MAX(INDIRECT("B21:B" &amp; ROW()))-1,E217)</f>
        <v>-7.1594921493501551E-2</v>
      </c>
      <c r="F218" s="169">
        <f>表2_36716262930381020[[#This Row],[累计净值]]</f>
        <v>1.2867999999999999</v>
      </c>
      <c r="G218" s="170">
        <f>表2_36716262930381020[[#This Row],[累计净值]]/$B$21-1</f>
        <v>0.29822437449556083</v>
      </c>
      <c r="H218" s="170">
        <f>表2_36716262930381020[[#This Row],[累计净值]]/$B$156-1</f>
        <v>2.8836411815136298E-3</v>
      </c>
    </row>
    <row r="219" spans="1:8">
      <c r="A219" s="161">
        <v>44070</v>
      </c>
      <c r="B219" s="162">
        <v>1.2846</v>
      </c>
      <c r="C219" s="171">
        <f t="shared" si="24"/>
        <v>-2.1999999999999797E-3</v>
      </c>
      <c r="D219" s="168">
        <f t="shared" si="25"/>
        <v>-2.1999999999999797E-3</v>
      </c>
      <c r="E219" s="168">
        <f ca="1">IF(表2_36716262930381020[[#This Row],[累计净值]]/MAX(INDIRECT("B21:B" &amp; ROW()))-1&lt;E218,表2_36716262930381020[[#This Row],[累计净值]]/MAX(INDIRECT("B21:B" &amp; ROW()))-1,E218)</f>
        <v>-7.1594921493501551E-2</v>
      </c>
      <c r="F219" s="169">
        <f>表2_36716262930381020[[#This Row],[累计净值]]</f>
        <v>1.2846</v>
      </c>
      <c r="G219" s="170">
        <f>表2_36716262930381020[[#This Row],[累计净值]]/$B$21-1</f>
        <v>0.29600484261501214</v>
      </c>
      <c r="H219" s="170">
        <f>表2_36716262930381020[[#This Row],[累计净值]]/$B$156-1</f>
        <v>1.1690437222353633E-3</v>
      </c>
    </row>
    <row r="220" spans="1:8">
      <c r="A220" s="161">
        <v>44071</v>
      </c>
      <c r="B220" s="162">
        <v>1.2841</v>
      </c>
      <c r="C220" s="171">
        <f t="shared" si="24"/>
        <v>-4.9999999999994493E-4</v>
      </c>
      <c r="D220" s="168">
        <f t="shared" si="25"/>
        <v>-4.9999999999994493E-4</v>
      </c>
      <c r="E220" s="168">
        <f ca="1">IF(表2_36716262930381020[[#This Row],[累计净值]]/MAX(INDIRECT("B21:B" &amp; ROW()))-1&lt;E219,表2_36716262930381020[[#This Row],[累计净值]]/MAX(INDIRECT("B21:B" &amp; ROW()))-1,E219)</f>
        <v>-7.1594921493501551E-2</v>
      </c>
      <c r="F220" s="169">
        <f>表2_36716262930381020[[#This Row],[累计净值]]</f>
        <v>1.2841</v>
      </c>
      <c r="G220" s="170">
        <f>表2_36716262930381020[[#This Row],[累计净值]]/$B$21-1</f>
        <v>0.29550040355125118</v>
      </c>
      <c r="H220" s="170">
        <f>表2_36716262930381020[[#This Row],[累计净值]]/$B$156-1</f>
        <v>7.7936248149024223E-4</v>
      </c>
    </row>
    <row r="221" spans="1:8">
      <c r="A221" s="161">
        <v>44074</v>
      </c>
      <c r="B221" s="162">
        <v>1.2807999999999999</v>
      </c>
      <c r="C221" s="171">
        <f t="shared" si="24"/>
        <v>-3.3000000000000806E-3</v>
      </c>
      <c r="D221" s="168">
        <f t="shared" si="25"/>
        <v>-3.3000000000000806E-3</v>
      </c>
      <c r="E221" s="168">
        <f ca="1">IF(表2_36716262930381020[[#This Row],[累计净值]]/MAX(INDIRECT("B21:B" &amp; ROW()))-1&lt;E220,表2_36716262930381020[[#This Row],[累计净值]]/MAX(INDIRECT("B21:B" &amp; ROW()))-1,E220)</f>
        <v>-7.1594921493501551E-2</v>
      </c>
      <c r="F221" s="169">
        <f>表2_36716262930381020[[#This Row],[累计净值]]</f>
        <v>1.2807999999999999</v>
      </c>
      <c r="G221" s="170">
        <f>表2_36716262930381020[[#This Row],[累计净值]]/$B$21-1</f>
        <v>0.2921711057304277</v>
      </c>
      <c r="H221" s="170">
        <f>表2_36716262930381020[[#This Row],[累计净值]]/$B$156-1</f>
        <v>-1.7925337074272685E-3</v>
      </c>
    </row>
    <row r="222" spans="1:8">
      <c r="A222" s="161">
        <v>44075</v>
      </c>
      <c r="B222" s="162">
        <v>1.2774000000000001</v>
      </c>
      <c r="C222" s="171">
        <f t="shared" ref="C222:C227" si="26">IFERROR(B222-B221,0)</f>
        <v>-3.3999999999998476E-3</v>
      </c>
      <c r="D222" s="168">
        <f t="shared" ref="D222:D227" si="27">IF(C222&lt;0,C222,"/")</f>
        <v>-3.3999999999998476E-3</v>
      </c>
      <c r="E222" s="168">
        <f ca="1">IF(表2_36716262930381020[[#This Row],[累计净值]]/MAX(INDIRECT("B21:B" &amp; ROW()))-1&lt;E221,表2_36716262930381020[[#This Row],[累计净值]]/MAX(INDIRECT("B21:B" &amp; ROW()))-1,E221)</f>
        <v>-7.1594921493501551E-2</v>
      </c>
      <c r="F222" s="169">
        <f>表2_36716262930381020[[#This Row],[累计净值]]</f>
        <v>1.2774000000000001</v>
      </c>
      <c r="G222" s="170">
        <f>表2_36716262930381020[[#This Row],[累计净值]]/$B$21-1</f>
        <v>0.28874092009685248</v>
      </c>
      <c r="H222" s="170">
        <f>表2_36716262930381020[[#This Row],[累计净值]]/$B$156-1</f>
        <v>-4.4423661444936702E-3</v>
      </c>
    </row>
    <row r="223" spans="1:8">
      <c r="A223" s="161">
        <v>44076</v>
      </c>
      <c r="B223" s="162">
        <v>1.2741</v>
      </c>
      <c r="C223" s="171">
        <f t="shared" si="26"/>
        <v>-3.3000000000000806E-3</v>
      </c>
      <c r="D223" s="168">
        <f t="shared" si="27"/>
        <v>-3.3000000000000806E-3</v>
      </c>
      <c r="E223" s="168">
        <f ca="1">IF(表2_36716262930381020[[#This Row],[累计净值]]/MAX(INDIRECT("B21:B" &amp; ROW()))-1&lt;E222,表2_36716262930381020[[#This Row],[累计净值]]/MAX(INDIRECT("B21:B" &amp; ROW()))-1,E222)</f>
        <v>-7.1594921493501551E-2</v>
      </c>
      <c r="F223" s="169">
        <f>表2_36716262930381020[[#This Row],[累计净值]]</f>
        <v>1.2741</v>
      </c>
      <c r="G223" s="170">
        <f>表2_36716262930381020[[#This Row],[累计净值]]/$B$21-1</f>
        <v>0.28541162227602901</v>
      </c>
      <c r="H223" s="170">
        <f>表2_36716262930381020[[#This Row],[累计净值]]/$B$156-1</f>
        <v>-7.0142623334111809E-3</v>
      </c>
    </row>
    <row r="224" spans="1:8">
      <c r="A224" s="161">
        <v>44077</v>
      </c>
      <c r="B224" s="162">
        <v>1.2858000000000001</v>
      </c>
      <c r="C224" s="171">
        <f t="shared" si="26"/>
        <v>1.1700000000000044E-2</v>
      </c>
      <c r="D224" s="168" t="str">
        <f t="shared" si="27"/>
        <v>/</v>
      </c>
      <c r="E224" s="168">
        <f ca="1">IF(表2_36716262930381020[[#This Row],[累计净值]]/MAX(INDIRECT("B21:B" &amp; ROW()))-1&lt;E223,表2_36716262930381020[[#This Row],[累计净值]]/MAX(INDIRECT("B21:B" &amp; ROW()))-1,E223)</f>
        <v>-7.1594921493501551E-2</v>
      </c>
      <c r="F224" s="169">
        <f>表2_36716262930381020[[#This Row],[累计净值]]</f>
        <v>1.2858000000000001</v>
      </c>
      <c r="G224" s="170">
        <f>表2_36716262930381020[[#This Row],[累计净值]]/$B$21-1</f>
        <v>0.2972154963680389</v>
      </c>
      <c r="H224" s="170">
        <f>表2_36716262930381020[[#This Row],[累计净值]]/$B$156-1</f>
        <v>2.1042787000233876E-3</v>
      </c>
    </row>
    <row r="225" spans="1:10">
      <c r="A225" s="161">
        <v>44078</v>
      </c>
      <c r="B225" s="162">
        <v>1.2926</v>
      </c>
      <c r="C225" s="171">
        <f t="shared" si="26"/>
        <v>6.7999999999999172E-3</v>
      </c>
      <c r="D225" s="168" t="str">
        <f t="shared" si="27"/>
        <v>/</v>
      </c>
      <c r="E225" s="168">
        <f ca="1">IF(表2_36716262930381020[[#This Row],[累计净值]]/MAX(INDIRECT("B21:B" &amp; ROW()))-1&lt;E224,表2_36716262930381020[[#This Row],[累计净值]]/MAX(INDIRECT("B21:B" &amp; ROW()))-1,E224)</f>
        <v>-7.1594921493501551E-2</v>
      </c>
      <c r="F225" s="169">
        <f>表2_36716262930381020[[#This Row],[累计净值]]</f>
        <v>1.2926</v>
      </c>
      <c r="G225" s="170">
        <f>表2_36716262930381020[[#This Row],[累计净值]]/$B$21-1</f>
        <v>0.30407586763518979</v>
      </c>
      <c r="H225" s="170">
        <f>表2_36716262930381020[[#This Row],[累计净值]]/$B$156-1</f>
        <v>7.403943574156413E-3</v>
      </c>
    </row>
    <row r="226" spans="1:10">
      <c r="A226" s="161">
        <v>44081</v>
      </c>
      <c r="B226" s="162">
        <v>1.2934000000000001</v>
      </c>
      <c r="C226" s="171">
        <f t="shared" si="26"/>
        <v>8.0000000000013394E-4</v>
      </c>
      <c r="D226" s="168" t="str">
        <f t="shared" si="27"/>
        <v>/</v>
      </c>
      <c r="E226" s="168">
        <f ca="1">IF(表2_36716262930381020[[#This Row],[累计净值]]/MAX(INDIRECT("B21:B" &amp; ROW()))-1&lt;E225,表2_36716262930381020[[#This Row],[累计净值]]/MAX(INDIRECT("B21:B" &amp; ROW()))-1,E225)</f>
        <v>-7.1594921493501551E-2</v>
      </c>
      <c r="F226" s="169">
        <f>表2_36716262930381020[[#This Row],[累计净值]]</f>
        <v>1.2934000000000001</v>
      </c>
      <c r="G226" s="170">
        <f>表2_36716262930381020[[#This Row],[累计净值]]/$B$21-1</f>
        <v>0.30488297013720755</v>
      </c>
      <c r="H226" s="170">
        <f>表2_36716262930381020[[#This Row],[累计净值]]/$B$156-1</f>
        <v>8.0274335593486512E-3</v>
      </c>
    </row>
    <row r="227" spans="1:10">
      <c r="A227" s="161">
        <v>44082</v>
      </c>
      <c r="B227" s="162">
        <v>1.2942</v>
      </c>
      <c r="C227" s="171">
        <f t="shared" si="26"/>
        <v>7.9999999999991189E-4</v>
      </c>
      <c r="D227" s="168" t="str">
        <f t="shared" si="27"/>
        <v>/</v>
      </c>
      <c r="E227" s="168">
        <f ca="1">IF(表2_36716262930381020[[#This Row],[累计净值]]/MAX(INDIRECT("B21:B" &amp; ROW()))-1&lt;E226,表2_36716262930381020[[#This Row],[累计净值]]/MAX(INDIRECT("B21:B" &amp; ROW()))-1,E226)</f>
        <v>-7.1594921493501551E-2</v>
      </c>
      <c r="F227" s="169">
        <f>表2_36716262930381020[[#This Row],[累计净值]]</f>
        <v>1.2942</v>
      </c>
      <c r="G227" s="170">
        <f>表2_36716262930381020[[#This Row],[累计净值]]/$B$21-1</f>
        <v>0.30569007263922532</v>
      </c>
      <c r="H227" s="170">
        <f>表2_36716262930381020[[#This Row],[累计净值]]/$B$156-1</f>
        <v>8.6509235445406674E-3</v>
      </c>
    </row>
    <row r="228" spans="1:10">
      <c r="A228" s="161">
        <v>44083</v>
      </c>
      <c r="B228" s="162">
        <v>1.3028</v>
      </c>
      <c r="C228" s="171">
        <f t="shared" ref="C228:C233" si="28">IFERROR(B228-B227,0)</f>
        <v>8.599999999999941E-3</v>
      </c>
      <c r="D228" s="168" t="str">
        <f t="shared" ref="D228:D233" si="29">IF(C228&lt;0,C228,"/")</f>
        <v>/</v>
      </c>
      <c r="E228" s="168">
        <f ca="1">IF(表2_36716262930381020[[#This Row],[累计净值]]/MAX(INDIRECT("B21:B" &amp; ROW()))-1&lt;E227,表2_36716262930381020[[#This Row],[累计净值]]/MAX(INDIRECT("B21:B" &amp; ROW()))-1,E227)</f>
        <v>-7.1594921493501551E-2</v>
      </c>
      <c r="F228" s="169">
        <f>表2_36716262930381020[[#This Row],[累计净值]]</f>
        <v>1.3028</v>
      </c>
      <c r="G228" s="170">
        <f>表2_36716262930381020[[#This Row],[累计净值]]/$B$21-1</f>
        <v>0.31436642453591612</v>
      </c>
      <c r="H228" s="170">
        <f>表2_36716262930381020[[#This Row],[累计净值]]/$B$156-1</f>
        <v>1.5353440885355729E-2</v>
      </c>
    </row>
    <row r="229" spans="1:10">
      <c r="A229" s="161">
        <v>44084</v>
      </c>
      <c r="B229" s="162">
        <v>1.3033999999999999</v>
      </c>
      <c r="C229" s="171">
        <f t="shared" si="28"/>
        <v>5.9999999999993392E-4</v>
      </c>
      <c r="D229" s="168" t="str">
        <f t="shared" si="29"/>
        <v>/</v>
      </c>
      <c r="E229" s="168">
        <f ca="1">IF(表2_36716262930381020[[#This Row],[累计净值]]/MAX(INDIRECT("B21:B" &amp; ROW()))-1&lt;E228,表2_36716262930381020[[#This Row],[累计净值]]/MAX(INDIRECT("B21:B" &amp; ROW()))-1,E228)</f>
        <v>-7.1594921493501551E-2</v>
      </c>
      <c r="F229" s="169">
        <f>表2_36716262930381020[[#This Row],[累计净值]]</f>
        <v>1.3033999999999999</v>
      </c>
      <c r="G229" s="170">
        <f>表2_36716262930381020[[#This Row],[累计净值]]/$B$21-1</f>
        <v>0.31497175141242928</v>
      </c>
      <c r="H229" s="170">
        <f>表2_36716262930381020[[#This Row],[累计净值]]/$B$156-1</f>
        <v>1.5821058374249963E-2</v>
      </c>
    </row>
    <row r="230" spans="1:10">
      <c r="A230" s="161">
        <v>44085</v>
      </c>
      <c r="B230" s="162">
        <v>1.3141</v>
      </c>
      <c r="C230" s="171">
        <f t="shared" si="28"/>
        <v>1.0700000000000154E-2</v>
      </c>
      <c r="D230" s="168" t="str">
        <f t="shared" si="29"/>
        <v>/</v>
      </c>
      <c r="E230" s="168">
        <f ca="1">IF(表2_36716262930381020[[#This Row],[累计净值]]/MAX(INDIRECT("B21:B" &amp; ROW()))-1&lt;E229,表2_36716262930381020[[#This Row],[累计净值]]/MAX(INDIRECT("B21:B" &amp; ROW()))-1,E229)</f>
        <v>-7.1594921493501551E-2</v>
      </c>
      <c r="F230" s="169">
        <f>表2_36716262930381020[[#This Row],[累计净值]]</f>
        <v>1.3141</v>
      </c>
      <c r="G230" s="170">
        <f>表2_36716262930381020[[#This Row],[累计净值]]/$B$21-1</f>
        <v>0.32576674737691702</v>
      </c>
      <c r="H230" s="170">
        <f>表2_36716262930381020[[#This Row],[累计净值]]/$B$156-1</f>
        <v>2.4160236926194401E-2</v>
      </c>
    </row>
    <row r="231" spans="1:10">
      <c r="A231" s="161">
        <v>44088</v>
      </c>
      <c r="B231" s="162">
        <v>1.3154999999999999</v>
      </c>
      <c r="C231" s="171">
        <f t="shared" si="28"/>
        <v>1.3999999999998458E-3</v>
      </c>
      <c r="D231" s="168" t="str">
        <f t="shared" si="29"/>
        <v>/</v>
      </c>
      <c r="E231" s="168">
        <f ca="1">IF(表2_36716262930381020[[#This Row],[累计净值]]/MAX(INDIRECT("B21:B" &amp; ROW()))-1&lt;E230,表2_36716262930381020[[#This Row],[累计净值]]/MAX(INDIRECT("B21:B" &amp; ROW()))-1,E230)</f>
        <v>-7.1594921493501551E-2</v>
      </c>
      <c r="F231" s="169">
        <f>表2_36716262930381020[[#This Row],[累计净值]]</f>
        <v>1.3154999999999999</v>
      </c>
      <c r="G231" s="170">
        <f>表2_36716262930381020[[#This Row],[累计净值]]/$B$21-1</f>
        <v>0.32717917675544794</v>
      </c>
      <c r="H231" s="170">
        <f>表2_36716262930381020[[#This Row],[累计净值]]/$B$156-1</f>
        <v>2.5251344400280651E-2</v>
      </c>
      <c r="J231" s="120" t="s">
        <v>41</v>
      </c>
    </row>
    <row r="232" spans="1:10">
      <c r="A232" s="161">
        <v>44089</v>
      </c>
      <c r="B232" s="162">
        <v>1.3148</v>
      </c>
      <c r="C232" s="171">
        <f t="shared" si="28"/>
        <v>-6.9999999999992291E-4</v>
      </c>
      <c r="D232" s="168">
        <f t="shared" si="29"/>
        <v>-6.9999999999992291E-4</v>
      </c>
      <c r="E232" s="168">
        <f ca="1">IF(表2_36716262930381020[[#This Row],[累计净值]]/MAX(INDIRECT("B21:B" &amp; ROW()))-1&lt;E231,表2_36716262930381020[[#This Row],[累计净值]]/MAX(INDIRECT("B21:B" &amp; ROW()))-1,E231)</f>
        <v>-7.1594921493501551E-2</v>
      </c>
      <c r="F232" s="169">
        <f>表2_36716262930381020[[#This Row],[累计净值]]</f>
        <v>1.3148</v>
      </c>
      <c r="G232" s="170">
        <f>表2_36716262930381020[[#This Row],[累计净值]]/$B$21-1</f>
        <v>0.32647296206618237</v>
      </c>
      <c r="H232" s="170">
        <f>表2_36716262930381020[[#This Row],[累计净值]]/$B$156-1</f>
        <v>2.4705790663237526E-2</v>
      </c>
    </row>
    <row r="233" spans="1:10">
      <c r="A233" s="161">
        <v>44090</v>
      </c>
      <c r="B233" s="162">
        <v>1.3106</v>
      </c>
      <c r="C233" s="171">
        <f t="shared" si="28"/>
        <v>-4.1999999999999815E-3</v>
      </c>
      <c r="D233" s="168">
        <f t="shared" si="29"/>
        <v>-4.1999999999999815E-3</v>
      </c>
      <c r="E233" s="168">
        <f ca="1">IF(表2_36716262930381020[[#This Row],[累计净值]]/MAX(INDIRECT("B21:B" &amp; ROW()))-1&lt;E232,表2_36716262930381020[[#This Row],[累计净值]]/MAX(INDIRECT("B21:B" &amp; ROW()))-1,E232)</f>
        <v>-7.1594921493501551E-2</v>
      </c>
      <c r="F233" s="169">
        <f>表2_36716262930381020[[#This Row],[累计净值]]</f>
        <v>1.3106</v>
      </c>
      <c r="G233" s="170">
        <f>表2_36716262930381020[[#This Row],[累计净值]]/$B$21-1</f>
        <v>0.32223567393058916</v>
      </c>
      <c r="H233" s="170">
        <f>表2_36716262930381020[[#This Row],[累计净值]]/$B$156-1</f>
        <v>2.1432468240978997E-2</v>
      </c>
    </row>
    <row r="234" spans="1:10">
      <c r="A234" s="161">
        <v>44091</v>
      </c>
      <c r="B234" s="162">
        <v>1.3047</v>
      </c>
      <c r="C234" s="171">
        <f t="shared" ref="C234:C239" si="30">IFERROR(B234-B233,0)</f>
        <v>-5.9000000000000163E-3</v>
      </c>
      <c r="D234" s="168">
        <f t="shared" ref="D234:D239" si="31">IF(C234&lt;0,C234,"/")</f>
        <v>-5.9000000000000163E-3</v>
      </c>
      <c r="E234" s="168">
        <f ca="1">IF(表2_36716262930381020[[#This Row],[累计净值]]/MAX(INDIRECT("B21:B" &amp; ROW()))-1&lt;E233,表2_36716262930381020[[#This Row],[累计净值]]/MAX(INDIRECT("B21:B" &amp; ROW()))-1,E233)</f>
        <v>-7.1594921493501551E-2</v>
      </c>
      <c r="F234" s="169">
        <f>表2_36716262930381020[[#This Row],[累计净值]]</f>
        <v>1.3047</v>
      </c>
      <c r="G234" s="170">
        <f>表2_36716262930381020[[#This Row],[累计净值]]/$B$21-1</f>
        <v>0.31628329297820823</v>
      </c>
      <c r="H234" s="170">
        <f>表2_36716262930381020[[#This Row],[累计净值]]/$B$156-1</f>
        <v>1.6834229600187101E-2</v>
      </c>
    </row>
    <row r="235" spans="1:10">
      <c r="A235" s="161">
        <v>44092</v>
      </c>
      <c r="B235" s="162">
        <v>1.3148</v>
      </c>
      <c r="C235" s="171">
        <f t="shared" si="30"/>
        <v>1.0099999999999998E-2</v>
      </c>
      <c r="D235" s="168" t="str">
        <f t="shared" si="31"/>
        <v>/</v>
      </c>
      <c r="E235" s="168">
        <f ca="1">IF(表2_36716262930381020[[#This Row],[累计净值]]/MAX(INDIRECT("B21:B" &amp; ROW()))-1&lt;E234,表2_36716262930381020[[#This Row],[累计净值]]/MAX(INDIRECT("B21:B" &amp; ROW()))-1,E234)</f>
        <v>-7.1594921493501551E-2</v>
      </c>
      <c r="F235" s="169">
        <f>表2_36716262930381020[[#This Row],[累计净值]]</f>
        <v>1.3148</v>
      </c>
      <c r="G235" s="170">
        <f>表2_36716262930381020[[#This Row],[累计净值]]/$B$21-1</f>
        <v>0.32647296206618237</v>
      </c>
      <c r="H235" s="170">
        <f>表2_36716262930381020[[#This Row],[累计净值]]/$B$156-1</f>
        <v>2.4705790663237526E-2</v>
      </c>
    </row>
    <row r="236" spans="1:10">
      <c r="A236" s="161">
        <v>44095</v>
      </c>
      <c r="B236" s="162">
        <v>1.3157000000000001</v>
      </c>
      <c r="C236" s="171">
        <f t="shared" si="30"/>
        <v>9.0000000000012292E-4</v>
      </c>
      <c r="D236" s="168" t="str">
        <f t="shared" si="31"/>
        <v>/</v>
      </c>
      <c r="E236" s="168">
        <f ca="1">IF(表2_36716262930381020[[#This Row],[累计净值]]/MAX(INDIRECT("B21:B" &amp; ROW()))-1&lt;E235,表2_36716262930381020[[#This Row],[累计净值]]/MAX(INDIRECT("B21:B" &amp; ROW()))-1,E235)</f>
        <v>-7.1594921493501551E-2</v>
      </c>
      <c r="F236" s="169">
        <f>表2_36716262930381020[[#This Row],[累计净值]]</f>
        <v>1.3157000000000001</v>
      </c>
      <c r="G236" s="170">
        <f>表2_36716262930381020[[#This Row],[累计净值]]/$B$21-1</f>
        <v>0.32738095238095255</v>
      </c>
      <c r="H236" s="170">
        <f>表2_36716262930381020[[#This Row],[累计净值]]/$B$156-1</f>
        <v>2.5407216896578655E-2</v>
      </c>
    </row>
    <row r="237" spans="1:10">
      <c r="A237" s="161">
        <v>44096</v>
      </c>
      <c r="B237" s="162">
        <v>1.3236000000000001</v>
      </c>
      <c r="C237" s="171">
        <f t="shared" si="30"/>
        <v>7.9000000000000181E-3</v>
      </c>
      <c r="D237" s="168" t="str">
        <f t="shared" si="31"/>
        <v>/</v>
      </c>
      <c r="E237" s="168">
        <f ca="1">IF(表2_36716262930381020[[#This Row],[累计净值]]/MAX(INDIRECT("B21:B" &amp; ROW()))-1&lt;E236,表2_36716262930381020[[#This Row],[累计净值]]/MAX(INDIRECT("B21:B" &amp; ROW()))-1,E236)</f>
        <v>-7.1594921493501551E-2</v>
      </c>
      <c r="F237" s="169">
        <f>表2_36716262930381020[[#This Row],[累计净值]]</f>
        <v>1.3236000000000001</v>
      </c>
      <c r="G237" s="170">
        <f>表2_36716262930381020[[#This Row],[累计净值]]/$B$21-1</f>
        <v>0.33535108958837778</v>
      </c>
      <c r="H237" s="170">
        <f>表2_36716262930381020[[#This Row],[累计净值]]/$B$156-1</f>
        <v>3.1564180500350814E-2</v>
      </c>
    </row>
    <row r="238" spans="1:10">
      <c r="A238" s="161">
        <v>44097</v>
      </c>
      <c r="B238" s="162">
        <v>1.3241000000000001</v>
      </c>
      <c r="C238" s="171">
        <f t="shared" si="30"/>
        <v>4.9999999999994493E-4</v>
      </c>
      <c r="D238" s="168" t="str">
        <f t="shared" si="31"/>
        <v>/</v>
      </c>
      <c r="E238" s="168">
        <f ca="1">IF(表2_36716262930381020[[#This Row],[累计净值]]/MAX(INDIRECT("B21:B" &amp; ROW()))-1&lt;E237,表2_36716262930381020[[#This Row],[累计净值]]/MAX(INDIRECT("B21:B" &amp; ROW()))-1,E237)</f>
        <v>-7.1594921493501551E-2</v>
      </c>
      <c r="F238" s="169">
        <f>表2_36716262930381020[[#This Row],[累计净值]]</f>
        <v>1.3241000000000001</v>
      </c>
      <c r="G238" s="170">
        <f>表2_36716262930381020[[#This Row],[累计净值]]/$B$21-1</f>
        <v>0.33585552865213897</v>
      </c>
      <c r="H238" s="170">
        <f>表2_36716262930381020[[#This Row],[累计净值]]/$B$156-1</f>
        <v>3.1953861741095935E-2</v>
      </c>
    </row>
    <row r="239" spans="1:10">
      <c r="A239" s="161">
        <v>44098</v>
      </c>
      <c r="B239" s="162">
        <v>1.3084</v>
      </c>
      <c r="C239" s="171">
        <f t="shared" si="30"/>
        <v>-1.5700000000000047E-2</v>
      </c>
      <c r="D239" s="168">
        <f t="shared" si="31"/>
        <v>-1.5700000000000047E-2</v>
      </c>
      <c r="E239" s="168">
        <f ca="1">IF(表2_36716262930381020[[#This Row],[累计净值]]/MAX(INDIRECT("B21:B" &amp; ROW()))-1&lt;E238,表2_36716262930381020[[#This Row],[累计净值]]/MAX(INDIRECT("B21:B" &amp; ROW()))-1,E238)</f>
        <v>-7.1594921493501551E-2</v>
      </c>
      <c r="F239" s="169">
        <f>表2_36716262930381020[[#This Row],[累计净值]]</f>
        <v>1.3084</v>
      </c>
      <c r="G239" s="170">
        <f>表2_36716262930381020[[#This Row],[累计净值]]/$B$21-1</f>
        <v>0.32001614205004048</v>
      </c>
      <c r="H239" s="170">
        <f>表2_36716262930381020[[#This Row],[累计净值]]/$B$156-1</f>
        <v>1.971787078170073E-2</v>
      </c>
    </row>
    <row r="240" spans="1:10">
      <c r="A240" s="161">
        <v>44099</v>
      </c>
      <c r="B240" s="162">
        <v>1.3028</v>
      </c>
      <c r="C240" s="171">
        <f t="shared" ref="C240:C245" si="32">IFERROR(B240-B239,0)</f>
        <v>-5.6000000000000494E-3</v>
      </c>
      <c r="D240" s="168">
        <f t="shared" ref="D240:D245" si="33">IF(C240&lt;0,C240,"/")</f>
        <v>-5.6000000000000494E-3</v>
      </c>
      <c r="E240" s="168">
        <f ca="1">IF(表2_36716262930381020[[#This Row],[累计净值]]/MAX(INDIRECT("B21:B" &amp; ROW()))-1&lt;E239,表2_36716262930381020[[#This Row],[累计净值]]/MAX(INDIRECT("B21:B" &amp; ROW()))-1,E239)</f>
        <v>-7.1594921493501551E-2</v>
      </c>
      <c r="F240" s="169">
        <f>表2_36716262930381020[[#This Row],[累计净值]]</f>
        <v>1.3028</v>
      </c>
      <c r="G240" s="170">
        <f>表2_36716262930381020[[#This Row],[累计净值]]/$B$21-1</f>
        <v>0.31436642453591612</v>
      </c>
      <c r="H240" s="170">
        <f>表2_36716262930381020[[#This Row],[累计净值]]/$B$156-1</f>
        <v>1.5353440885355729E-2</v>
      </c>
    </row>
    <row r="241" spans="1:8">
      <c r="A241" s="161">
        <v>44102</v>
      </c>
      <c r="B241" s="162">
        <v>1.3030999999999999</v>
      </c>
      <c r="C241" s="171">
        <f t="shared" si="32"/>
        <v>2.9999999999996696E-4</v>
      </c>
      <c r="D241" s="168" t="str">
        <f t="shared" si="33"/>
        <v>/</v>
      </c>
      <c r="E241" s="168">
        <f ca="1">IF(表2_36716262930381020[[#This Row],[累计净值]]/MAX(INDIRECT("B21:B" &amp; ROW()))-1&lt;E240,表2_36716262930381020[[#This Row],[累计净值]]/MAX(INDIRECT("B21:B" &amp; ROW()))-1,E240)</f>
        <v>-7.1594921493501551E-2</v>
      </c>
      <c r="F241" s="169">
        <f>表2_36716262930381020[[#This Row],[累计净值]]</f>
        <v>1.3030999999999999</v>
      </c>
      <c r="G241" s="170">
        <f>表2_36716262930381020[[#This Row],[累计净值]]/$B$21-1</f>
        <v>0.3146690879741727</v>
      </c>
      <c r="H241" s="170">
        <f>表2_36716262930381020[[#This Row],[累计净值]]/$B$156-1</f>
        <v>1.5587249629802846E-2</v>
      </c>
    </row>
    <row r="242" spans="1:8">
      <c r="A242" s="161">
        <v>44103</v>
      </c>
      <c r="B242" s="162">
        <v>1.3063</v>
      </c>
      <c r="C242" s="171">
        <f t="shared" si="32"/>
        <v>3.2000000000000917E-3</v>
      </c>
      <c r="D242" s="168" t="str">
        <f t="shared" si="33"/>
        <v>/</v>
      </c>
      <c r="E242" s="168">
        <f ca="1">IF(表2_36716262930381020[[#This Row],[累计净值]]/MAX(INDIRECT("B21:B" &amp; ROW()))-1&lt;E241,表2_36716262930381020[[#This Row],[累计净值]]/MAX(INDIRECT("B21:B" &amp; ROW()))-1,E241)</f>
        <v>-7.1594921493501551E-2</v>
      </c>
      <c r="F242" s="169">
        <f>表2_36716262930381020[[#This Row],[累计净值]]</f>
        <v>1.3063</v>
      </c>
      <c r="G242" s="170">
        <f>表2_36716262930381020[[#This Row],[累计净值]]/$B$21-1</f>
        <v>0.31789749798224376</v>
      </c>
      <c r="H242" s="170">
        <f>表2_36716262930381020[[#This Row],[累计净值]]/$B$156-1</f>
        <v>1.8081209570571355E-2</v>
      </c>
    </row>
    <row r="243" spans="1:8">
      <c r="A243" s="161">
        <v>44104</v>
      </c>
      <c r="B243" s="162">
        <v>1.3069999999999999</v>
      </c>
      <c r="C243" s="171">
        <f t="shared" si="32"/>
        <v>6.9999999999992291E-4</v>
      </c>
      <c r="D243" s="168" t="str">
        <f t="shared" si="33"/>
        <v>/</v>
      </c>
      <c r="E243" s="168">
        <f ca="1">IF(表2_36716262930381020[[#This Row],[累计净值]]/MAX(INDIRECT("B21:B" &amp; ROW()))-1&lt;E242,表2_36716262930381020[[#This Row],[累计净值]]/MAX(INDIRECT("B21:B" &amp; ROW()))-1,E242)</f>
        <v>-7.1594921493501551E-2</v>
      </c>
      <c r="F243" s="169">
        <f>表2_36716262930381020[[#This Row],[累计净值]]</f>
        <v>1.3069999999999999</v>
      </c>
      <c r="G243" s="170">
        <f>表2_36716262930381020[[#This Row],[累计净值]]/$B$21-1</f>
        <v>0.31860371267150933</v>
      </c>
      <c r="H243" s="170">
        <f>表2_36716262930381020[[#This Row],[累计净值]]/$B$156-1</f>
        <v>1.862676330761448E-2</v>
      </c>
    </row>
    <row r="244" spans="1:8">
      <c r="A244" s="161">
        <v>44113</v>
      </c>
      <c r="B244" s="162">
        <v>1.3249</v>
      </c>
      <c r="C244" s="171">
        <f t="shared" si="32"/>
        <v>1.7900000000000027E-2</v>
      </c>
      <c r="D244" s="168" t="str">
        <f t="shared" si="33"/>
        <v>/</v>
      </c>
      <c r="E244" s="168">
        <f ca="1">IF(表2_36716262930381020[[#This Row],[累计净值]]/MAX(INDIRECT("B21:B" &amp; ROW()))-1&lt;E243,表2_36716262930381020[[#This Row],[累计净值]]/MAX(INDIRECT("B21:B" &amp; ROW()))-1,E243)</f>
        <v>-7.1594921493501551E-2</v>
      </c>
      <c r="F244" s="169">
        <f>表2_36716262930381020[[#This Row],[累计净值]]</f>
        <v>1.3249</v>
      </c>
      <c r="G244" s="170">
        <f>表2_36716262930381020[[#This Row],[累计净值]]/$B$21-1</f>
        <v>0.33666263115415651</v>
      </c>
      <c r="H244" s="170">
        <f>表2_36716262930381020[[#This Row],[累计净值]]/$B$156-1</f>
        <v>3.2577351726287951E-2</v>
      </c>
    </row>
    <row r="245" spans="1:8">
      <c r="A245" s="161">
        <v>44116</v>
      </c>
      <c r="B245" s="162">
        <v>1.3178000000000001</v>
      </c>
      <c r="C245" s="171">
        <f t="shared" si="32"/>
        <v>-7.0999999999998842E-3</v>
      </c>
      <c r="D245" s="168">
        <f t="shared" si="33"/>
        <v>-7.0999999999998842E-3</v>
      </c>
      <c r="E245" s="168">
        <f ca="1">IF(表2_36716262930381020[[#This Row],[累计净值]]/MAX(INDIRECT("B21:B" &amp; ROW()))-1&lt;E244,表2_36716262930381020[[#This Row],[累计净值]]/MAX(INDIRECT("B21:B" &amp; ROW()))-1,E244)</f>
        <v>-7.1594921493501551E-2</v>
      </c>
      <c r="F245" s="169">
        <f>表2_36716262930381020[[#This Row],[累计净值]]</f>
        <v>1.3178000000000001</v>
      </c>
      <c r="G245" s="170">
        <f>表2_36716262930381020[[#This Row],[累计净值]]/$B$21-1</f>
        <v>0.32949959644874904</v>
      </c>
      <c r="H245" s="170">
        <f>表2_36716262930381020[[#This Row],[累计净值]]/$B$156-1</f>
        <v>2.704387810770803E-2</v>
      </c>
    </row>
    <row r="246" spans="1:8">
      <c r="A246" s="161">
        <v>44117</v>
      </c>
      <c r="B246" s="162">
        <v>1.3231999999999999</v>
      </c>
      <c r="C246" s="171">
        <f t="shared" ref="C246:C251" si="34">IFERROR(B246-B245,0)</f>
        <v>5.3999999999998494E-3</v>
      </c>
      <c r="D246" s="168" t="str">
        <f t="shared" ref="D246:D251" si="35">IF(C246&lt;0,C246,"/")</f>
        <v>/</v>
      </c>
      <c r="E246" s="168">
        <f ca="1">IF(表2_36716262930381020[[#This Row],[累计净值]]/MAX(INDIRECT("B21:B" &amp; ROW()))-1&lt;E245,表2_36716262930381020[[#This Row],[累计净值]]/MAX(INDIRECT("B21:B" &amp; ROW()))-1,E245)</f>
        <v>-7.1594921493501551E-2</v>
      </c>
      <c r="F246" s="169">
        <f>表2_36716262930381020[[#This Row],[累计净值]]</f>
        <v>1.3231999999999999</v>
      </c>
      <c r="G246" s="170">
        <f>表2_36716262930381020[[#This Row],[累计净值]]/$B$21-1</f>
        <v>0.33494753833736879</v>
      </c>
      <c r="H246" s="170">
        <f>表2_36716262930381020[[#This Row],[累计净值]]/$B$156-1</f>
        <v>3.1252435507754583E-2</v>
      </c>
    </row>
    <row r="247" spans="1:8">
      <c r="A247" s="161">
        <v>44118</v>
      </c>
      <c r="B247" s="162">
        <v>1.3172999999999999</v>
      </c>
      <c r="C247" s="171">
        <f t="shared" si="34"/>
        <v>-5.9000000000000163E-3</v>
      </c>
      <c r="D247" s="168">
        <f t="shared" si="35"/>
        <v>-5.9000000000000163E-3</v>
      </c>
      <c r="E247" s="168">
        <f ca="1">IF(表2_36716262930381020[[#This Row],[累计净值]]/MAX(INDIRECT("B21:B" &amp; ROW()))-1&lt;E246,表2_36716262930381020[[#This Row],[累计净值]]/MAX(INDIRECT("B21:B" &amp; ROW()))-1,E246)</f>
        <v>-7.1594921493501551E-2</v>
      </c>
      <c r="F247" s="169">
        <f>表2_36716262930381020[[#This Row],[累计净值]]</f>
        <v>1.3172999999999999</v>
      </c>
      <c r="G247" s="170">
        <f>表2_36716262930381020[[#This Row],[累计净值]]/$B$21-1</f>
        <v>0.32899515738498786</v>
      </c>
      <c r="H247" s="170">
        <f>表2_36716262930381020[[#This Row],[累计净值]]/$B$156-1</f>
        <v>2.6654196866962909E-2</v>
      </c>
    </row>
    <row r="248" spans="1:8">
      <c r="A248" s="161">
        <v>44119</v>
      </c>
      <c r="B248" s="162">
        <v>1.3072999999999999</v>
      </c>
      <c r="C248" s="171">
        <f t="shared" si="34"/>
        <v>-1.0000000000000009E-2</v>
      </c>
      <c r="D248" s="168">
        <f t="shared" si="35"/>
        <v>-1.0000000000000009E-2</v>
      </c>
      <c r="E248" s="168">
        <f ca="1">IF(表2_36716262930381020[[#This Row],[累计净值]]/MAX(INDIRECT("B21:B" &amp; ROW()))-1&lt;E247,表2_36716262930381020[[#This Row],[累计净值]]/MAX(INDIRECT("B21:B" &amp; ROW()))-1,E247)</f>
        <v>-7.1594921493501551E-2</v>
      </c>
      <c r="F248" s="169">
        <f>表2_36716262930381020[[#This Row],[累计净值]]</f>
        <v>1.3072999999999999</v>
      </c>
      <c r="G248" s="170">
        <f>表2_36716262930381020[[#This Row],[累计净值]]/$B$21-1</f>
        <v>0.31890637610976591</v>
      </c>
      <c r="H248" s="170">
        <f>表2_36716262930381020[[#This Row],[累计净值]]/$B$156-1</f>
        <v>1.8860572052061375E-2</v>
      </c>
    </row>
    <row r="249" spans="1:8">
      <c r="A249" s="161">
        <v>44120</v>
      </c>
      <c r="B249" s="162">
        <v>1.2968</v>
      </c>
      <c r="C249" s="171">
        <f t="shared" si="34"/>
        <v>-1.0499999999999954E-2</v>
      </c>
      <c r="D249" s="168">
        <f t="shared" si="35"/>
        <v>-1.0499999999999954E-2</v>
      </c>
      <c r="E249" s="168">
        <f ca="1">IF(表2_36716262930381020[[#This Row],[累计净值]]/MAX(INDIRECT("B21:B" &amp; ROW()))-1&lt;E248,表2_36716262930381020[[#This Row],[累计净值]]/MAX(INDIRECT("B21:B" &amp; ROW()))-1,E248)</f>
        <v>-7.1594921493501551E-2</v>
      </c>
      <c r="F249" s="169">
        <f>表2_36716262930381020[[#This Row],[累计净值]]</f>
        <v>1.2968</v>
      </c>
      <c r="G249" s="170">
        <f>表2_36716262930381020[[#This Row],[累计净值]]/$B$21-1</f>
        <v>0.30831315577078278</v>
      </c>
      <c r="H249" s="170">
        <f>表2_36716262930381020[[#This Row],[累计净值]]/$B$156-1</f>
        <v>1.0677265996414942E-2</v>
      </c>
    </row>
    <row r="250" spans="1:8">
      <c r="A250" s="161">
        <v>44123</v>
      </c>
      <c r="B250" s="162">
        <v>1.2947</v>
      </c>
      <c r="C250" s="171">
        <f t="shared" si="34"/>
        <v>-2.0999999999999908E-3</v>
      </c>
      <c r="D250" s="168">
        <f t="shared" si="35"/>
        <v>-2.0999999999999908E-3</v>
      </c>
      <c r="E250" s="168">
        <f ca="1">IF(表2_36716262930381020[[#This Row],[累计净值]]/MAX(INDIRECT("B21:B" &amp; ROW()))-1&lt;E249,表2_36716262930381020[[#This Row],[累计净值]]/MAX(INDIRECT("B21:B" &amp; ROW()))-1,E249)</f>
        <v>-7.1594921493501551E-2</v>
      </c>
      <c r="F250" s="169">
        <f>表2_36716262930381020[[#This Row],[累计净值]]</f>
        <v>1.2947</v>
      </c>
      <c r="G250" s="170">
        <f>表2_36716262930381020[[#This Row],[累计净值]]/$B$21-1</f>
        <v>0.30619451170298628</v>
      </c>
      <c r="H250" s="170">
        <f>表2_36716262930381020[[#This Row],[累计净值]]/$B$156-1</f>
        <v>9.0406047852857885E-3</v>
      </c>
    </row>
    <row r="251" spans="1:8">
      <c r="A251" s="161">
        <v>44124</v>
      </c>
      <c r="B251" s="162">
        <v>1.2962</v>
      </c>
      <c r="C251" s="171">
        <f t="shared" si="34"/>
        <v>1.5000000000000568E-3</v>
      </c>
      <c r="D251" s="168" t="str">
        <f t="shared" si="35"/>
        <v>/</v>
      </c>
      <c r="E251" s="168">
        <f ca="1">IF(表2_36716262930381020[[#This Row],[累计净值]]/MAX(INDIRECT("B21:B" &amp; ROW()))-1&lt;E250,表2_36716262930381020[[#This Row],[累计净值]]/MAX(INDIRECT("B21:B" &amp; ROW()))-1,E250)</f>
        <v>-7.1594921493501551E-2</v>
      </c>
      <c r="F251" s="169">
        <f>表2_36716262930381020[[#This Row],[累计净值]]</f>
        <v>1.2962</v>
      </c>
      <c r="G251" s="170">
        <f>表2_36716262930381020[[#This Row],[累计净值]]/$B$21-1</f>
        <v>0.30770782889426962</v>
      </c>
      <c r="H251" s="170">
        <f>表2_36716262930381020[[#This Row],[累计净值]]/$B$156-1</f>
        <v>1.020964850752093E-2</v>
      </c>
    </row>
    <row r="252" spans="1:8">
      <c r="A252" s="161">
        <v>44125</v>
      </c>
      <c r="B252" s="162">
        <v>1.2883</v>
      </c>
      <c r="C252" s="171">
        <f t="shared" ref="C252:C257" si="36">IFERROR(B252-B251,0)</f>
        <v>-7.9000000000000181E-3</v>
      </c>
      <c r="D252" s="168">
        <f t="shared" ref="D252:D257" si="37">IF(C252&lt;0,C252,"/")</f>
        <v>-7.9000000000000181E-3</v>
      </c>
      <c r="E252" s="168">
        <f ca="1">IF(表2_36716262930381020[[#This Row],[累计净值]]/MAX(INDIRECT("B21:B" &amp; ROW()))-1&lt;E251,表2_36716262930381020[[#This Row],[累计净值]]/MAX(INDIRECT("B21:B" &amp; ROW()))-1,E251)</f>
        <v>-7.1594921493501551E-2</v>
      </c>
      <c r="F252" s="169">
        <f>表2_36716262930381020[[#This Row],[累计净值]]</f>
        <v>1.2883</v>
      </c>
      <c r="G252" s="170">
        <f>表2_36716262930381020[[#This Row],[累计净值]]/$B$21-1</f>
        <v>0.29973769168684417</v>
      </c>
      <c r="H252" s="170">
        <f>表2_36716262930381020[[#This Row],[累计净值]]/$B$156-1</f>
        <v>4.0526849037487711E-3</v>
      </c>
    </row>
    <row r="253" spans="1:8">
      <c r="A253" s="161">
        <v>44126</v>
      </c>
      <c r="B253" s="162">
        <v>1.2882</v>
      </c>
      <c r="C253" s="171">
        <f t="shared" si="36"/>
        <v>-9.9999999999988987E-5</v>
      </c>
      <c r="D253" s="168">
        <f t="shared" si="37"/>
        <v>-9.9999999999988987E-5</v>
      </c>
      <c r="E253" s="168">
        <f ca="1">IF(表2_36716262930381020[[#This Row],[累计净值]]/MAX(INDIRECT("B21:B" &amp; ROW()))-1&lt;E252,表2_36716262930381020[[#This Row],[累计净值]]/MAX(INDIRECT("B21:B" &amp; ROW()))-1,E252)</f>
        <v>-7.1594921493501551E-2</v>
      </c>
      <c r="F253" s="169">
        <f>表2_36716262930381020[[#This Row],[累计净值]]</f>
        <v>1.2882</v>
      </c>
      <c r="G253" s="170">
        <f>表2_36716262930381020[[#This Row],[累计净值]]/$B$21-1</f>
        <v>0.29963680387409197</v>
      </c>
      <c r="H253" s="170">
        <f>表2_36716262930381020[[#This Row],[累计净值]]/$B$156-1</f>
        <v>3.9747486555998801E-3</v>
      </c>
    </row>
    <row r="254" spans="1:8">
      <c r="A254" s="161">
        <v>44127</v>
      </c>
      <c r="B254" s="162">
        <v>1.2841</v>
      </c>
      <c r="C254" s="171">
        <f t="shared" si="36"/>
        <v>-4.0999999999999925E-3</v>
      </c>
      <c r="D254" s="168">
        <f t="shared" si="37"/>
        <v>-4.0999999999999925E-3</v>
      </c>
      <c r="E254" s="168">
        <f ca="1">IF(表2_36716262930381020[[#This Row],[累计净值]]/MAX(INDIRECT("B21:B" &amp; ROW()))-1&lt;E253,表2_36716262930381020[[#This Row],[累计净值]]/MAX(INDIRECT("B21:B" &amp; ROW()))-1,E253)</f>
        <v>-7.1594921493501551E-2</v>
      </c>
      <c r="F254" s="169">
        <f>表2_36716262930381020[[#This Row],[累计净值]]</f>
        <v>1.2841</v>
      </c>
      <c r="G254" s="170">
        <f>表2_36716262930381020[[#This Row],[累计净值]]/$B$21-1</f>
        <v>0.29550040355125118</v>
      </c>
      <c r="H254" s="170">
        <f>表2_36716262930381020[[#This Row],[累计净值]]/$B$156-1</f>
        <v>7.7936248149024223E-4</v>
      </c>
    </row>
    <row r="255" spans="1:8">
      <c r="A255" s="161">
        <v>44130</v>
      </c>
      <c r="B255" s="162">
        <v>1.2859</v>
      </c>
      <c r="C255" s="171">
        <f t="shared" si="36"/>
        <v>1.8000000000000238E-3</v>
      </c>
      <c r="D255" s="168" t="str">
        <f t="shared" si="37"/>
        <v>/</v>
      </c>
      <c r="E255" s="168">
        <f ca="1">IF(表2_36716262930381020[[#This Row],[累计净值]]/MAX(INDIRECT("B21:B" &amp; ROW()))-1&lt;E254,表2_36716262930381020[[#This Row],[累计净值]]/MAX(INDIRECT("B21:B" &amp; ROW()))-1,E254)</f>
        <v>-7.1594921493501551E-2</v>
      </c>
      <c r="F255" s="169">
        <f>表2_36716262930381020[[#This Row],[累计净值]]</f>
        <v>1.2859</v>
      </c>
      <c r="G255" s="170">
        <f>表2_36716262930381020[[#This Row],[累计净值]]/$B$21-1</f>
        <v>0.29731638418079109</v>
      </c>
      <c r="H255" s="170">
        <f>表2_36716262930381020[[#This Row],[累计净值]]/$B$156-1</f>
        <v>2.1822149481725006E-3</v>
      </c>
    </row>
    <row r="256" spans="1:8">
      <c r="A256" s="161">
        <v>44131</v>
      </c>
      <c r="B256" s="162">
        <v>1.2924</v>
      </c>
      <c r="C256" s="171">
        <f t="shared" si="36"/>
        <v>6.4999999999999503E-3</v>
      </c>
      <c r="D256" s="168" t="str">
        <f t="shared" si="37"/>
        <v>/</v>
      </c>
      <c r="E256" s="168">
        <f ca="1">IF(表2_36716262930381020[[#This Row],[累计净值]]/MAX(INDIRECT("B21:B" &amp; ROW()))-1&lt;E255,表2_36716262930381020[[#This Row],[累计净值]]/MAX(INDIRECT("B21:B" &amp; ROW()))-1,E255)</f>
        <v>-7.1594921493501551E-2</v>
      </c>
      <c r="F256" s="169">
        <f>表2_36716262930381020[[#This Row],[累计净值]]</f>
        <v>1.2924</v>
      </c>
      <c r="G256" s="170">
        <f>表2_36716262930381020[[#This Row],[累计净值]]/$B$21-1</f>
        <v>0.30387409200968518</v>
      </c>
      <c r="H256" s="170">
        <f>表2_36716262930381020[[#This Row],[累计净值]]/$B$156-1</f>
        <v>7.248071077858409E-3</v>
      </c>
    </row>
    <row r="257" spans="1:8">
      <c r="A257" s="161">
        <v>44132</v>
      </c>
      <c r="B257" s="162">
        <v>1.3041</v>
      </c>
      <c r="C257" s="171">
        <f t="shared" si="36"/>
        <v>1.1700000000000044E-2</v>
      </c>
      <c r="D257" s="168" t="str">
        <f t="shared" si="37"/>
        <v>/</v>
      </c>
      <c r="E257" s="168">
        <f ca="1">IF(表2_36716262930381020[[#This Row],[累计净值]]/MAX(INDIRECT("B21:B" &amp; ROW()))-1&lt;E256,表2_36716262930381020[[#This Row],[累计净值]]/MAX(INDIRECT("B21:B" &amp; ROW()))-1,E256)</f>
        <v>-7.1594921493501551E-2</v>
      </c>
      <c r="F257" s="169">
        <f>表2_36716262930381020[[#This Row],[累计净值]]</f>
        <v>1.3041</v>
      </c>
      <c r="G257" s="170">
        <f>表2_36716262930381020[[#This Row],[累计净值]]/$B$21-1</f>
        <v>0.31567796610169507</v>
      </c>
      <c r="H257" s="170">
        <f>表2_36716262930381020[[#This Row],[累计净值]]/$B$156-1</f>
        <v>1.6366612111293088E-2</v>
      </c>
    </row>
    <row r="258" spans="1:8">
      <c r="A258" s="161">
        <v>44133</v>
      </c>
      <c r="B258" s="162">
        <v>1.3145</v>
      </c>
      <c r="C258" s="171">
        <f>IFERROR(B258-B257,0)</f>
        <v>1.0399999999999965E-2</v>
      </c>
      <c r="D258" s="168" t="str">
        <f>IF(C258&lt;0,C258,"/")</f>
        <v>/</v>
      </c>
      <c r="E258" s="168">
        <f ca="1">IF(表2_36716262930381020[[#This Row],[累计净值]]/MAX(INDIRECT("B21:B" &amp; ROW()))-1&lt;E257,表2_36716262930381020[[#This Row],[累计净值]]/MAX(INDIRECT("B21:B" &amp; ROW()))-1,E257)</f>
        <v>-7.1594921493501551E-2</v>
      </c>
      <c r="F258" s="169">
        <f>表2_36716262930381020[[#This Row],[累计净值]]</f>
        <v>1.3145</v>
      </c>
      <c r="G258" s="170">
        <f>表2_36716262930381020[[#This Row],[累计净值]]/$B$21-1</f>
        <v>0.32617029862792579</v>
      </c>
      <c r="H258" s="170">
        <f>表2_36716262930381020[[#This Row],[累计净值]]/$B$156-1</f>
        <v>2.4471981918790409E-2</v>
      </c>
    </row>
    <row r="259" spans="1:8">
      <c r="A259" s="161">
        <v>44134</v>
      </c>
      <c r="B259" s="162">
        <v>1.3226</v>
      </c>
      <c r="C259" s="171">
        <f t="shared" ref="C259:C261" si="38">IFERROR(B259-B258,0)</f>
        <v>8.0999999999999961E-3</v>
      </c>
      <c r="D259" s="168" t="str">
        <f t="shared" ref="D259:D261" si="39">IF(C259&lt;0,C259,"/")</f>
        <v>/</v>
      </c>
      <c r="E259" s="168">
        <f ca="1">IF(表2_36716262930381020[[#This Row],[累计净值]]/MAX(INDIRECT("B21:B" &amp; ROW()))-1&lt;E258,表2_36716262930381020[[#This Row],[累计净值]]/MAX(INDIRECT("B21:B" &amp; ROW()))-1,E258)</f>
        <v>-7.1594921493501551E-2</v>
      </c>
      <c r="F259" s="169">
        <f>表2_36716262930381020[[#This Row],[累计净值]]</f>
        <v>1.3226</v>
      </c>
      <c r="G259" s="170">
        <f>表2_36716262930381020[[#This Row],[累计净值]]/$B$21-1</f>
        <v>0.33434221146085563</v>
      </c>
      <c r="H259" s="170">
        <f>表2_36716262930381020[[#This Row],[累计净值]]/$B$156-1</f>
        <v>3.0784818018860571E-2</v>
      </c>
    </row>
    <row r="260" spans="1:8">
      <c r="A260" s="161">
        <v>44137</v>
      </c>
      <c r="B260" s="162">
        <v>1.3232999999999999</v>
      </c>
      <c r="C260" s="171">
        <f t="shared" si="38"/>
        <v>6.9999999999992291E-4</v>
      </c>
      <c r="D260" s="168" t="str">
        <f t="shared" si="39"/>
        <v>/</v>
      </c>
      <c r="E260" s="168">
        <f ca="1">IF(表2_36716262930381020[[#This Row],[累计净值]]/MAX(INDIRECT("B21:B" &amp; ROW()))-1&lt;E259,表2_36716262930381020[[#This Row],[累计净值]]/MAX(INDIRECT("B21:B" &amp; ROW()))-1,E259)</f>
        <v>-7.1594921493501551E-2</v>
      </c>
      <c r="F260" s="169">
        <f>表2_36716262930381020[[#This Row],[累计净值]]</f>
        <v>1.3232999999999999</v>
      </c>
      <c r="G260" s="170">
        <f>表2_36716262930381020[[#This Row],[累计净值]]/$B$21-1</f>
        <v>0.33504842615012098</v>
      </c>
      <c r="H260" s="170">
        <f>表2_36716262930381020[[#This Row],[累计净值]]/$B$156-1</f>
        <v>3.1330371755903696E-2</v>
      </c>
    </row>
    <row r="261" spans="1:8">
      <c r="A261" s="161">
        <v>44138</v>
      </c>
      <c r="B261" s="162">
        <v>1.3107</v>
      </c>
      <c r="C261" s="171">
        <f t="shared" si="38"/>
        <v>-1.2599999999999945E-2</v>
      </c>
      <c r="D261" s="168">
        <f t="shared" si="39"/>
        <v>-1.2599999999999945E-2</v>
      </c>
      <c r="E261" s="168">
        <f ca="1">IF(表2_36716262930381020[[#This Row],[累计净值]]/MAX(INDIRECT("B21:B" &amp; ROW()))-1&lt;E260,表2_36716262930381020[[#This Row],[累计净值]]/MAX(INDIRECT("B21:B" &amp; ROW()))-1,E260)</f>
        <v>-7.1594921493501551E-2</v>
      </c>
      <c r="F261" s="169">
        <f>表2_36716262930381020[[#This Row],[累计净值]]</f>
        <v>1.3107</v>
      </c>
      <c r="G261" s="170">
        <f>表2_36716262930381020[[#This Row],[累计净值]]/$B$21-1</f>
        <v>0.32233656174334135</v>
      </c>
      <c r="H261" s="170">
        <f>表2_36716262930381020[[#This Row],[累计净值]]/$B$156-1</f>
        <v>2.1510404489127888E-2</v>
      </c>
    </row>
    <row r="262" spans="1:8">
      <c r="A262" s="161">
        <v>44139</v>
      </c>
      <c r="B262" s="162">
        <v>1.3105</v>
      </c>
      <c r="C262" s="171">
        <f t="shared" ref="C262:C267" si="40">IFERROR(B262-B261,0)</f>
        <v>-1.9999999999997797E-4</v>
      </c>
      <c r="D262" s="168">
        <f t="shared" ref="D262:D267" si="41">IF(C262&lt;0,C262,"/")</f>
        <v>-1.9999999999997797E-4</v>
      </c>
      <c r="E262" s="168">
        <f ca="1">IF(表2_36716262930381020[[#This Row],[累计净值]]/MAX(INDIRECT("B21:B" &amp; ROW()))-1&lt;E261,表2_36716262930381020[[#This Row],[累计净值]]/MAX(INDIRECT("B21:B" &amp; ROW()))-1,E261)</f>
        <v>-7.1594921493501551E-2</v>
      </c>
      <c r="F262" s="169">
        <f>表2_36716262930381020[[#This Row],[累计净值]]</f>
        <v>1.3105</v>
      </c>
      <c r="G262" s="170">
        <f>表2_36716262930381020[[#This Row],[累计净值]]/$B$21-1</f>
        <v>0.32213478611783697</v>
      </c>
      <c r="H262" s="170">
        <f>表2_36716262930381020[[#This Row],[累计净值]]/$B$156-1</f>
        <v>2.1354531992829884E-2</v>
      </c>
    </row>
    <row r="263" spans="1:8">
      <c r="A263" s="161">
        <v>44140</v>
      </c>
      <c r="B263" s="162">
        <v>1.3119000000000001</v>
      </c>
      <c r="C263" s="171">
        <f t="shared" si="40"/>
        <v>1.4000000000000679E-3</v>
      </c>
      <c r="D263" s="168" t="str">
        <f t="shared" si="41"/>
        <v>/</v>
      </c>
      <c r="E263" s="168">
        <f ca="1">IF(表2_36716262930381020[[#This Row],[累计净值]]/MAX(INDIRECT("B21:B" &amp; ROW()))-1&lt;E262,表2_36716262930381020[[#This Row],[累计净值]]/MAX(INDIRECT("B21:B" &amp; ROW()))-1,E262)</f>
        <v>-7.1594921493501551E-2</v>
      </c>
      <c r="F263" s="169">
        <f>表2_36716262930381020[[#This Row],[累计净值]]</f>
        <v>1.3119000000000001</v>
      </c>
      <c r="G263" s="170">
        <f>表2_36716262930381020[[#This Row],[累计净值]]/$B$21-1</f>
        <v>0.32354721549636811</v>
      </c>
      <c r="H263" s="170">
        <f>表2_36716262930381020[[#This Row],[累计净值]]/$B$156-1</f>
        <v>2.2445639466916134E-2</v>
      </c>
    </row>
    <row r="264" spans="1:8">
      <c r="A264" s="161">
        <v>44141</v>
      </c>
      <c r="B264" s="162">
        <v>1.3204</v>
      </c>
      <c r="C264" s="171">
        <f t="shared" si="40"/>
        <v>8.499999999999952E-3</v>
      </c>
      <c r="D264" s="168" t="str">
        <f t="shared" si="41"/>
        <v>/</v>
      </c>
      <c r="E264" s="168">
        <f ca="1">IF(表2_36716262930381020[[#This Row],[累计净值]]/MAX(INDIRECT("B21:B" &amp; ROW()))-1&lt;E263,表2_36716262930381020[[#This Row],[累计净值]]/MAX(INDIRECT("B21:B" &amp; ROW()))-1,E263)</f>
        <v>-7.1594921493501551E-2</v>
      </c>
      <c r="F264" s="169">
        <f>表2_36716262930381020[[#This Row],[累计净值]]</f>
        <v>1.3204</v>
      </c>
      <c r="G264" s="170">
        <f>表2_36716262930381020[[#This Row],[累计净值]]/$B$21-1</f>
        <v>0.33212267958030672</v>
      </c>
      <c r="H264" s="170">
        <f>表2_36716262930381020[[#This Row],[累计净值]]/$B$156-1</f>
        <v>2.9070220559582305E-2</v>
      </c>
    </row>
    <row r="265" spans="1:8">
      <c r="A265" s="161">
        <v>44144</v>
      </c>
      <c r="B265" s="162">
        <v>1.3144</v>
      </c>
      <c r="C265" s="171">
        <f t="shared" si="40"/>
        <v>-6.0000000000000053E-3</v>
      </c>
      <c r="D265" s="168">
        <f t="shared" si="41"/>
        <v>-6.0000000000000053E-3</v>
      </c>
      <c r="E265" s="168">
        <f ca="1">IF(表2_36716262930381020[[#This Row],[累计净值]]/MAX(INDIRECT("B21:B" &amp; ROW()))-1&lt;E264,表2_36716262930381020[[#This Row],[累计净值]]/MAX(INDIRECT("B21:B" &amp; ROW()))-1,E264)</f>
        <v>-7.1594921493501551E-2</v>
      </c>
      <c r="F265" s="169">
        <f>表2_36716262930381020[[#This Row],[累计净值]]</f>
        <v>1.3144</v>
      </c>
      <c r="G265" s="170">
        <f>表2_36716262930381020[[#This Row],[累计净值]]/$B$21-1</f>
        <v>0.3260694108151736</v>
      </c>
      <c r="H265" s="170">
        <f>表2_36716262930381020[[#This Row],[累计净值]]/$B$156-1</f>
        <v>2.4394045670641518E-2</v>
      </c>
    </row>
    <row r="266" spans="1:8">
      <c r="A266" s="161">
        <v>44145</v>
      </c>
      <c r="B266" s="162">
        <v>1.3178000000000001</v>
      </c>
      <c r="C266" s="171">
        <f t="shared" si="40"/>
        <v>3.4000000000000696E-3</v>
      </c>
      <c r="D266" s="168" t="str">
        <f t="shared" si="41"/>
        <v>/</v>
      </c>
      <c r="E266" s="168">
        <f ca="1">IF(表2_36716262930381020[[#This Row],[累计净值]]/MAX(INDIRECT("B21:B" &amp; ROW()))-1&lt;E265,表2_36716262930381020[[#This Row],[累计净值]]/MAX(INDIRECT("B21:B" &amp; ROW()))-1,E265)</f>
        <v>-7.1594921493501551E-2</v>
      </c>
      <c r="F266" s="169">
        <f>表2_36716262930381020[[#This Row],[累计净值]]</f>
        <v>1.3178000000000001</v>
      </c>
      <c r="G266" s="170">
        <f>表2_36716262930381020[[#This Row],[累计净值]]/$B$21-1</f>
        <v>0.32949959644874904</v>
      </c>
      <c r="H266" s="170">
        <f>表2_36716262930381020[[#This Row],[累计净值]]/$B$156-1</f>
        <v>2.704387810770803E-2</v>
      </c>
    </row>
    <row r="267" spans="1:8">
      <c r="A267" s="161">
        <v>44146</v>
      </c>
      <c r="B267" s="162">
        <v>1.3144</v>
      </c>
      <c r="C267" s="171">
        <f t="shared" si="40"/>
        <v>-3.4000000000000696E-3</v>
      </c>
      <c r="D267" s="168">
        <f t="shared" si="41"/>
        <v>-3.4000000000000696E-3</v>
      </c>
      <c r="E267" s="168">
        <f ca="1">IF(表2_36716262930381020[[#This Row],[累计净值]]/MAX(INDIRECT("B21:B" &amp; ROW()))-1&lt;E266,表2_36716262930381020[[#This Row],[累计净值]]/MAX(INDIRECT("B21:B" &amp; ROW()))-1,E266)</f>
        <v>-7.1594921493501551E-2</v>
      </c>
      <c r="F267" s="169">
        <f>表2_36716262930381020[[#This Row],[累计净值]]</f>
        <v>1.3144</v>
      </c>
      <c r="G267" s="170">
        <f>表2_36716262930381020[[#This Row],[累计净值]]/$B$21-1</f>
        <v>0.3260694108151736</v>
      </c>
      <c r="H267" s="170">
        <f>表2_36716262930381020[[#This Row],[累计净值]]/$B$156-1</f>
        <v>2.4394045670641518E-2</v>
      </c>
    </row>
    <row r="268" spans="1:8">
      <c r="A268" s="161">
        <v>44147</v>
      </c>
      <c r="B268" s="162">
        <v>1.3193999999999999</v>
      </c>
      <c r="C268" s="171">
        <f t="shared" ref="C268:C273" si="42">IFERROR(B268-B267,0)</f>
        <v>4.9999999999998934E-3</v>
      </c>
      <c r="D268" s="168" t="str">
        <f t="shared" ref="D268:D273" si="43">IF(C268&lt;0,C268,"/")</f>
        <v>/</v>
      </c>
      <c r="E268" s="168">
        <f ca="1">IF(表2_36716262930381020[[#This Row],[累计净值]]/MAX(INDIRECT("B21:B" &amp; ROW()))-1&lt;E267,表2_36716262930381020[[#This Row],[累计净值]]/MAX(INDIRECT("B21:B" &amp; ROW()))-1,E267)</f>
        <v>-7.1594921493501551E-2</v>
      </c>
      <c r="F268" s="169">
        <f>表2_36716262930381020[[#This Row],[累计净值]]</f>
        <v>1.3193999999999999</v>
      </c>
      <c r="G268" s="170">
        <f>表2_36716262930381020[[#This Row],[累计净值]]/$B$21-1</f>
        <v>0.33111380145278435</v>
      </c>
      <c r="H268" s="170">
        <f>表2_36716262930381020[[#This Row],[累计净值]]/$B$156-1</f>
        <v>2.8290858078092063E-2</v>
      </c>
    </row>
    <row r="269" spans="1:8">
      <c r="A269" s="161">
        <v>44148</v>
      </c>
      <c r="B269" s="162">
        <v>1.3246</v>
      </c>
      <c r="C269" s="171">
        <f t="shared" si="42"/>
        <v>5.2000000000000934E-3</v>
      </c>
      <c r="D269" s="168" t="str">
        <f t="shared" si="43"/>
        <v>/</v>
      </c>
      <c r="E269" s="168">
        <f ca="1">IF(表2_36716262930381020[[#This Row],[累计净值]]/MAX(INDIRECT("B21:B" &amp; ROW()))-1&lt;E268,表2_36716262930381020[[#This Row],[累计净值]]/MAX(INDIRECT("B21:B" &amp; ROW()))-1,E268)</f>
        <v>-7.1594921493501551E-2</v>
      </c>
      <c r="F269" s="169">
        <f>表2_36716262930381020[[#This Row],[累计净值]]</f>
        <v>1.3246</v>
      </c>
      <c r="G269" s="170">
        <f>表2_36716262930381020[[#This Row],[累计净值]]/$B$21-1</f>
        <v>0.33635996771589993</v>
      </c>
      <c r="H269" s="170">
        <f>表2_36716262930381020[[#This Row],[累计净值]]/$B$156-1</f>
        <v>3.2343542981840834E-2</v>
      </c>
    </row>
    <row r="270" spans="1:8">
      <c r="A270" s="161">
        <v>44151</v>
      </c>
      <c r="B270" s="162">
        <v>1.3205</v>
      </c>
      <c r="C270" s="171">
        <f t="shared" si="42"/>
        <v>-4.0999999999999925E-3</v>
      </c>
      <c r="D270" s="168">
        <f t="shared" si="43"/>
        <v>-4.0999999999999925E-3</v>
      </c>
      <c r="E270" s="168">
        <f ca="1">IF(表2_36716262930381020[[#This Row],[累计净值]]/MAX(INDIRECT("B21:B" &amp; ROW()))-1&lt;E269,表2_36716262930381020[[#This Row],[累计净值]]/MAX(INDIRECT("B21:B" &amp; ROW()))-1,E269)</f>
        <v>-7.1594921493501551E-2</v>
      </c>
      <c r="F270" s="169">
        <f>表2_36716262930381020[[#This Row],[累计净值]]</f>
        <v>1.3205</v>
      </c>
      <c r="G270" s="170">
        <f>表2_36716262930381020[[#This Row],[累计净值]]/$B$21-1</f>
        <v>0.33222356739305892</v>
      </c>
      <c r="H270" s="170">
        <f>表2_36716262930381020[[#This Row],[累计净值]]/$B$156-1</f>
        <v>2.9148156807731418E-2</v>
      </c>
    </row>
    <row r="271" spans="1:8">
      <c r="A271" s="161">
        <v>44152</v>
      </c>
      <c r="B271" s="162">
        <v>1.3193999999999999</v>
      </c>
      <c r="C271" s="171">
        <f t="shared" si="42"/>
        <v>-1.1000000000001009E-3</v>
      </c>
      <c r="D271" s="168">
        <f t="shared" si="43"/>
        <v>-1.1000000000001009E-3</v>
      </c>
      <c r="E271" s="168">
        <f ca="1">IF(表2_36716262930381020[[#This Row],[累计净值]]/MAX(INDIRECT("B21:B" &amp; ROW()))-1&lt;E270,表2_36716262930381020[[#This Row],[累计净值]]/MAX(INDIRECT("B21:B" &amp; ROW()))-1,E270)</f>
        <v>-7.1594921493501551E-2</v>
      </c>
      <c r="F271" s="169">
        <f>表2_36716262930381020[[#This Row],[累计净值]]</f>
        <v>1.3193999999999999</v>
      </c>
      <c r="G271" s="170">
        <f>表2_36716262930381020[[#This Row],[累计净值]]/$B$21-1</f>
        <v>0.33111380145278435</v>
      </c>
      <c r="H271" s="170">
        <f>表2_36716262930381020[[#This Row],[累计净值]]/$B$156-1</f>
        <v>2.8290858078092063E-2</v>
      </c>
    </row>
    <row r="272" spans="1:8">
      <c r="A272" s="161">
        <v>44153</v>
      </c>
      <c r="B272" s="162">
        <v>1.3184</v>
      </c>
      <c r="C272" s="171">
        <f t="shared" si="42"/>
        <v>-9.9999999999988987E-4</v>
      </c>
      <c r="D272" s="168">
        <f t="shared" si="43"/>
        <v>-9.9999999999988987E-4</v>
      </c>
      <c r="E272" s="168">
        <f ca="1">IF(表2_36716262930381020[[#This Row],[累计净值]]/MAX(INDIRECT("B21:B" &amp; ROW()))-1&lt;E271,表2_36716262930381020[[#This Row],[累计净值]]/MAX(INDIRECT("B21:B" &amp; ROW()))-1,E271)</f>
        <v>-7.1594921493501551E-2</v>
      </c>
      <c r="F272" s="169">
        <f>表2_36716262930381020[[#This Row],[累计净值]]</f>
        <v>1.3184</v>
      </c>
      <c r="G272" s="170">
        <f>表2_36716262930381020[[#This Row],[累计净值]]/$B$21-1</f>
        <v>0.33010492332526242</v>
      </c>
      <c r="H272" s="170">
        <f>表2_36716262930381020[[#This Row],[累计净值]]/$B$156-1</f>
        <v>2.7511495596602042E-2</v>
      </c>
    </row>
    <row r="273" spans="1:11">
      <c r="A273" s="161">
        <v>44154</v>
      </c>
      <c r="B273" s="162">
        <v>1.3246</v>
      </c>
      <c r="C273" s="171">
        <f t="shared" si="42"/>
        <v>6.1999999999999833E-3</v>
      </c>
      <c r="D273" s="168" t="str">
        <f t="shared" si="43"/>
        <v>/</v>
      </c>
      <c r="E273" s="168">
        <f ca="1">IF(表2_36716262930381020[[#This Row],[累计净值]]/MAX(INDIRECT("B21:B" &amp; ROW()))-1&lt;E272,表2_36716262930381020[[#This Row],[累计净值]]/MAX(INDIRECT("B21:B" &amp; ROW()))-1,E272)</f>
        <v>-7.1594921493501551E-2</v>
      </c>
      <c r="F273" s="169">
        <f>表2_36716262930381020[[#This Row],[累计净值]]</f>
        <v>1.3246</v>
      </c>
      <c r="G273" s="170">
        <f>表2_36716262930381020[[#This Row],[累计净值]]/$B$21-1</f>
        <v>0.33635996771589993</v>
      </c>
      <c r="H273" s="170">
        <f>表2_36716262930381020[[#This Row],[累计净值]]/$B$156-1</f>
        <v>3.2343542981840834E-2</v>
      </c>
    </row>
    <row r="274" spans="1:11">
      <c r="A274" s="161">
        <v>44155</v>
      </c>
      <c r="B274" s="162">
        <v>1.3268</v>
      </c>
      <c r="C274" s="171">
        <f t="shared" ref="C274:C279" si="44">IFERROR(B274-B273,0)</f>
        <v>2.1999999999999797E-3</v>
      </c>
      <c r="D274" s="168" t="str">
        <f t="shared" ref="D274:D280" si="45">IF(C274&lt;0,C274,"/")</f>
        <v>/</v>
      </c>
      <c r="E274" s="168">
        <f ca="1">IF(表2_36716262930381020[[#This Row],[累计净值]]/MAX(INDIRECT("B21:B" &amp; ROW()))-1&lt;E273,表2_36716262930381020[[#This Row],[累计净值]]/MAX(INDIRECT("B21:B" &amp; ROW()))-1,E273)</f>
        <v>-7.1594921493501551E-2</v>
      </c>
      <c r="F274" s="169">
        <f>表2_36716262930381020[[#This Row],[累计净值]]</f>
        <v>1.3268</v>
      </c>
      <c r="G274" s="170">
        <f>表2_36716262930381020[[#This Row],[累计净值]]/$B$21-1</f>
        <v>0.33857949959644884</v>
      </c>
      <c r="H274" s="170">
        <f>表2_36716262930381020[[#This Row],[累计净值]]/$B$156-1</f>
        <v>3.4058140441119322E-2</v>
      </c>
    </row>
    <row r="275" spans="1:11">
      <c r="A275" s="161">
        <v>44158</v>
      </c>
      <c r="B275" s="162">
        <v>1.3093999999999999</v>
      </c>
      <c r="C275" s="171">
        <f t="shared" si="44"/>
        <v>-1.7400000000000082E-2</v>
      </c>
      <c r="D275" s="168">
        <f t="shared" si="45"/>
        <v>-1.7400000000000082E-2</v>
      </c>
      <c r="E275" s="168">
        <f ca="1">IF(表2_36716262930381020[[#This Row],[累计净值]]/MAX(INDIRECT("B21:B" &amp; ROW()))-1&lt;E274,表2_36716262930381020[[#This Row],[累计净值]]/MAX(INDIRECT("B21:B" &amp; ROW()))-1,E274)</f>
        <v>-7.1594921493501551E-2</v>
      </c>
      <c r="F275" s="169">
        <f>表2_36716262930381020[[#This Row],[累计净值]]</f>
        <v>1.3093999999999999</v>
      </c>
      <c r="G275" s="170">
        <f>表2_36716262930381020[[#This Row],[累计净值]]/$B$21-1</f>
        <v>0.3210250201775624</v>
      </c>
      <c r="H275" s="170">
        <f>表2_36716262930381020[[#This Row],[累计净值]]/$B$156-1</f>
        <v>2.0497233263190751E-2</v>
      </c>
    </row>
    <row r="276" spans="1:11">
      <c r="A276" s="161">
        <v>44159</v>
      </c>
      <c r="B276" s="162">
        <v>1.2997000000000001</v>
      </c>
      <c r="C276" s="171">
        <f t="shared" si="44"/>
        <v>-9.6999999999998199E-3</v>
      </c>
      <c r="D276" s="168">
        <f t="shared" si="45"/>
        <v>-9.6999999999998199E-3</v>
      </c>
      <c r="E276" s="168">
        <f ca="1">IF(表2_36716262930381020[[#This Row],[累计净值]]/MAX(INDIRECT("B21:B" &amp; ROW()))-1&lt;E275,表2_36716262930381020[[#This Row],[累计净值]]/MAX(INDIRECT("B21:B" &amp; ROW()))-1,E275)</f>
        <v>-7.1594921493501551E-2</v>
      </c>
      <c r="F276" s="169">
        <f>表2_36716262930381020[[#This Row],[累计净值]]</f>
        <v>1.2997000000000001</v>
      </c>
      <c r="G276" s="170">
        <f>表2_36716262930381020[[#This Row],[累计净值]]/$B$21-1</f>
        <v>0.31123890234059748</v>
      </c>
      <c r="H276" s="170">
        <f>表2_36716262930381020[[#This Row],[累计净值]]/$B$156-1</f>
        <v>1.2937417192736556E-2</v>
      </c>
    </row>
    <row r="277" spans="1:11">
      <c r="A277" s="161">
        <v>44160</v>
      </c>
      <c r="B277" s="162">
        <v>1.2926</v>
      </c>
      <c r="C277" s="171">
        <f t="shared" si="44"/>
        <v>-7.1000000000001062E-3</v>
      </c>
      <c r="D277" s="168">
        <f t="shared" si="45"/>
        <v>-7.1000000000001062E-3</v>
      </c>
      <c r="E277" s="168">
        <f ca="1">IF(表2_36716262930381020[[#This Row],[累计净值]]/MAX(INDIRECT("B21:B" &amp; ROW()))-1&lt;E276,表2_36716262930381020[[#This Row],[累计净值]]/MAX(INDIRECT("B21:B" &amp; ROW()))-1,E276)</f>
        <v>-7.1594921493501551E-2</v>
      </c>
      <c r="F277" s="169">
        <f>表2_36716262930381020[[#This Row],[累计净值]]</f>
        <v>1.2926</v>
      </c>
      <c r="G277" s="170">
        <f>表2_36716262930381020[[#This Row],[累计净值]]/$B$21-1</f>
        <v>0.30407586763518979</v>
      </c>
      <c r="H277" s="170">
        <f>表2_36716262930381020[[#This Row],[累计净值]]/$B$156-1</f>
        <v>7.403943574156413E-3</v>
      </c>
    </row>
    <row r="278" spans="1:11">
      <c r="A278" s="161">
        <v>44161</v>
      </c>
      <c r="B278" s="162">
        <v>1.2989999999999999</v>
      </c>
      <c r="C278" s="171">
        <f t="shared" si="44"/>
        <v>6.3999999999999613E-3</v>
      </c>
      <c r="D278" s="168" t="str">
        <f t="shared" si="45"/>
        <v>/</v>
      </c>
      <c r="E278" s="168">
        <f ca="1">IF(表2_36716262930381020[[#This Row],[累计净值]]/MAX(INDIRECT("B21:B" &amp; ROW()))-1&lt;E277,表2_36716262930381020[[#This Row],[累计净值]]/MAX(INDIRECT("B21:B" &amp; ROW()))-1,E277)</f>
        <v>-7.1594921493501551E-2</v>
      </c>
      <c r="F278" s="169">
        <f>表2_36716262930381020[[#This Row],[累计净值]]</f>
        <v>1.2989999999999999</v>
      </c>
      <c r="G278" s="170">
        <f>表2_36716262930381020[[#This Row],[累计净值]]/$B$21-1</f>
        <v>0.31053268765133168</v>
      </c>
      <c r="H278" s="170">
        <f>表2_36716262930381020[[#This Row],[累计净值]]/$B$156-1</f>
        <v>1.2391863455693208E-2</v>
      </c>
    </row>
    <row r="279" spans="1:11">
      <c r="A279" s="161">
        <v>44162</v>
      </c>
      <c r="B279" s="162">
        <v>1.3042</v>
      </c>
      <c r="C279" s="171">
        <f t="shared" si="44"/>
        <v>5.2000000000000934E-3</v>
      </c>
      <c r="D279" s="168" t="str">
        <f t="shared" si="45"/>
        <v>/</v>
      </c>
      <c r="E279" s="168">
        <f ca="1">IF(表2_36716262930381020[[#This Row],[累计净值]]/MAX(INDIRECT("B21:B" &amp; ROW()))-1&lt;E278,表2_36716262930381020[[#This Row],[累计净值]]/MAX(INDIRECT("B21:B" &amp; ROW()))-1,E278)</f>
        <v>-7.1594921493501551E-2</v>
      </c>
      <c r="F279" s="169">
        <f>表2_36716262930381020[[#This Row],[累计净值]]</f>
        <v>1.3042</v>
      </c>
      <c r="G279" s="170">
        <f>表2_36716262930381020[[#This Row],[累计净值]]/$B$21-1</f>
        <v>0.31577885391444727</v>
      </c>
      <c r="H279" s="170">
        <f>表2_36716262930381020[[#This Row],[累计净值]]/$B$156-1</f>
        <v>1.6444548359441979E-2</v>
      </c>
    </row>
    <row r="280" spans="1:11">
      <c r="A280" s="161">
        <v>44165</v>
      </c>
      <c r="B280" s="162">
        <v>1.2995000000000001</v>
      </c>
      <c r="C280" s="171">
        <f t="shared" ref="C280:C285" si="46">IFERROR(B280-B279,0)</f>
        <v>-4.6999999999999265E-3</v>
      </c>
      <c r="D280" s="168">
        <f t="shared" si="45"/>
        <v>-4.6999999999999265E-3</v>
      </c>
      <c r="E280" s="168">
        <f ca="1">IF(表2_36716262930381020[[#This Row],[累计净值]]/MAX(INDIRECT("B21:B" &amp; ROW()))-1&lt;E279,表2_36716262930381020[[#This Row],[累计净值]]/MAX(INDIRECT("B21:B" &amp; ROW()))-1,E279)</f>
        <v>-7.1594921493501551E-2</v>
      </c>
      <c r="F280" s="169">
        <f>表2_36716262930381020[[#This Row],[累计净值]]</f>
        <v>1.2995000000000001</v>
      </c>
      <c r="G280" s="170">
        <f>表2_36716262930381020[[#This Row],[累计净值]]/$B$21-1</f>
        <v>0.31103712671509287</v>
      </c>
      <c r="H280" s="170">
        <f>表2_36716262930381020[[#This Row],[累计净值]]/$B$156-1</f>
        <v>1.2781544696438552E-2</v>
      </c>
    </row>
    <row r="281" spans="1:11">
      <c r="A281" s="161">
        <v>44166</v>
      </c>
      <c r="B281" s="162">
        <v>1.3008</v>
      </c>
      <c r="C281" s="171">
        <f t="shared" si="46"/>
        <v>1.2999999999998568E-3</v>
      </c>
      <c r="D281" s="168" t="str">
        <f t="shared" ref="D281:D286" si="47">IF(C281&lt;0,C281,"/")</f>
        <v>/</v>
      </c>
      <c r="E281" s="168">
        <f ca="1">IF(表2_36716262930381020[[#This Row],[累计净值]]/MAX(INDIRECT("B21:B" &amp; ROW()))-1&lt;E280,表2_36716262930381020[[#This Row],[累计净值]]/MAX(INDIRECT("B21:B" &amp; ROW()))-1,E280)</f>
        <v>-7.1594921493501551E-2</v>
      </c>
      <c r="F281" s="169">
        <f>表2_36716262930381020[[#This Row],[累计净值]]</f>
        <v>1.3008</v>
      </c>
      <c r="G281" s="170">
        <f>表2_36716262930381020[[#This Row],[累计净值]]/$B$21-1</f>
        <v>0.3123486682808716</v>
      </c>
      <c r="H281" s="170">
        <f>表2_36716262930381020[[#This Row],[累计净值]]/$B$156-1</f>
        <v>1.3794715922375467E-2</v>
      </c>
    </row>
    <row r="282" spans="1:11">
      <c r="A282" s="161">
        <v>44167</v>
      </c>
      <c r="B282" s="162">
        <v>1.3149</v>
      </c>
      <c r="C282" s="171">
        <f t="shared" si="46"/>
        <v>1.4100000000000001E-2</v>
      </c>
      <c r="D282" s="168" t="str">
        <f t="shared" si="47"/>
        <v>/</v>
      </c>
      <c r="E282" s="168">
        <f ca="1">IF(表2_36716262930381020[[#This Row],[累计净值]]/MAX(INDIRECT("B21:B" &amp; ROW()))-1&lt;E281,表2_36716262930381020[[#This Row],[累计净值]]/MAX(INDIRECT("B21:B" &amp; ROW()))-1,E281)</f>
        <v>-7.1594921493501551E-2</v>
      </c>
      <c r="F282" s="169">
        <f>表2_36716262930381020[[#This Row],[累计净值]]</f>
        <v>1.3149</v>
      </c>
      <c r="G282" s="170">
        <f>表2_36716262930381020[[#This Row],[累计净值]]/$B$21-1</f>
        <v>0.32657384987893456</v>
      </c>
      <c r="H282" s="170">
        <f>表2_36716262930381020[[#This Row],[累计净值]]/$B$156-1</f>
        <v>2.4783726911386417E-2</v>
      </c>
    </row>
    <row r="283" spans="1:11">
      <c r="A283" s="161">
        <v>44168</v>
      </c>
      <c r="B283" s="162">
        <v>1.3163</v>
      </c>
      <c r="C283" s="171">
        <f t="shared" si="46"/>
        <v>1.4000000000000679E-3</v>
      </c>
      <c r="D283" s="168" t="str">
        <f t="shared" si="47"/>
        <v>/</v>
      </c>
      <c r="E283" s="168">
        <f ca="1">IF(表2_36716262930381020[[#This Row],[累计净值]]/MAX(INDIRECT("B21:B" &amp; ROW()))-1&lt;E282,表2_36716262930381020[[#This Row],[累计净值]]/MAX(INDIRECT("B21:B" &amp; ROW()))-1,E282)</f>
        <v>-7.1594921493501551E-2</v>
      </c>
      <c r="F283" s="169">
        <f>表2_36716262930381020[[#This Row],[累计净值]]</f>
        <v>1.3163</v>
      </c>
      <c r="G283" s="170">
        <f>表2_36716262930381020[[#This Row],[累计净值]]/$B$21-1</f>
        <v>0.32798627925746571</v>
      </c>
      <c r="H283" s="170">
        <f>表2_36716262930381020[[#This Row],[累计净值]]/$B$156-1</f>
        <v>2.5874834385472667E-2</v>
      </c>
      <c r="K283" s="120" t="s">
        <v>45</v>
      </c>
    </row>
    <row r="284" spans="1:11">
      <c r="A284" s="161">
        <v>44169</v>
      </c>
      <c r="B284" s="162">
        <v>1.3177000000000001</v>
      </c>
      <c r="C284" s="171">
        <f t="shared" si="46"/>
        <v>1.4000000000000679E-3</v>
      </c>
      <c r="D284" s="168" t="str">
        <f t="shared" si="47"/>
        <v>/</v>
      </c>
      <c r="E284" s="168">
        <f ca="1">IF(表2_36716262930381020[[#This Row],[累计净值]]/MAX(INDIRECT("B21:B" &amp; ROW()))-1&lt;E283,表2_36716262930381020[[#This Row],[累计净值]]/MAX(INDIRECT("B21:B" &amp; ROW()))-1,E283)</f>
        <v>-7.1594921493501551E-2</v>
      </c>
      <c r="F284" s="169">
        <f>表2_36716262930381020[[#This Row],[累计净值]]</f>
        <v>1.3177000000000001</v>
      </c>
      <c r="G284" s="170">
        <f>表2_36716262930381020[[#This Row],[累计净值]]/$B$21-1</f>
        <v>0.32939870863599685</v>
      </c>
      <c r="H284" s="170">
        <f>表2_36716262930381020[[#This Row],[累计净值]]/$B$156-1</f>
        <v>2.6965941859558917E-2</v>
      </c>
    </row>
    <row r="285" spans="1:11">
      <c r="A285" s="161">
        <v>44172</v>
      </c>
      <c r="B285" s="162">
        <v>1.3271999999999999</v>
      </c>
      <c r="C285" s="171">
        <f t="shared" si="46"/>
        <v>9.4999999999998419E-3</v>
      </c>
      <c r="D285" s="168" t="str">
        <f t="shared" si="47"/>
        <v>/</v>
      </c>
      <c r="E285" s="168">
        <f ca="1">IF(表2_36716262930381020[[#This Row],[累计净值]]/MAX(INDIRECT("B21:B" &amp; ROW()))-1&lt;E284,表2_36716262930381020[[#This Row],[累计净值]]/MAX(INDIRECT("B21:B" &amp; ROW()))-1,E284)</f>
        <v>-7.1594921493501551E-2</v>
      </c>
      <c r="F285" s="169">
        <f>表2_36716262930381020[[#This Row],[累计净值]]</f>
        <v>1.3271999999999999</v>
      </c>
      <c r="G285" s="170">
        <f>表2_36716262930381020[[#This Row],[累计净值]]/$B$21-1</f>
        <v>0.33898305084745761</v>
      </c>
      <c r="H285" s="170">
        <f>表2_36716262930381020[[#This Row],[累计净值]]/$B$156-1</f>
        <v>3.436988543371533E-2</v>
      </c>
    </row>
    <row r="286" spans="1:11">
      <c r="A286" s="161">
        <v>44173</v>
      </c>
      <c r="B286" s="162">
        <v>1.3309</v>
      </c>
      <c r="C286" s="171">
        <f t="shared" ref="C286:C291" si="48">IFERROR(B286-B285,0)</f>
        <v>3.7000000000000366E-3</v>
      </c>
      <c r="D286" s="168" t="str">
        <f t="shared" si="47"/>
        <v>/</v>
      </c>
      <c r="E286" s="168">
        <f ca="1">IF(表2_36716262930381020[[#This Row],[累计净值]]/MAX(INDIRECT("B21:B" &amp; ROW()))-1&lt;E285,表2_36716262930381020[[#This Row],[累计净值]]/MAX(INDIRECT("B21:B" &amp; ROW()))-1,E285)</f>
        <v>-7.1594921493501551E-2</v>
      </c>
      <c r="F286" s="169">
        <f>表2_36716262930381020[[#This Row],[累计净值]]</f>
        <v>1.3309</v>
      </c>
      <c r="G286" s="170">
        <f>表2_36716262930381020[[#This Row],[累计净值]]/$B$21-1</f>
        <v>0.34271589991928986</v>
      </c>
      <c r="H286" s="170">
        <f>表2_36716262930381020[[#This Row],[累计净值]]/$B$156-1</f>
        <v>3.7253526615228738E-2</v>
      </c>
    </row>
    <row r="287" spans="1:11">
      <c r="A287" s="161">
        <v>44174</v>
      </c>
      <c r="B287" s="162">
        <v>1.3387</v>
      </c>
      <c r="C287" s="171">
        <f t="shared" si="48"/>
        <v>7.8000000000000291E-3</v>
      </c>
      <c r="D287" s="168" t="str">
        <f t="shared" ref="D287:D292" si="49">IF(C287&lt;0,C287,"/")</f>
        <v>/</v>
      </c>
      <c r="E287" s="168">
        <f ca="1">IF(表2_36716262930381020[[#This Row],[累计净值]]/MAX(INDIRECT("B21:B" &amp; ROW()))-1&lt;E286,表2_36716262930381020[[#This Row],[累计净值]]/MAX(INDIRECT("B21:B" &amp; ROW()))-1,E286)</f>
        <v>-7.1594921493501551E-2</v>
      </c>
      <c r="F287" s="169">
        <f>表2_36716262930381020[[#This Row],[累计净值]]</f>
        <v>1.3387</v>
      </c>
      <c r="G287" s="170">
        <f>表2_36716262930381020[[#This Row],[累计净值]]/$B$21-1</f>
        <v>0.3505851493139629</v>
      </c>
      <c r="H287" s="170">
        <f>表2_36716262930381020[[#This Row],[累计净值]]/$B$156-1</f>
        <v>4.3332553970852006E-2</v>
      </c>
    </row>
    <row r="288" spans="1:11">
      <c r="A288" s="161">
        <v>44175</v>
      </c>
      <c r="B288" s="162">
        <v>1.3531</v>
      </c>
      <c r="C288" s="171">
        <f t="shared" si="48"/>
        <v>1.4399999999999968E-2</v>
      </c>
      <c r="D288" s="168" t="str">
        <f t="shared" si="49"/>
        <v>/</v>
      </c>
      <c r="E288" s="168">
        <f ca="1">IF(表2_36716262930381020[[#This Row],[累计净值]]/MAX(INDIRECT("B21:B" &amp; ROW()))-1&lt;E287,表2_36716262930381020[[#This Row],[累计净值]]/MAX(INDIRECT("B21:B" &amp; ROW()))-1,E287)</f>
        <v>-7.1594921493501551E-2</v>
      </c>
      <c r="F288" s="169">
        <f>表2_36716262930381020[[#This Row],[累计净值]]</f>
        <v>1.3531</v>
      </c>
      <c r="G288" s="170">
        <f>表2_36716262930381020[[#This Row],[累计净值]]/$B$21-1</f>
        <v>0.36511299435028244</v>
      </c>
      <c r="H288" s="170">
        <f>表2_36716262930381020[[#This Row],[累计净值]]/$B$156-1</f>
        <v>5.4555373704309851E-2</v>
      </c>
    </row>
    <row r="289" spans="1:10">
      <c r="A289" s="161">
        <v>44176</v>
      </c>
      <c r="B289" s="178">
        <v>1.3644000000000001</v>
      </c>
      <c r="C289" s="171">
        <f t="shared" si="48"/>
        <v>1.1300000000000088E-2</v>
      </c>
      <c r="D289" s="168" t="str">
        <f t="shared" si="49"/>
        <v>/</v>
      </c>
      <c r="E289" s="168">
        <f ca="1">IF(表2_36716262930381020[[#This Row],[累计净值]]/MAX(INDIRECT("B21:B" &amp; ROW()))-1&lt;E288,表2_36716262930381020[[#This Row],[累计净值]]/MAX(INDIRECT("B21:B" &amp; ROW()))-1,E288)</f>
        <v>-7.1594921493501551E-2</v>
      </c>
      <c r="F289" s="169">
        <f>表2_36716262930381020[[#This Row],[累计净值]]</f>
        <v>1.3644000000000001</v>
      </c>
      <c r="G289" s="170">
        <f>表2_36716262930381020[[#This Row],[累计净值]]/$B$21-1</f>
        <v>0.37651331719128334</v>
      </c>
      <c r="H289" s="170">
        <f>表2_36716262930381020[[#This Row],[累计净值]]/$B$156-1</f>
        <v>6.3362169745148522E-2</v>
      </c>
    </row>
    <row r="290" spans="1:10">
      <c r="A290" s="161">
        <v>44179</v>
      </c>
      <c r="B290" s="162">
        <v>1.3484</v>
      </c>
      <c r="C290" s="171">
        <f t="shared" si="48"/>
        <v>-1.6000000000000014E-2</v>
      </c>
      <c r="D290" s="168">
        <f t="shared" si="49"/>
        <v>-1.6000000000000014E-2</v>
      </c>
      <c r="E290" s="168">
        <f ca="1">IF(表2_36716262930381020[[#This Row],[累计净值]]/MAX(INDIRECT("B21:B" &amp; ROW()))-1&lt;E289,表2_36716262930381020[[#This Row],[累计净值]]/MAX(INDIRECT("B21:B" &amp; ROW()))-1,E289)</f>
        <v>-7.1594921493501551E-2</v>
      </c>
      <c r="F290" s="169">
        <f>表2_36716262930381020[[#This Row],[累计净值]]</f>
        <v>1.3484</v>
      </c>
      <c r="G290" s="170">
        <f>表2_36716262930381020[[#This Row],[累计净值]]/$B$21-1</f>
        <v>0.36037126715092827</v>
      </c>
      <c r="H290" s="170">
        <f>表2_36716262930381020[[#This Row],[累计净值]]/$B$156-1</f>
        <v>5.0892370041306423E-2</v>
      </c>
    </row>
    <row r="291" spans="1:10">
      <c r="A291" s="161">
        <v>44180</v>
      </c>
      <c r="B291" s="162">
        <v>1.3359000000000001</v>
      </c>
      <c r="C291" s="171">
        <f t="shared" si="48"/>
        <v>-1.2499999999999956E-2</v>
      </c>
      <c r="D291" s="168">
        <f t="shared" si="49"/>
        <v>-1.2499999999999956E-2</v>
      </c>
      <c r="E291" s="168">
        <f ca="1">IF(表2_36716262930381020[[#This Row],[累计净值]]/MAX(INDIRECT("B21:B" &amp; ROW()))-1&lt;E290,表2_36716262930381020[[#This Row],[累计净值]]/MAX(INDIRECT("B21:B" &amp; ROW()))-1,E290)</f>
        <v>-7.1594921493501551E-2</v>
      </c>
      <c r="F291" s="169">
        <f>表2_36716262930381020[[#This Row],[累计净值]]</f>
        <v>1.3359000000000001</v>
      </c>
      <c r="G291" s="170">
        <f>表2_36716262930381020[[#This Row],[累计净值]]/$B$21-1</f>
        <v>0.34776029055690083</v>
      </c>
      <c r="H291" s="170">
        <f>表2_36716262930381020[[#This Row],[累计净值]]/$B$156-1</f>
        <v>4.1150339022679505E-2</v>
      </c>
    </row>
    <row r="292" spans="1:10">
      <c r="A292" s="161">
        <v>44181</v>
      </c>
      <c r="B292" s="162">
        <v>1.3392999999999999</v>
      </c>
      <c r="C292" s="171">
        <f t="shared" ref="C292:C298" si="50">IFERROR(B292-B291,0)</f>
        <v>3.3999999999998476E-3</v>
      </c>
      <c r="D292" s="168" t="str">
        <f t="shared" si="49"/>
        <v>/</v>
      </c>
      <c r="E292" s="168">
        <f ca="1">IF(表2_36716262930381020[[#This Row],[累计净值]]/MAX(INDIRECT("B21:B" &amp; ROW()))-1&lt;E291,表2_36716262930381020[[#This Row],[累计净值]]/MAX(INDIRECT("B21:B" &amp; ROW()))-1,E291)</f>
        <v>-7.1594921493501551E-2</v>
      </c>
      <c r="F292" s="169">
        <f>表2_36716262930381020[[#This Row],[累计净值]]</f>
        <v>1.3392999999999999</v>
      </c>
      <c r="G292" s="170">
        <f>表2_36716262930381020[[#This Row],[累计净值]]/$B$21-1</f>
        <v>0.35119047619047628</v>
      </c>
      <c r="H292" s="170">
        <f>表2_36716262930381020[[#This Row],[累计净值]]/$B$156-1</f>
        <v>4.3800171459746018E-2</v>
      </c>
    </row>
    <row r="293" spans="1:10">
      <c r="A293" s="161">
        <v>44182</v>
      </c>
      <c r="B293" s="162">
        <v>1.3303</v>
      </c>
      <c r="C293" s="171">
        <f t="shared" si="50"/>
        <v>-8.999999999999897E-3</v>
      </c>
      <c r="D293" s="168">
        <f t="shared" ref="D293:D298" si="51">IF(C293&lt;0,C293,"/")</f>
        <v>-8.999999999999897E-3</v>
      </c>
      <c r="E293" s="168">
        <f ca="1">IF(表2_36716262930381020[[#This Row],[累计净值]]/MAX(INDIRECT("B21:B" &amp; ROW()))-1&lt;E292,表2_36716262930381020[[#This Row],[累计净值]]/MAX(INDIRECT("B21:B" &amp; ROW()))-1,E292)</f>
        <v>-7.1594921493501551E-2</v>
      </c>
      <c r="F293" s="169">
        <f>表2_36716262930381020[[#This Row],[累计净值]]</f>
        <v>1.3303</v>
      </c>
      <c r="G293" s="170">
        <f>表2_36716262930381020[[#This Row],[累计净值]]/$B$21-1</f>
        <v>0.34211057304277648</v>
      </c>
      <c r="H293" s="170">
        <f>表2_36716262930381020[[#This Row],[累计净值]]/$B$156-1</f>
        <v>3.6785909126334726E-2</v>
      </c>
    </row>
    <row r="294" spans="1:10">
      <c r="A294" s="161">
        <v>44183</v>
      </c>
      <c r="B294" s="162">
        <v>1.3312999999999999</v>
      </c>
      <c r="C294" s="171">
        <f t="shared" si="50"/>
        <v>9.9999999999988987E-4</v>
      </c>
      <c r="D294" s="168" t="str">
        <f t="shared" si="51"/>
        <v>/</v>
      </c>
      <c r="E294" s="168">
        <f ca="1">IF(表2_36716262930381020[[#This Row],[累计净值]]/MAX(INDIRECT("B21:B" &amp; ROW()))-1&lt;E293,表2_36716262930381020[[#This Row],[累计净值]]/MAX(INDIRECT("B21:B" &amp; ROW()))-1,E293)</f>
        <v>-7.1594921493501551E-2</v>
      </c>
      <c r="F294" s="169">
        <f>表2_36716262930381020[[#This Row],[累计净值]]</f>
        <v>1.3312999999999999</v>
      </c>
      <c r="G294" s="170">
        <f>表2_36716262930381020[[#This Row],[累计净值]]/$B$21-1</f>
        <v>0.34311945117029863</v>
      </c>
      <c r="H294" s="170">
        <f>表2_36716262930381020[[#This Row],[累计净值]]/$B$156-1</f>
        <v>3.7565271607824746E-2</v>
      </c>
    </row>
    <row r="295" spans="1:10">
      <c r="A295" s="161">
        <v>44186</v>
      </c>
      <c r="B295" s="162">
        <v>1.3595999999999999</v>
      </c>
      <c r="C295" s="171">
        <f t="shared" si="50"/>
        <v>2.8299999999999992E-2</v>
      </c>
      <c r="D295" s="168" t="str">
        <f t="shared" si="51"/>
        <v>/</v>
      </c>
      <c r="E295" s="168">
        <f ca="1">IF(表2_36716262930381020[[#This Row],[累计净值]]/MAX(INDIRECT("B21:B" &amp; ROW()))-1&lt;E294,表2_36716262930381020[[#This Row],[累计净值]]/MAX(INDIRECT("B21:B" &amp; ROW()))-1,E294)</f>
        <v>-7.1594921493501551E-2</v>
      </c>
      <c r="F295" s="169">
        <f>表2_36716262930381020[[#This Row],[累计净值]]</f>
        <v>1.3595999999999999</v>
      </c>
      <c r="G295" s="170">
        <f>表2_36716262930381020[[#This Row],[累计净值]]/$B$21-1</f>
        <v>0.37167070217917675</v>
      </c>
      <c r="H295" s="170">
        <f>表2_36716262930381020[[#This Row],[累计净值]]/$B$156-1</f>
        <v>5.9621229833995759E-2</v>
      </c>
    </row>
    <row r="296" spans="1:10">
      <c r="A296" s="161">
        <v>44187</v>
      </c>
      <c r="B296" s="162">
        <v>1.3634999999999999</v>
      </c>
      <c r="C296" s="171">
        <f t="shared" si="50"/>
        <v>3.9000000000000146E-3</v>
      </c>
      <c r="D296" s="168" t="str">
        <f t="shared" si="51"/>
        <v>/</v>
      </c>
      <c r="E296" s="168">
        <f ca="1">IF(表2_36716262930381020[[#This Row],[累计净值]]/MAX(INDIRECT("B21:B" &amp; ROW()))-1&lt;E295,表2_36716262930381020[[#This Row],[累计净值]]/MAX(INDIRECT("B21:B" &amp; ROW()))-1,E295)</f>
        <v>-7.1594921493501551E-2</v>
      </c>
      <c r="F296" s="169">
        <f>表2_36716262930381020[[#This Row],[累计净值]]</f>
        <v>1.3634999999999999</v>
      </c>
      <c r="G296" s="170">
        <f>表2_36716262930381020[[#This Row],[累计净值]]/$B$21-1</f>
        <v>0.37560532687651338</v>
      </c>
      <c r="H296" s="170">
        <f>表2_36716262930381020[[#This Row],[累计净值]]/$B$156-1</f>
        <v>6.2660743511807393E-2</v>
      </c>
    </row>
    <row r="297" spans="1:10">
      <c r="A297" s="161">
        <v>44188</v>
      </c>
      <c r="B297" s="162">
        <v>1.3532</v>
      </c>
      <c r="C297" s="171">
        <f t="shared" si="50"/>
        <v>-1.0299999999999976E-2</v>
      </c>
      <c r="D297" s="168">
        <f t="shared" si="51"/>
        <v>-1.0299999999999976E-2</v>
      </c>
      <c r="E297" s="168">
        <f ca="1">IF(表2_36716262930381020[[#This Row],[累计净值]]/MAX(INDIRECT("B21:B" &amp; ROW()))-1&lt;E296,表2_36716262930381020[[#This Row],[累计净值]]/MAX(INDIRECT("B21:B" &amp; ROW()))-1,E296)</f>
        <v>-7.1594921493501551E-2</v>
      </c>
      <c r="F297" s="169">
        <f>表2_36716262930381020[[#This Row],[累计净值]]</f>
        <v>1.3532</v>
      </c>
      <c r="G297" s="170">
        <f>表2_36716262930381020[[#This Row],[累计净值]]/$B$21-1</f>
        <v>0.36521388216303463</v>
      </c>
      <c r="H297" s="170">
        <f>表2_36716262930381020[[#This Row],[累计净值]]/$B$156-1</f>
        <v>5.4633309952458964E-2</v>
      </c>
    </row>
    <row r="298" spans="1:10">
      <c r="A298" s="161">
        <v>44189</v>
      </c>
      <c r="B298" s="162">
        <v>1.3474999999999999</v>
      </c>
      <c r="C298" s="171">
        <f t="shared" si="50"/>
        <v>-5.7000000000000384E-3</v>
      </c>
      <c r="D298" s="168">
        <f t="shared" si="51"/>
        <v>-5.7000000000000384E-3</v>
      </c>
      <c r="E298" s="168">
        <f ca="1">IF(表2_36716262930381020[[#This Row],[累计净值]]/MAX(INDIRECT("B21:B" &amp; ROW()))-1&lt;E297,表2_36716262930381020[[#This Row],[累计净值]]/MAX(INDIRECT("B21:B" &amp; ROW()))-1,E297)</f>
        <v>-7.1594921493501551E-2</v>
      </c>
      <c r="F298" s="169">
        <f>表2_36716262930381020[[#This Row],[累计净值]]</f>
        <v>1.3474999999999999</v>
      </c>
      <c r="G298" s="170">
        <f>表2_36716262930381020[[#This Row],[累计净值]]/$B$21-1</f>
        <v>0.35946327683615809</v>
      </c>
      <c r="H298" s="170">
        <f>表2_36716262930381020[[#This Row],[累计净值]]/$B$156-1</f>
        <v>5.0190943807965072E-2</v>
      </c>
      <c r="J298" s="207"/>
    </row>
    <row r="299" spans="1:10">
      <c r="A299" s="161">
        <v>44190</v>
      </c>
      <c r="B299" s="162">
        <v>1.3447</v>
      </c>
      <c r="C299" s="171">
        <f t="shared" ref="C299:C304" si="52">IFERROR(B299-B298,0)</f>
        <v>-2.7999999999999137E-3</v>
      </c>
      <c r="D299" s="168">
        <f t="shared" ref="D299:D304" si="53">IF(C299&lt;0,C299,"/")</f>
        <v>-2.7999999999999137E-3</v>
      </c>
      <c r="E299" s="168">
        <f ca="1">IF(表2_36716262930381020[[#This Row],[累计净值]]/MAX(INDIRECT("B21:B" &amp; ROW()))-1&lt;E298,表2_36716262930381020[[#This Row],[累计净值]]/MAX(INDIRECT("B21:B" &amp; ROW()))-1,E298)</f>
        <v>-7.1594921493501551E-2</v>
      </c>
      <c r="F299" s="169">
        <f>表2_36716262930381020[[#This Row],[累计净值]]</f>
        <v>1.3447</v>
      </c>
      <c r="G299" s="170">
        <f>表2_36716262930381020[[#This Row],[累计净值]]/$B$21-1</f>
        <v>0.35663841807909602</v>
      </c>
      <c r="H299" s="170">
        <f>表2_36716262930381020[[#This Row],[累计净值]]/$B$156-1</f>
        <v>4.8008728859792793E-2</v>
      </c>
    </row>
    <row r="300" spans="1:10">
      <c r="A300" s="161">
        <v>44193</v>
      </c>
      <c r="B300" s="162">
        <v>1.3517999999999999</v>
      </c>
      <c r="C300" s="171">
        <f t="shared" si="52"/>
        <v>7.0999999999998842E-3</v>
      </c>
      <c r="D300" s="168" t="str">
        <f t="shared" si="53"/>
        <v>/</v>
      </c>
      <c r="E300" s="168">
        <f ca="1">IF(表2_36716262930381020[[#This Row],[累计净值]]/MAX(INDIRECT("B21:B" &amp; ROW()))-1&lt;E299,表2_36716262930381020[[#This Row],[累计净值]]/MAX(INDIRECT("B21:B" &amp; ROW()))-1,E299)</f>
        <v>-7.1594921493501551E-2</v>
      </c>
      <c r="F300" s="169">
        <f>表2_36716262930381020[[#This Row],[累计净值]]</f>
        <v>1.3517999999999999</v>
      </c>
      <c r="G300" s="170">
        <f>表2_36716262930381020[[#This Row],[累计净值]]/$B$21-1</f>
        <v>0.36380145278450349</v>
      </c>
      <c r="H300" s="170">
        <f>表2_36716262930381020[[#This Row],[累计净值]]/$B$156-1</f>
        <v>5.3542202478372714E-2</v>
      </c>
    </row>
    <row r="301" spans="1:10">
      <c r="A301" s="161">
        <v>44194</v>
      </c>
      <c r="B301" s="162">
        <v>1.3469</v>
      </c>
      <c r="C301" s="171">
        <f t="shared" si="52"/>
        <v>-4.8999999999999044E-3</v>
      </c>
      <c r="D301" s="168">
        <f t="shared" si="53"/>
        <v>-4.8999999999999044E-3</v>
      </c>
      <c r="E301" s="168">
        <f ca="1">IF(表2_36716262930381020[[#This Row],[累计净值]]/MAX(INDIRECT("B21:B" &amp; ROW()))-1&lt;E300,表2_36716262930381020[[#This Row],[累计净值]]/MAX(INDIRECT("B21:B" &amp; ROW()))-1,E300)</f>
        <v>-7.1594921493501551E-2</v>
      </c>
      <c r="F301" s="169">
        <f>表2_36716262930381020[[#This Row],[累计净值]]</f>
        <v>1.3469</v>
      </c>
      <c r="G301" s="170">
        <f>表2_36716262930381020[[#This Row],[累计净值]]/$B$21-1</f>
        <v>0.35885794995964493</v>
      </c>
      <c r="H301" s="170">
        <f>表2_36716262930381020[[#This Row],[累计净值]]/$B$156-1</f>
        <v>4.9723326319071059E-2</v>
      </c>
    </row>
    <row r="302" spans="1:10">
      <c r="A302" s="161">
        <v>44195</v>
      </c>
      <c r="B302" s="162">
        <v>1.3403</v>
      </c>
      <c r="C302" s="171">
        <f t="shared" si="52"/>
        <v>-6.5999999999999392E-3</v>
      </c>
      <c r="D302" s="168">
        <f t="shared" si="53"/>
        <v>-6.5999999999999392E-3</v>
      </c>
      <c r="E302" s="168">
        <f ca="1">IF(表2_36716262930381020[[#This Row],[累计净值]]/MAX(INDIRECT("B21:B" &amp; ROW()))-1&lt;E301,表2_36716262930381020[[#This Row],[累计净值]]/MAX(INDIRECT("B21:B" &amp; ROW()))-1,E301)</f>
        <v>-7.1594921493501551E-2</v>
      </c>
      <c r="F302" s="169">
        <f>表2_36716262930381020[[#This Row],[累计净值]]</f>
        <v>1.3403</v>
      </c>
      <c r="G302" s="170">
        <f>表2_36716262930381020[[#This Row],[累计净值]]/$B$21-1</f>
        <v>0.35219935431799843</v>
      </c>
      <c r="H302" s="170">
        <f>表2_36716262930381020[[#This Row],[累计净值]]/$B$156-1</f>
        <v>4.457953394123626E-2</v>
      </c>
    </row>
    <row r="303" spans="1:10">
      <c r="A303" s="161">
        <v>44196</v>
      </c>
      <c r="B303" s="162">
        <v>1.3460000000000001</v>
      </c>
      <c r="C303" s="171">
        <f t="shared" si="52"/>
        <v>5.7000000000000384E-3</v>
      </c>
      <c r="D303" s="168" t="str">
        <f t="shared" si="53"/>
        <v>/</v>
      </c>
      <c r="E303" s="168">
        <f ca="1">IF(表2_36716262930381020[[#This Row],[累计净值]]/MAX(INDIRECT("B21:B" &amp; ROW()))-1&lt;E302,表2_36716262930381020[[#This Row],[累计净值]]/MAX(INDIRECT("B21:B" &amp; ROW()))-1,E302)</f>
        <v>-7.1594921493501551E-2</v>
      </c>
      <c r="F303" s="169">
        <f>表2_36716262930381020[[#This Row],[累计净值]]</f>
        <v>1.3460000000000001</v>
      </c>
      <c r="G303" s="170">
        <f>表2_36716262930381020[[#This Row],[累计净值]]/$B$21-1</f>
        <v>0.35794995964487497</v>
      </c>
      <c r="H303" s="170">
        <f>表2_36716262930381020[[#This Row],[累计净值]]/$B$156-1</f>
        <v>4.902190008572993E-2</v>
      </c>
    </row>
    <row r="304" spans="1:10">
      <c r="A304" s="161">
        <v>44200</v>
      </c>
      <c r="B304" s="162">
        <v>1.3305</v>
      </c>
      <c r="C304" s="171">
        <f t="shared" si="52"/>
        <v>-1.5500000000000069E-2</v>
      </c>
      <c r="D304" s="168">
        <f t="shared" si="53"/>
        <v>-1.5500000000000069E-2</v>
      </c>
      <c r="E304" s="168">
        <f ca="1">IF(表2_36716262930381020[[#This Row],[累计净值]]/MAX(INDIRECT("B21:B" &amp; ROW()))-1&lt;E303,表2_36716262930381020[[#This Row],[累计净值]]/MAX(INDIRECT("B21:B" &amp; ROW()))-1,E303)</f>
        <v>-7.1594921493501551E-2</v>
      </c>
      <c r="F304" s="169">
        <f>表2_36716262930381020[[#This Row],[累计净值]]</f>
        <v>1.3305</v>
      </c>
      <c r="G304" s="170">
        <f>表2_36716262930381020[[#This Row],[累计净值]]/$B$21-1</f>
        <v>0.34231234866828086</v>
      </c>
      <c r="H304" s="170">
        <f>表2_36716262930381020[[#This Row],[累计净值]]/$B$156-1</f>
        <v>3.694178162263273E-2</v>
      </c>
    </row>
    <row r="305" spans="1:8">
      <c r="A305" s="161">
        <v>44201</v>
      </c>
      <c r="B305" s="162">
        <v>1.3436999999999999</v>
      </c>
      <c r="C305" s="171">
        <f t="shared" ref="C305:C310" si="54">IFERROR(B305-B304,0)</f>
        <v>1.3199999999999878E-2</v>
      </c>
      <c r="D305" s="168" t="str">
        <f t="shared" ref="D305:D310" si="55">IF(C305&lt;0,C305,"/")</f>
        <v>/</v>
      </c>
      <c r="E305" s="168">
        <f ca="1">IF(表2_36716262930381020[[#This Row],[累计净值]]/MAX(INDIRECT("B21:B" &amp; ROW()))-1&lt;E304,表2_36716262930381020[[#This Row],[累计净值]]/MAX(INDIRECT("B21:B" &amp; ROW()))-1,E304)</f>
        <v>-7.1594921493501551E-2</v>
      </c>
      <c r="F305" s="169">
        <f>表2_36716262930381020[[#This Row],[累计净值]]</f>
        <v>1.3436999999999999</v>
      </c>
      <c r="G305" s="170">
        <f>表2_36716262930381020[[#This Row],[累计净值]]/$B$21-1</f>
        <v>0.35562953995157387</v>
      </c>
      <c r="H305" s="170">
        <f>表2_36716262930381020[[#This Row],[累计净值]]/$B$156-1</f>
        <v>4.7229366378302551E-2</v>
      </c>
    </row>
    <row r="306" spans="1:8">
      <c r="A306" s="161">
        <v>44202</v>
      </c>
      <c r="B306" s="162">
        <v>1.3359000000000001</v>
      </c>
      <c r="C306" s="171">
        <f t="shared" si="54"/>
        <v>-7.7999999999998071E-3</v>
      </c>
      <c r="D306" s="168">
        <f t="shared" si="55"/>
        <v>-7.7999999999998071E-3</v>
      </c>
      <c r="E306" s="168">
        <f ca="1">IF(表2_36716262930381020[[#This Row],[累计净值]]/MAX(INDIRECT("B21:B" &amp; ROW()))-1&lt;E305,表2_36716262930381020[[#This Row],[累计净值]]/MAX(INDIRECT("B21:B" &amp; ROW()))-1,E305)</f>
        <v>-7.1594921493501551E-2</v>
      </c>
      <c r="F306" s="169">
        <f>表2_36716262930381020[[#This Row],[累计净值]]</f>
        <v>1.3359000000000001</v>
      </c>
      <c r="G306" s="170">
        <f>表2_36716262930381020[[#This Row],[累计净值]]/$B$21-1</f>
        <v>0.34776029055690083</v>
      </c>
      <c r="H306" s="170">
        <f>表2_36716262930381020[[#This Row],[累计净值]]/$B$156-1</f>
        <v>4.1150339022679505E-2</v>
      </c>
    </row>
    <row r="307" spans="1:8">
      <c r="A307" s="161">
        <v>44203</v>
      </c>
      <c r="B307" s="162">
        <v>1.3266</v>
      </c>
      <c r="C307" s="171">
        <f t="shared" si="54"/>
        <v>-9.300000000000086E-3</v>
      </c>
      <c r="D307" s="168">
        <f t="shared" si="55"/>
        <v>-9.300000000000086E-3</v>
      </c>
      <c r="E307" s="168">
        <f ca="1">IF(表2_36716262930381020[[#This Row],[累计净值]]/MAX(INDIRECT("B21:B" &amp; ROW()))-1&lt;E306,表2_36716262930381020[[#This Row],[累计净值]]/MAX(INDIRECT("B21:B" &amp; ROW()))-1,E306)</f>
        <v>-7.1594921493501551E-2</v>
      </c>
      <c r="F307" s="169">
        <f>表2_36716262930381020[[#This Row],[累计净值]]</f>
        <v>1.3266</v>
      </c>
      <c r="G307" s="170">
        <f>表2_36716262930381020[[#This Row],[累计净值]]/$B$21-1</f>
        <v>0.33837772397094446</v>
      </c>
      <c r="H307" s="170">
        <f>表2_36716262930381020[[#This Row],[累计净值]]/$B$156-1</f>
        <v>3.3902267944821318E-2</v>
      </c>
    </row>
    <row r="308" spans="1:8">
      <c r="A308" s="161">
        <v>44204</v>
      </c>
      <c r="B308" s="162">
        <v>1.3298000000000001</v>
      </c>
      <c r="C308" s="171">
        <f t="shared" si="54"/>
        <v>3.2000000000000917E-3</v>
      </c>
      <c r="D308" s="168" t="str">
        <f t="shared" si="55"/>
        <v>/</v>
      </c>
      <c r="E308" s="168">
        <f ca="1">IF(表2_36716262930381020[[#This Row],[累计净值]]/MAX(INDIRECT("B21:B" &amp; ROW()))-1&lt;E307,表2_36716262930381020[[#This Row],[累计净值]]/MAX(INDIRECT("B21:B" &amp; ROW()))-1,E307)</f>
        <v>-7.1594921493501551E-2</v>
      </c>
      <c r="F308" s="169">
        <f>表2_36716262930381020[[#This Row],[累计净值]]</f>
        <v>1.3298000000000001</v>
      </c>
      <c r="G308" s="170">
        <f>表2_36716262930381020[[#This Row],[累计净值]]/$B$21-1</f>
        <v>0.34160613397901551</v>
      </c>
      <c r="H308" s="170">
        <f>表2_36716262930381020[[#This Row],[累计净值]]/$B$156-1</f>
        <v>3.6396227885589827E-2</v>
      </c>
    </row>
    <row r="309" spans="1:8">
      <c r="A309" s="161">
        <v>44207</v>
      </c>
      <c r="B309" s="162">
        <v>1.3347</v>
      </c>
      <c r="C309" s="171">
        <f t="shared" si="54"/>
        <v>4.8999999999999044E-3</v>
      </c>
      <c r="D309" s="168" t="str">
        <f t="shared" si="55"/>
        <v>/</v>
      </c>
      <c r="E309" s="168">
        <f ca="1">IF(表2_36716262930381020[[#This Row],[累计净值]]/MAX(INDIRECT("B21:B" &amp; ROW()))-1&lt;E308,表2_36716262930381020[[#This Row],[累计净值]]/MAX(INDIRECT("B21:B" &amp; ROW()))-1,E308)</f>
        <v>-7.1594921493501551E-2</v>
      </c>
      <c r="F309" s="169">
        <f>表2_36716262930381020[[#This Row],[累计净值]]</f>
        <v>1.3347</v>
      </c>
      <c r="G309" s="170">
        <f>表2_36716262930381020[[#This Row],[累计净值]]/$B$21-1</f>
        <v>0.34654963680387407</v>
      </c>
      <c r="H309" s="170">
        <f>表2_36716262930381020[[#This Row],[累计净值]]/$B$156-1</f>
        <v>4.0215104044891259E-2</v>
      </c>
    </row>
    <row r="310" spans="1:8">
      <c r="A310" s="161">
        <v>44208</v>
      </c>
      <c r="B310" s="162">
        <v>1.3442000000000001</v>
      </c>
      <c r="C310" s="171">
        <f t="shared" si="54"/>
        <v>9.5000000000000639E-3</v>
      </c>
      <c r="D310" s="168" t="str">
        <f t="shared" si="55"/>
        <v>/</v>
      </c>
      <c r="E310" s="168">
        <f ca="1">IF(表2_36716262930381020[[#This Row],[累计净值]]/MAX(INDIRECT("B21:B" &amp; ROW()))-1&lt;E309,表2_36716262930381020[[#This Row],[累计净值]]/MAX(INDIRECT("B21:B" &amp; ROW()))-1,E309)</f>
        <v>-7.1594921493501551E-2</v>
      </c>
      <c r="F310" s="169">
        <f>表2_36716262930381020[[#This Row],[累计净值]]</f>
        <v>1.3442000000000001</v>
      </c>
      <c r="G310" s="170">
        <f>表2_36716262930381020[[#This Row],[累计净值]]/$B$21-1</f>
        <v>0.35613397901533506</v>
      </c>
      <c r="H310" s="170">
        <f>表2_36716262930381020[[#This Row],[累计净值]]/$B$156-1</f>
        <v>4.7619047619047672E-2</v>
      </c>
    </row>
    <row r="311" spans="1:8">
      <c r="A311" s="161">
        <v>44209</v>
      </c>
      <c r="B311" s="162">
        <v>1.3245</v>
      </c>
      <c r="C311" s="171">
        <f t="shared" ref="C311:C316" si="56">IFERROR(B311-B310,0)</f>
        <v>-1.9700000000000051E-2</v>
      </c>
      <c r="D311" s="168">
        <f t="shared" ref="D311:D316" si="57">IF(C311&lt;0,C311,"/")</f>
        <v>-1.9700000000000051E-2</v>
      </c>
      <c r="E311" s="168">
        <f ca="1">IF(表2_36716262930381020[[#This Row],[累计净值]]/MAX(INDIRECT("B21:B" &amp; ROW()))-1&lt;E310,表2_36716262930381020[[#This Row],[累计净值]]/MAX(INDIRECT("B21:B" &amp; ROW()))-1,E310)</f>
        <v>-7.1594921493501551E-2</v>
      </c>
      <c r="F311" s="169">
        <f>表2_36716262930381020[[#This Row],[累计净值]]</f>
        <v>1.3245</v>
      </c>
      <c r="G311" s="170">
        <f>表2_36716262930381020[[#This Row],[累计净值]]/$B$21-1</f>
        <v>0.33625907990314774</v>
      </c>
      <c r="H311" s="170">
        <f>表2_36716262930381020[[#This Row],[累计净值]]/$B$156-1</f>
        <v>3.2265606733691943E-2</v>
      </c>
    </row>
    <row r="312" spans="1:8">
      <c r="A312" s="161">
        <v>44210</v>
      </c>
      <c r="B312" s="162">
        <v>1.325</v>
      </c>
      <c r="C312" s="171">
        <f t="shared" si="56"/>
        <v>4.9999999999994493E-4</v>
      </c>
      <c r="D312" s="168" t="str">
        <f t="shared" si="57"/>
        <v>/</v>
      </c>
      <c r="E312" s="168">
        <f ca="1">IF(表2_36716262930381020[[#This Row],[累计净值]]/MAX(INDIRECT("B21:B" &amp; ROW()))-1&lt;E311,表2_36716262930381020[[#This Row],[累计净值]]/MAX(INDIRECT("B21:B" &amp; ROW()))-1,E311)</f>
        <v>-7.1594921493501551E-2</v>
      </c>
      <c r="F312" s="169">
        <f>表2_36716262930381020[[#This Row],[累计净值]]</f>
        <v>1.325</v>
      </c>
      <c r="G312" s="170">
        <f>表2_36716262930381020[[#This Row],[累计净值]]/$B$21-1</f>
        <v>0.3367635189669087</v>
      </c>
      <c r="H312" s="170">
        <f>表2_36716262930381020[[#This Row],[累计净值]]/$B$156-1</f>
        <v>3.2655287974436842E-2</v>
      </c>
    </row>
    <row r="313" spans="1:8">
      <c r="A313" s="161">
        <v>44211</v>
      </c>
      <c r="B313" s="162">
        <v>1.3381000000000001</v>
      </c>
      <c r="C313" s="171">
        <f t="shared" si="56"/>
        <v>1.3100000000000112E-2</v>
      </c>
      <c r="D313" s="168" t="str">
        <f t="shared" si="57"/>
        <v>/</v>
      </c>
      <c r="E313" s="168">
        <f ca="1">IF(表2_36716262930381020[[#This Row],[累计净值]]/MAX(INDIRECT("B21:B" &amp; ROW()))-1&lt;E312,表2_36716262930381020[[#This Row],[累计净值]]/MAX(INDIRECT("B21:B" &amp; ROW()))-1,E312)</f>
        <v>-7.1594921493501551E-2</v>
      </c>
      <c r="F313" s="169">
        <f>表2_36716262930381020[[#This Row],[累计净值]]</f>
        <v>1.3381000000000001</v>
      </c>
      <c r="G313" s="170">
        <f>表2_36716262930381020[[#This Row],[累计净值]]/$B$21-1</f>
        <v>0.34997982243744974</v>
      </c>
      <c r="H313" s="170">
        <f>表2_36716262930381020[[#This Row],[累计净值]]/$B$156-1</f>
        <v>4.2864936481957994E-2</v>
      </c>
    </row>
    <row r="314" spans="1:8">
      <c r="A314" s="161">
        <v>44214</v>
      </c>
      <c r="B314" s="162">
        <v>1.3472999999999999</v>
      </c>
      <c r="C314" s="171">
        <f t="shared" si="56"/>
        <v>9.1999999999998749E-3</v>
      </c>
      <c r="D314" s="168" t="str">
        <f t="shared" si="57"/>
        <v>/</v>
      </c>
      <c r="E314" s="168">
        <f ca="1">IF(表2_36716262930381020[[#This Row],[累计净值]]/MAX(INDIRECT("B21:B" &amp; ROW()))-1&lt;E313,表2_36716262930381020[[#This Row],[累计净值]]/MAX(INDIRECT("B21:B" &amp; ROW()))-1,E313)</f>
        <v>-7.1594921493501551E-2</v>
      </c>
      <c r="F314" s="169">
        <f>表2_36716262930381020[[#This Row],[累计净值]]</f>
        <v>1.3472999999999999</v>
      </c>
      <c r="G314" s="170">
        <f>表2_36716262930381020[[#This Row],[累计净值]]/$B$21-1</f>
        <v>0.3592615012106537</v>
      </c>
      <c r="H314" s="170">
        <f>表2_36716262930381020[[#This Row],[累计净值]]/$B$156-1</f>
        <v>5.0035071311667068E-2</v>
      </c>
    </row>
    <row r="315" spans="1:8">
      <c r="A315" s="161">
        <v>44215</v>
      </c>
      <c r="B315" s="216">
        <v>1.3328</v>
      </c>
      <c r="C315" s="171">
        <f t="shared" si="56"/>
        <v>-1.4499999999999957E-2</v>
      </c>
      <c r="D315" s="168">
        <f t="shared" si="57"/>
        <v>-1.4499999999999957E-2</v>
      </c>
      <c r="E315" s="168">
        <f ca="1">IF(表2_36716262930381020[[#This Row],[累计净值]]/MAX(INDIRECT("B21:B" &amp; ROW()))-1&lt;E314,表2_36716262930381020[[#This Row],[累计净值]]/MAX(INDIRECT("B21:B" &amp; ROW()))-1,E314)</f>
        <v>-7.1594921493501551E-2</v>
      </c>
      <c r="F315" s="169">
        <f>表2_36716262930381020[[#This Row],[累计净值]]</f>
        <v>1.3328</v>
      </c>
      <c r="G315" s="170">
        <f>表2_36716262930381020[[#This Row],[累计净值]]/$B$21-1</f>
        <v>0.34463276836158196</v>
      </c>
      <c r="H315" s="170">
        <f>表2_36716262930381020[[#This Row],[累计净值]]/$B$156-1</f>
        <v>3.873431533006011E-2</v>
      </c>
    </row>
    <row r="316" spans="1:8">
      <c r="A316" s="161">
        <v>44216</v>
      </c>
      <c r="B316" s="216">
        <v>1.3244</v>
      </c>
      <c r="C316" s="171">
        <f t="shared" si="56"/>
        <v>-8.3999999999999631E-3</v>
      </c>
      <c r="D316" s="168">
        <f t="shared" si="57"/>
        <v>-8.3999999999999631E-3</v>
      </c>
      <c r="E316" s="168">
        <f ca="1">IF(表2_36716262930381020[[#This Row],[累计净值]]/MAX(INDIRECT("B21:B" &amp; ROW()))-1&lt;E315,表2_36716262930381020[[#This Row],[累计净值]]/MAX(INDIRECT("B21:B" &amp; ROW()))-1,E315)</f>
        <v>-7.1594921493501551E-2</v>
      </c>
      <c r="F316" s="169">
        <f>表2_36716262930381020[[#This Row],[累计净值]]</f>
        <v>1.3244</v>
      </c>
      <c r="G316" s="170">
        <f>表2_36716262930381020[[#This Row],[累计净值]]/$B$21-1</f>
        <v>0.33615819209039555</v>
      </c>
      <c r="H316" s="170">
        <f>表2_36716262930381020[[#This Row],[累计净值]]/$B$156-1</f>
        <v>3.218767048554283E-2</v>
      </c>
    </row>
    <row r="317" spans="1:8">
      <c r="A317" s="161">
        <v>44217</v>
      </c>
      <c r="B317" s="216">
        <v>1.3259000000000001</v>
      </c>
      <c r="C317" s="171">
        <f t="shared" ref="C317:C322" si="58">IFERROR(B317-B316,0)</f>
        <v>1.5000000000000568E-3</v>
      </c>
      <c r="D317" s="168" t="str">
        <f t="shared" ref="D317:D322" si="59">IF(C317&lt;0,C317,"/")</f>
        <v>/</v>
      </c>
      <c r="E317" s="168">
        <f ca="1">IF(表2_36716262930381020[[#This Row],[累计净值]]/MAX(INDIRECT("B21:B" &amp; ROW()))-1&lt;E316,表2_36716262930381020[[#This Row],[累计净值]]/MAX(INDIRECT("B21:B" &amp; ROW()))-1,E316)</f>
        <v>-7.1594921493501551E-2</v>
      </c>
      <c r="F317" s="169">
        <f>表2_36716262930381020[[#This Row],[累计净值]]</f>
        <v>1.3259000000000001</v>
      </c>
      <c r="G317" s="170">
        <f>表2_36716262930381020[[#This Row],[累计净值]]/$B$21-1</f>
        <v>0.33767150928167888</v>
      </c>
      <c r="H317" s="170">
        <f>表2_36716262930381020[[#This Row],[累计净值]]/$B$156-1</f>
        <v>3.3356714207778193E-2</v>
      </c>
    </row>
    <row r="318" spans="1:8">
      <c r="A318" s="161">
        <v>44218</v>
      </c>
      <c r="B318" s="216">
        <v>1.3374999999999999</v>
      </c>
      <c r="C318" s="171">
        <f t="shared" si="58"/>
        <v>1.1599999999999833E-2</v>
      </c>
      <c r="D318" s="168" t="str">
        <f t="shared" si="59"/>
        <v>/</v>
      </c>
      <c r="E318" s="168">
        <f ca="1">IF(表2_36716262930381020[[#This Row],[累计净值]]/MAX(INDIRECT("B21:B" &amp; ROW()))-1&lt;E317,表2_36716262930381020[[#This Row],[累计净值]]/MAX(INDIRECT("B21:B" &amp; ROW()))-1,E317)</f>
        <v>-7.1594921493501551E-2</v>
      </c>
      <c r="F318" s="169">
        <f>表2_36716262930381020[[#This Row],[累计净值]]</f>
        <v>1.3374999999999999</v>
      </c>
      <c r="G318" s="170">
        <f>表2_36716262930381020[[#This Row],[累计净值]]/$B$21-1</f>
        <v>0.34937449556093614</v>
      </c>
      <c r="H318" s="170">
        <f>表2_36716262930381020[[#This Row],[累计净值]]/$B$156-1</f>
        <v>4.239731899306376E-2</v>
      </c>
    </row>
    <row r="319" spans="1:8">
      <c r="A319" s="161">
        <v>44221</v>
      </c>
      <c r="B319" s="216">
        <v>1.3403</v>
      </c>
      <c r="C319" s="171">
        <f t="shared" si="58"/>
        <v>2.8000000000001357E-3</v>
      </c>
      <c r="D319" s="168" t="str">
        <f t="shared" si="59"/>
        <v>/</v>
      </c>
      <c r="E319" s="168">
        <f ca="1">IF(表2_36716262930381020[[#This Row],[累计净值]]/MAX(INDIRECT("B21:B" &amp; ROW()))-1&lt;E318,表2_36716262930381020[[#This Row],[累计净值]]/MAX(INDIRECT("B21:B" &amp; ROW()))-1,E318)</f>
        <v>-7.1594921493501551E-2</v>
      </c>
      <c r="F319" s="169">
        <f>表2_36716262930381020[[#This Row],[累计净值]]</f>
        <v>1.3403</v>
      </c>
      <c r="G319" s="170">
        <f>表2_36716262930381020[[#This Row],[累计净值]]/$B$21-1</f>
        <v>0.35219935431799843</v>
      </c>
      <c r="H319" s="170">
        <f>表2_36716262930381020[[#This Row],[累计净值]]/$B$156-1</f>
        <v>4.457953394123626E-2</v>
      </c>
    </row>
    <row r="320" spans="1:8">
      <c r="A320" s="161">
        <v>44222</v>
      </c>
      <c r="B320" s="162">
        <v>1.3368</v>
      </c>
      <c r="C320" s="171">
        <f t="shared" si="58"/>
        <v>-3.5000000000000586E-3</v>
      </c>
      <c r="D320" s="168">
        <f t="shared" si="59"/>
        <v>-3.5000000000000586E-3</v>
      </c>
      <c r="E320" s="168">
        <f ca="1">IF(表2_36716262930381020[[#This Row],[累计净值]]/MAX(INDIRECT("B21:B" &amp; ROW()))-1&lt;E319,表2_36716262930381020[[#This Row],[累计净值]]/MAX(INDIRECT("B21:B" &amp; ROW()))-1,E319)</f>
        <v>-7.1594921493501551E-2</v>
      </c>
      <c r="F320" s="169">
        <f>表2_36716262930381020[[#This Row],[累计净值]]</f>
        <v>1.3368</v>
      </c>
      <c r="G320" s="170">
        <f>表2_36716262930381020[[#This Row],[累计净值]]/$B$21-1</f>
        <v>0.34866828087167079</v>
      </c>
      <c r="H320" s="170">
        <f>表2_36716262930381020[[#This Row],[累计净值]]/$B$156-1</f>
        <v>4.1851765256020634E-2</v>
      </c>
    </row>
    <row r="321" spans="1:8">
      <c r="A321" s="161">
        <v>44223</v>
      </c>
      <c r="B321" s="162">
        <v>1.3386</v>
      </c>
      <c r="C321" s="171">
        <f t="shared" si="58"/>
        <v>1.8000000000000238E-3</v>
      </c>
      <c r="D321" s="168" t="str">
        <f t="shared" si="59"/>
        <v>/</v>
      </c>
      <c r="E321" s="168">
        <f ca="1">IF(表2_36716262930381020[[#This Row],[累计净值]]/MAX(INDIRECT("B21:B" &amp; ROW()))-1&lt;E320,表2_36716262930381020[[#This Row],[累计净值]]/MAX(INDIRECT("B21:B" &amp; ROW()))-1,E320)</f>
        <v>-7.1594921493501551E-2</v>
      </c>
      <c r="F321" s="169">
        <f>表2_36716262930381020[[#This Row],[累计净值]]</f>
        <v>1.3386</v>
      </c>
      <c r="G321" s="170">
        <f>表2_36716262930381020[[#This Row],[累计净值]]/$B$21-1</f>
        <v>0.3504842615012107</v>
      </c>
      <c r="H321" s="170">
        <f>表2_36716262930381020[[#This Row],[累计净值]]/$B$156-1</f>
        <v>4.3254617722702893E-2</v>
      </c>
    </row>
    <row r="322" spans="1:8">
      <c r="A322" s="161">
        <v>44224</v>
      </c>
      <c r="B322" s="162">
        <v>1.3177000000000001</v>
      </c>
      <c r="C322" s="171">
        <f t="shared" si="58"/>
        <v>-2.0899999999999919E-2</v>
      </c>
      <c r="D322" s="168">
        <f t="shared" si="59"/>
        <v>-2.0899999999999919E-2</v>
      </c>
      <c r="E322" s="168">
        <f ca="1">IF(表2_36716262930381020[[#This Row],[累计净值]]/MAX(INDIRECT("B21:B" &amp; ROW()))-1&lt;E321,表2_36716262930381020[[#This Row],[累计净值]]/MAX(INDIRECT("B21:B" &amp; ROW()))-1,E321)</f>
        <v>-7.1594921493501551E-2</v>
      </c>
      <c r="F322" s="169">
        <f>表2_36716262930381020[[#This Row],[累计净值]]</f>
        <v>1.3177000000000001</v>
      </c>
      <c r="G322" s="170">
        <f>表2_36716262930381020[[#This Row],[累计净值]]/$B$21-1</f>
        <v>0.32939870863599685</v>
      </c>
      <c r="H322" s="170">
        <f>表2_36716262930381020[[#This Row],[累计净值]]/$B$156-1</f>
        <v>2.6965941859558917E-2</v>
      </c>
    </row>
    <row r="323" spans="1:8">
      <c r="A323" s="161">
        <v>44225</v>
      </c>
      <c r="B323" s="162">
        <v>1.2964</v>
      </c>
      <c r="C323" s="171">
        <f t="shared" ref="C323:C328" si="60">IFERROR(B323-B322,0)</f>
        <v>-2.1300000000000097E-2</v>
      </c>
      <c r="D323" s="168">
        <f t="shared" ref="D323:D328" si="61">IF(C323&lt;0,C323,"/")</f>
        <v>-2.1300000000000097E-2</v>
      </c>
      <c r="E323" s="168">
        <f ca="1">IF(表2_36716262930381020[[#This Row],[累计净值]]/MAX(INDIRECT("B21:B" &amp; ROW()))-1&lt;E322,表2_36716262930381020[[#This Row],[累计净值]]/MAX(INDIRECT("B21:B" &amp; ROW()))-1,E322)</f>
        <v>-7.1594921493501551E-2</v>
      </c>
      <c r="F323" s="169">
        <f>表2_36716262930381020[[#This Row],[累计净值]]</f>
        <v>1.2964</v>
      </c>
      <c r="G323" s="170">
        <f>表2_36716262930381020[[#This Row],[累计净值]]/$B$21-1</f>
        <v>0.30790960451977401</v>
      </c>
      <c r="H323" s="170">
        <f>表2_36716262930381020[[#This Row],[累计净值]]/$B$156-1</f>
        <v>1.0365521003818934E-2</v>
      </c>
    </row>
    <row r="324" spans="1:8">
      <c r="A324" s="161">
        <v>44228</v>
      </c>
      <c r="B324" s="162">
        <v>1.3011999999999999</v>
      </c>
      <c r="C324" s="171">
        <f t="shared" si="60"/>
        <v>4.7999999999999154E-3</v>
      </c>
      <c r="D324" s="168" t="str">
        <f t="shared" si="61"/>
        <v>/</v>
      </c>
      <c r="E324" s="168">
        <f ca="1">IF(表2_36716262930381020[[#This Row],[累计净值]]/MAX(INDIRECT("B21:B" &amp; ROW()))-1&lt;E323,表2_36716262930381020[[#This Row],[累计净值]]/MAX(INDIRECT("B21:B" &amp; ROW()))-1,E323)</f>
        <v>-7.1594921493501551E-2</v>
      </c>
      <c r="F324" s="169">
        <f>表2_36716262930381020[[#This Row],[累计净值]]</f>
        <v>1.3011999999999999</v>
      </c>
      <c r="G324" s="170">
        <f>表2_36716262930381020[[#This Row],[累计净值]]/$B$21-1</f>
        <v>0.31275221953188059</v>
      </c>
      <c r="H324" s="170">
        <f>表2_36716262930381020[[#This Row],[累计净值]]/$B$156-1</f>
        <v>1.4106460914971475E-2</v>
      </c>
    </row>
    <row r="325" spans="1:8">
      <c r="A325" s="161">
        <v>44229</v>
      </c>
      <c r="B325" s="162">
        <v>1.2954000000000001</v>
      </c>
      <c r="C325" s="171">
        <f t="shared" si="60"/>
        <v>-5.7999999999998053E-3</v>
      </c>
      <c r="D325" s="168">
        <f t="shared" si="61"/>
        <v>-5.7999999999998053E-3</v>
      </c>
      <c r="E325" s="168">
        <f ca="1">IF(表2_36716262930381020[[#This Row],[累计净值]]/MAX(INDIRECT("B21:B" &amp; ROW()))-1&lt;E324,表2_36716262930381020[[#This Row],[累计净值]]/MAX(INDIRECT("B21:B" &amp; ROW()))-1,E324)</f>
        <v>-7.1594921493501551E-2</v>
      </c>
      <c r="F325" s="169">
        <f>表2_36716262930381020[[#This Row],[累计净值]]</f>
        <v>1.2954000000000001</v>
      </c>
      <c r="G325" s="170">
        <f>表2_36716262930381020[[#This Row],[累计净值]]/$B$21-1</f>
        <v>0.30690072639225185</v>
      </c>
      <c r="H325" s="170">
        <f>表2_36716262930381020[[#This Row],[累计净值]]/$B$156-1</f>
        <v>9.5861585223289136E-3</v>
      </c>
    </row>
    <row r="326" spans="1:8">
      <c r="A326" s="161">
        <v>44230</v>
      </c>
      <c r="B326" s="162">
        <v>1.2874000000000001</v>
      </c>
      <c r="C326" s="171">
        <f t="shared" si="60"/>
        <v>-8.0000000000000071E-3</v>
      </c>
      <c r="D326" s="168">
        <f t="shared" si="61"/>
        <v>-8.0000000000000071E-3</v>
      </c>
      <c r="E326" s="168">
        <f ca="1">IF(表2_36716262930381020[[#This Row],[累计净值]]/MAX(INDIRECT("B21:B" &amp; ROW()))-1&lt;E325,表2_36716262930381020[[#This Row],[累计净值]]/MAX(INDIRECT("B21:B" &amp; ROW()))-1,E325)</f>
        <v>-7.1594921493501551E-2</v>
      </c>
      <c r="F326" s="169">
        <f>表2_36716262930381020[[#This Row],[累计净值]]</f>
        <v>1.2874000000000001</v>
      </c>
      <c r="G326" s="170">
        <f>表2_36716262930381020[[#This Row],[累计净值]]/$B$21-1</f>
        <v>0.29882970137207443</v>
      </c>
      <c r="H326" s="170">
        <f>表2_36716262930381020[[#This Row],[累计净值]]/$B$156-1</f>
        <v>3.351258670407864E-3</v>
      </c>
    </row>
    <row r="327" spans="1:8">
      <c r="A327" s="161">
        <v>44231</v>
      </c>
      <c r="B327" s="162">
        <v>1.2858000000000001</v>
      </c>
      <c r="C327" s="171">
        <f t="shared" si="60"/>
        <v>-1.6000000000000458E-3</v>
      </c>
      <c r="D327" s="168">
        <f t="shared" si="61"/>
        <v>-1.6000000000000458E-3</v>
      </c>
      <c r="E327" s="168">
        <f ca="1">IF(表2_36716262930381020[[#This Row],[累计净值]]/MAX(INDIRECT("B21:B" &amp; ROW()))-1&lt;E326,表2_36716262930381020[[#This Row],[累计净值]]/MAX(INDIRECT("B21:B" &amp; ROW()))-1,E326)</f>
        <v>-7.1594921493501551E-2</v>
      </c>
      <c r="F327" s="169">
        <f>表2_36716262930381020[[#This Row],[累计净值]]</f>
        <v>1.2858000000000001</v>
      </c>
      <c r="G327" s="170">
        <f>表2_36716262930381020[[#This Row],[累计净值]]/$B$21-1</f>
        <v>0.2972154963680389</v>
      </c>
      <c r="H327" s="170">
        <f>表2_36716262930381020[[#This Row],[累计净值]]/$B$156-1</f>
        <v>2.1042787000233876E-3</v>
      </c>
    </row>
    <row r="328" spans="1:8">
      <c r="A328" s="161">
        <v>44232</v>
      </c>
      <c r="B328" s="162">
        <v>1.29</v>
      </c>
      <c r="C328" s="171">
        <f t="shared" si="60"/>
        <v>4.1999999999999815E-3</v>
      </c>
      <c r="D328" s="168" t="str">
        <f t="shared" si="61"/>
        <v>/</v>
      </c>
      <c r="E328" s="168">
        <f ca="1">IF(表2_36716262930381020[[#This Row],[累计净值]]/MAX(INDIRECT("B21:B" &amp; ROW()))-1&lt;E327,表2_36716262930381020[[#This Row],[累计净值]]/MAX(INDIRECT("B21:B" &amp; ROW()))-1,E327)</f>
        <v>-7.1594921493501551E-2</v>
      </c>
      <c r="F328" s="169">
        <f>表2_36716262930381020[[#This Row],[累计净值]]</f>
        <v>1.29</v>
      </c>
      <c r="G328" s="170">
        <f>表2_36716262930381020[[#This Row],[累计净值]]/$B$21-1</f>
        <v>0.30145278450363211</v>
      </c>
      <c r="H328" s="170">
        <f>表2_36716262930381020[[#This Row],[累计净值]]/$B$156-1</f>
        <v>5.3776011222821385E-3</v>
      </c>
    </row>
    <row r="329" spans="1:8">
      <c r="A329" s="161">
        <v>44235</v>
      </c>
      <c r="B329" s="162">
        <v>1.2928999999999999</v>
      </c>
      <c r="C329" s="171">
        <f>IFERROR(B329-B328,0)</f>
        <v>2.8999999999999027E-3</v>
      </c>
      <c r="D329" s="168" t="str">
        <f>IF(C329&lt;0,C329,"/")</f>
        <v>/</v>
      </c>
      <c r="E329" s="168">
        <f ca="1">IF(表2_36716262930381020[[#This Row],[累计净值]]/MAX(INDIRECT("B21:B" &amp; ROW()))-1&lt;E328,表2_36716262930381020[[#This Row],[累计净值]]/MAX(INDIRECT("B21:B" &amp; ROW()))-1,E328)</f>
        <v>-7.1594921493501551E-2</v>
      </c>
      <c r="F329" s="169">
        <f>表2_36716262930381020[[#This Row],[累计净值]]</f>
        <v>1.2928999999999999</v>
      </c>
      <c r="G329" s="170">
        <f>表2_36716262930381020[[#This Row],[累计净值]]/$B$21-1</f>
        <v>0.30437853107344637</v>
      </c>
      <c r="H329" s="170">
        <f>表2_36716262930381020[[#This Row],[累计净值]]/$B$156-1</f>
        <v>7.6377523186033081E-3</v>
      </c>
    </row>
    <row r="330" spans="1:8">
      <c r="A330" s="161">
        <v>44236</v>
      </c>
      <c r="B330" s="162">
        <v>1.3001</v>
      </c>
      <c r="C330" s="171">
        <f>IFERROR(B330-B329,0)</f>
        <v>7.2000000000000952E-3</v>
      </c>
      <c r="D330" s="168" t="str">
        <f>IF(C330&lt;0,C330,"/")</f>
        <v>/</v>
      </c>
      <c r="E330" s="168">
        <f ca="1">IF(表2_36716262930381020[[#This Row],[累计净值]]/MAX(INDIRECT("B21:B" &amp; ROW()))-1&lt;E329,表2_36716262930381020[[#This Row],[累计净值]]/MAX(INDIRECT("B21:B" &amp; ROW()))-1,E329)</f>
        <v>-7.1594921493501551E-2</v>
      </c>
      <c r="F330" s="169">
        <f>表2_36716262930381020[[#This Row],[累计净值]]</f>
        <v>1.3001</v>
      </c>
      <c r="G330" s="170">
        <f>表2_36716262930381020[[#This Row],[累计净值]]/$B$21-1</f>
        <v>0.31164245359160625</v>
      </c>
      <c r="H330" s="170">
        <f>表2_36716262930381020[[#This Row],[累计净值]]/$B$156-1</f>
        <v>1.3249162185332564E-2</v>
      </c>
    </row>
    <row r="331" spans="1:8">
      <c r="A331" s="161">
        <v>44237</v>
      </c>
      <c r="B331" s="162">
        <v>1.3015000000000001</v>
      </c>
      <c r="C331" s="171">
        <f t="shared" ref="C331:C332" si="62">IFERROR(B331-B330,0)</f>
        <v>1.4000000000000679E-3</v>
      </c>
      <c r="D331" s="168" t="str">
        <f t="shared" ref="D331:D332" si="63">IF(C331&lt;0,C331,"/")</f>
        <v>/</v>
      </c>
      <c r="E331" s="168">
        <f ca="1">IF(表2_36716262930381020[[#This Row],[累计净值]]/MAX(INDIRECT("B21:B" &amp; ROW()))-1&lt;E330,表2_36716262930381020[[#This Row],[累计净值]]/MAX(INDIRECT("B21:B" &amp; ROW()))-1,E330)</f>
        <v>-7.1594921493501551E-2</v>
      </c>
      <c r="F331" s="169">
        <f>表2_36716262930381020[[#This Row],[累计净值]]</f>
        <v>1.3015000000000001</v>
      </c>
      <c r="G331" s="170">
        <f>表2_36716262930381020[[#This Row],[累计净值]]/$B$21-1</f>
        <v>0.31305488297013739</v>
      </c>
      <c r="H331" s="170">
        <f>表2_36716262930381020[[#This Row],[累计净值]]/$B$156-1</f>
        <v>1.4340269659418814E-2</v>
      </c>
    </row>
    <row r="332" spans="1:8">
      <c r="A332" s="161">
        <v>44245</v>
      </c>
      <c r="B332" s="162">
        <v>1.3218000000000001</v>
      </c>
      <c r="C332" s="171">
        <f t="shared" si="62"/>
        <v>2.0299999999999985E-2</v>
      </c>
      <c r="D332" s="168" t="str">
        <f t="shared" si="63"/>
        <v>/</v>
      </c>
      <c r="E332" s="168">
        <f ca="1">IF(表2_36716262930381020[[#This Row],[累计净值]]/MAX(INDIRECT("B21:B" &amp; ROW()))-1&lt;E331,表2_36716262930381020[[#This Row],[累计净值]]/MAX(INDIRECT("B21:B" &amp; ROW()))-1,E331)</f>
        <v>-7.1594921493501551E-2</v>
      </c>
      <c r="F332" s="169">
        <f>表2_36716262930381020[[#This Row],[累计净值]]</f>
        <v>1.3218000000000001</v>
      </c>
      <c r="G332" s="170">
        <f>表2_36716262930381020[[#This Row],[累计净值]]/$B$21-1</f>
        <v>0.33353510895883787</v>
      </c>
      <c r="H332" s="170">
        <f>表2_36716262930381020[[#This Row],[累计净值]]/$B$156-1</f>
        <v>3.0161328033668555E-2</v>
      </c>
    </row>
    <row r="333" spans="1:8">
      <c r="A333" s="161">
        <v>44246</v>
      </c>
      <c r="B333" s="162">
        <v>1.3324</v>
      </c>
      <c r="C333" s="171">
        <f>IFERROR(B333-B332,0)</f>
        <v>1.0599999999999943E-2</v>
      </c>
      <c r="D333" s="168" t="str">
        <f>IF(C333&lt;0,C333,"/")</f>
        <v>/</v>
      </c>
      <c r="E333" s="168">
        <f ca="1">IF(表2_36716262930381020[[#This Row],[累计净值]]/MAX(INDIRECT("B21:B" &amp; ROW()))-1&lt;E332,表2_36716262930381020[[#This Row],[累计净值]]/MAX(INDIRECT("B21:B" &amp; ROW()))-1,E332)</f>
        <v>-7.1594921493501551E-2</v>
      </c>
      <c r="F333" s="169">
        <f>表2_36716262930381020[[#This Row],[累计净值]]</f>
        <v>1.3324</v>
      </c>
      <c r="G333" s="170">
        <f>表2_36716262930381020[[#This Row],[累计净值]]/$B$21-1</f>
        <v>0.34422921711057319</v>
      </c>
      <c r="H333" s="170">
        <f>表2_36716262930381020[[#This Row],[累计净值]]/$B$156-1</f>
        <v>3.8422570337464101E-2</v>
      </c>
    </row>
    <row r="334" spans="1:8">
      <c r="A334" s="161">
        <v>44249</v>
      </c>
      <c r="B334" s="162">
        <v>1.3440000000000001</v>
      </c>
      <c r="C334" s="171">
        <f>IFERROR(B334-B333,0)</f>
        <v>1.1600000000000055E-2</v>
      </c>
      <c r="D334" s="168" t="str">
        <f>IF(C334&lt;0,C334,"/")</f>
        <v>/</v>
      </c>
      <c r="E334" s="168">
        <f ca="1">IF(表2_36716262930381020[[#This Row],[累计净值]]/MAX(INDIRECT("B21:B" &amp; ROW()))-1&lt;E333,表2_36716262930381020[[#This Row],[累计净值]]/MAX(INDIRECT("B21:B" &amp; ROW()))-1,E333)</f>
        <v>-7.1594921493501551E-2</v>
      </c>
      <c r="F334" s="169">
        <f>表2_36716262930381020[[#This Row],[累计净值]]</f>
        <v>1.3440000000000001</v>
      </c>
      <c r="G334" s="170">
        <f>表2_36716262930381020[[#This Row],[累计净值]]/$B$21-1</f>
        <v>0.35593220338983067</v>
      </c>
      <c r="H334" s="170">
        <f>表2_36716262930381020[[#This Row],[累计净值]]/$B$156-1</f>
        <v>4.7463175122749668E-2</v>
      </c>
    </row>
    <row r="335" spans="1:8">
      <c r="A335" s="161">
        <v>44250</v>
      </c>
      <c r="B335" s="162">
        <v>1.3363</v>
      </c>
      <c r="C335" s="171">
        <f>IFERROR(B335-B334,0)</f>
        <v>-7.7000000000000401E-3</v>
      </c>
      <c r="D335" s="168">
        <f>IF(C335&lt;0,C335,"/")</f>
        <v>-7.7000000000000401E-3</v>
      </c>
      <c r="E335" s="168">
        <f ca="1">IF(表2_36716262930381020[[#This Row],[累计净值]]/MAX(INDIRECT("B21:B" &amp; ROW()))-1&lt;E334,表2_36716262930381020[[#This Row],[累计净值]]/MAX(INDIRECT("B21:B" &amp; ROW()))-1,E334)</f>
        <v>-7.1594921493501551E-2</v>
      </c>
      <c r="F335" s="169">
        <f>表2_36716262930381020[[#This Row],[累计净值]]</f>
        <v>1.3363</v>
      </c>
      <c r="G335" s="170">
        <f>表2_36716262930381020[[#This Row],[累计净值]]/$B$21-1</f>
        <v>0.3481638418079096</v>
      </c>
      <c r="H335" s="170">
        <f>表2_36716262930381020[[#This Row],[累计净值]]/$B$156-1</f>
        <v>4.1462084015275513E-2</v>
      </c>
    </row>
    <row r="336" spans="1:8">
      <c r="A336" s="161">
        <v>44251</v>
      </c>
      <c r="B336" s="162">
        <v>1.3286</v>
      </c>
      <c r="C336" s="171">
        <f t="shared" ref="C336:C338" si="64">IFERROR(B336-B335,0)</f>
        <v>-7.7000000000000401E-3</v>
      </c>
      <c r="D336" s="168">
        <f t="shared" ref="D336:D338" si="65">IF(C336&lt;0,C336,"/")</f>
        <v>-7.7000000000000401E-3</v>
      </c>
      <c r="E336" s="168">
        <f ca="1">IF(表2_36716262930381020[[#This Row],[累计净值]]/MAX(INDIRECT("B21:B" &amp; ROW()))-1&lt;E335,表2_36716262930381020[[#This Row],[累计净值]]/MAX(INDIRECT("B21:B" &amp; ROW()))-1,E335)</f>
        <v>-7.1594921493501551E-2</v>
      </c>
      <c r="F336" s="169">
        <f>表2_36716262930381020[[#This Row],[累计净值]]</f>
        <v>1.3286</v>
      </c>
      <c r="G336" s="170">
        <f>表2_36716262930381020[[#This Row],[累计净值]]/$B$21-1</f>
        <v>0.34039548022598876</v>
      </c>
      <c r="H336" s="170">
        <f>表2_36716262930381020[[#This Row],[累计净值]]/$B$156-1</f>
        <v>3.5460992907801581E-2</v>
      </c>
    </row>
    <row r="337" spans="1:8">
      <c r="A337" s="161">
        <v>44252</v>
      </c>
      <c r="B337" s="162">
        <v>1.3360000000000001</v>
      </c>
      <c r="C337" s="171">
        <f t="shared" si="64"/>
        <v>7.4000000000000732E-3</v>
      </c>
      <c r="D337" s="168" t="str">
        <f t="shared" si="65"/>
        <v>/</v>
      </c>
      <c r="E337" s="168">
        <f ca="1">IF(表2_36716262930381020[[#This Row],[累计净值]]/MAX(INDIRECT("B21:B" &amp; ROW()))-1&lt;E336,表2_36716262930381020[[#This Row],[累计净值]]/MAX(INDIRECT("B21:B" &amp; ROW()))-1,E336)</f>
        <v>-7.1594921493501551E-2</v>
      </c>
      <c r="F337" s="169">
        <f>表2_36716262930381020[[#This Row],[累计净值]]</f>
        <v>1.3360000000000001</v>
      </c>
      <c r="G337" s="170">
        <f>表2_36716262930381020[[#This Row],[累计净值]]/$B$21-1</f>
        <v>0.34786117836965302</v>
      </c>
      <c r="H337" s="170">
        <f>表2_36716262930381020[[#This Row],[累计净值]]/$B$156-1</f>
        <v>4.1228275270828618E-2</v>
      </c>
    </row>
    <row r="338" spans="1:8">
      <c r="A338" s="161">
        <v>44253</v>
      </c>
      <c r="B338" s="162">
        <v>1.3409</v>
      </c>
      <c r="C338" s="171">
        <f t="shared" si="64"/>
        <v>4.8999999999999044E-3</v>
      </c>
      <c r="D338" s="168" t="str">
        <f t="shared" si="65"/>
        <v>/</v>
      </c>
      <c r="E338" s="168">
        <f ca="1">IF(表2_36716262930381020[[#This Row],[累计净值]]/MAX(INDIRECT("B21:B" &amp; ROW()))-1&lt;E337,表2_36716262930381020[[#This Row],[累计净值]]/MAX(INDIRECT("B21:B" &amp; ROW()))-1,E337)</f>
        <v>-7.1594921493501551E-2</v>
      </c>
      <c r="F338" s="169">
        <f>表2_36716262930381020[[#This Row],[累计净值]]</f>
        <v>1.3409</v>
      </c>
      <c r="G338" s="170">
        <f>表2_36716262930381020[[#This Row],[累计净值]]/$B$21-1</f>
        <v>0.3528046811945118</v>
      </c>
      <c r="H338" s="170">
        <f>表2_36716262930381020[[#This Row],[累计净值]]/$B$156-1</f>
        <v>4.5047151430130272E-2</v>
      </c>
    </row>
    <row r="339" spans="1:8">
      <c r="A339" s="161">
        <v>44256</v>
      </c>
      <c r="B339" s="162">
        <v>1.3402000000000001</v>
      </c>
      <c r="C339" s="171">
        <f>IFERROR(B339-B338,0)</f>
        <v>-6.9999999999992291E-4</v>
      </c>
      <c r="D339" s="168">
        <f>IF(C339&lt;0,C339,"/")</f>
        <v>-6.9999999999992291E-4</v>
      </c>
      <c r="E339" s="168">
        <f ca="1">IF(表2_36716262930381020[[#This Row],[累计净值]]/MAX(INDIRECT("B21:B" &amp; ROW()))-1&lt;E338,表2_36716262930381020[[#This Row],[累计净值]]/MAX(INDIRECT("B21:B" &amp; ROW()))-1,E338)</f>
        <v>-7.1594921493501551E-2</v>
      </c>
      <c r="F339" s="169">
        <f>表2_36716262930381020[[#This Row],[累计净值]]</f>
        <v>1.3402000000000001</v>
      </c>
      <c r="G339" s="170">
        <f>表2_36716262930381020[[#This Row],[累计净值]]/$B$21-1</f>
        <v>0.35209846650524623</v>
      </c>
      <c r="H339" s="170">
        <f>表2_36716262930381020[[#This Row],[累计净值]]/$B$156-1</f>
        <v>4.4501597693087147E-2</v>
      </c>
    </row>
    <row r="340" spans="1:8">
      <c r="A340" s="161">
        <v>44257</v>
      </c>
      <c r="B340" s="162">
        <v>1.3337000000000001</v>
      </c>
      <c r="C340" s="171">
        <f>IFERROR(B340-B339,0)</f>
        <v>-6.4999999999999503E-3</v>
      </c>
      <c r="D340" s="168">
        <f>IF(C340&lt;0,C340,"/")</f>
        <v>-6.4999999999999503E-3</v>
      </c>
      <c r="E340" s="168">
        <f ca="1">IF(表2_36716262930381020[[#This Row],[累计净值]]/MAX(INDIRECT("B21:B" &amp; ROW()))-1&lt;E339,表2_36716262930381020[[#This Row],[累计净值]]/MAX(INDIRECT("B21:B" &amp; ROW()))-1,E339)</f>
        <v>-7.1594921493501551E-2</v>
      </c>
      <c r="F340" s="169">
        <f>表2_36716262930381020[[#This Row],[累计净值]]</f>
        <v>1.3337000000000001</v>
      </c>
      <c r="G340" s="170">
        <f>表2_36716262930381020[[#This Row],[累计净值]]/$B$21-1</f>
        <v>0.34554075867635214</v>
      </c>
      <c r="H340" s="170">
        <f>表2_36716262930381020[[#This Row],[累计净值]]/$B$156-1</f>
        <v>3.9435741563401239E-2</v>
      </c>
    </row>
    <row r="341" spans="1:8">
      <c r="A341" s="161">
        <v>44258</v>
      </c>
      <c r="B341" s="162">
        <v>1.3452</v>
      </c>
      <c r="C341" s="171">
        <f>IFERROR(B341-B340,0)</f>
        <v>1.1499999999999844E-2</v>
      </c>
      <c r="D341" s="168" t="str">
        <f>IF(C341&lt;0,C341,"/")</f>
        <v>/</v>
      </c>
      <c r="E341" s="168">
        <f ca="1">IF(表2_36716262930381020[[#This Row],[累计净值]]/MAX(INDIRECT("B21:B" &amp; ROW()))-1&lt;E340,表2_36716262930381020[[#This Row],[累计净值]]/MAX(INDIRECT("B21:B" &amp; ROW()))-1,E340)</f>
        <v>-7.1594921493501551E-2</v>
      </c>
      <c r="F341" s="169">
        <f>表2_36716262930381020[[#This Row],[累计净值]]</f>
        <v>1.3452</v>
      </c>
      <c r="G341" s="170">
        <f>表2_36716262930381020[[#This Row],[累计净值]]/$B$21-1</f>
        <v>0.35714285714285721</v>
      </c>
      <c r="H341" s="170">
        <f>表2_36716262930381020[[#This Row],[累计净值]]/$B$156-1</f>
        <v>4.8398410100537692E-2</v>
      </c>
    </row>
    <row r="342" spans="1:8">
      <c r="A342" s="161">
        <v>44259</v>
      </c>
      <c r="B342" s="162">
        <v>1.3380000000000001</v>
      </c>
      <c r="C342" s="171">
        <f>IFERROR(B342-B341,0)</f>
        <v>-7.1999999999998732E-3</v>
      </c>
      <c r="D342" s="168">
        <f>IF(C342&lt;0,C342,"/")</f>
        <v>-7.1999999999998732E-3</v>
      </c>
      <c r="E342" s="168">
        <f ca="1">IF(表2_36716262930381020[[#This Row],[累计净值]]/MAX(INDIRECT("B21:B" &amp; ROW()))-1&lt;E341,表2_36716262930381020[[#This Row],[累计净值]]/MAX(INDIRECT("B21:B" &amp; ROW()))-1,E341)</f>
        <v>-7.1594921493501551E-2</v>
      </c>
      <c r="F342" s="169">
        <f>表2_36716262930381020[[#This Row],[累计净值]]</f>
        <v>1.3380000000000001</v>
      </c>
      <c r="G342" s="170">
        <f>表2_36716262930381020[[#This Row],[累计净值]]/$B$21-1</f>
        <v>0.34987893462469755</v>
      </c>
      <c r="H342" s="170">
        <f>表2_36716262930381020[[#This Row],[累计净值]]/$B$156-1</f>
        <v>4.2787000233808881E-2</v>
      </c>
    </row>
    <row r="343" spans="1:8">
      <c r="A343" s="161">
        <v>44260</v>
      </c>
      <c r="B343" s="162">
        <v>1.3345</v>
      </c>
      <c r="C343" s="171">
        <f t="shared" ref="C343:C348" si="66">IFERROR(B343-B342,0)</f>
        <v>-3.5000000000000586E-3</v>
      </c>
      <c r="D343" s="168">
        <f t="shared" ref="D343:D348" si="67">IF(C343&lt;0,C343,"/")</f>
        <v>-3.5000000000000586E-3</v>
      </c>
      <c r="E343" s="168">
        <f ca="1">IF(表2_36716262930381020[[#This Row],[累计净值]]/MAX(INDIRECT("B21:B" &amp; ROW()))-1&lt;E342,表2_36716262930381020[[#This Row],[累计净值]]/MAX(INDIRECT("B21:B" &amp; ROW()))-1,E342)</f>
        <v>-7.1594921493501551E-2</v>
      </c>
      <c r="F343" s="169">
        <f>表2_36716262930381020[[#This Row],[累计净值]]</f>
        <v>1.3345</v>
      </c>
      <c r="G343" s="170">
        <f>表2_36716262930381020[[#This Row],[累计净值]]/$B$21-1</f>
        <v>0.34634786117836969</v>
      </c>
      <c r="H343" s="170">
        <f>表2_36716262930381020[[#This Row],[累计净值]]/$B$156-1</f>
        <v>4.0059231548593255E-2</v>
      </c>
    </row>
    <row r="344" spans="1:8">
      <c r="A344" s="161">
        <v>44263</v>
      </c>
      <c r="B344" s="162">
        <v>1.3412999999999999</v>
      </c>
      <c r="C344" s="171">
        <f t="shared" si="66"/>
        <v>6.7999999999999172E-3</v>
      </c>
      <c r="D344" s="168" t="str">
        <f t="shared" si="67"/>
        <v>/</v>
      </c>
      <c r="E344" s="168">
        <f ca="1">IF(表2_36716262930381020[[#This Row],[累计净值]]/MAX(INDIRECT("B21:B" &amp; ROW()))-1&lt;E343,表2_36716262930381020[[#This Row],[累计净值]]/MAX(INDIRECT("B21:B" &amp; ROW()))-1,E343)</f>
        <v>-7.1594921493501551E-2</v>
      </c>
      <c r="F344" s="169">
        <f>表2_36716262930381020[[#This Row],[累计净值]]</f>
        <v>1.3412999999999999</v>
      </c>
      <c r="G344" s="170">
        <f>表2_36716262930381020[[#This Row],[累计净值]]/$B$21-1</f>
        <v>0.35320823244552058</v>
      </c>
      <c r="H344" s="170">
        <f>表2_36716262930381020[[#This Row],[累计净值]]/$B$156-1</f>
        <v>4.535889642272628E-2</v>
      </c>
    </row>
    <row r="345" spans="1:8">
      <c r="A345" s="161">
        <v>44264</v>
      </c>
      <c r="B345" s="162">
        <v>1.3232999999999999</v>
      </c>
      <c r="C345" s="171">
        <f t="shared" si="66"/>
        <v>-1.8000000000000016E-2</v>
      </c>
      <c r="D345" s="168">
        <f t="shared" si="67"/>
        <v>-1.8000000000000016E-2</v>
      </c>
      <c r="E345" s="168">
        <f ca="1">IF(表2_36716262930381020[[#This Row],[累计净值]]/MAX(INDIRECT("B21:B" &amp; ROW()))-1&lt;E344,表2_36716262930381020[[#This Row],[累计净值]]/MAX(INDIRECT("B21:B" &amp; ROW()))-1,E344)</f>
        <v>-7.1594921493501551E-2</v>
      </c>
      <c r="F345" s="169">
        <f>表2_36716262930381020[[#This Row],[累计净值]]</f>
        <v>1.3232999999999999</v>
      </c>
      <c r="G345" s="170">
        <f>表2_36716262930381020[[#This Row],[累计净值]]/$B$21-1</f>
        <v>0.33504842615012098</v>
      </c>
      <c r="H345" s="170">
        <f>表2_36716262930381020[[#This Row],[累计净值]]/$B$156-1</f>
        <v>3.1330371755903696E-2</v>
      </c>
    </row>
    <row r="346" spans="1:8">
      <c r="A346" s="161">
        <v>44265</v>
      </c>
      <c r="B346" s="162">
        <v>1.3183</v>
      </c>
      <c r="C346" s="171">
        <f t="shared" si="66"/>
        <v>-4.9999999999998934E-3</v>
      </c>
      <c r="D346" s="168">
        <f t="shared" si="67"/>
        <v>-4.9999999999998934E-3</v>
      </c>
      <c r="E346" s="168">
        <f ca="1">IF(表2_36716262930381020[[#This Row],[累计净值]]/MAX(INDIRECT("B21:B" &amp; ROW()))-1&lt;E345,表2_36716262930381020[[#This Row],[累计净值]]/MAX(INDIRECT("B21:B" &amp; ROW()))-1,E345)</f>
        <v>-7.1594921493501551E-2</v>
      </c>
      <c r="F346" s="169">
        <f>表2_36716262930381020[[#This Row],[累计净值]]</f>
        <v>1.3183</v>
      </c>
      <c r="G346" s="170">
        <f>表2_36716262930381020[[#This Row],[累计净值]]/$B$21-1</f>
        <v>0.33000403551251023</v>
      </c>
      <c r="H346" s="170">
        <f>表2_36716262930381020[[#This Row],[累计净值]]/$B$156-1</f>
        <v>2.7433559348453151E-2</v>
      </c>
    </row>
    <row r="347" spans="1:8">
      <c r="A347" s="161">
        <v>44266</v>
      </c>
      <c r="B347" s="162">
        <v>1.3303</v>
      </c>
      <c r="C347" s="171">
        <f t="shared" si="66"/>
        <v>1.2000000000000011E-2</v>
      </c>
      <c r="D347" s="168" t="str">
        <f t="shared" si="67"/>
        <v>/</v>
      </c>
      <c r="E347" s="168">
        <f ca="1">IF(表2_36716262930381020[[#This Row],[累计净值]]/MAX(INDIRECT("B21:B" &amp; ROW()))-1&lt;E346,表2_36716262930381020[[#This Row],[累计净值]]/MAX(INDIRECT("B21:B" &amp; ROW()))-1,E346)</f>
        <v>-7.1594921493501551E-2</v>
      </c>
      <c r="F347" s="169">
        <f>表2_36716262930381020[[#This Row],[累计净值]]</f>
        <v>1.3303</v>
      </c>
      <c r="G347" s="170">
        <f>表2_36716262930381020[[#This Row],[累计净值]]/$B$21-1</f>
        <v>0.34211057304277648</v>
      </c>
      <c r="H347" s="170">
        <f>表2_36716262930381020[[#This Row],[累计净值]]/$B$156-1</f>
        <v>3.6785909126334726E-2</v>
      </c>
    </row>
    <row r="348" spans="1:8">
      <c r="A348" s="161">
        <v>44267</v>
      </c>
      <c r="B348" s="162">
        <v>1.3404</v>
      </c>
      <c r="C348" s="171">
        <f t="shared" si="66"/>
        <v>1.0099999999999998E-2</v>
      </c>
      <c r="D348" s="168" t="str">
        <f t="shared" si="67"/>
        <v>/</v>
      </c>
      <c r="E348" s="168">
        <f ca="1">IF(表2_36716262930381020[[#This Row],[累计净值]]/MAX(INDIRECT("B21:B" &amp; ROW()))-1&lt;E347,表2_36716262930381020[[#This Row],[累计净值]]/MAX(INDIRECT("B21:B" &amp; ROW()))-1,E347)</f>
        <v>-7.1594921493501551E-2</v>
      </c>
      <c r="F348" s="169">
        <f>表2_36716262930381020[[#This Row],[累计净值]]</f>
        <v>1.3404</v>
      </c>
      <c r="G348" s="170">
        <f>表2_36716262930381020[[#This Row],[累计净值]]/$B$21-1</f>
        <v>0.35230024213075062</v>
      </c>
      <c r="H348" s="170">
        <f>表2_36716262930381020[[#This Row],[累计净值]]/$B$156-1</f>
        <v>4.4657470189385151E-2</v>
      </c>
    </row>
    <row r="349" spans="1:8">
      <c r="A349" s="161">
        <v>44270</v>
      </c>
      <c r="B349" s="162">
        <v>1.3250999999999999</v>
      </c>
      <c r="C349" s="171">
        <f t="shared" ref="C349:C354" si="68">IFERROR(B349-B348,0)</f>
        <v>-1.5300000000000091E-2</v>
      </c>
      <c r="D349" s="168">
        <f t="shared" ref="D349:D354" si="69">IF(C349&lt;0,C349,"/")</f>
        <v>-1.5300000000000091E-2</v>
      </c>
      <c r="E349" s="168">
        <f ca="1">IF(表2_36716262930381020[[#This Row],[累计净值]]/MAX(INDIRECT("B21:B" &amp; ROW()))-1&lt;E348,表2_36716262930381020[[#This Row],[累计净值]]/MAX(INDIRECT("B21:B" &amp; ROW()))-1,E348)</f>
        <v>-7.1594921493501551E-2</v>
      </c>
      <c r="F349" s="169">
        <f>表2_36716262930381020[[#This Row],[累计净值]]</f>
        <v>1.3250999999999999</v>
      </c>
      <c r="G349" s="170">
        <f>表2_36716262930381020[[#This Row],[累计净值]]/$B$21-1</f>
        <v>0.3368644067796609</v>
      </c>
      <c r="H349" s="170">
        <f>表2_36716262930381020[[#This Row],[累计净值]]/$B$156-1</f>
        <v>3.2733224222585955E-2</v>
      </c>
    </row>
    <row r="350" spans="1:8">
      <c r="A350" s="161">
        <v>44271</v>
      </c>
      <c r="B350" s="162">
        <v>1.3411</v>
      </c>
      <c r="C350" s="171">
        <f t="shared" si="68"/>
        <v>1.6000000000000014E-2</v>
      </c>
      <c r="D350" s="168" t="str">
        <f t="shared" si="69"/>
        <v>/</v>
      </c>
      <c r="E350" s="168">
        <f ca="1">IF(表2_36716262930381020[[#This Row],[累计净值]]/MAX(INDIRECT("B21:B" &amp; ROW()))-1&lt;E349,表2_36716262930381020[[#This Row],[累计净值]]/MAX(INDIRECT("B21:B" &amp; ROW()))-1,E349)</f>
        <v>-7.1594921493501551E-2</v>
      </c>
      <c r="F350" s="169">
        <f>表2_36716262930381020[[#This Row],[累计净值]]</f>
        <v>1.3411</v>
      </c>
      <c r="G350" s="170">
        <f>表2_36716262930381020[[#This Row],[累计净值]]/$B$21-1</f>
        <v>0.35300645682001619</v>
      </c>
      <c r="H350" s="170">
        <f>表2_36716262930381020[[#This Row],[累计净值]]/$B$156-1</f>
        <v>4.5203023926428276E-2</v>
      </c>
    </row>
    <row r="351" spans="1:8">
      <c r="A351" s="161">
        <v>44272</v>
      </c>
      <c r="B351" s="162">
        <v>1.3284</v>
      </c>
      <c r="C351" s="171">
        <f t="shared" si="68"/>
        <v>-1.2699999999999934E-2</v>
      </c>
      <c r="D351" s="168">
        <f t="shared" si="69"/>
        <v>-1.2699999999999934E-2</v>
      </c>
      <c r="E351" s="168">
        <f ca="1">IF(表2_36716262930381020[[#This Row],[累计净值]]/MAX(INDIRECT("B21:B" &amp; ROW()))-1&lt;E350,表2_36716262930381020[[#This Row],[累计净值]]/MAX(INDIRECT("B21:B" &amp; ROW()))-1,E350)</f>
        <v>-7.1594921493501551E-2</v>
      </c>
      <c r="F351" s="169">
        <f>表2_36716262930381020[[#This Row],[累计净值]]</f>
        <v>1.3284</v>
      </c>
      <c r="G351" s="170">
        <f>表2_36716262930381020[[#This Row],[累计净值]]/$B$21-1</f>
        <v>0.34019370460048437</v>
      </c>
      <c r="H351" s="170">
        <f>表2_36716262930381020[[#This Row],[累计净值]]/$B$156-1</f>
        <v>3.5305120411503577E-2</v>
      </c>
    </row>
    <row r="352" spans="1:8">
      <c r="A352" s="161">
        <v>44273</v>
      </c>
      <c r="B352" s="162">
        <v>1.3411</v>
      </c>
      <c r="C352" s="171">
        <f t="shared" si="68"/>
        <v>1.2699999999999934E-2</v>
      </c>
      <c r="D352" s="168" t="str">
        <f t="shared" si="69"/>
        <v>/</v>
      </c>
      <c r="E352" s="168">
        <f ca="1">IF(表2_36716262930381020[[#This Row],[累计净值]]/MAX(INDIRECT("B21:B" &amp; ROW()))-1&lt;E351,表2_36716262930381020[[#This Row],[累计净值]]/MAX(INDIRECT("B21:B" &amp; ROW()))-1,E351)</f>
        <v>-7.1594921493501551E-2</v>
      </c>
      <c r="F352" s="169">
        <f>表2_36716262930381020[[#This Row],[累计净值]]</f>
        <v>1.3411</v>
      </c>
      <c r="G352" s="170">
        <f>表2_36716262930381020[[#This Row],[累计净值]]/$B$21-1</f>
        <v>0.35300645682001619</v>
      </c>
      <c r="H352" s="170">
        <f>表2_36716262930381020[[#This Row],[累计净值]]/$B$156-1</f>
        <v>4.5203023926428276E-2</v>
      </c>
    </row>
    <row r="353" spans="1:8">
      <c r="A353" s="161">
        <v>44274</v>
      </c>
      <c r="B353" s="162">
        <v>1.33</v>
      </c>
      <c r="C353" s="171">
        <f t="shared" si="68"/>
        <v>-1.1099999999999888E-2</v>
      </c>
      <c r="D353" s="168">
        <f t="shared" si="69"/>
        <v>-1.1099999999999888E-2</v>
      </c>
      <c r="E353" s="168">
        <f ca="1">IF(表2_36716262930381020[[#This Row],[累计净值]]/MAX(INDIRECT("B21:B" &amp; ROW()))-1&lt;E352,表2_36716262930381020[[#This Row],[累计净值]]/MAX(INDIRECT("B21:B" &amp; ROW()))-1,E352)</f>
        <v>-7.1594921493501551E-2</v>
      </c>
      <c r="F353" s="169">
        <f>表2_36716262930381020[[#This Row],[累计净值]]</f>
        <v>1.33</v>
      </c>
      <c r="G353" s="170">
        <f>表2_36716262930381020[[#This Row],[累计净值]]/$B$21-1</f>
        <v>0.3418079096045199</v>
      </c>
      <c r="H353" s="170">
        <f>表2_36716262930381020[[#This Row],[累计净值]]/$B$156-1</f>
        <v>3.6552100381887831E-2</v>
      </c>
    </row>
    <row r="354" spans="1:8">
      <c r="A354" s="161">
        <v>44277</v>
      </c>
      <c r="B354" s="162">
        <v>1.3199000000000001</v>
      </c>
      <c r="C354" s="171">
        <f t="shared" si="68"/>
        <v>-1.0099999999999998E-2</v>
      </c>
      <c r="D354" s="168">
        <f t="shared" si="69"/>
        <v>-1.0099999999999998E-2</v>
      </c>
      <c r="E354" s="168">
        <f ca="1">IF(表2_36716262930381020[[#This Row],[累计净值]]/MAX(INDIRECT("B21:B" &amp; ROW()))-1&lt;E353,表2_36716262930381020[[#This Row],[累计净值]]/MAX(INDIRECT("B21:B" &amp; ROW()))-1,E353)</f>
        <v>-7.1594921493501551E-2</v>
      </c>
      <c r="F354" s="169">
        <f>表2_36716262930381020[[#This Row],[累计净值]]</f>
        <v>1.3199000000000001</v>
      </c>
      <c r="G354" s="170">
        <f>表2_36716262930381020[[#This Row],[累计净值]]/$B$21-1</f>
        <v>0.33161824051654576</v>
      </c>
      <c r="H354" s="170">
        <f>表2_36716262930381020[[#This Row],[累计净值]]/$B$156-1</f>
        <v>2.8680539318837406E-2</v>
      </c>
    </row>
    <row r="355" spans="1:8">
      <c r="A355" s="161">
        <v>44278</v>
      </c>
      <c r="B355" s="162">
        <v>1.3280000000000001</v>
      </c>
      <c r="C355" s="171">
        <f t="shared" ref="C355:C358" si="70">IFERROR(B355-B354,0)</f>
        <v>8.0999999999999961E-3</v>
      </c>
      <c r="D355" s="168" t="str">
        <f t="shared" ref="D355:D358" si="71">IF(C355&lt;0,C355,"/")</f>
        <v>/</v>
      </c>
      <c r="E355" s="168">
        <f ca="1">IF(表2_36716262930381020[[#This Row],[累计净值]]/MAX(INDIRECT("B21:B" &amp; ROW()))-1&lt;E354,表2_36716262930381020[[#This Row],[累计净值]]/MAX(INDIRECT("B21:B" &amp; ROW()))-1,E354)</f>
        <v>-7.1594921493501551E-2</v>
      </c>
      <c r="F355" s="169">
        <f>表2_36716262930381020[[#This Row],[累计净值]]</f>
        <v>1.3280000000000001</v>
      </c>
      <c r="G355" s="170">
        <f>表2_36716262930381020[[#This Row],[累计净值]]/$B$21-1</f>
        <v>0.3397901533494756</v>
      </c>
      <c r="H355" s="170">
        <f>表2_36716262930381020[[#This Row],[累计净值]]/$B$156-1</f>
        <v>3.4993375418907569E-2</v>
      </c>
    </row>
    <row r="356" spans="1:8">
      <c r="A356" s="161">
        <v>44279</v>
      </c>
      <c r="B356" s="162">
        <v>1.3284</v>
      </c>
      <c r="C356" s="171">
        <f t="shared" si="70"/>
        <v>3.9999999999995595E-4</v>
      </c>
      <c r="D356" s="168" t="str">
        <f t="shared" si="71"/>
        <v>/</v>
      </c>
      <c r="E356" s="168">
        <f ca="1">IF(表2_36716262930381020[[#This Row],[累计净值]]/MAX(INDIRECT("B21:B" &amp; ROW()))-1&lt;E355,表2_36716262930381020[[#This Row],[累计净值]]/MAX(INDIRECT("B21:B" &amp; ROW()))-1,E355)</f>
        <v>-7.1594921493501551E-2</v>
      </c>
      <c r="F356" s="169">
        <f>表2_36716262930381020[[#This Row],[累计净值]]</f>
        <v>1.3284</v>
      </c>
      <c r="G356" s="170">
        <f>表2_36716262930381020[[#This Row],[累计净值]]/$B$21-1</f>
        <v>0.34019370460048437</v>
      </c>
      <c r="H356" s="170">
        <f>表2_36716262930381020[[#This Row],[累计净值]]/$B$156-1</f>
        <v>3.5305120411503577E-2</v>
      </c>
    </row>
    <row r="357" spans="1:8">
      <c r="A357" s="161">
        <v>44280</v>
      </c>
      <c r="B357" s="162">
        <v>1.3318000000000001</v>
      </c>
      <c r="C357" s="171">
        <f t="shared" si="70"/>
        <v>3.4000000000000696E-3</v>
      </c>
      <c r="D357" s="168" t="str">
        <f t="shared" si="71"/>
        <v>/</v>
      </c>
      <c r="E357" s="168">
        <f ca="1">IF(表2_36716262930381020[[#This Row],[累计净值]]/MAX(INDIRECT("B21:B" &amp; ROW()))-1&lt;E356,表2_36716262930381020[[#This Row],[累计净值]]/MAX(INDIRECT("B21:B" &amp; ROW()))-1,E356)</f>
        <v>-7.1594921493501551E-2</v>
      </c>
      <c r="F357" s="169">
        <f>表2_36716262930381020[[#This Row],[累计净值]]</f>
        <v>1.3318000000000001</v>
      </c>
      <c r="G357" s="170">
        <f>表2_36716262930381020[[#This Row],[累计净值]]/$B$21-1</f>
        <v>0.34362389023405981</v>
      </c>
      <c r="H357" s="170">
        <f>表2_36716262930381020[[#This Row],[累计净值]]/$B$156-1</f>
        <v>3.7954952848570089E-2</v>
      </c>
    </row>
    <row r="358" spans="1:8">
      <c r="A358" s="161">
        <v>44281</v>
      </c>
      <c r="B358" s="162">
        <v>1.3363</v>
      </c>
      <c r="C358" s="171">
        <f t="shared" si="70"/>
        <v>4.4999999999999485E-3</v>
      </c>
      <c r="D358" s="168" t="str">
        <f t="shared" si="71"/>
        <v>/</v>
      </c>
      <c r="E358" s="168">
        <f ca="1">IF(表2_36716262930381020[[#This Row],[累计净值]]/MAX(INDIRECT("B21:B" &amp; ROW()))-1&lt;E357,表2_36716262930381020[[#This Row],[累计净值]]/MAX(INDIRECT("B21:B" &amp; ROW()))-1,E357)</f>
        <v>-7.1594921493501551E-2</v>
      </c>
      <c r="F358" s="169">
        <f>表2_36716262930381020[[#This Row],[累计净值]]</f>
        <v>1.3363</v>
      </c>
      <c r="G358" s="170">
        <f>表2_36716262930381020[[#This Row],[累计净值]]/$B$21-1</f>
        <v>0.3481638418079096</v>
      </c>
      <c r="H358" s="170">
        <f>表2_36716262930381020[[#This Row],[累计净值]]/$B$156-1</f>
        <v>4.1462084015275513E-2</v>
      </c>
    </row>
    <row r="359" spans="1:8">
      <c r="A359" s="161">
        <v>44284</v>
      </c>
      <c r="B359" s="162">
        <v>1.3474999999999999</v>
      </c>
      <c r="C359" s="171">
        <f t="shared" ref="C359:C364" si="72">IFERROR(B359-B358,0)</f>
        <v>1.1199999999999877E-2</v>
      </c>
      <c r="D359" s="168" t="str">
        <f t="shared" ref="D359:D364" si="73">IF(C359&lt;0,C359,"/")</f>
        <v>/</v>
      </c>
      <c r="E359" s="168">
        <f ca="1">IF(表2_36716262930381020[[#This Row],[累计净值]]/MAX(INDIRECT("B21:B" &amp; ROW()))-1&lt;E358,表2_36716262930381020[[#This Row],[累计净值]]/MAX(INDIRECT("B21:B" &amp; ROW()))-1,E358)</f>
        <v>-7.1594921493501551E-2</v>
      </c>
      <c r="F359" s="169">
        <f>表2_36716262930381020[[#This Row],[累计净值]]</f>
        <v>1.3474999999999999</v>
      </c>
      <c r="G359" s="170">
        <f>表2_36716262930381020[[#This Row],[累计净值]]/$B$21-1</f>
        <v>0.35946327683615809</v>
      </c>
      <c r="H359" s="170">
        <f>表2_36716262930381020[[#This Row],[累计净值]]/$B$156-1</f>
        <v>5.0190943807965072E-2</v>
      </c>
    </row>
    <row r="360" spans="1:8">
      <c r="A360" s="161">
        <v>44285</v>
      </c>
      <c r="B360" s="162">
        <v>1.3501000000000001</v>
      </c>
      <c r="C360" s="171">
        <f t="shared" si="72"/>
        <v>2.6000000000001577E-3</v>
      </c>
      <c r="D360" s="168" t="str">
        <f t="shared" si="73"/>
        <v>/</v>
      </c>
      <c r="E360" s="168">
        <f ca="1">IF(表2_36716262930381020[[#This Row],[累计净值]]/MAX(INDIRECT("B21:B" &amp; ROW()))-1&lt;E359,表2_36716262930381020[[#This Row],[累计净值]]/MAX(INDIRECT("B21:B" &amp; ROW()))-1,E359)</f>
        <v>-7.1594921493501551E-2</v>
      </c>
      <c r="F360" s="169">
        <f>表2_36716262930381020[[#This Row],[累计净值]]</f>
        <v>1.3501000000000001</v>
      </c>
      <c r="G360" s="170">
        <f>表2_36716262930381020[[#This Row],[累计净值]]/$B$21-1</f>
        <v>0.36208635996771599</v>
      </c>
      <c r="H360" s="170">
        <f>表2_36716262930381020[[#This Row],[累计净值]]/$B$156-1</f>
        <v>5.2217286259839568E-2</v>
      </c>
    </row>
    <row r="361" spans="1:8">
      <c r="A361" s="161">
        <v>44286</v>
      </c>
      <c r="B361" s="162">
        <v>1.3409</v>
      </c>
      <c r="C361" s="171">
        <f t="shared" si="72"/>
        <v>-9.200000000000097E-3</v>
      </c>
      <c r="D361" s="168">
        <f t="shared" si="73"/>
        <v>-9.200000000000097E-3</v>
      </c>
      <c r="E361" s="168">
        <f ca="1">IF(表2_36716262930381020[[#This Row],[累计净值]]/MAX(INDIRECT("B21:B" &amp; ROW()))-1&lt;E360,表2_36716262930381020[[#This Row],[累计净值]]/MAX(INDIRECT("B21:B" &amp; ROW()))-1,E360)</f>
        <v>-7.1594921493501551E-2</v>
      </c>
      <c r="F361" s="169">
        <f>表2_36716262930381020[[#This Row],[累计净值]]</f>
        <v>1.3409</v>
      </c>
      <c r="G361" s="170">
        <f>表2_36716262930381020[[#This Row],[累计净值]]/$B$21-1</f>
        <v>0.3528046811945118</v>
      </c>
      <c r="H361" s="170">
        <f>表2_36716262930381020[[#This Row],[累计净值]]/$B$156-1</f>
        <v>4.5047151430130272E-2</v>
      </c>
    </row>
    <row r="362" spans="1:8">
      <c r="A362" s="161">
        <v>44287</v>
      </c>
      <c r="B362" s="162">
        <v>1.3496999999999999</v>
      </c>
      <c r="C362" s="171">
        <f t="shared" si="72"/>
        <v>8.799999999999919E-3</v>
      </c>
      <c r="D362" s="168" t="str">
        <f t="shared" si="73"/>
        <v>/</v>
      </c>
      <c r="E362" s="168">
        <f ca="1">IF(表2_36716262930381020[[#This Row],[累计净值]]/MAX(INDIRECT("B21:B" &amp; ROW()))-1&lt;E361,表2_36716262930381020[[#This Row],[累计净值]]/MAX(INDIRECT("B21:B" &amp; ROW()))-1,E361)</f>
        <v>-7.1594921493501551E-2</v>
      </c>
      <c r="F362" s="169">
        <f>表2_36716262930381020[[#This Row],[累计净值]]</f>
        <v>1.3496999999999999</v>
      </c>
      <c r="G362" s="170">
        <f>表2_36716262930381020[[#This Row],[累计净值]]/$B$21-1</f>
        <v>0.36168280871670699</v>
      </c>
      <c r="H362" s="170">
        <f>表2_36716262930381020[[#This Row],[累计净值]]/$B$156-1</f>
        <v>5.1905541267243338E-2</v>
      </c>
    </row>
    <row r="363" spans="1:8">
      <c r="A363" s="161">
        <v>44288</v>
      </c>
      <c r="B363" s="162">
        <v>1.3534999999999999</v>
      </c>
      <c r="C363" s="171">
        <f t="shared" si="72"/>
        <v>3.8000000000000256E-3</v>
      </c>
      <c r="D363" s="168" t="str">
        <f t="shared" si="73"/>
        <v>/</v>
      </c>
      <c r="E363" s="168">
        <f ca="1">IF(表2_36716262930381020[[#This Row],[累计净值]]/MAX(INDIRECT("B21:B" &amp; ROW()))-1&lt;E362,表2_36716262930381020[[#This Row],[累计净值]]/MAX(INDIRECT("B21:B" &amp; ROW()))-1,E362)</f>
        <v>-7.1594921493501551E-2</v>
      </c>
      <c r="F363" s="169">
        <f>表2_36716262930381020[[#This Row],[累计净值]]</f>
        <v>1.3534999999999999</v>
      </c>
      <c r="G363" s="170">
        <f>表2_36716262930381020[[#This Row],[累计净值]]/$B$21-1</f>
        <v>0.36551654560129143</v>
      </c>
      <c r="H363" s="170">
        <f>表2_36716262930381020[[#This Row],[累计净值]]/$B$156-1</f>
        <v>5.4867118696905859E-2</v>
      </c>
    </row>
    <row r="364" spans="1:8">
      <c r="A364" s="161">
        <v>44292</v>
      </c>
      <c r="B364" s="162">
        <v>1.3584000000000001</v>
      </c>
      <c r="C364" s="171">
        <f t="shared" si="72"/>
        <v>4.9000000000001265E-3</v>
      </c>
      <c r="D364" s="168" t="str">
        <f t="shared" si="73"/>
        <v>/</v>
      </c>
      <c r="E364" s="168">
        <f ca="1">IF(表2_36716262930381020[[#This Row],[累计净值]]/MAX(INDIRECT("B21:B" &amp; ROW()))-1&lt;E363,表2_36716262930381020[[#This Row],[累计净值]]/MAX(INDIRECT("B21:B" &amp; ROW()))-1,E363)</f>
        <v>-7.1594921493501551E-2</v>
      </c>
      <c r="F364" s="169">
        <f>表2_36716262930381020[[#This Row],[累计净值]]</f>
        <v>1.3584000000000001</v>
      </c>
      <c r="G364" s="170">
        <f>表2_36716262930381020[[#This Row],[累计净值]]/$B$21-1</f>
        <v>0.37046004842615021</v>
      </c>
      <c r="H364" s="170">
        <f>表2_36716262930381020[[#This Row],[累计净值]]/$B$156-1</f>
        <v>5.8685994856207735E-2</v>
      </c>
    </row>
    <row r="365" spans="1:8">
      <c r="A365" s="161">
        <v>44293</v>
      </c>
      <c r="B365" s="162">
        <v>1.3485</v>
      </c>
      <c r="C365" s="171">
        <f t="shared" ref="C365:C370" si="74">IFERROR(B365-B364,0)</f>
        <v>-9.9000000000000199E-3</v>
      </c>
      <c r="D365" s="168">
        <f t="shared" ref="D365:D370" si="75">IF(C365&lt;0,C365,"/")</f>
        <v>-9.9000000000000199E-3</v>
      </c>
      <c r="E365" s="168">
        <f ca="1">IF(表2_36716262930381020[[#This Row],[累计净值]]/MAX(INDIRECT("B21:B" &amp; ROW()))-1&lt;E364,表2_36716262930381020[[#This Row],[累计净值]]/MAX(INDIRECT("B21:B" &amp; ROW()))-1,E364)</f>
        <v>-7.1594921493501551E-2</v>
      </c>
      <c r="F365" s="169">
        <f>表2_36716262930381020[[#This Row],[累计净值]]</f>
        <v>1.3485</v>
      </c>
      <c r="G365" s="170">
        <f>表2_36716262930381020[[#This Row],[累计净值]]/$B$21-1</f>
        <v>0.36047215496368046</v>
      </c>
      <c r="H365" s="170">
        <f>表2_36716262930381020[[#This Row],[累计净值]]/$B$156-1</f>
        <v>5.0970306289455314E-2</v>
      </c>
    </row>
    <row r="366" spans="1:8">
      <c r="A366" s="161">
        <v>44294</v>
      </c>
      <c r="B366" s="162">
        <v>1.3482000000000001</v>
      </c>
      <c r="C366" s="171">
        <f t="shared" si="74"/>
        <v>-2.9999999999996696E-4</v>
      </c>
      <c r="D366" s="168">
        <f t="shared" si="75"/>
        <v>-2.9999999999996696E-4</v>
      </c>
      <c r="E366" s="168">
        <f ca="1">IF(表2_36716262930381020[[#This Row],[累计净值]]/MAX(INDIRECT("B21:B" &amp; ROW()))-1&lt;E365,表2_36716262930381020[[#This Row],[累计净值]]/MAX(INDIRECT("B21:B" &amp; ROW()))-1,E365)</f>
        <v>-7.1594921493501551E-2</v>
      </c>
      <c r="F366" s="169">
        <f>表2_36716262930381020[[#This Row],[累计净值]]</f>
        <v>1.3482000000000001</v>
      </c>
      <c r="G366" s="170">
        <f>表2_36716262930381020[[#This Row],[累计净值]]/$B$21-1</f>
        <v>0.36016949152542388</v>
      </c>
      <c r="H366" s="170">
        <f>表2_36716262930381020[[#This Row],[累计净值]]/$B$156-1</f>
        <v>5.0736497545008419E-2</v>
      </c>
    </row>
    <row r="367" spans="1:8">
      <c r="A367" s="161">
        <v>44295</v>
      </c>
      <c r="B367" s="162">
        <v>1.3486</v>
      </c>
      <c r="C367" s="171">
        <f t="shared" si="74"/>
        <v>3.9999999999995595E-4</v>
      </c>
      <c r="D367" s="168" t="str">
        <f t="shared" si="75"/>
        <v>/</v>
      </c>
      <c r="E367" s="168">
        <f ca="1">IF(表2_36716262930381020[[#This Row],[累计净值]]/MAX(INDIRECT("B21:B" &amp; ROW()))-1&lt;E366,表2_36716262930381020[[#This Row],[累计净值]]/MAX(INDIRECT("B21:B" &amp; ROW()))-1,E366)</f>
        <v>-7.1594921493501551E-2</v>
      </c>
      <c r="F367" s="169">
        <f>表2_36716262930381020[[#This Row],[累计净值]]</f>
        <v>1.3486</v>
      </c>
      <c r="G367" s="170">
        <f>表2_36716262930381020[[#This Row],[累计净值]]/$B$21-1</f>
        <v>0.36057304277643265</v>
      </c>
      <c r="H367" s="170">
        <f>表2_36716262930381020[[#This Row],[累计净值]]/$B$156-1</f>
        <v>5.1048242537604427E-2</v>
      </c>
    </row>
    <row r="368" spans="1:8">
      <c r="A368" s="161">
        <v>44298</v>
      </c>
      <c r="B368" s="162">
        <v>1.3319000000000001</v>
      </c>
      <c r="C368" s="171">
        <f t="shared" si="74"/>
        <v>-1.6699999999999937E-2</v>
      </c>
      <c r="D368" s="168">
        <f t="shared" si="75"/>
        <v>-1.6699999999999937E-2</v>
      </c>
      <c r="E368" s="168">
        <f ca="1">IF(表2_36716262930381020[[#This Row],[累计净值]]/MAX(INDIRECT("B21:B" &amp; ROW()))-1&lt;E367,表2_36716262930381020[[#This Row],[累计净值]]/MAX(INDIRECT("B21:B" &amp; ROW()))-1,E367)</f>
        <v>-7.1594921493501551E-2</v>
      </c>
      <c r="F368" s="169">
        <f>表2_36716262930381020[[#This Row],[累计净值]]</f>
        <v>1.3319000000000001</v>
      </c>
      <c r="G368" s="170">
        <f>表2_36716262930381020[[#This Row],[累计净值]]/$B$21-1</f>
        <v>0.34372477804681201</v>
      </c>
      <c r="H368" s="170">
        <f>表2_36716262930381020[[#This Row],[累计净值]]/$B$156-1</f>
        <v>3.803288909671898E-2</v>
      </c>
    </row>
    <row r="369" spans="1:8">
      <c r="A369" s="161">
        <v>44299</v>
      </c>
      <c r="B369" s="162">
        <v>1.3403</v>
      </c>
      <c r="C369" s="171">
        <f t="shared" si="74"/>
        <v>8.3999999999999631E-3</v>
      </c>
      <c r="D369" s="168" t="str">
        <f t="shared" si="75"/>
        <v>/</v>
      </c>
      <c r="E369" s="168">
        <f ca="1">IF(表2_36716262930381020[[#This Row],[累计净值]]/MAX(INDIRECT("B21:B" &amp; ROW()))-1&lt;E368,表2_36716262930381020[[#This Row],[累计净值]]/MAX(INDIRECT("B21:B" &amp; ROW()))-1,E368)</f>
        <v>-7.1594921493501551E-2</v>
      </c>
      <c r="F369" s="169">
        <f>表2_36716262930381020[[#This Row],[累计净值]]</f>
        <v>1.3403</v>
      </c>
      <c r="G369" s="170">
        <f>表2_36716262930381020[[#This Row],[累计净值]]/$B$21-1</f>
        <v>0.35219935431799843</v>
      </c>
      <c r="H369" s="170">
        <f>表2_36716262930381020[[#This Row],[累计净值]]/$B$156-1</f>
        <v>4.457953394123626E-2</v>
      </c>
    </row>
    <row r="370" spans="1:8">
      <c r="A370" s="161">
        <v>44300</v>
      </c>
      <c r="B370" s="162">
        <v>1.3513999999999999</v>
      </c>
      <c r="C370" s="171">
        <f t="shared" si="74"/>
        <v>1.1099999999999888E-2</v>
      </c>
      <c r="D370" s="168" t="str">
        <f t="shared" si="75"/>
        <v>/</v>
      </c>
      <c r="E370" s="168">
        <f ca="1">IF(表2_36716262930381020[[#This Row],[累计净值]]/MAX(INDIRECT("B21:B" &amp; ROW()))-1&lt;E369,表2_36716262930381020[[#This Row],[累计净值]]/MAX(INDIRECT("B21:B" &amp; ROW()))-1,E369)</f>
        <v>-7.1594921493501551E-2</v>
      </c>
      <c r="F370" s="169">
        <f>表2_36716262930381020[[#This Row],[累计净值]]</f>
        <v>1.3513999999999999</v>
      </c>
      <c r="G370" s="170">
        <f>表2_36716262930381020[[#This Row],[累计净值]]/$B$21-1</f>
        <v>0.36339790153349472</v>
      </c>
      <c r="H370" s="170">
        <f>表2_36716262930381020[[#This Row],[累计净值]]/$B$156-1</f>
        <v>5.3230457485776705E-2</v>
      </c>
    </row>
    <row r="371" spans="1:8">
      <c r="A371" s="161">
        <v>44301</v>
      </c>
      <c r="B371" s="162">
        <v>1.3465</v>
      </c>
      <c r="C371" s="171">
        <f t="shared" ref="C371:C376" si="76">IFERROR(B371-B370,0)</f>
        <v>-4.8999999999999044E-3</v>
      </c>
      <c r="D371" s="168">
        <f t="shared" ref="D371:D376" si="77">IF(C371&lt;0,C371,"/")</f>
        <v>-4.8999999999999044E-3</v>
      </c>
      <c r="E371" s="168">
        <f ca="1">IF(表2_36716262930381020[[#This Row],[累计净值]]/MAX(INDIRECT("B21:B" &amp; ROW()))-1&lt;E370,表2_36716262930381020[[#This Row],[累计净值]]/MAX(INDIRECT("B21:B" &amp; ROW()))-1,E370)</f>
        <v>-7.1594921493501551E-2</v>
      </c>
      <c r="F371" s="169">
        <f>表2_36716262930381020[[#This Row],[累计净值]]</f>
        <v>1.3465</v>
      </c>
      <c r="G371" s="170">
        <f>表2_36716262930381020[[#This Row],[累计净值]]/$B$21-1</f>
        <v>0.35845439870863616</v>
      </c>
      <c r="H371" s="170">
        <f>表2_36716262930381020[[#This Row],[累计净值]]/$B$156-1</f>
        <v>4.9411581326475051E-2</v>
      </c>
    </row>
    <row r="372" spans="1:8">
      <c r="A372" s="161">
        <v>44302</v>
      </c>
      <c r="B372" s="162">
        <v>1.3478000000000001</v>
      </c>
      <c r="C372" s="171">
        <f t="shared" si="76"/>
        <v>1.3000000000000789E-3</v>
      </c>
      <c r="D372" s="168" t="str">
        <f t="shared" si="77"/>
        <v>/</v>
      </c>
      <c r="E372" s="168">
        <f ca="1">IF(表2_36716262930381020[[#This Row],[累计净值]]/MAX(INDIRECT("B21:B" &amp; ROW()))-1&lt;E371,表2_36716262930381020[[#This Row],[累计净值]]/MAX(INDIRECT("B21:B" &amp; ROW()))-1,E371)</f>
        <v>-7.1594921493501551E-2</v>
      </c>
      <c r="F372" s="169">
        <f>表2_36716262930381020[[#This Row],[累计净值]]</f>
        <v>1.3478000000000001</v>
      </c>
      <c r="G372" s="170">
        <f>表2_36716262930381020[[#This Row],[累计净值]]/$B$21-1</f>
        <v>0.35976594027441511</v>
      </c>
      <c r="H372" s="170">
        <f>表2_36716262930381020[[#This Row],[累计净值]]/$B$156-1</f>
        <v>5.0424752552412189E-2</v>
      </c>
    </row>
    <row r="373" spans="1:8">
      <c r="A373" s="161">
        <v>44305</v>
      </c>
      <c r="B373" s="162">
        <v>1.3596999999999999</v>
      </c>
      <c r="C373" s="171">
        <f t="shared" si="76"/>
        <v>1.18999999999998E-2</v>
      </c>
      <c r="D373" s="168" t="str">
        <f t="shared" si="77"/>
        <v>/</v>
      </c>
      <c r="E373" s="168">
        <f ca="1">IF(表2_36716262930381020[[#This Row],[累计净值]]/MAX(INDIRECT("B21:B" &amp; ROW()))-1&lt;E372,表2_36716262930381020[[#This Row],[累计净值]]/MAX(INDIRECT("B21:B" &amp; ROW()))-1,E372)</f>
        <v>-7.1594921493501551E-2</v>
      </c>
      <c r="F373" s="169">
        <f>表2_36716262930381020[[#This Row],[累计净值]]</f>
        <v>1.3596999999999999</v>
      </c>
      <c r="G373" s="170">
        <f>表2_36716262930381020[[#This Row],[累计净值]]/$B$21-1</f>
        <v>0.37177158999192894</v>
      </c>
      <c r="H373" s="170">
        <f>表2_36716262930381020[[#This Row],[累计净值]]/$B$156-1</f>
        <v>5.9699166082144872E-2</v>
      </c>
    </row>
    <row r="374" spans="1:8">
      <c r="A374" s="161">
        <v>44306</v>
      </c>
      <c r="B374" s="162">
        <v>1.3580000000000001</v>
      </c>
      <c r="C374" s="171">
        <f t="shared" si="76"/>
        <v>-1.6999999999998128E-3</v>
      </c>
      <c r="D374" s="168">
        <f t="shared" si="77"/>
        <v>-1.6999999999998128E-3</v>
      </c>
      <c r="E374" s="168">
        <f ca="1">IF(表2_36716262930381020[[#This Row],[累计净值]]/MAX(INDIRECT("B21:B" &amp; ROW()))-1&lt;E373,表2_36716262930381020[[#This Row],[累计净值]]/MAX(INDIRECT("B21:B" &amp; ROW()))-1,E373)</f>
        <v>-7.1594921493501551E-2</v>
      </c>
      <c r="F374" s="169">
        <f>表2_36716262930381020[[#This Row],[累计净值]]</f>
        <v>1.3580000000000001</v>
      </c>
      <c r="G374" s="170">
        <f>表2_36716262930381020[[#This Row],[累计净值]]/$B$21-1</f>
        <v>0.37005649717514144</v>
      </c>
      <c r="H374" s="170">
        <f>表2_36716262930381020[[#This Row],[累计净值]]/$B$156-1</f>
        <v>5.8374249863611727E-2</v>
      </c>
    </row>
    <row r="375" spans="1:8">
      <c r="A375" s="161">
        <v>44307</v>
      </c>
      <c r="B375" s="162">
        <v>1.3667</v>
      </c>
      <c r="C375" s="171">
        <f t="shared" si="76"/>
        <v>8.69999999999993E-3</v>
      </c>
      <c r="D375" s="168" t="str">
        <f t="shared" si="77"/>
        <v>/</v>
      </c>
      <c r="E375" s="168">
        <f ca="1">IF(表2_36716262930381020[[#This Row],[累计净值]]/MAX(INDIRECT("B21:B" &amp; ROW()))-1&lt;E374,表2_36716262930381020[[#This Row],[累计净值]]/MAX(INDIRECT("B21:B" &amp; ROW()))-1,E374)</f>
        <v>-7.1594921493501551E-2</v>
      </c>
      <c r="F375" s="169">
        <f>表2_36716262930381020[[#This Row],[累计净值]]</f>
        <v>1.3667</v>
      </c>
      <c r="G375" s="170">
        <f>表2_36716262930381020[[#This Row],[累计净值]]/$B$21-1</f>
        <v>0.37883373688458444</v>
      </c>
      <c r="H375" s="170">
        <f>表2_36716262930381020[[#This Row],[累计净值]]/$B$156-1</f>
        <v>6.5154703452575902E-2</v>
      </c>
    </row>
    <row r="376" spans="1:8">
      <c r="A376" s="161">
        <v>44308</v>
      </c>
      <c r="B376" s="162">
        <v>1.3683000000000001</v>
      </c>
      <c r="C376" s="171">
        <f t="shared" si="76"/>
        <v>1.6000000000000458E-3</v>
      </c>
      <c r="D376" s="168" t="str">
        <f t="shared" si="77"/>
        <v>/</v>
      </c>
      <c r="E376" s="168">
        <f ca="1">IF(表2_36716262930381020[[#This Row],[累计净值]]/MAX(INDIRECT("B21:B" &amp; ROW()))-1&lt;E375,表2_36716262930381020[[#This Row],[累计净值]]/MAX(INDIRECT("B21:B" &amp; ROW()))-1,E375)</f>
        <v>-7.1594921493501551E-2</v>
      </c>
      <c r="F376" s="169">
        <f>表2_36716262930381020[[#This Row],[累计净值]]</f>
        <v>1.3683000000000001</v>
      </c>
      <c r="G376" s="170">
        <f>表2_36716262930381020[[#This Row],[累计净值]]/$B$21-1</f>
        <v>0.38044794188861997</v>
      </c>
      <c r="H376" s="170">
        <f>表2_36716262930381020[[#This Row],[累计净值]]/$B$156-1</f>
        <v>6.6401683422960156E-2</v>
      </c>
    </row>
    <row r="377" spans="1:8">
      <c r="A377" s="161">
        <v>44309</v>
      </c>
      <c r="B377" s="162">
        <v>1.3686</v>
      </c>
      <c r="C377" s="171">
        <f>IFERROR(B377-B376,0)</f>
        <v>2.9999999999996696E-4</v>
      </c>
      <c r="D377" s="168" t="str">
        <f>IF(C377&lt;0,C377,"/")</f>
        <v>/</v>
      </c>
      <c r="E377" s="168">
        <f ca="1">IF(表2_36716262930381020[[#This Row],[累计净值]]/MAX(INDIRECT("B21:B" &amp; ROW()))-1&lt;E376,表2_36716262930381020[[#This Row],[累计净值]]/MAX(INDIRECT("B21:B" &amp; ROW()))-1,E376)</f>
        <v>-7.1594921493501551E-2</v>
      </c>
      <c r="F377" s="169">
        <f>表2_36716262930381020[[#This Row],[累计净值]]</f>
        <v>1.3686</v>
      </c>
      <c r="G377" s="170">
        <f>表2_36716262930381020[[#This Row],[累计净值]]/$B$21-1</f>
        <v>0.38075060532687655</v>
      </c>
      <c r="H377" s="170">
        <f>表2_36716262930381020[[#This Row],[累计净值]]/$B$156-1</f>
        <v>6.6635492167407273E-2</v>
      </c>
    </row>
    <row r="378" spans="1:8">
      <c r="A378" s="161">
        <v>44312</v>
      </c>
      <c r="B378" s="162">
        <v>1.377</v>
      </c>
      <c r="C378" s="171">
        <f>IFERROR(B378-B377,0)</f>
        <v>8.3999999999999631E-3</v>
      </c>
      <c r="D378" s="168" t="str">
        <f>IF(C378&lt;0,C378,"/")</f>
        <v>/</v>
      </c>
      <c r="E378" s="168">
        <f ca="1">IF(表2_36716262930381020[[#This Row],[累计净值]]/MAX(INDIRECT("B21:B" &amp; ROW()))-1&lt;E377,表2_36716262930381020[[#This Row],[累计净值]]/MAX(INDIRECT("B21:B" &amp; ROW()))-1,E377)</f>
        <v>-7.1594921493501551E-2</v>
      </c>
      <c r="F378" s="169">
        <f>表2_36716262930381020[[#This Row],[累计净值]]</f>
        <v>1.377</v>
      </c>
      <c r="G378" s="170">
        <f>表2_36716262930381020[[#This Row],[累计净值]]/$B$21-1</f>
        <v>0.38922518159806296</v>
      </c>
      <c r="H378" s="170">
        <f>表2_36716262930381020[[#This Row],[累计净值]]/$B$156-1</f>
        <v>7.3182137011924331E-2</v>
      </c>
    </row>
    <row r="379" spans="1:8">
      <c r="A379" s="161">
        <v>44313</v>
      </c>
      <c r="B379" s="162">
        <v>1.383</v>
      </c>
      <c r="C379" s="171">
        <f>IFERROR(B379-B378,0)</f>
        <v>6.0000000000000053E-3</v>
      </c>
      <c r="D379" s="168" t="str">
        <f>IF(C379&lt;0,C379,"/")</f>
        <v>/</v>
      </c>
      <c r="E379" s="168">
        <f ca="1">IF(表2_36716262930381020[[#This Row],[累计净值]]/MAX(INDIRECT("B21:B" &amp; ROW()))-1&lt;E378,表2_36716262930381020[[#This Row],[累计净值]]/MAX(INDIRECT("B21:B" &amp; ROW()))-1,E378)</f>
        <v>-7.1594921493501551E-2</v>
      </c>
      <c r="F379" s="169">
        <f>表2_36716262930381020[[#This Row],[累计净值]]</f>
        <v>1.383</v>
      </c>
      <c r="G379" s="170">
        <f>表2_36716262930381020[[#This Row],[累计净值]]/$B$21-1</f>
        <v>0.39527845036319609</v>
      </c>
      <c r="H379" s="170">
        <f>表2_36716262930381020[[#This Row],[累计净值]]/$B$156-1</f>
        <v>7.7858311900865118E-2</v>
      </c>
    </row>
    <row r="380" spans="1:8">
      <c r="A380" s="161">
        <v>44314</v>
      </c>
      <c r="B380" s="162">
        <v>1.385</v>
      </c>
      <c r="C380" s="171">
        <f>IFERROR(B380-B379,0)</f>
        <v>2.0000000000000018E-3</v>
      </c>
      <c r="D380" s="168" t="str">
        <f>IF(C380&lt;0,C380,"/")</f>
        <v>/</v>
      </c>
      <c r="E380" s="168">
        <f ca="1">IF(表2_36716262930381020[[#This Row],[累计净值]]/MAX(INDIRECT("B21:B" &amp; ROW()))-1&lt;E379,表2_36716262930381020[[#This Row],[累计净值]]/MAX(INDIRECT("B21:B" &amp; ROW()))-1,E379)</f>
        <v>-7.1594921493501551E-2</v>
      </c>
      <c r="F380" s="169">
        <f>表2_36716262930381020[[#This Row],[累计净值]]</f>
        <v>1.385</v>
      </c>
      <c r="G380" s="170">
        <f>表2_36716262930381020[[#This Row],[累计净值]]/$B$21-1</f>
        <v>0.39729620661824061</v>
      </c>
      <c r="H380" s="170">
        <f>表2_36716262930381020[[#This Row],[累计净值]]/$B$156-1</f>
        <v>7.9417036863845381E-2</v>
      </c>
    </row>
    <row r="381" spans="1:8">
      <c r="A381" s="161">
        <v>44315</v>
      </c>
      <c r="B381" s="162">
        <v>1.3834</v>
      </c>
      <c r="C381" s="171">
        <f>IFERROR(B381-B380,0)</f>
        <v>-1.6000000000000458E-3</v>
      </c>
      <c r="D381" s="168">
        <f>IF(C381&lt;0,C381,"/")</f>
        <v>-1.6000000000000458E-3</v>
      </c>
      <c r="E381" s="168">
        <f ca="1">IF(表2_36716262930381020[[#This Row],[累计净值]]/MAX(INDIRECT("B21:B" &amp; ROW()))-1&lt;E380,表2_36716262930381020[[#This Row],[累计净值]]/MAX(INDIRECT("B21:B" &amp; ROW()))-1,E380)</f>
        <v>-7.1594921493501551E-2</v>
      </c>
      <c r="F381" s="169">
        <f>表2_36716262930381020[[#This Row],[累计净值]]</f>
        <v>1.3834</v>
      </c>
      <c r="G381" s="170">
        <f>表2_36716262930381020[[#This Row],[累计净值]]/$B$21-1</f>
        <v>0.39568200161420508</v>
      </c>
      <c r="H381" s="170">
        <f>表2_36716262930381020[[#This Row],[累计净值]]/$B$156-1</f>
        <v>7.8170056893461126E-2</v>
      </c>
    </row>
    <row r="382" spans="1:8">
      <c r="A382" s="161">
        <v>44316</v>
      </c>
      <c r="B382" s="162">
        <v>1.3868</v>
      </c>
      <c r="C382" s="171">
        <f t="shared" ref="C382:C383" si="78">IFERROR(B382-B381,0)</f>
        <v>3.4000000000000696E-3</v>
      </c>
      <c r="D382" s="168" t="str">
        <f t="shared" ref="D382:D383" si="79">IF(C382&lt;0,C382,"/")</f>
        <v>/</v>
      </c>
      <c r="E382" s="168">
        <f ca="1">IF(表2_36716262930381020[[#This Row],[累计净值]]/MAX(INDIRECT("B21:B" &amp; ROW()))-1&lt;E381,表2_36716262930381020[[#This Row],[累计净值]]/MAX(INDIRECT("B21:B" &amp; ROW()))-1,E381)</f>
        <v>-7.1594921493501551E-2</v>
      </c>
      <c r="F382" s="169">
        <f>表2_36716262930381020[[#This Row],[累计净值]]</f>
        <v>1.3868</v>
      </c>
      <c r="G382" s="170">
        <f>表2_36716262930381020[[#This Row],[累计净值]]/$B$21-1</f>
        <v>0.39911218724778053</v>
      </c>
      <c r="H382" s="170">
        <f>表2_36716262930381020[[#This Row],[累计净值]]/$B$156-1</f>
        <v>8.0819889330527639E-2</v>
      </c>
    </row>
    <row r="383" spans="1:8">
      <c r="A383" s="161">
        <v>44322</v>
      </c>
      <c r="B383" s="162">
        <v>1.4149</v>
      </c>
      <c r="C383" s="171">
        <f t="shared" si="78"/>
        <v>2.8100000000000014E-2</v>
      </c>
      <c r="D383" s="168" t="str">
        <f t="shared" si="79"/>
        <v>/</v>
      </c>
      <c r="E383" s="168">
        <f ca="1">IF(表2_36716262930381020[[#This Row],[累计净值]]/MAX(INDIRECT("B21:B" &amp; ROW()))-1&lt;E382,表2_36716262930381020[[#This Row],[累计净值]]/MAX(INDIRECT("B21:B" &amp; ROW()))-1,E382)</f>
        <v>-7.1594921493501551E-2</v>
      </c>
      <c r="F383" s="169">
        <f>表2_36716262930381020[[#This Row],[累计净值]]</f>
        <v>1.4149</v>
      </c>
      <c r="G383" s="170">
        <f>表2_36716262930381020[[#This Row],[累计净值]]/$B$21-1</f>
        <v>0.42746166263115426</v>
      </c>
      <c r="H383" s="170">
        <f>表2_36716262930381020[[#This Row],[累计净值]]/$B$156-1</f>
        <v>0.10271997506040065</v>
      </c>
    </row>
    <row r="384" spans="1:8">
      <c r="A384" s="161">
        <v>44323</v>
      </c>
      <c r="B384" s="162">
        <v>1.4166000000000001</v>
      </c>
      <c r="C384" s="171">
        <f t="shared" ref="C384:C389" si="80">IFERROR(B384-B383,0)</f>
        <v>1.7000000000000348E-3</v>
      </c>
      <c r="D384" s="168" t="str">
        <f t="shared" ref="D384:D389" si="81">IF(C384&lt;0,C384,"/")</f>
        <v>/</v>
      </c>
      <c r="E384" s="168">
        <f ca="1">IF(表2_36716262930381020[[#This Row],[累计净值]]/MAX(INDIRECT("B21:B" &amp; ROW()))-1&lt;E383,表2_36716262930381020[[#This Row],[累计净值]]/MAX(INDIRECT("B21:B" &amp; ROW()))-1,E383)</f>
        <v>-7.1594921493501551E-2</v>
      </c>
      <c r="F384" s="169">
        <f>表2_36716262930381020[[#This Row],[累计净值]]</f>
        <v>1.4166000000000001</v>
      </c>
      <c r="G384" s="170">
        <f>表2_36716262930381020[[#This Row],[累计净值]]/$B$21-1</f>
        <v>0.42917675544794198</v>
      </c>
      <c r="H384" s="170">
        <f>表2_36716262930381020[[#This Row],[累计净值]]/$B$156-1</f>
        <v>0.10404489127893402</v>
      </c>
    </row>
    <row r="385" spans="1:8">
      <c r="A385" s="161">
        <v>44326</v>
      </c>
      <c r="B385" s="162">
        <v>1.4419</v>
      </c>
      <c r="C385" s="171">
        <f t="shared" si="80"/>
        <v>2.5299999999999878E-2</v>
      </c>
      <c r="D385" s="168" t="str">
        <f t="shared" si="81"/>
        <v>/</v>
      </c>
      <c r="E385" s="168">
        <f ca="1">IF(表2_36716262930381020[[#This Row],[累计净值]]/MAX(INDIRECT("B21:B" &amp; ROW()))-1&lt;E384,表2_36716262930381020[[#This Row],[累计净值]]/MAX(INDIRECT("B21:B" &amp; ROW()))-1,E384)</f>
        <v>-7.1594921493501551E-2</v>
      </c>
      <c r="F385" s="169">
        <f>表2_36716262930381020[[#This Row],[累计净值]]</f>
        <v>1.4419</v>
      </c>
      <c r="G385" s="170">
        <f>表2_36716262930381020[[#This Row],[累计净值]]/$B$21-1</f>
        <v>0.45470137207425343</v>
      </c>
      <c r="H385" s="170">
        <f>表2_36716262930381020[[#This Row],[累计净值]]/$B$156-1</f>
        <v>0.12376276206063452</v>
      </c>
    </row>
    <row r="386" spans="1:8">
      <c r="A386" s="161">
        <v>44327</v>
      </c>
      <c r="B386" s="178">
        <v>1.4537</v>
      </c>
      <c r="C386" s="171">
        <f t="shared" si="80"/>
        <v>1.1800000000000033E-2</v>
      </c>
      <c r="D386" s="168" t="str">
        <f t="shared" si="81"/>
        <v>/</v>
      </c>
      <c r="E386" s="168">
        <f ca="1">IF(表2_36716262930381020[[#This Row],[累计净值]]/MAX(INDIRECT("B21:B" &amp; ROW()))-1&lt;E385,表2_36716262930381020[[#This Row],[累计净值]]/MAX(INDIRECT("B21:B" &amp; ROW()))-1,E385)</f>
        <v>-7.1594921493501551E-2</v>
      </c>
      <c r="F386" s="169">
        <f>表2_36716262930381020[[#This Row],[累计净值]]</f>
        <v>1.4537</v>
      </c>
      <c r="G386" s="170">
        <f>表2_36716262930381020[[#This Row],[累计净值]]/$B$21-1</f>
        <v>0.46660613397901529</v>
      </c>
      <c r="H386" s="170">
        <f>表2_36716262930381020[[#This Row],[累计净值]]/$B$156-1</f>
        <v>0.13295923934221809</v>
      </c>
    </row>
    <row r="387" spans="1:8">
      <c r="A387" s="161">
        <v>44328</v>
      </c>
      <c r="B387" s="162">
        <v>1.4537</v>
      </c>
      <c r="C387" s="171">
        <f t="shared" si="80"/>
        <v>0</v>
      </c>
      <c r="D387" s="168" t="str">
        <f t="shared" si="81"/>
        <v>/</v>
      </c>
      <c r="E387" s="168">
        <f ca="1">IF(表2_36716262930381020[[#This Row],[累计净值]]/MAX(INDIRECT("B21:B" &amp; ROW()))-1&lt;E386,表2_36716262930381020[[#This Row],[累计净值]]/MAX(INDIRECT("B21:B" &amp; ROW()))-1,E386)</f>
        <v>-7.1594921493501551E-2</v>
      </c>
      <c r="F387" s="169">
        <f>表2_36716262930381020[[#This Row],[累计净值]]</f>
        <v>1.4537</v>
      </c>
      <c r="G387" s="170">
        <f>表2_36716262930381020[[#This Row],[累计净值]]/$B$21-1</f>
        <v>0.46660613397901529</v>
      </c>
      <c r="H387" s="170">
        <f>表2_36716262930381020[[#This Row],[累计净值]]/$B$156-1</f>
        <v>0.13295923934221809</v>
      </c>
    </row>
    <row r="388" spans="1:8">
      <c r="A388" s="161">
        <v>44329</v>
      </c>
      <c r="B388" s="162">
        <v>1.4503999999999999</v>
      </c>
      <c r="C388" s="171">
        <f t="shared" si="80"/>
        <v>-3.3000000000000806E-3</v>
      </c>
      <c r="D388" s="168">
        <f t="shared" si="81"/>
        <v>-3.3000000000000806E-3</v>
      </c>
      <c r="E388" s="168">
        <f ca="1">IF(表2_36716262930381020[[#This Row],[累计净值]]/MAX(INDIRECT("B21:B" &amp; ROW()))-1&lt;E387,表2_36716262930381020[[#This Row],[累计净值]]/MAX(INDIRECT("B21:B" &amp; ROW()))-1,E387)</f>
        <v>-7.1594921493501551E-2</v>
      </c>
      <c r="F388" s="169">
        <f>表2_36716262930381020[[#This Row],[累计净值]]</f>
        <v>1.4503999999999999</v>
      </c>
      <c r="G388" s="170">
        <f>表2_36716262930381020[[#This Row],[累计净值]]/$B$21-1</f>
        <v>0.46327683615819204</v>
      </c>
      <c r="H388" s="170">
        <f>表2_36716262930381020[[#This Row],[累计净值]]/$B$156-1</f>
        <v>0.13038734315330069</v>
      </c>
    </row>
    <row r="389" spans="1:8">
      <c r="A389" s="161">
        <v>44330</v>
      </c>
      <c r="B389" s="162">
        <v>1.4459</v>
      </c>
      <c r="C389" s="171">
        <f t="shared" si="80"/>
        <v>-4.4999999999999485E-3</v>
      </c>
      <c r="D389" s="168">
        <f t="shared" si="81"/>
        <v>-4.4999999999999485E-3</v>
      </c>
      <c r="E389" s="168">
        <f ca="1">IF(表2_36716262930381020[[#This Row],[累计净值]]/MAX(INDIRECT("B21:B" &amp; ROW()))-1&lt;E388,表2_36716262930381020[[#This Row],[累计净值]]/MAX(INDIRECT("B21:B" &amp; ROW()))-1,E388)</f>
        <v>-7.1594921493501551E-2</v>
      </c>
      <c r="F389" s="169">
        <f>表2_36716262930381020[[#This Row],[累计净值]]</f>
        <v>1.4459</v>
      </c>
      <c r="G389" s="170">
        <f>表2_36716262930381020[[#This Row],[累计净值]]/$B$21-1</f>
        <v>0.45873688458434225</v>
      </c>
      <c r="H389" s="170">
        <f>表2_36716262930381020[[#This Row],[累计净值]]/$B$156-1</f>
        <v>0.12688021198659505</v>
      </c>
    </row>
    <row r="390" spans="1:8">
      <c r="A390" s="161">
        <v>44333</v>
      </c>
      <c r="B390" s="162">
        <v>1.4478</v>
      </c>
      <c r="C390" s="171">
        <f>IFERROR(B390-B389,0)</f>
        <v>1.9000000000000128E-3</v>
      </c>
      <c r="D390" s="168" t="str">
        <f>IF(C390&lt;0,C390,"/")</f>
        <v>/</v>
      </c>
      <c r="E390" s="168">
        <f ca="1">IF(表2_36716262930381020[[#This Row],[累计净值]]/MAX(INDIRECT("B21:B" &amp; ROW()))-1&lt;E389,表2_36716262930381020[[#This Row],[累计净值]]/MAX(INDIRECT("B21:B" &amp; ROW()))-1,E389)</f>
        <v>-7.1594921493501551E-2</v>
      </c>
      <c r="F390" s="169">
        <f>表2_36716262930381020[[#This Row],[累计净值]]</f>
        <v>1.4478</v>
      </c>
      <c r="G390" s="170">
        <f>表2_36716262930381020[[#This Row],[累计净值]]/$B$21-1</f>
        <v>0.46065375302663436</v>
      </c>
      <c r="H390" s="170">
        <f>表2_36716262930381020[[#This Row],[累计净值]]/$B$156-1</f>
        <v>0.1283610007014262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I29"/>
  <sheetViews>
    <sheetView workbookViewId="0">
      <pane xSplit="1" ySplit="19" topLeftCell="B20" activePane="bottomRight" state="frozen"/>
      <selection pane="topRight"/>
      <selection pane="bottomLeft"/>
      <selection pane="bottomRight" activeCell="H26" sqref="H26"/>
    </sheetView>
  </sheetViews>
  <sheetFormatPr baseColWidth="10" defaultColWidth="9" defaultRowHeight="15"/>
  <cols>
    <col min="1" max="1" width="11.1640625" style="289" customWidth="1"/>
    <col min="2" max="2" width="13.1640625" style="289" customWidth="1"/>
    <col min="3" max="3" width="12.5" style="289" customWidth="1"/>
    <col min="4" max="4" width="15" style="289" customWidth="1"/>
    <col min="5" max="5" width="11.1640625" style="289" customWidth="1"/>
    <col min="6" max="7" width="9" style="289"/>
    <col min="8" max="8" width="11" style="289" customWidth="1"/>
    <col min="9" max="9" width="11.33203125" style="289" customWidth="1"/>
    <col min="10" max="10" width="15.6640625" style="289" customWidth="1"/>
    <col min="11" max="11" width="16.6640625" style="289" customWidth="1"/>
    <col min="12" max="12" width="11.6640625" style="289" customWidth="1"/>
    <col min="13" max="16384" width="9" style="289"/>
  </cols>
  <sheetData>
    <row r="1" spans="1:9" ht="16" thickBot="1">
      <c r="A1" s="284" t="s">
        <v>68</v>
      </c>
      <c r="B1" s="285">
        <f>COUNT(表1_4[每周盈亏])-1</f>
        <v>2</v>
      </c>
      <c r="C1" s="286"/>
      <c r="D1" s="287" t="s">
        <v>69</v>
      </c>
      <c r="E1" s="288"/>
      <c r="F1" s="289" t="s">
        <v>70</v>
      </c>
      <c r="G1" s="289" t="s">
        <v>71</v>
      </c>
    </row>
    <row r="2" spans="1:9">
      <c r="A2" s="290" t="s">
        <v>72</v>
      </c>
      <c r="B2" s="291">
        <f>COUNTIF(表1_4[每周盈亏],"&gt;0")</f>
        <v>2</v>
      </c>
      <c r="C2" s="292"/>
      <c r="D2" s="293" t="s">
        <v>73</v>
      </c>
      <c r="E2" s="294">
        <f>(50^0.5)*(B9-0.025/52)/E9</f>
        <v>7.6313403536419955</v>
      </c>
      <c r="G2" s="295">
        <f>LOOKUP(999^10,表1_4[累计净值])</f>
        <v>1.0229999999999999</v>
      </c>
    </row>
    <row r="3" spans="1:9">
      <c r="A3" s="290" t="s">
        <v>74</v>
      </c>
      <c r="B3" s="291">
        <f>COUNTIF(表1_4[每周盈亏],"&lt;0")</f>
        <v>0</v>
      </c>
      <c r="C3" s="292"/>
      <c r="D3" s="296" t="s">
        <v>75</v>
      </c>
      <c r="E3" s="294" t="e">
        <f ca="1">-B8/E7</f>
        <v>#DIV/0!</v>
      </c>
    </row>
    <row r="4" spans="1:9">
      <c r="A4" s="290" t="s">
        <v>76</v>
      </c>
      <c r="B4" s="291">
        <f>B1-B2-B3</f>
        <v>0</v>
      </c>
      <c r="C4" s="292"/>
      <c r="D4" s="297" t="s">
        <v>77</v>
      </c>
      <c r="E4" s="298" t="e">
        <f>50^0.5*(B9-0.025/52)/E8</f>
        <v>#DIV/0!</v>
      </c>
    </row>
    <row r="5" spans="1:9" ht="16" thickBot="1">
      <c r="A5" s="299"/>
      <c r="B5" s="300"/>
      <c r="C5" s="300"/>
      <c r="D5" s="300"/>
      <c r="E5" s="301"/>
    </row>
    <row r="6" spans="1:9" ht="16" thickBot="1">
      <c r="A6" s="302" t="s">
        <v>78</v>
      </c>
      <c r="B6" s="303"/>
      <c r="C6" s="303"/>
      <c r="D6" s="287" t="s">
        <v>79</v>
      </c>
      <c r="E6" s="304"/>
    </row>
    <row r="7" spans="1:9">
      <c r="A7" s="305" t="s">
        <v>80</v>
      </c>
      <c r="B7" s="306">
        <f>LOOKUP(999^10,表1_4[累计净值])-1</f>
        <v>2.2999999999999909E-2</v>
      </c>
      <c r="C7" s="307"/>
      <c r="D7" s="293" t="s">
        <v>81</v>
      </c>
      <c r="E7" s="308">
        <f ca="1">MIN(表1_4[最大回撤])</f>
        <v>0</v>
      </c>
    </row>
    <row r="8" spans="1:9">
      <c r="A8" s="290" t="s">
        <v>82</v>
      </c>
      <c r="B8" s="296">
        <f>B7*50/B1</f>
        <v>0.57499999999999774</v>
      </c>
      <c r="C8" s="307"/>
      <c r="D8" s="297" t="s">
        <v>83</v>
      </c>
      <c r="E8" s="309" t="e">
        <f>STDEV(表1_4[下跌幅度])</f>
        <v>#DIV/0!</v>
      </c>
    </row>
    <row r="9" spans="1:9">
      <c r="A9" s="310" t="s">
        <v>84</v>
      </c>
      <c r="B9" s="311">
        <f>AVERAGE(表1_4[每周盈亏])</f>
        <v>7.6666666666666368E-3</v>
      </c>
      <c r="C9" s="312"/>
      <c r="D9" s="297" t="s">
        <v>85</v>
      </c>
      <c r="E9" s="309">
        <f>STDEV(表1_4[每周盈亏])</f>
        <v>6.6583281184793711E-3</v>
      </c>
    </row>
    <row r="10" spans="1:9">
      <c r="A10" s="313" t="s">
        <v>86</v>
      </c>
      <c r="B10" s="296">
        <f>B2/B1</f>
        <v>1</v>
      </c>
      <c r="C10" s="307"/>
      <c r="D10" s="296" t="s">
        <v>87</v>
      </c>
      <c r="E10" s="308">
        <f>50^0.5*E9</f>
        <v>4.7081489639418293E-2</v>
      </c>
    </row>
    <row r="11" spans="1:9" ht="16" thickBot="1">
      <c r="A11" s="314" t="s">
        <v>88</v>
      </c>
      <c r="B11" s="315" t="e">
        <f>-(SUMIF(表1_4[每周盈亏],"&gt;=0")/B2)/(SUMIF(表1_4[每周盈亏],"&lt;0")/B3)</f>
        <v>#DIV/0!</v>
      </c>
      <c r="C11" s="316"/>
      <c r="D11" s="317"/>
      <c r="E11" s="318"/>
    </row>
    <row r="13" spans="1:9" ht="34">
      <c r="A13" s="319" t="s">
        <v>68</v>
      </c>
      <c r="B13" s="320" t="s">
        <v>89</v>
      </c>
      <c r="C13" s="320" t="s">
        <v>82</v>
      </c>
      <c r="D13" s="321" t="s">
        <v>87</v>
      </c>
      <c r="E13" s="321" t="s">
        <v>81</v>
      </c>
      <c r="F13" s="321" t="s">
        <v>73</v>
      </c>
      <c r="G13" s="321" t="s">
        <v>75</v>
      </c>
      <c r="H13" s="322" t="s">
        <v>90</v>
      </c>
      <c r="I13" s="322" t="s">
        <v>91</v>
      </c>
    </row>
    <row r="14" spans="1:9" ht="16">
      <c r="A14" s="323">
        <f>B1</f>
        <v>2</v>
      </c>
      <c r="B14" s="324">
        <f>B7</f>
        <v>2.2999999999999909E-2</v>
      </c>
      <c r="C14" s="324">
        <f>B8</f>
        <v>0.57499999999999774</v>
      </c>
      <c r="D14" s="324">
        <f>E10</f>
        <v>4.7081489639418293E-2</v>
      </c>
      <c r="E14" s="324">
        <f ca="1">E7</f>
        <v>0</v>
      </c>
      <c r="F14" s="325">
        <f>E2</f>
        <v>7.6313403536419955</v>
      </c>
      <c r="G14" s="325" t="e">
        <f ca="1">E3</f>
        <v>#DIV/0!</v>
      </c>
      <c r="H14" s="295"/>
      <c r="I14" s="326"/>
    </row>
    <row r="17" spans="1:5">
      <c r="A17" s="327"/>
      <c r="B17" s="289" t="s">
        <v>92</v>
      </c>
    </row>
    <row r="19" spans="1:5" ht="16">
      <c r="A19" s="333" t="s">
        <v>93</v>
      </c>
      <c r="B19" s="333" t="s">
        <v>94</v>
      </c>
      <c r="C19" s="334" t="s">
        <v>95</v>
      </c>
      <c r="D19" s="334" t="s">
        <v>96</v>
      </c>
      <c r="E19" s="334" t="s">
        <v>81</v>
      </c>
    </row>
    <row r="20" spans="1:5">
      <c r="A20" s="331">
        <v>44295</v>
      </c>
      <c r="B20" s="328">
        <v>1</v>
      </c>
      <c r="C20" s="329">
        <v>0</v>
      </c>
      <c r="D20" s="330" t="str">
        <f t="shared" ref="D20:D21" si="0">IF(C20&lt;0,C20,"/")</f>
        <v>/</v>
      </c>
      <c r="E20" s="330">
        <f ca="1">IF(表1_4[[#This Row],[累计净值]]-MAX(INDIRECT("B20:B"&amp;ROW()))&lt;E19,表1_4[[#This Row],[累计净值]]-MAX(INDIRECT("B20:B"&amp;ROW())),E19)</f>
        <v>0</v>
      </c>
    </row>
    <row r="21" spans="1:5">
      <c r="A21" s="331">
        <v>44302</v>
      </c>
      <c r="B21" s="328">
        <v>1.012</v>
      </c>
      <c r="C21" s="329">
        <f t="shared" ref="C21:C22" si="1">B21-B20</f>
        <v>1.2000000000000011E-2</v>
      </c>
      <c r="D21" s="330" t="str">
        <f t="shared" si="0"/>
        <v>/</v>
      </c>
      <c r="E21" s="330">
        <f ca="1">IF(表1_4[[#This Row],[累计净值]]-MAX(INDIRECT("B20:B"&amp;ROW()))&lt;E20,表1_4[[#This Row],[累计净值]]-MAX(INDIRECT("B20:B"&amp;ROW())),E20)</f>
        <v>0</v>
      </c>
    </row>
    <row r="22" spans="1:5">
      <c r="A22" s="331">
        <v>44309</v>
      </c>
      <c r="B22" s="332">
        <v>1.0229999999999999</v>
      </c>
      <c r="C22" s="329">
        <f t="shared" si="1"/>
        <v>1.0999999999999899E-2</v>
      </c>
      <c r="D22" s="330" t="str">
        <f>IF(C22&lt;0,C22,"/")</f>
        <v>/</v>
      </c>
      <c r="E22" s="330">
        <f ca="1">IF(表1_4[[#This Row],[累计净值]]-MAX(INDIRECT("B20:B"&amp;ROW()))&lt;E21,表1_4[[#This Row],[累计净值]]-MAX(INDIRECT("B20:B"&amp;ROW())),E21)</f>
        <v>0</v>
      </c>
    </row>
    <row r="23" spans="1:5">
      <c r="A23" s="333"/>
      <c r="B23" s="333"/>
      <c r="C23" s="333"/>
      <c r="D23" s="333"/>
      <c r="E23" s="333"/>
    </row>
    <row r="24" spans="1:5">
      <c r="A24" s="333"/>
      <c r="B24" s="333"/>
      <c r="C24" s="333"/>
      <c r="D24" s="333"/>
      <c r="E24" s="333"/>
    </row>
    <row r="25" spans="1:5">
      <c r="A25" s="333"/>
      <c r="B25" s="333"/>
      <c r="C25" s="333"/>
      <c r="D25" s="333"/>
      <c r="E25" s="333"/>
    </row>
    <row r="26" spans="1:5">
      <c r="A26" s="333"/>
      <c r="B26" s="333"/>
      <c r="C26" s="333"/>
      <c r="D26" s="333"/>
      <c r="E26" s="333"/>
    </row>
    <row r="27" spans="1:5">
      <c r="A27" s="333"/>
      <c r="B27" s="333"/>
      <c r="C27" s="333"/>
      <c r="D27" s="333"/>
      <c r="E27" s="333"/>
    </row>
    <row r="28" spans="1:5">
      <c r="A28" s="333"/>
      <c r="B28" s="333"/>
      <c r="C28" s="333"/>
      <c r="D28" s="333"/>
      <c r="E28" s="333"/>
    </row>
    <row r="29" spans="1:5">
      <c r="A29" s="333"/>
      <c r="B29" s="333"/>
      <c r="C29" s="333"/>
      <c r="D29" s="333"/>
      <c r="E29" s="333"/>
    </row>
  </sheetData>
  <phoneticPr fontId="24" type="noConversion"/>
  <pageMargins left="0.69930555555555596" right="0.69930555555555596" top="0.75" bottom="0.75" header="0.3" footer="0.3"/>
  <pageSetup paperSize="9" orientation="portrait"/>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G32"/>
  <sheetViews>
    <sheetView workbookViewId="0">
      <pane xSplit="1" ySplit="19" topLeftCell="B20" activePane="bottomRight" state="frozen"/>
      <selection pane="topRight" activeCell="B1" sqref="B1"/>
      <selection pane="bottomLeft" activeCell="A20" sqref="A20"/>
      <selection pane="bottomRight" activeCell="J35" sqref="J35"/>
    </sheetView>
  </sheetViews>
  <sheetFormatPr baseColWidth="10" defaultColWidth="9" defaultRowHeight="15"/>
  <cols>
    <col min="1" max="1" width="11.1640625" style="340" customWidth="1"/>
    <col min="2" max="2" width="13.1640625" style="340" customWidth="1"/>
    <col min="3" max="3" width="12.5" style="340" customWidth="1"/>
    <col min="4" max="4" width="15" style="340" customWidth="1"/>
    <col min="5" max="5" width="11.1640625" style="340" customWidth="1"/>
    <col min="6" max="7" width="9" style="340"/>
    <col min="8" max="8" width="11" style="340" customWidth="1"/>
    <col min="9" max="9" width="35.1640625" style="340" bestFit="1" customWidth="1"/>
    <col min="10" max="10" width="15.6640625" style="340" customWidth="1"/>
    <col min="11" max="11" width="16.6640625" style="340" customWidth="1"/>
    <col min="12" max="12" width="11.6640625" style="340" bestFit="1" customWidth="1"/>
    <col min="13" max="16384" width="9" style="340"/>
  </cols>
  <sheetData>
    <row r="1" spans="1:7" ht="16" thickBot="1">
      <c r="A1" s="335" t="s">
        <v>97</v>
      </c>
      <c r="B1" s="336">
        <f>COUNT(表1_434567[每周盈亏])-1</f>
        <v>12</v>
      </c>
      <c r="C1" s="337"/>
      <c r="D1" s="338" t="s">
        <v>1</v>
      </c>
      <c r="E1" s="339"/>
      <c r="F1" s="340" t="s">
        <v>2</v>
      </c>
      <c r="G1" s="340" t="s">
        <v>98</v>
      </c>
    </row>
    <row r="2" spans="1:7">
      <c r="A2" s="341" t="s">
        <v>99</v>
      </c>
      <c r="B2" s="342">
        <f>COUNTIF(表1_434567[每周盈亏],"&gt;0")</f>
        <v>9</v>
      </c>
      <c r="C2" s="343"/>
      <c r="D2" s="344" t="s">
        <v>5</v>
      </c>
      <c r="E2" s="345">
        <f>50^0.5*(B9-0.025/52)/E9</f>
        <v>-1.8215563786691609</v>
      </c>
      <c r="G2" s="346">
        <f>LOOKUP(999^10,表1_434567[累计净值])</f>
        <v>1.0868</v>
      </c>
    </row>
    <row r="3" spans="1:7">
      <c r="A3" s="341" t="s">
        <v>100</v>
      </c>
      <c r="B3" s="342">
        <f>COUNTIF(表1_434567[每周盈亏],"&lt;0")</f>
        <v>3</v>
      </c>
      <c r="C3" s="343"/>
      <c r="D3" s="347" t="s">
        <v>7</v>
      </c>
      <c r="E3" s="345">
        <f ca="1">-B8/E7</f>
        <v>0.32166666666666638</v>
      </c>
    </row>
    <row r="4" spans="1:7">
      <c r="A4" s="341" t="s">
        <v>8</v>
      </c>
      <c r="B4" s="342">
        <f>B1-B2-B3</f>
        <v>0</v>
      </c>
      <c r="C4" s="343"/>
      <c r="D4" s="348" t="s">
        <v>9</v>
      </c>
      <c r="E4" s="349">
        <f>50^0.5*(B9-0.025/52)/E8</f>
        <v>-0.88655851273342934</v>
      </c>
    </row>
    <row r="5" spans="1:7" ht="16" thickBot="1">
      <c r="A5" s="350"/>
      <c r="B5" s="351"/>
      <c r="C5" s="351"/>
      <c r="D5" s="351"/>
      <c r="E5" s="352"/>
    </row>
    <row r="6" spans="1:7" ht="16" thickBot="1">
      <c r="A6" s="353" t="s">
        <v>10</v>
      </c>
      <c r="B6" s="354"/>
      <c r="C6" s="354"/>
      <c r="D6" s="338" t="s">
        <v>11</v>
      </c>
      <c r="E6" s="355"/>
    </row>
    <row r="7" spans="1:7">
      <c r="A7" s="356" t="s">
        <v>55</v>
      </c>
      <c r="B7" s="357">
        <f>LOOKUP(999^10,表1_434567[累计净值])-B20</f>
        <v>7.7199999999999935E-2</v>
      </c>
      <c r="C7" s="358"/>
      <c r="D7" s="344" t="s">
        <v>13</v>
      </c>
      <c r="E7" s="359">
        <f ca="1">MIN(表1_434567[最大回撤])</f>
        <v>-1</v>
      </c>
    </row>
    <row r="8" spans="1:7">
      <c r="A8" s="341" t="s">
        <v>14</v>
      </c>
      <c r="B8" s="347">
        <f>B7*50/B1</f>
        <v>0.32166666666666638</v>
      </c>
      <c r="C8" s="358"/>
      <c r="D8" s="348" t="s">
        <v>15</v>
      </c>
      <c r="E8" s="360">
        <f>STDEV(表1_434567[下跌幅度])</f>
        <v>0.62325221486436244</v>
      </c>
    </row>
    <row r="9" spans="1:7">
      <c r="A9" s="361" t="s">
        <v>101</v>
      </c>
      <c r="B9" s="362">
        <f>AVERAGE(表1_434567[每周盈亏])</f>
        <v>-7.7661538461538462E-2</v>
      </c>
      <c r="C9" s="363"/>
      <c r="D9" s="348" t="s">
        <v>17</v>
      </c>
      <c r="E9" s="360">
        <f>STDEV(表1_434567[每周盈亏])</f>
        <v>0.30333925600022366</v>
      </c>
    </row>
    <row r="10" spans="1:7">
      <c r="A10" s="364" t="s">
        <v>102</v>
      </c>
      <c r="B10" s="347">
        <f>B2/B1</f>
        <v>0.75</v>
      </c>
      <c r="C10" s="358"/>
      <c r="D10" s="347" t="s">
        <v>19</v>
      </c>
      <c r="E10" s="359">
        <f>50^0.5*E9</f>
        <v>2.1449324491784028</v>
      </c>
    </row>
    <row r="11" spans="1:7" ht="16" thickBot="1">
      <c r="A11" s="365" t="s">
        <v>20</v>
      </c>
      <c r="B11" s="366">
        <f>-(SUMIF(表1_434567[每周盈亏],"&gt;=0")/B2)/(SUMIF(表1_434567[每周盈亏],"&lt;0")/B3)</f>
        <v>2.7782821863083253E-2</v>
      </c>
      <c r="C11" s="367"/>
      <c r="D11" s="368"/>
      <c r="E11" s="369"/>
    </row>
    <row r="13" spans="1:7" ht="34">
      <c r="A13" s="370" t="s">
        <v>103</v>
      </c>
      <c r="B13" s="371" t="s">
        <v>104</v>
      </c>
      <c r="C13" s="371" t="s">
        <v>14</v>
      </c>
      <c r="D13" s="372" t="s">
        <v>19</v>
      </c>
      <c r="E13" s="372" t="s">
        <v>13</v>
      </c>
      <c r="F13" s="372" t="s">
        <v>5</v>
      </c>
      <c r="G13" s="372" t="s">
        <v>7</v>
      </c>
    </row>
    <row r="14" spans="1:7" ht="16">
      <c r="A14" s="373">
        <f>B1</f>
        <v>12</v>
      </c>
      <c r="B14" s="374">
        <f>B7</f>
        <v>7.7199999999999935E-2</v>
      </c>
      <c r="C14" s="374">
        <f>B8</f>
        <v>0.32166666666666638</v>
      </c>
      <c r="D14" s="374">
        <f>E10</f>
        <v>2.1449324491784028</v>
      </c>
      <c r="E14" s="374">
        <f ca="1">E7</f>
        <v>-1</v>
      </c>
      <c r="F14" s="375">
        <f>E2</f>
        <v>-1.8215563786691609</v>
      </c>
      <c r="G14" s="375">
        <f ca="1">E3</f>
        <v>0.32166666666666638</v>
      </c>
    </row>
    <row r="17" spans="1:7">
      <c r="A17" s="376"/>
      <c r="B17" s="340" t="s">
        <v>105</v>
      </c>
    </row>
    <row r="19" spans="1:7" ht="16">
      <c r="A19" s="377" t="s">
        <v>106</v>
      </c>
      <c r="B19" s="377" t="s">
        <v>107</v>
      </c>
      <c r="C19" s="378" t="s">
        <v>108</v>
      </c>
      <c r="D19" s="378" t="s">
        <v>109</v>
      </c>
      <c r="E19" s="378" t="s">
        <v>27</v>
      </c>
      <c r="F19" s="378" t="s">
        <v>110</v>
      </c>
      <c r="G19" s="378" t="s">
        <v>111</v>
      </c>
    </row>
    <row r="20" spans="1:7">
      <c r="A20" s="379">
        <v>44232</v>
      </c>
      <c r="B20" s="380">
        <v>1.0096000000000001</v>
      </c>
      <c r="C20" s="381">
        <v>0</v>
      </c>
      <c r="D20" s="382" t="str">
        <f>IF(C20&lt;0,C20,"/")</f>
        <v>/</v>
      </c>
      <c r="E20" s="382">
        <f ca="1">IF(表1_434567[[#This Row],[累计净值]]/MAX(INDIRECT("B20:B" &amp; ROW()))-1&lt;E19,表1_434567[[#This Row],[累计净值]]/MAX(INDIRECT("B20:B" &amp; ROW()))-1,E19)</f>
        <v>0</v>
      </c>
      <c r="F20" s="383">
        <f>表1_434567[[#This Row],[累计净值]]</f>
        <v>1.0096000000000001</v>
      </c>
      <c r="G20" s="384">
        <v>0</v>
      </c>
    </row>
    <row r="21" spans="1:7">
      <c r="A21" s="385">
        <v>44237</v>
      </c>
      <c r="B21" s="346">
        <v>1.0213000000000001</v>
      </c>
      <c r="C21" s="386">
        <f t="shared" ref="C21:C23" si="0">B21-B20</f>
        <v>1.1700000000000044E-2</v>
      </c>
      <c r="D21" s="387" t="str">
        <f>IF(C21&lt;0,C21,"/")</f>
        <v>/</v>
      </c>
      <c r="E21" s="387">
        <f ca="1">IF(表1_434567[[#This Row],[累计净值]]/MAX(INDIRECT("B20:B" &amp; ROW()))-1&lt;E20,表1_434567[[#This Row],[累计净值]]/MAX(INDIRECT("B20:B" &amp; ROW()))-1,E20)</f>
        <v>0</v>
      </c>
      <c r="F21" s="340">
        <f>表1_434567[[#This Row],[累计净值]]</f>
        <v>1.0213000000000001</v>
      </c>
      <c r="G21" s="388">
        <f>IF(表1_434567[[#This Row],[单位净值]]&gt;$F$20,0.8*(表1_434567[[#This Row],[单位净值]]/$F$20-1),表1_434567[[#This Row],[单位净值]]/$F$20-1)</f>
        <v>9.2709984152140375E-3</v>
      </c>
    </row>
    <row r="22" spans="1:7">
      <c r="A22" s="385">
        <v>44246</v>
      </c>
      <c r="B22" s="346">
        <v>1.0432999999999999</v>
      </c>
      <c r="C22" s="389">
        <f t="shared" si="0"/>
        <v>2.1999999999999797E-2</v>
      </c>
      <c r="D22" s="387" t="str">
        <f t="shared" ref="D22:D23" si="1">IF(C22&lt;0,C22,"/")</f>
        <v>/</v>
      </c>
      <c r="E22" s="387">
        <f ca="1">IF(表1_434567[[#This Row],[累计净值]]/MAX(INDIRECT("B20:B" &amp; ROW()))-1&lt;E21,表1_434567[[#This Row],[累计净值]]/MAX(INDIRECT("B20:B" &amp; ROW()))-1,E21)</f>
        <v>0</v>
      </c>
      <c r="F22" s="390">
        <f>表1_434567[[#This Row],[累计净值]]</f>
        <v>1.0432999999999999</v>
      </c>
      <c r="G22" s="388">
        <f>IF(表1_434567[[#This Row],[单位净值]]&gt;$F$20,0.8*(表1_434567[[#This Row],[单位净值]]/$F$20-1),表1_434567[[#This Row],[单位净值]]/$F$20-1)</f>
        <v>2.6703645007923882E-2</v>
      </c>
    </row>
    <row r="23" spans="1:7">
      <c r="A23" s="385">
        <v>44253</v>
      </c>
      <c r="B23" s="346">
        <v>1.0612999999999999</v>
      </c>
      <c r="C23" s="389">
        <f t="shared" si="0"/>
        <v>1.8000000000000016E-2</v>
      </c>
      <c r="D23" s="387" t="str">
        <f t="shared" si="1"/>
        <v>/</v>
      </c>
      <c r="E23" s="387">
        <f ca="1">IF(表1_434567[[#This Row],[累计净值]]/MAX(INDIRECT("B20:B" &amp; ROW()))-1&lt;E22,表1_434567[[#This Row],[累计净值]]/MAX(INDIRECT("B20:B" &amp; ROW()))-1,E22)</f>
        <v>0</v>
      </c>
      <c r="F23" s="390">
        <f>表1_434567[[#This Row],[累计净值]]</f>
        <v>1.0612999999999999</v>
      </c>
      <c r="G23" s="388">
        <f>IF(表1_434567[[#This Row],[单位净值]]&gt;$F$20,0.8*(表1_434567[[#This Row],[单位净值]]/$F$20-1),表1_434567[[#This Row],[单位净值]]/$F$20-1)</f>
        <v>4.096671949286837E-2</v>
      </c>
    </row>
    <row r="24" spans="1:7">
      <c r="A24" s="385">
        <v>44260</v>
      </c>
      <c r="B24" s="346">
        <v>1.0558000000000001</v>
      </c>
      <c r="C24" s="389">
        <f>B24-B23</f>
        <v>-5.4999999999998384E-3</v>
      </c>
      <c r="D24" s="387">
        <f>IF(C24&lt;0,C24,"/")</f>
        <v>-5.4999999999998384E-3</v>
      </c>
      <c r="E24" s="387">
        <f ca="1">IF(表1_434567[[#This Row],[累计净值]]/MAX(INDIRECT("B20:B" &amp; ROW()))-1&lt;E23,表1_434567[[#This Row],[累计净值]]/MAX(INDIRECT("B20:B" &amp; ROW()))-1,E23)</f>
        <v>-5.1823235654384625E-3</v>
      </c>
      <c r="F24" s="390">
        <f>表1_434567[[#This Row],[累计净值]]</f>
        <v>1.0558000000000001</v>
      </c>
      <c r="G24" s="388">
        <f>IF(表1_434567[[#This Row],[单位净值]]&gt;$F$20,0.8*(表1_434567[[#This Row],[单位净值]]/$F$20-1),表1_434567[[#This Row],[单位净值]]/$F$20-1)</f>
        <v>3.6608557844690991E-2</v>
      </c>
    </row>
    <row r="25" spans="1:7">
      <c r="A25" s="385">
        <v>44267</v>
      </c>
      <c r="B25" s="346">
        <v>1.0707</v>
      </c>
      <c r="C25" s="389">
        <f>B25-B24</f>
        <v>1.4899999999999913E-2</v>
      </c>
      <c r="D25" s="387" t="str">
        <f>IF(C25&lt;0,C25,"/")</f>
        <v>/</v>
      </c>
      <c r="E25" s="387">
        <f ca="1">IF(表1_434567[[#This Row],[累计净值]]/MAX(INDIRECT("B20:B" &amp; ROW()))-1&lt;E24,表1_434567[[#This Row],[累计净值]]/MAX(INDIRECT("B20:B" &amp; ROW()))-1,E24)</f>
        <v>-5.1823235654384625E-3</v>
      </c>
      <c r="F25" s="390">
        <f>表1_434567[[#This Row],[累计净值]]</f>
        <v>1.0707</v>
      </c>
      <c r="G25" s="388">
        <f>IF(表1_434567[[#This Row],[单位净值]]&gt;$F$20,0.8*(表1_434567[[#This Row],[单位净值]]/$F$20-1),表1_434567[[#This Row],[单位净值]]/$F$20-1)</f>
        <v>4.8415213946117142E-2</v>
      </c>
    </row>
    <row r="26" spans="1:7">
      <c r="A26" s="385">
        <v>44274</v>
      </c>
      <c r="B26" s="346">
        <v>1.0616000000000001</v>
      </c>
      <c r="C26" s="389">
        <f>B26-B25</f>
        <v>-9.099999999999886E-3</v>
      </c>
      <c r="D26" s="387">
        <f t="shared" ref="D26:D31" si="2">IF(C26&lt;0,C26,"/")</f>
        <v>-9.099999999999886E-3</v>
      </c>
      <c r="E26" s="387">
        <f ca="1">IF(表1_434567[[#This Row],[累计净值]]/MAX(INDIRECT("B20:B" &amp; ROW()))-1&lt;E25,表1_434567[[#This Row],[累计净值]]/MAX(INDIRECT("B20:B" &amp; ROW()))-1,E25)</f>
        <v>-8.4991127299895997E-3</v>
      </c>
      <c r="F26" s="390">
        <f>表1_434567[[#This Row],[累计净值]]</f>
        <v>1.0616000000000001</v>
      </c>
      <c r="G26" s="388">
        <f>IF(表1_434567[[#This Row],[单位净值]]&gt;$F$20,0.8*(表1_434567[[#This Row],[单位净值]]/$F$20-1),表1_434567[[#This Row],[单位净值]]/$F$20-1)</f>
        <v>4.120443740095095E-2</v>
      </c>
    </row>
    <row r="27" spans="1:7">
      <c r="A27" s="385">
        <v>44281</v>
      </c>
      <c r="B27" s="346">
        <v>1.07</v>
      </c>
      <c r="C27" s="389">
        <f t="shared" ref="C27:C31" si="3">B27-B26</f>
        <v>8.3999999999999631E-3</v>
      </c>
      <c r="D27" s="387" t="str">
        <f t="shared" si="2"/>
        <v>/</v>
      </c>
      <c r="E27" s="387">
        <f ca="1">IF(表1_434567[[#This Row],[累计净值]]/MAX(INDIRECT("B20:B" &amp; ROW()))-1&lt;E26,表1_434567[[#This Row],[累计净值]]/MAX(INDIRECT("B20:B" &amp; ROW()))-1,E26)</f>
        <v>-8.4991127299895997E-3</v>
      </c>
      <c r="F27" s="390">
        <f>表1_434567[[#This Row],[累计净值]]</f>
        <v>1.07</v>
      </c>
      <c r="G27" s="388">
        <f>IF(表1_434567[[#This Row],[单位净值]]&gt;$F$20,0.8*(表1_434567[[#This Row],[单位净值]]/$F$20-1),表1_434567[[#This Row],[单位净值]]/$F$20-1)</f>
        <v>4.7860538827258381E-2</v>
      </c>
    </row>
    <row r="28" spans="1:7">
      <c r="A28" s="385">
        <v>44288</v>
      </c>
      <c r="B28" s="346">
        <v>1.0765</v>
      </c>
      <c r="C28" s="389">
        <f t="shared" si="3"/>
        <v>6.4999999999999503E-3</v>
      </c>
      <c r="D28" s="387" t="str">
        <f t="shared" si="2"/>
        <v>/</v>
      </c>
      <c r="E28" s="387">
        <f ca="1">IF(表1_434567[[#This Row],[累计净值]]/MAX(INDIRECT("B20:B" &amp; ROW()))-1&lt;E27,表1_434567[[#This Row],[累计净值]]/MAX(INDIRECT("B20:B" &amp; ROW()))-1,E27)</f>
        <v>-8.4991127299895997E-3</v>
      </c>
      <c r="F28" s="390">
        <f>表1_434567[[#This Row],[累计净值]]</f>
        <v>1.0765</v>
      </c>
      <c r="G28" s="388">
        <f>IF(表1_434567[[#This Row],[单位净值]]&gt;$F$20,0.8*(表1_434567[[#This Row],[单位净值]]/$F$20-1),表1_434567[[#This Row],[单位净值]]/$F$20-1)</f>
        <v>5.3011093502377094E-2</v>
      </c>
    </row>
    <row r="29" spans="1:7">
      <c r="A29" s="385">
        <v>44295</v>
      </c>
      <c r="B29" s="346">
        <v>1.0766</v>
      </c>
      <c r="C29" s="389">
        <f t="shared" si="3"/>
        <v>9.9999999999988987E-5</v>
      </c>
      <c r="D29" s="387" t="str">
        <f t="shared" si="2"/>
        <v>/</v>
      </c>
      <c r="E29" s="387">
        <f ca="1">IF(表1_434567[[#This Row],[累计净值]]/MAX(INDIRECT("B20:B" &amp; ROW()))-1&lt;E28,表1_434567[[#This Row],[累计净值]]/MAX(INDIRECT("B20:B" &amp; ROW()))-1,E28)</f>
        <v>-8.4991127299895997E-3</v>
      </c>
      <c r="F29" s="390">
        <f>表1_434567[[#This Row],[累计净值]]</f>
        <v>1.0766</v>
      </c>
      <c r="G29" s="388">
        <f>IF(表1_434567[[#This Row],[单位净值]]&gt;$F$20,0.8*(表1_434567[[#This Row],[单位净值]]/$F$20-1),表1_434567[[#This Row],[单位净值]]/$F$20-1)</f>
        <v>5.3090332805071229E-2</v>
      </c>
    </row>
    <row r="30" spans="1:7">
      <c r="A30" s="385">
        <v>44302</v>
      </c>
      <c r="B30" s="346">
        <v>1.0802</v>
      </c>
      <c r="C30" s="389">
        <f t="shared" si="3"/>
        <v>3.6000000000000476E-3</v>
      </c>
      <c r="D30" s="387" t="str">
        <f t="shared" si="2"/>
        <v>/</v>
      </c>
      <c r="E30" s="387">
        <f ca="1">IF(表1_434567[[#This Row],[累计净值]]/MAX(INDIRECT("B20:B" &amp; ROW()))-1&lt;E29,表1_434567[[#This Row],[累计净值]]/MAX(INDIRECT("B20:B" &amp; ROW()))-1,E29)</f>
        <v>-8.4991127299895997E-3</v>
      </c>
      <c r="F30" s="390">
        <f>表1_434567[[#This Row],[累计净值]]</f>
        <v>1.0802</v>
      </c>
      <c r="G30" s="388">
        <f>IF(表1_434567[[#This Row],[单位净值]]&gt;$F$20,0.8*(表1_434567[[#This Row],[单位净值]]/$F$20-1),表1_434567[[#This Row],[单位净值]]/$F$20-1)</f>
        <v>5.5942947702060236E-2</v>
      </c>
    </row>
    <row r="31" spans="1:7">
      <c r="A31" s="385">
        <v>44309</v>
      </c>
      <c r="B31" s="346">
        <v>1.0868</v>
      </c>
      <c r="C31" s="389">
        <f t="shared" si="3"/>
        <v>6.5999999999999392E-3</v>
      </c>
      <c r="D31" s="387" t="str">
        <f t="shared" si="2"/>
        <v>/</v>
      </c>
      <c r="E31" s="387">
        <f ca="1">IF(表1_434567[[#This Row],[累计净值]]/MAX(INDIRECT("B20:B" &amp; ROW()))-1&lt;E30,表1_434567[[#This Row],[累计净值]]/MAX(INDIRECT("B20:B" &amp; ROW()))-1,E30)</f>
        <v>-8.4991127299895997E-3</v>
      </c>
      <c r="F31" s="390">
        <f>表1_434567[[#This Row],[累计净值]]</f>
        <v>1.0868</v>
      </c>
      <c r="G31" s="388">
        <f>IF(表1_434567[[#This Row],[单位净值]]&gt;$F$20,0.8*(表1_434567[[#This Row],[单位净值]]/$F$20-1),表1_434567[[#This Row],[单位净值]]/$F$20-1)</f>
        <v>6.1172741679873077E-2</v>
      </c>
    </row>
    <row r="32" spans="1:7">
      <c r="A32" s="385">
        <v>44316</v>
      </c>
      <c r="B32" s="346"/>
      <c r="C32" s="389">
        <f>B32-B31</f>
        <v>-1.0868</v>
      </c>
      <c r="D32" s="387">
        <f>IF(C32&lt;0,C32,"/")</f>
        <v>-1.0868</v>
      </c>
      <c r="E32" s="387">
        <f ca="1">IF(表1_434567[[#This Row],[累计净值]]/MAX(INDIRECT("B20:B" &amp; ROW()))-1&lt;E31,表1_434567[[#This Row],[累计净值]]/MAX(INDIRECT("B20:B" &amp; ROW()))-1,E31)</f>
        <v>-1</v>
      </c>
      <c r="F32" s="390">
        <f>表1_434567[[#This Row],[累计净值]]</f>
        <v>0</v>
      </c>
      <c r="G32" s="388"/>
    </row>
  </sheetData>
  <phoneticPr fontId="24" type="noConversion"/>
  <pageMargins left="0.7" right="0.7" top="0.75" bottom="0.75" header="0.3" footer="0.3"/>
  <pageSetup paperSize="9" orientation="portrait" r:id="rId1"/>
  <drawing r:id="rId2"/>
  <legacyDrawing r:id="rId3"/>
  <tableParts count="1">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6">
    <tabColor theme="1"/>
  </sheetPr>
  <dimension ref="A1:G198"/>
  <sheetViews>
    <sheetView workbookViewId="0">
      <pane xSplit="1" ySplit="20" topLeftCell="B185" activePane="bottomRight" state="frozen"/>
      <selection pane="topRight" activeCell="B1" sqref="B1"/>
      <selection pane="bottomLeft" activeCell="A21" sqref="A21"/>
      <selection pane="bottomRight" activeCell="M197" sqref="M197"/>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COUNT(表2_3671626293038912131415232425262728[每日盈亏])</f>
        <v>178</v>
      </c>
      <c r="C2" s="27"/>
      <c r="D2" s="3" t="s">
        <v>1</v>
      </c>
      <c r="E2" s="28"/>
      <c r="F2" s="1" t="s">
        <v>2</v>
      </c>
      <c r="G2" s="400" t="s">
        <v>3</v>
      </c>
    </row>
    <row r="3" spans="1:7">
      <c r="A3" s="25" t="s">
        <v>4</v>
      </c>
      <c r="B3" s="26">
        <f>COUNTIF(表2_3671626293038912131415232425262728[每日盈亏],"&gt;0")</f>
        <v>98</v>
      </c>
      <c r="C3" s="29"/>
      <c r="D3" s="30" t="s">
        <v>5</v>
      </c>
      <c r="E3" s="31">
        <f>245^0.5*(B10-0.025/365)/E10</f>
        <v>-0.57430749641218171</v>
      </c>
      <c r="G3" s="400"/>
    </row>
    <row r="4" spans="1:7">
      <c r="A4" s="25" t="s">
        <v>6</v>
      </c>
      <c r="B4" s="26">
        <f>COUNTIF(表2_3671626293038912131415232425262728[每日盈亏],"&lt;0")</f>
        <v>70</v>
      </c>
      <c r="C4" s="29"/>
      <c r="D4" s="32" t="s">
        <v>7</v>
      </c>
      <c r="E4" s="31">
        <f ca="1">-B9/E8</f>
        <v>-0.32261272004241137</v>
      </c>
      <c r="G4" s="2">
        <f>LOOKUP(999^10,表2_3671626293038912131415232425262728[累计净值])</f>
        <v>0.97119999999999995</v>
      </c>
    </row>
    <row r="5" spans="1:7">
      <c r="A5" s="25" t="s">
        <v>8</v>
      </c>
      <c r="B5" s="26">
        <f>B2-B3-B4</f>
        <v>10</v>
      </c>
      <c r="C5" s="29"/>
      <c r="D5" s="33" t="s">
        <v>9</v>
      </c>
      <c r="E5" s="4">
        <f>245^0.5*(B10-0.025/365)/E9</f>
        <v>-0.51830427491821407</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LOOKUP(999^10,表2_3671626293038912131415232425262728[累计净值])/$B$21-1</f>
        <v>-2.7633159791750184E-2</v>
      </c>
      <c r="C8" s="40"/>
      <c r="D8" s="30" t="s">
        <v>13</v>
      </c>
      <c r="E8" s="41">
        <f ca="1">MIN(表2_3671626293038912131415232425262728[最大回撤])</f>
        <v>-0.11789493398258277</v>
      </c>
    </row>
    <row r="9" spans="1:7">
      <c r="A9" s="25" t="s">
        <v>14</v>
      </c>
      <c r="B9" s="32">
        <f>B8*245/B2</f>
        <v>-3.8034405331341545E-2</v>
      </c>
      <c r="C9" s="40"/>
      <c r="D9" s="33" t="s">
        <v>15</v>
      </c>
      <c r="E9" s="6">
        <f>STDEV(表2_3671626293038912131415232425262728[下跌幅度])</f>
        <v>6.7510546680081751E-3</v>
      </c>
    </row>
    <row r="10" spans="1:7">
      <c r="A10" s="42" t="s">
        <v>16</v>
      </c>
      <c r="B10" s="43">
        <f>AVERAGE(表2_3671626293038912131415232425262728[每日盈亏])</f>
        <v>-1.5505617977528129E-4</v>
      </c>
      <c r="C10" s="44"/>
      <c r="D10" s="33" t="s">
        <v>17</v>
      </c>
      <c r="E10" s="6">
        <f>STDEV(表2_3671626293038912131415232425262728[每日盈亏])</f>
        <v>6.0927299686923987E-3</v>
      </c>
    </row>
    <row r="11" spans="1:7">
      <c r="A11" s="7" t="s">
        <v>18</v>
      </c>
      <c r="B11" s="32">
        <f>B3/B2</f>
        <v>0.550561797752809</v>
      </c>
      <c r="C11" s="40"/>
      <c r="D11" s="32" t="s">
        <v>19</v>
      </c>
      <c r="E11" s="41">
        <f>245^0.5*E10</f>
        <v>9.5366308649824594E-2</v>
      </c>
    </row>
    <row r="12" spans="1:7" ht="16" thickBot="1">
      <c r="A12" s="45" t="s">
        <v>20</v>
      </c>
      <c r="B12" s="46">
        <f>-(SUMIF(表2_3671626293038912131415232425262728[每日盈亏],"&gt;=0")/B3)/(SUMIF(表2_3671626293038912131415232425262728[每日盈亏],"&lt;0")/B4)</f>
        <v>0.65621712602566806</v>
      </c>
      <c r="C12" s="47"/>
      <c r="D12" s="48"/>
      <c r="E12" s="49"/>
    </row>
    <row r="14" spans="1:7" ht="32">
      <c r="A14" s="50" t="s">
        <v>21</v>
      </c>
      <c r="B14" s="50" t="s">
        <v>14</v>
      </c>
      <c r="C14" s="51" t="s">
        <v>19</v>
      </c>
      <c r="D14" s="51" t="s">
        <v>13</v>
      </c>
      <c r="E14" s="51" t="s">
        <v>5</v>
      </c>
      <c r="F14" s="51" t="s">
        <v>7</v>
      </c>
    </row>
    <row r="15" spans="1:7">
      <c r="A15" s="78">
        <f>B2</f>
        <v>178</v>
      </c>
      <c r="B15" s="53">
        <f>B9</f>
        <v>-3.8034405331341545E-2</v>
      </c>
      <c r="C15" s="53">
        <f>E11</f>
        <v>9.5366308649824594E-2</v>
      </c>
      <c r="D15" s="53">
        <f ca="1">E8</f>
        <v>-0.11789493398258277</v>
      </c>
      <c r="E15" s="54">
        <f>E3</f>
        <v>-0.57430749641218171</v>
      </c>
      <c r="F15" s="54">
        <f ca="1">E4</f>
        <v>-0.32261272004241137</v>
      </c>
    </row>
    <row r="19" spans="1:7">
      <c r="A19" s="8"/>
      <c r="B19" s="1" t="s">
        <v>22</v>
      </c>
    </row>
    <row r="20" spans="1:7" ht="16">
      <c r="A20" s="22" t="s">
        <v>23</v>
      </c>
      <c r="B20" s="22" t="s">
        <v>24</v>
      </c>
      <c r="C20" s="22" t="s">
        <v>25</v>
      </c>
      <c r="D20" s="22" t="s">
        <v>26</v>
      </c>
      <c r="E20" s="22" t="s">
        <v>27</v>
      </c>
      <c r="F20" s="22" t="s">
        <v>28</v>
      </c>
      <c r="G20" s="22" t="s">
        <v>29</v>
      </c>
    </row>
    <row r="21" spans="1:7">
      <c r="A21" s="15">
        <v>44061</v>
      </c>
      <c r="B21" s="16">
        <v>0.99880000000000002</v>
      </c>
      <c r="C21" s="11">
        <f t="shared" ref="C21:C27" si="0">IFERROR(B21-B20,0)</f>
        <v>0</v>
      </c>
      <c r="D21" s="12" t="str">
        <f>IF(C21&lt;0,C21,"/")</f>
        <v>/</v>
      </c>
      <c r="E21" s="12">
        <f ca="1">IF(表2_3671626293038912131415232425262728[[#This Row],[累计净值]]/MAX(INDIRECT("B21:B" &amp; ROW()))-1&lt;E20,表2_3671626293038912131415232425262728[[#This Row],[累计净值]]/MAX(INDIRECT("B21:B" &amp; ROW()))-1,E20)</f>
        <v>0</v>
      </c>
      <c r="F21" s="13">
        <f>表2_3671626293038912131415232425262728[[#This Row],[累计净值]]</f>
        <v>0.99880000000000002</v>
      </c>
      <c r="G21" s="194" t="s">
        <v>30</v>
      </c>
    </row>
    <row r="22" spans="1:7">
      <c r="A22" s="15">
        <v>44062</v>
      </c>
      <c r="B22" s="16">
        <v>0.99939999999999996</v>
      </c>
      <c r="C22" s="17">
        <f t="shared" si="0"/>
        <v>5.9999999999993392E-4</v>
      </c>
      <c r="D22" s="18" t="str">
        <f>IF(C22&lt;0,C22,"/")</f>
        <v>/</v>
      </c>
      <c r="E22" s="18">
        <f ca="1">IF(表2_3671626293038912131415232425262728[[#This Row],[累计净值]]/MAX(INDIRECT("B21:B" &amp; ROW()))-1&lt;E21,表2_3671626293038912131415232425262728[[#This Row],[累计净值]]/MAX(INDIRECT("B21:B" &amp; ROW()))-1,E21)</f>
        <v>0</v>
      </c>
      <c r="F22" s="19">
        <f>表2_3671626293038912131415232425262728[[#This Row],[累计净值]]</f>
        <v>0.99939999999999996</v>
      </c>
      <c r="G22" s="20">
        <f>表2_3671626293038912131415232425262728[[#This Row],[累计净值]]/$B$21-1</f>
        <v>6.0072086503804023E-4</v>
      </c>
    </row>
    <row r="23" spans="1:7">
      <c r="A23" s="15">
        <v>44063</v>
      </c>
      <c r="B23" s="112">
        <v>0.99950000000000006</v>
      </c>
      <c r="C23" s="17">
        <f t="shared" si="0"/>
        <v>1.0000000000010001E-4</v>
      </c>
      <c r="D23" s="109" t="str">
        <f>IF(C23&lt;0,C23,"/")</f>
        <v>/</v>
      </c>
      <c r="E23" s="18">
        <f ca="1">IF(表2_3671626293038912131415232425262728[[#This Row],[累计净值]]/MAX(INDIRECT("B21:B" &amp; ROW()))-1&lt;E22,表2_3671626293038912131415232425262728[[#This Row],[累计净值]]/MAX(INDIRECT("B21:B" &amp; ROW()))-1,E22)</f>
        <v>0</v>
      </c>
      <c r="F23" s="110">
        <f>表2_3671626293038912131415232425262728[[#This Row],[累计净值]]</f>
        <v>0.99950000000000006</v>
      </c>
      <c r="G23" s="20">
        <f>表2_3671626293038912131415232425262728[[#This Row],[累计净值]]/$B$21-1</f>
        <v>7.0084100921108394E-4</v>
      </c>
    </row>
    <row r="24" spans="1:7">
      <c r="A24" s="15">
        <v>44064</v>
      </c>
      <c r="B24" s="112">
        <v>0.99919999999999998</v>
      </c>
      <c r="C24" s="17">
        <f t="shared" si="0"/>
        <v>-3.0000000000007798E-4</v>
      </c>
      <c r="D24" s="109">
        <f>IF(C24&lt;0,C24,"/")</f>
        <v>-3.0000000000007798E-4</v>
      </c>
      <c r="E24" s="18">
        <f ca="1">IF(表2_3671626293038912131415232425262728[[#This Row],[累计净值]]/MAX(INDIRECT("B21:B" &amp; ROW()))-1&lt;E23,表2_3671626293038912131415232425262728[[#This Row],[累计净值]]/MAX(INDIRECT("B21:B" &amp; ROW()))-1,E23)</f>
        <v>-3.0015007503758628E-4</v>
      </c>
      <c r="F24" s="110">
        <f>表2_3671626293038912131415232425262728[[#This Row],[累计净值]]</f>
        <v>0.99919999999999998</v>
      </c>
      <c r="G24" s="20">
        <f>表2_3671626293038912131415232425262728[[#This Row],[累计净值]]/$B$21-1</f>
        <v>4.0048057669195281E-4</v>
      </c>
    </row>
    <row r="25" spans="1:7">
      <c r="A25" s="15">
        <v>44067</v>
      </c>
      <c r="B25" s="112">
        <v>0.99829999999999997</v>
      </c>
      <c r="C25" s="17">
        <f t="shared" si="0"/>
        <v>-9.000000000000119E-4</v>
      </c>
      <c r="D25" s="109">
        <f>IF(C25&lt;0,C25,"/")</f>
        <v>-9.000000000000119E-4</v>
      </c>
      <c r="E25" s="18">
        <f ca="1">IF(表2_3671626293038912131415232425262728[[#This Row],[累计净值]]/MAX(INDIRECT("B21:B" &amp; ROW()))-1&lt;E24,表2_3671626293038912131415232425262728[[#This Row],[累计净值]]/MAX(INDIRECT("B21:B" &amp; ROW()))-1,E24)</f>
        <v>-1.2006003001501231E-3</v>
      </c>
      <c r="F25" s="110">
        <f>表2_3671626293038912131415232425262728[[#This Row],[累计净值]]</f>
        <v>0.99829999999999997</v>
      </c>
      <c r="G25" s="20">
        <f>表2_3671626293038912131415232425262728[[#This Row],[累计净值]]/$B$21-1</f>
        <v>-5.0060072086510754E-4</v>
      </c>
    </row>
    <row r="26" spans="1:7">
      <c r="A26" s="15">
        <v>44068</v>
      </c>
      <c r="B26" s="112">
        <v>0.99970000000000003</v>
      </c>
      <c r="C26" s="17">
        <f t="shared" si="0"/>
        <v>1.4000000000000679E-3</v>
      </c>
      <c r="D26" s="109" t="str">
        <f t="shared" ref="D26:D31" si="1">IF(C26&lt;0,C26,"/")</f>
        <v>/</v>
      </c>
      <c r="E26" s="18">
        <f ca="1">IF(表2_3671626293038912131415232425262728[[#This Row],[累计净值]]/MAX(INDIRECT("B21:B" &amp; ROW()))-1&lt;E25,表2_3671626293038912131415232425262728[[#This Row],[累计净值]]/MAX(INDIRECT("B21:B" &amp; ROW()))-1,E25)</f>
        <v>-1.2006003001501231E-3</v>
      </c>
      <c r="F26" s="110">
        <f>表2_3671626293038912131415232425262728[[#This Row],[累计净值]]</f>
        <v>0.99970000000000003</v>
      </c>
      <c r="G26" s="20">
        <f>表2_3671626293038912131415232425262728[[#This Row],[累计净值]]/$B$21-1</f>
        <v>9.0108129755717137E-4</v>
      </c>
    </row>
    <row r="27" spans="1:7">
      <c r="A27" s="15">
        <v>44069</v>
      </c>
      <c r="B27" s="112">
        <v>1.0012000000000001</v>
      </c>
      <c r="C27" s="17">
        <f t="shared" si="0"/>
        <v>1.5000000000000568E-3</v>
      </c>
      <c r="D27" s="109" t="str">
        <f t="shared" si="1"/>
        <v>/</v>
      </c>
      <c r="E27" s="18">
        <f ca="1">IF(表2_3671626293038912131415232425262728[[#This Row],[累计净值]]/MAX(INDIRECT("B21:B" &amp; ROW()))-1&lt;E26,表2_3671626293038912131415232425262728[[#This Row],[累计净值]]/MAX(INDIRECT("B21:B" &amp; ROW()))-1,E26)</f>
        <v>-1.2006003001501231E-3</v>
      </c>
      <c r="F27" s="110">
        <f>表2_3671626293038912131415232425262728[[#This Row],[累计净值]]</f>
        <v>1.0012000000000001</v>
      </c>
      <c r="G27" s="20">
        <f>表2_3671626293038912131415232425262728[[#This Row],[累计净值]]/$B$21-1</f>
        <v>2.4028834601521609E-3</v>
      </c>
    </row>
    <row r="28" spans="1:7">
      <c r="A28" s="15">
        <v>44070</v>
      </c>
      <c r="B28" s="112">
        <v>1.0006999999999999</v>
      </c>
      <c r="C28" s="108">
        <f t="shared" ref="C28:C33" si="2">IFERROR(B28-B27,0)</f>
        <v>-5.0000000000016698E-4</v>
      </c>
      <c r="D28" s="109">
        <f t="shared" si="1"/>
        <v>-5.0000000000016698E-4</v>
      </c>
      <c r="E28" s="109">
        <f ca="1">IF(表2_3671626293038912131415232425262728[[#This Row],[累计净值]]/MAX(INDIRECT("B21:B" &amp; ROW()))-1&lt;E27,表2_3671626293038912131415232425262728[[#This Row],[累计净值]]/MAX(INDIRECT("B21:B" &amp; ROW()))-1,E27)</f>
        <v>-1.2006003001501231E-3</v>
      </c>
      <c r="F28" s="110">
        <f>表2_3671626293038912131415232425262728[[#This Row],[累计净值]]</f>
        <v>1.0006999999999999</v>
      </c>
      <c r="G28" s="20">
        <f>表2_3671626293038912131415232425262728[[#This Row],[累计净值]]/$B$21-1</f>
        <v>1.9022827392869424E-3</v>
      </c>
    </row>
    <row r="29" spans="1:7">
      <c r="A29" s="15">
        <v>44071</v>
      </c>
      <c r="B29" s="112">
        <v>1.0019</v>
      </c>
      <c r="C29" s="108">
        <f t="shared" si="2"/>
        <v>1.2000000000000899E-3</v>
      </c>
      <c r="D29" s="109" t="str">
        <f t="shared" si="1"/>
        <v>/</v>
      </c>
      <c r="E29" s="109">
        <f ca="1">IF(表2_3671626293038912131415232425262728[[#This Row],[累计净值]]/MAX(INDIRECT("B21:B" &amp; ROW()))-1&lt;E28,表2_3671626293038912131415232425262728[[#This Row],[累计净值]]/MAX(INDIRECT("B21:B" &amp; ROW()))-1,E28)</f>
        <v>-1.2006003001501231E-3</v>
      </c>
      <c r="F29" s="110">
        <f>表2_3671626293038912131415232425262728[[#This Row],[累计净值]]</f>
        <v>1.0019</v>
      </c>
      <c r="G29" s="20">
        <f>表2_3671626293038912131415232425262728[[#This Row],[累计净值]]/$B$21-1</f>
        <v>3.1037244693632449E-3</v>
      </c>
    </row>
    <row r="30" spans="1:7">
      <c r="A30" s="15">
        <v>44074</v>
      </c>
      <c r="B30" s="112">
        <v>1.0022</v>
      </c>
      <c r="C30" s="108">
        <f t="shared" si="2"/>
        <v>2.9999999999996696E-4</v>
      </c>
      <c r="D30" s="109" t="str">
        <f t="shared" si="1"/>
        <v>/</v>
      </c>
      <c r="E30" s="109">
        <f ca="1">IF(表2_3671626293038912131415232425262728[[#This Row],[累计净值]]/MAX(INDIRECT("B21:B" &amp; ROW()))-1&lt;E29,表2_3671626293038912131415232425262728[[#This Row],[累计净值]]/MAX(INDIRECT("B21:B" &amp; ROW()))-1,E29)</f>
        <v>-1.2006003001501231E-3</v>
      </c>
      <c r="F30" s="110">
        <f>表2_3671626293038912131415232425262728[[#This Row],[累计净值]]</f>
        <v>1.0022</v>
      </c>
      <c r="G30" s="20">
        <f>表2_3671626293038912131415232425262728[[#This Row],[累计净值]]/$B$21-1</f>
        <v>3.404084901882154E-3</v>
      </c>
    </row>
    <row r="31" spans="1:7">
      <c r="A31" s="15">
        <v>44075</v>
      </c>
      <c r="B31" s="112">
        <v>1.0008999999999999</v>
      </c>
      <c r="C31" s="108">
        <f t="shared" si="2"/>
        <v>-1.3000000000000789E-3</v>
      </c>
      <c r="D31" s="109">
        <f t="shared" si="1"/>
        <v>-1.3000000000000789E-3</v>
      </c>
      <c r="E31" s="109">
        <f ca="1">IF(表2_3671626293038912131415232425262728[[#This Row],[累计净值]]/MAX(INDIRECT("B21:B" &amp; ROW()))-1&lt;E30,表2_3671626293038912131415232425262728[[#This Row],[累计净值]]/MAX(INDIRECT("B21:B" &amp; ROW()))-1,E30)</f>
        <v>-1.2971462781881105E-3</v>
      </c>
      <c r="F31" s="110">
        <f>表2_3671626293038912131415232425262728[[#This Row],[累计净值]]</f>
        <v>1.0008999999999999</v>
      </c>
      <c r="G31" s="20">
        <f>表2_3671626293038912131415232425262728[[#This Row],[累计净值]]/$B$21-1</f>
        <v>2.1025230276330298E-3</v>
      </c>
    </row>
    <row r="32" spans="1:7">
      <c r="A32" s="15">
        <v>44076</v>
      </c>
      <c r="B32" s="112">
        <v>1.0032000000000001</v>
      </c>
      <c r="C32" s="108">
        <f t="shared" si="2"/>
        <v>2.3000000000001908E-3</v>
      </c>
      <c r="D32" s="109" t="str">
        <f t="shared" ref="D32:D38" si="3">IF(C32&lt;0,C32,"/")</f>
        <v>/</v>
      </c>
      <c r="E32" s="109">
        <f ca="1">IF(表2_3671626293038912131415232425262728[[#This Row],[累计净值]]/MAX(INDIRECT("B21:B" &amp; ROW()))-1&lt;E31,表2_3671626293038912131415232425262728[[#This Row],[累计净值]]/MAX(INDIRECT("B21:B" &amp; ROW()))-1,E31)</f>
        <v>-1.2971462781881105E-3</v>
      </c>
      <c r="F32" s="110">
        <f>表2_3671626293038912131415232425262728[[#This Row],[累计净值]]</f>
        <v>1.0032000000000001</v>
      </c>
      <c r="G32" s="20">
        <f>表2_3671626293038912131415232425262728[[#This Row],[累计净值]]/$B$21-1</f>
        <v>4.405286343612369E-3</v>
      </c>
    </row>
    <row r="33" spans="1:7">
      <c r="A33" s="15">
        <v>44077</v>
      </c>
      <c r="B33" s="112">
        <v>1.0032000000000001</v>
      </c>
      <c r="C33" s="108">
        <f t="shared" si="2"/>
        <v>0</v>
      </c>
      <c r="D33" s="109" t="str">
        <f t="shared" si="3"/>
        <v>/</v>
      </c>
      <c r="E33" s="109">
        <f ca="1">IF(表2_3671626293038912131415232425262728[[#This Row],[累计净值]]/MAX(INDIRECT("B21:B" &amp; ROW()))-1&lt;E32,表2_3671626293038912131415232425262728[[#This Row],[累计净值]]/MAX(INDIRECT("B21:B" &amp; ROW()))-1,E32)</f>
        <v>-1.2971462781881105E-3</v>
      </c>
      <c r="F33" s="110">
        <f>表2_3671626293038912131415232425262728[[#This Row],[累计净值]]</f>
        <v>1.0032000000000001</v>
      </c>
      <c r="G33" s="20">
        <f>表2_3671626293038912131415232425262728[[#This Row],[累计净值]]/$B$21-1</f>
        <v>4.405286343612369E-3</v>
      </c>
    </row>
    <row r="34" spans="1:7">
      <c r="A34" s="15">
        <v>44078</v>
      </c>
      <c r="B34" s="112">
        <v>1.0023</v>
      </c>
      <c r="C34" s="108">
        <f>IFERROR(B34-B33,0)</f>
        <v>-9.0000000000012292E-4</v>
      </c>
      <c r="D34" s="109">
        <f t="shared" si="3"/>
        <v>-9.0000000000012292E-4</v>
      </c>
      <c r="E34" s="109">
        <f ca="1">IF(表2_3671626293038912131415232425262728[[#This Row],[累计净值]]/MAX(INDIRECT("B21:B" &amp; ROW()))-1&lt;E33,表2_3671626293038912131415232425262728[[#This Row],[累计净值]]/MAX(INDIRECT("B21:B" &amp; ROW()))-1,E33)</f>
        <v>-1.2971462781881105E-3</v>
      </c>
      <c r="F34" s="110">
        <f>表2_3671626293038912131415232425262728[[#This Row],[累计净值]]</f>
        <v>1.0023</v>
      </c>
      <c r="G34" s="20">
        <f>表2_3671626293038912131415232425262728[[#This Row],[累计净值]]/$B$21-1</f>
        <v>3.5042050460551977E-3</v>
      </c>
    </row>
    <row r="35" spans="1:7">
      <c r="A35" s="15">
        <v>44081</v>
      </c>
      <c r="B35" s="112">
        <v>1.0041</v>
      </c>
      <c r="C35" s="108">
        <f>IFERROR(B35-B34,0)</f>
        <v>1.8000000000000238E-3</v>
      </c>
      <c r="D35" s="109" t="str">
        <f t="shared" si="3"/>
        <v>/</v>
      </c>
      <c r="E35" s="109">
        <f ca="1">IF(表2_3671626293038912131415232425262728[[#This Row],[累计净值]]/MAX(INDIRECT("B21:B" &amp; ROW()))-1&lt;E34,表2_3671626293038912131415232425262728[[#This Row],[累计净值]]/MAX(INDIRECT("B21:B" &amp; ROW()))-1,E34)</f>
        <v>-1.2971462781881105E-3</v>
      </c>
      <c r="F35" s="110">
        <f>表2_3671626293038912131415232425262728[[#This Row],[累计净值]]</f>
        <v>1.0041</v>
      </c>
      <c r="G35" s="20">
        <f>表2_3671626293038912131415232425262728[[#This Row],[累计净值]]/$B$21-1</f>
        <v>5.3063676411693184E-3</v>
      </c>
    </row>
    <row r="36" spans="1:7">
      <c r="A36" s="15">
        <v>44082</v>
      </c>
      <c r="B36" s="112">
        <v>1.0045999999999999</v>
      </c>
      <c r="C36" s="108">
        <f>IFERROR(B36-B35,0)</f>
        <v>4.9999999999994493E-4</v>
      </c>
      <c r="D36" s="109" t="str">
        <f t="shared" si="3"/>
        <v>/</v>
      </c>
      <c r="E36" s="109">
        <f ca="1">IF(表2_3671626293038912131415232425262728[[#This Row],[累计净值]]/MAX(INDIRECT("B21:B" &amp; ROW()))-1&lt;E35,表2_3671626293038912131415232425262728[[#This Row],[累计净值]]/MAX(INDIRECT("B21:B" &amp; ROW()))-1,E35)</f>
        <v>-1.2971462781881105E-3</v>
      </c>
      <c r="F36" s="110">
        <f>表2_3671626293038912131415232425262728[[#This Row],[累计净值]]</f>
        <v>1.0045999999999999</v>
      </c>
      <c r="G36" s="20">
        <f>表2_3671626293038912131415232425262728[[#This Row],[累计净值]]/$B$21-1</f>
        <v>5.8069683620343149E-3</v>
      </c>
    </row>
    <row r="37" spans="1:7">
      <c r="A37" s="15">
        <v>44083</v>
      </c>
      <c r="B37" s="112">
        <v>1.0027999999999999</v>
      </c>
      <c r="C37" s="108">
        <f>IFERROR(B37-B36,0)</f>
        <v>-1.8000000000000238E-3</v>
      </c>
      <c r="D37" s="109">
        <f t="shared" si="3"/>
        <v>-1.8000000000000238E-3</v>
      </c>
      <c r="E37" s="109">
        <f ca="1">IF(表2_3671626293038912131415232425262728[[#This Row],[累计净值]]/MAX(INDIRECT("B21:B" &amp; ROW()))-1&lt;E36,表2_3671626293038912131415232425262728[[#This Row],[累计净值]]/MAX(INDIRECT("B21:B" &amp; ROW()))-1,E36)</f>
        <v>-1.7917579135974249E-3</v>
      </c>
      <c r="F37" s="110">
        <f>表2_3671626293038912131415232425262728[[#This Row],[累计净值]]</f>
        <v>1.0027999999999999</v>
      </c>
      <c r="G37" s="20">
        <f>表2_3671626293038912131415232425262728[[#This Row],[累计净值]]/$B$21-1</f>
        <v>4.0048057669201942E-3</v>
      </c>
    </row>
    <row r="38" spans="1:7">
      <c r="A38" s="15">
        <v>44084</v>
      </c>
      <c r="B38" s="112">
        <v>1.004</v>
      </c>
      <c r="C38" s="108">
        <f>IFERROR(B38-B37,0)</f>
        <v>1.2000000000000899E-3</v>
      </c>
      <c r="D38" s="109" t="str">
        <f t="shared" si="3"/>
        <v>/</v>
      </c>
      <c r="E38" s="109">
        <f ca="1">IF(表2_3671626293038912131415232425262728[[#This Row],[累计净值]]/MAX(INDIRECT("B21:B" &amp; ROW()))-1&lt;E37,表2_3671626293038912131415232425262728[[#This Row],[累计净值]]/MAX(INDIRECT("B21:B" &amp; ROW()))-1,E37)</f>
        <v>-1.7917579135974249E-3</v>
      </c>
      <c r="F38" s="110">
        <f>表2_3671626293038912131415232425262728[[#This Row],[累计净值]]</f>
        <v>1.004</v>
      </c>
      <c r="G38" s="20">
        <f>表2_3671626293038912131415232425262728[[#This Row],[累计净值]]/$B$21-1</f>
        <v>5.2062474969962746E-3</v>
      </c>
    </row>
    <row r="39" spans="1:7">
      <c r="A39" s="15">
        <v>44085</v>
      </c>
      <c r="B39" s="112">
        <v>1.004</v>
      </c>
      <c r="C39" s="108">
        <f t="shared" ref="C39:C44" si="4">IFERROR(B39-B38,0)</f>
        <v>0</v>
      </c>
      <c r="D39" s="109" t="str">
        <f t="shared" ref="D39:D44" si="5">IF(C39&lt;0,C39,"/")</f>
        <v>/</v>
      </c>
      <c r="E39" s="109">
        <f ca="1">IF(表2_3671626293038912131415232425262728[[#This Row],[累计净值]]/MAX(INDIRECT("B21:B" &amp; ROW()))-1&lt;E38,表2_3671626293038912131415232425262728[[#This Row],[累计净值]]/MAX(INDIRECT("B21:B" &amp; ROW()))-1,E38)</f>
        <v>-1.7917579135974249E-3</v>
      </c>
      <c r="F39" s="110">
        <f>表2_3671626293038912131415232425262728[[#This Row],[累计净值]]</f>
        <v>1.004</v>
      </c>
      <c r="G39" s="20">
        <f>表2_3671626293038912131415232425262728[[#This Row],[累计净值]]/$B$21-1</f>
        <v>5.2062474969962746E-3</v>
      </c>
    </row>
    <row r="40" spans="1:7">
      <c r="A40" s="15">
        <v>44088</v>
      </c>
      <c r="B40" s="112">
        <v>1.0042</v>
      </c>
      <c r="C40" s="108">
        <f t="shared" si="4"/>
        <v>1.9999999999997797E-4</v>
      </c>
      <c r="D40" s="109" t="str">
        <f t="shared" si="5"/>
        <v>/</v>
      </c>
      <c r="E40" s="109">
        <f ca="1">IF(表2_3671626293038912131415232425262728[[#This Row],[累计净值]]/MAX(INDIRECT("B21:B" &amp; ROW()))-1&lt;E39,表2_3671626293038912131415232425262728[[#This Row],[累计净值]]/MAX(INDIRECT("B21:B" &amp; ROW()))-1,E39)</f>
        <v>-1.7917579135974249E-3</v>
      </c>
      <c r="F40" s="110">
        <f>表2_3671626293038912131415232425262728[[#This Row],[累计净值]]</f>
        <v>1.0042</v>
      </c>
      <c r="G40" s="20">
        <f>表2_3671626293038912131415232425262728[[#This Row],[累计净值]]/$B$21-1</f>
        <v>5.4064877853423621E-3</v>
      </c>
    </row>
    <row r="41" spans="1:7">
      <c r="A41" s="15">
        <v>44089</v>
      </c>
      <c r="B41" s="112">
        <v>1.006</v>
      </c>
      <c r="C41" s="108">
        <f t="shared" si="4"/>
        <v>1.8000000000000238E-3</v>
      </c>
      <c r="D41" s="109" t="str">
        <f t="shared" si="5"/>
        <v>/</v>
      </c>
      <c r="E41" s="109">
        <f ca="1">IF(表2_3671626293038912131415232425262728[[#This Row],[累计净值]]/MAX(INDIRECT("B21:B" &amp; ROW()))-1&lt;E40,表2_3671626293038912131415232425262728[[#This Row],[累计净值]]/MAX(INDIRECT("B21:B" &amp; ROW()))-1,E40)</f>
        <v>-1.7917579135974249E-3</v>
      </c>
      <c r="F41" s="110">
        <f>表2_3671626293038912131415232425262728[[#This Row],[累计净值]]</f>
        <v>1.006</v>
      </c>
      <c r="G41" s="20">
        <f>表2_3671626293038912131415232425262728[[#This Row],[累计净值]]/$B$21-1</f>
        <v>7.2086503804564828E-3</v>
      </c>
    </row>
    <row r="42" spans="1:7">
      <c r="A42" s="15">
        <v>44090</v>
      </c>
      <c r="B42" s="112">
        <v>1.0059</v>
      </c>
      <c r="C42" s="108">
        <f t="shared" si="4"/>
        <v>-9.9999999999988987E-5</v>
      </c>
      <c r="D42" s="109">
        <f t="shared" si="5"/>
        <v>-9.9999999999988987E-5</v>
      </c>
      <c r="E42" s="109">
        <f ca="1">IF(表2_3671626293038912131415232425262728[[#This Row],[累计净值]]/MAX(INDIRECT("B21:B" &amp; ROW()))-1&lt;E41,表2_3671626293038912131415232425262728[[#This Row],[累计净值]]/MAX(INDIRECT("B21:B" &amp; ROW()))-1,E41)</f>
        <v>-1.7917579135974249E-3</v>
      </c>
      <c r="F42" s="110">
        <f>表2_3671626293038912131415232425262728[[#This Row],[累计净值]]</f>
        <v>1.0059</v>
      </c>
      <c r="G42" s="20">
        <f>表2_3671626293038912131415232425262728[[#This Row],[累计净值]]/$B$21-1</f>
        <v>7.1085302362834391E-3</v>
      </c>
    </row>
    <row r="43" spans="1:7">
      <c r="A43" s="15">
        <v>44091</v>
      </c>
      <c r="B43" s="112">
        <v>1.0088999999999999</v>
      </c>
      <c r="C43" s="108">
        <f t="shared" si="4"/>
        <v>2.9999999999998916E-3</v>
      </c>
      <c r="D43" s="109" t="str">
        <f t="shared" si="5"/>
        <v>/</v>
      </c>
      <c r="E43" s="109">
        <f ca="1">IF(表2_3671626293038912131415232425262728[[#This Row],[累计净值]]/MAX(INDIRECT("B21:B" &amp; ROW()))-1&lt;E42,表2_3671626293038912131415232425262728[[#This Row],[累计净值]]/MAX(INDIRECT("B21:B" &amp; ROW()))-1,E42)</f>
        <v>-1.7917579135974249E-3</v>
      </c>
      <c r="F43" s="110">
        <f>表2_3671626293038912131415232425262728[[#This Row],[累计净值]]</f>
        <v>1.0088999999999999</v>
      </c>
      <c r="G43" s="20">
        <f>表2_3671626293038912131415232425262728[[#This Row],[累计净值]]/$B$21-1</f>
        <v>1.011213456147364E-2</v>
      </c>
    </row>
    <row r="44" spans="1:7">
      <c r="A44" s="15">
        <v>44092</v>
      </c>
      <c r="B44" s="112">
        <v>1.0095000000000001</v>
      </c>
      <c r="C44" s="108">
        <f t="shared" si="4"/>
        <v>6.0000000000015596E-4</v>
      </c>
      <c r="D44" s="109" t="str">
        <f t="shared" si="5"/>
        <v>/</v>
      </c>
      <c r="E44" s="109">
        <f ca="1">IF(表2_3671626293038912131415232425262728[[#This Row],[累计净值]]/MAX(INDIRECT("B21:B" &amp; ROW()))-1&lt;E43,表2_3671626293038912131415232425262728[[#This Row],[累计净值]]/MAX(INDIRECT("B21:B" &amp; ROW()))-1,E43)</f>
        <v>-1.7917579135974249E-3</v>
      </c>
      <c r="F44" s="110">
        <f>表2_3671626293038912131415232425262728[[#This Row],[累计净值]]</f>
        <v>1.0095000000000001</v>
      </c>
      <c r="G44" s="20">
        <f>表2_3671626293038912131415232425262728[[#This Row],[累计净值]]/$B$21-1</f>
        <v>1.0712855426511902E-2</v>
      </c>
    </row>
    <row r="45" spans="1:7">
      <c r="A45" s="15">
        <v>44095</v>
      </c>
      <c r="B45" s="112">
        <v>1.0102</v>
      </c>
      <c r="C45" s="108">
        <f t="shared" ref="C45:C50" si="6">IFERROR(B45-B44,0)</f>
        <v>6.9999999999992291E-4</v>
      </c>
      <c r="D45" s="109" t="str">
        <f t="shared" ref="D45:D50" si="7">IF(C45&lt;0,C45,"/")</f>
        <v>/</v>
      </c>
      <c r="E45" s="109">
        <f ca="1">IF(表2_3671626293038912131415232425262728[[#This Row],[累计净值]]/MAX(INDIRECT("B21:B" &amp; ROW()))-1&lt;E44,表2_3671626293038912131415232425262728[[#This Row],[累计净值]]/MAX(INDIRECT("B21:B" &amp; ROW()))-1,E44)</f>
        <v>-1.7917579135974249E-3</v>
      </c>
      <c r="F45" s="110">
        <f>表2_3671626293038912131415232425262728[[#This Row],[累计净值]]</f>
        <v>1.0102</v>
      </c>
      <c r="G45" s="20">
        <f>表2_3671626293038912131415232425262728[[#This Row],[累计净值]]/$B$21-1</f>
        <v>1.1413696435722764E-2</v>
      </c>
    </row>
    <row r="46" spans="1:7">
      <c r="A46" s="15">
        <v>44096</v>
      </c>
      <c r="B46" s="112">
        <v>1.0082</v>
      </c>
      <c r="C46" s="108">
        <f t="shared" si="6"/>
        <v>-2.0000000000000018E-3</v>
      </c>
      <c r="D46" s="109">
        <f t="shared" si="7"/>
        <v>-2.0000000000000018E-3</v>
      </c>
      <c r="E46" s="109">
        <f ca="1">IF(表2_3671626293038912131415232425262728[[#This Row],[累计净值]]/MAX(INDIRECT("B21:B" &amp; ROW()))-1&lt;E45,表2_3671626293038912131415232425262728[[#This Row],[累计净值]]/MAX(INDIRECT("B21:B" &amp; ROW()))-1,E45)</f>
        <v>-1.9798059790140377E-3</v>
      </c>
      <c r="F46" s="110">
        <f>表2_3671626293038912131415232425262728[[#This Row],[累计净值]]</f>
        <v>1.0082</v>
      </c>
      <c r="G46" s="20">
        <f>表2_3671626293038912131415232425262728[[#This Row],[累计净值]]/$B$21-1</f>
        <v>9.4112935522627783E-3</v>
      </c>
    </row>
    <row r="47" spans="1:7">
      <c r="A47" s="15">
        <v>44097</v>
      </c>
      <c r="B47" s="112">
        <v>1.0111000000000001</v>
      </c>
      <c r="C47" s="108">
        <f t="shared" si="6"/>
        <v>2.9000000000001247E-3</v>
      </c>
      <c r="D47" s="109" t="str">
        <f t="shared" si="7"/>
        <v>/</v>
      </c>
      <c r="E47" s="109">
        <f ca="1">IF(表2_3671626293038912131415232425262728[[#This Row],[累计净值]]/MAX(INDIRECT("B21:B" &amp; ROW()))-1&lt;E46,表2_3671626293038912131415232425262728[[#This Row],[累计净值]]/MAX(INDIRECT("B21:B" &amp; ROW()))-1,E46)</f>
        <v>-1.9798059790140377E-3</v>
      </c>
      <c r="F47" s="110">
        <f>表2_3671626293038912131415232425262728[[#This Row],[累计净值]]</f>
        <v>1.0111000000000001</v>
      </c>
      <c r="G47" s="20">
        <f>表2_3671626293038912131415232425262728[[#This Row],[累计净值]]/$B$21-1</f>
        <v>1.2314777733279936E-2</v>
      </c>
    </row>
    <row r="48" spans="1:7">
      <c r="A48" s="15">
        <v>44098</v>
      </c>
      <c r="B48" s="112">
        <v>1.0085999999999999</v>
      </c>
      <c r="C48" s="108">
        <f t="shared" si="6"/>
        <v>-2.5000000000001688E-3</v>
      </c>
      <c r="D48" s="109">
        <f t="shared" si="7"/>
        <v>-2.5000000000001688E-3</v>
      </c>
      <c r="E48" s="109">
        <f ca="1">IF(表2_3671626293038912131415232425262728[[#This Row],[累计净值]]/MAX(INDIRECT("B21:B" &amp; ROW()))-1&lt;E47,表2_3671626293038912131415232425262728[[#This Row],[累计净值]]/MAX(INDIRECT("B21:B" &amp; ROW()))-1,E47)</f>
        <v>-2.4725546434577472E-3</v>
      </c>
      <c r="F48" s="110">
        <f>表2_3671626293038912131415232425262728[[#This Row],[累计净值]]</f>
        <v>1.0085999999999999</v>
      </c>
      <c r="G48" s="20">
        <f>表2_3671626293038912131415232425262728[[#This Row],[累计净值]]/$B$21-1</f>
        <v>9.8117741289547311E-3</v>
      </c>
    </row>
    <row r="49" spans="1:7">
      <c r="A49" s="15">
        <v>44099</v>
      </c>
      <c r="B49" s="112">
        <v>1.0097</v>
      </c>
      <c r="C49" s="108">
        <f t="shared" si="6"/>
        <v>1.1000000000001009E-3</v>
      </c>
      <c r="D49" s="109" t="str">
        <f t="shared" si="7"/>
        <v>/</v>
      </c>
      <c r="E49" s="109">
        <f ca="1">IF(表2_3671626293038912131415232425262728[[#This Row],[累计净值]]/MAX(INDIRECT("B21:B" &amp; ROW()))-1&lt;E48,表2_3671626293038912131415232425262728[[#This Row],[累计净值]]/MAX(INDIRECT("B21:B" &amp; ROW()))-1,E48)</f>
        <v>-2.4725546434577472E-3</v>
      </c>
      <c r="F49" s="110">
        <f>表2_3671626293038912131415232425262728[[#This Row],[累计净值]]</f>
        <v>1.0097</v>
      </c>
      <c r="G49" s="20">
        <f>表2_3671626293038912131415232425262728[[#This Row],[累计净值]]/$B$21-1</f>
        <v>1.0913095714857768E-2</v>
      </c>
    </row>
    <row r="50" spans="1:7">
      <c r="A50" s="15">
        <v>44102</v>
      </c>
      <c r="B50" s="112">
        <v>1.0112000000000001</v>
      </c>
      <c r="C50" s="108">
        <f t="shared" si="6"/>
        <v>1.5000000000000568E-3</v>
      </c>
      <c r="D50" s="109" t="str">
        <f t="shared" si="7"/>
        <v>/</v>
      </c>
      <c r="E50" s="109">
        <f ca="1">IF(表2_3671626293038912131415232425262728[[#This Row],[累计净值]]/MAX(INDIRECT("B21:B" &amp; ROW()))-1&lt;E49,表2_3671626293038912131415232425262728[[#This Row],[累计净值]]/MAX(INDIRECT("B21:B" &amp; ROW()))-1,E49)</f>
        <v>-2.4725546434577472E-3</v>
      </c>
      <c r="F50" s="110">
        <f>表2_3671626293038912131415232425262728[[#This Row],[累计净值]]</f>
        <v>1.0112000000000001</v>
      </c>
      <c r="G50" s="20">
        <f>表2_3671626293038912131415232425262728[[#This Row],[累计净值]]/$B$21-1</f>
        <v>1.2414897877452979E-2</v>
      </c>
    </row>
    <row r="51" spans="1:7">
      <c r="A51" s="15">
        <v>44103</v>
      </c>
      <c r="B51" s="112">
        <v>1.0143</v>
      </c>
      <c r="C51" s="108">
        <f t="shared" ref="C51:C52" si="8">IFERROR(B51-B50,0)</f>
        <v>3.0999999999998806E-3</v>
      </c>
      <c r="D51" s="109" t="str">
        <f t="shared" ref="D51:D52" si="9">IF(C51&lt;0,C51,"/")</f>
        <v>/</v>
      </c>
      <c r="E51" s="109">
        <f ca="1">IF(表2_3671626293038912131415232425262728[[#This Row],[累计净值]]/MAX(INDIRECT("B21:B" &amp; ROW()))-1&lt;E50,表2_3671626293038912131415232425262728[[#This Row],[累计净值]]/MAX(INDIRECT("B21:B" &amp; ROW()))-1,E50)</f>
        <v>-2.4725546434577472E-3</v>
      </c>
      <c r="F51" s="110">
        <f>表2_3671626293038912131415232425262728[[#This Row],[累计净值]]</f>
        <v>1.0143</v>
      </c>
      <c r="G51" s="20">
        <f>表2_3671626293038912131415232425262728[[#This Row],[累计净值]]/$B$21-1</f>
        <v>1.5518622346816224E-2</v>
      </c>
    </row>
    <row r="52" spans="1:7">
      <c r="A52" s="15">
        <v>44104</v>
      </c>
      <c r="B52" s="112">
        <v>1.0103</v>
      </c>
      <c r="C52" s="108">
        <f t="shared" si="8"/>
        <v>-4.0000000000000036E-3</v>
      </c>
      <c r="D52" s="109">
        <f t="shared" si="9"/>
        <v>-4.0000000000000036E-3</v>
      </c>
      <c r="E52" s="109">
        <f ca="1">IF(表2_3671626293038912131415232425262728[[#This Row],[累计净值]]/MAX(INDIRECT("B21:B" &amp; ROW()))-1&lt;E51,表2_3671626293038912131415232425262728[[#This Row],[累计净值]]/MAX(INDIRECT("B21:B" &amp; ROW()))-1,E51)</f>
        <v>-3.94360642807845E-3</v>
      </c>
      <c r="F52" s="110">
        <f>表2_3671626293038912131415232425262728[[#This Row],[累计净值]]</f>
        <v>1.0103</v>
      </c>
      <c r="G52" s="20">
        <f>表2_3671626293038912131415232425262728[[#This Row],[累计净值]]/$B$21-1</f>
        <v>1.1513816579895808E-2</v>
      </c>
    </row>
    <row r="53" spans="1:7">
      <c r="A53" s="15">
        <v>44113</v>
      </c>
      <c r="B53" s="112">
        <v>1.0166999999999999</v>
      </c>
      <c r="C53" s="108">
        <f t="shared" ref="C53:C58" si="10">IFERROR(B53-B52,0)</f>
        <v>6.3999999999999613E-3</v>
      </c>
      <c r="D53" s="109" t="str">
        <f t="shared" ref="D53:D58" si="11">IF(C53&lt;0,C53,"/")</f>
        <v>/</v>
      </c>
      <c r="E53" s="109">
        <f ca="1">IF(表2_3671626293038912131415232425262728[[#This Row],[累计净值]]/MAX(INDIRECT("B21:B" &amp; ROW()))-1&lt;E52,表2_3671626293038912131415232425262728[[#This Row],[累计净值]]/MAX(INDIRECT("B21:B" &amp; ROW()))-1,E52)</f>
        <v>-3.94360642807845E-3</v>
      </c>
      <c r="F53" s="110">
        <f>表2_3671626293038912131415232425262728[[#This Row],[累计净值]]</f>
        <v>1.0166999999999999</v>
      </c>
      <c r="G53" s="20">
        <f>表2_3671626293038912131415232425262728[[#This Row],[累计净值]]/$B$21-1</f>
        <v>1.7921505806968385E-2</v>
      </c>
    </row>
    <row r="54" spans="1:7">
      <c r="A54" s="15">
        <v>44116</v>
      </c>
      <c r="B54" s="112">
        <v>1.0208999999999999</v>
      </c>
      <c r="C54" s="108">
        <f t="shared" si="10"/>
        <v>4.1999999999999815E-3</v>
      </c>
      <c r="D54" s="109" t="str">
        <f t="shared" si="11"/>
        <v>/</v>
      </c>
      <c r="E54" s="109">
        <f ca="1">IF(表2_3671626293038912131415232425262728[[#This Row],[累计净值]]/MAX(INDIRECT("B21:B" &amp; ROW()))-1&lt;E53,表2_3671626293038912131415232425262728[[#This Row],[累计净值]]/MAX(INDIRECT("B21:B" &amp; ROW()))-1,E53)</f>
        <v>-3.94360642807845E-3</v>
      </c>
      <c r="F54" s="110">
        <f>表2_3671626293038912131415232425262728[[#This Row],[累计净值]]</f>
        <v>1.0208999999999999</v>
      </c>
      <c r="G54" s="20">
        <f>表2_3671626293038912131415232425262728[[#This Row],[累计净值]]/$B$21-1</f>
        <v>2.2126551862234667E-2</v>
      </c>
    </row>
    <row r="55" spans="1:7">
      <c r="A55" s="15">
        <v>44117</v>
      </c>
      <c r="B55" s="112">
        <v>1.0185999999999999</v>
      </c>
      <c r="C55" s="108">
        <f t="shared" si="10"/>
        <v>-2.2999999999999687E-3</v>
      </c>
      <c r="D55" s="109">
        <f t="shared" si="11"/>
        <v>-2.2999999999999687E-3</v>
      </c>
      <c r="E55" s="109">
        <f ca="1">IF(表2_3671626293038912131415232425262728[[#This Row],[累计净值]]/MAX(INDIRECT("B21:B" &amp; ROW()))-1&lt;E54,表2_3671626293038912131415232425262728[[#This Row],[累计净值]]/MAX(INDIRECT("B21:B" &amp; ROW()))-1,E54)</f>
        <v>-3.94360642807845E-3</v>
      </c>
      <c r="F55" s="110">
        <f>表2_3671626293038912131415232425262728[[#This Row],[累计净值]]</f>
        <v>1.0185999999999999</v>
      </c>
      <c r="G55" s="20">
        <f>表2_3671626293038912131415232425262728[[#This Row],[累计净值]]/$B$21-1</f>
        <v>1.9823788546255328E-2</v>
      </c>
    </row>
    <row r="56" spans="1:7">
      <c r="A56" s="15">
        <v>44118</v>
      </c>
      <c r="B56" s="112">
        <v>1.0195000000000001</v>
      </c>
      <c r="C56" s="108">
        <f t="shared" si="10"/>
        <v>9.0000000000012292E-4</v>
      </c>
      <c r="D56" s="109" t="str">
        <f t="shared" si="11"/>
        <v>/</v>
      </c>
      <c r="E56" s="109">
        <f ca="1">IF(表2_3671626293038912131415232425262728[[#This Row],[累计净值]]/MAX(INDIRECT("B21:B" &amp; ROW()))-1&lt;E55,表2_3671626293038912131415232425262728[[#This Row],[累计净值]]/MAX(INDIRECT("B21:B" &amp; ROW()))-1,E55)</f>
        <v>-3.94360642807845E-3</v>
      </c>
      <c r="F56" s="110">
        <f>表2_3671626293038912131415232425262728[[#This Row],[累计净值]]</f>
        <v>1.0195000000000001</v>
      </c>
      <c r="G56" s="20">
        <f>表2_3671626293038912131415232425262728[[#This Row],[累计净值]]/$B$21-1</f>
        <v>2.0724869843812721E-2</v>
      </c>
    </row>
    <row r="57" spans="1:7">
      <c r="A57" s="15">
        <v>44119</v>
      </c>
      <c r="B57" s="112">
        <v>1.0195000000000001</v>
      </c>
      <c r="C57" s="108">
        <f t="shared" si="10"/>
        <v>0</v>
      </c>
      <c r="D57" s="109" t="str">
        <f t="shared" si="11"/>
        <v>/</v>
      </c>
      <c r="E57" s="109">
        <f ca="1">IF(表2_3671626293038912131415232425262728[[#This Row],[累计净值]]/MAX(INDIRECT("B21:B" &amp; ROW()))-1&lt;E56,表2_3671626293038912131415232425262728[[#This Row],[累计净值]]/MAX(INDIRECT("B21:B" &amp; ROW()))-1,E56)</f>
        <v>-3.94360642807845E-3</v>
      </c>
      <c r="F57" s="110">
        <f>表2_3671626293038912131415232425262728[[#This Row],[累计净值]]</f>
        <v>1.0195000000000001</v>
      </c>
      <c r="G57" s="20">
        <f>表2_3671626293038912131415232425262728[[#This Row],[累计净值]]/$B$21-1</f>
        <v>2.0724869843812721E-2</v>
      </c>
    </row>
    <row r="58" spans="1:7">
      <c r="A58" s="15">
        <v>44120</v>
      </c>
      <c r="B58" s="112">
        <v>1.0194000000000001</v>
      </c>
      <c r="C58" s="108">
        <f t="shared" si="10"/>
        <v>-9.9999999999988987E-5</v>
      </c>
      <c r="D58" s="109">
        <f t="shared" si="11"/>
        <v>-9.9999999999988987E-5</v>
      </c>
      <c r="E58" s="109">
        <f ca="1">IF(表2_3671626293038912131415232425262728[[#This Row],[累计净值]]/MAX(INDIRECT("B21:B" &amp; ROW()))-1&lt;E57,表2_3671626293038912131415232425262728[[#This Row],[累计净值]]/MAX(INDIRECT("B21:B" &amp; ROW()))-1,E57)</f>
        <v>-3.94360642807845E-3</v>
      </c>
      <c r="F58" s="110">
        <f>表2_3671626293038912131415232425262728[[#This Row],[累计净值]]</f>
        <v>1.0194000000000001</v>
      </c>
      <c r="G58" s="20">
        <f>表2_3671626293038912131415232425262728[[#This Row],[累计净值]]/$B$21-1</f>
        <v>2.0624749699639677E-2</v>
      </c>
    </row>
    <row r="59" spans="1:7">
      <c r="A59" s="15">
        <v>44123</v>
      </c>
      <c r="B59" s="112">
        <v>1.0234000000000001</v>
      </c>
      <c r="C59" s="108">
        <f t="shared" ref="C59:C64" si="12">IFERROR(B59-B58,0)</f>
        <v>4.0000000000000036E-3</v>
      </c>
      <c r="D59" s="109" t="str">
        <f t="shared" ref="D59:D64" si="13">IF(C59&lt;0,C59,"/")</f>
        <v>/</v>
      </c>
      <c r="E59" s="109">
        <f ca="1">IF(表2_3671626293038912131415232425262728[[#This Row],[累计净值]]/MAX(INDIRECT("B21:B" &amp; ROW()))-1&lt;E58,表2_3671626293038912131415232425262728[[#This Row],[累计净值]]/MAX(INDIRECT("B21:B" &amp; ROW()))-1,E58)</f>
        <v>-3.94360642807845E-3</v>
      </c>
      <c r="F59" s="110">
        <f>表2_3671626293038912131415232425262728[[#This Row],[累计净值]]</f>
        <v>1.0234000000000001</v>
      </c>
      <c r="G59" s="20">
        <f>表2_3671626293038912131415232425262728[[#This Row],[累计净值]]/$B$21-1</f>
        <v>2.4629555466559871E-2</v>
      </c>
    </row>
    <row r="60" spans="1:7">
      <c r="A60" s="15">
        <v>44124</v>
      </c>
      <c r="B60" s="112">
        <v>1.0227999999999999</v>
      </c>
      <c r="C60" s="108">
        <f t="shared" si="12"/>
        <v>-6.0000000000015596E-4</v>
      </c>
      <c r="D60" s="109">
        <f t="shared" si="13"/>
        <v>-6.0000000000015596E-4</v>
      </c>
      <c r="E60" s="109">
        <f ca="1">IF(表2_3671626293038912131415232425262728[[#This Row],[累计净值]]/MAX(INDIRECT("B21:B" &amp; ROW()))-1&lt;E59,表2_3671626293038912131415232425262728[[#This Row],[累计净值]]/MAX(INDIRECT("B21:B" &amp; ROW()))-1,E59)</f>
        <v>-3.94360642807845E-3</v>
      </c>
      <c r="F60" s="110">
        <f>表2_3671626293038912131415232425262728[[#This Row],[累计净值]]</f>
        <v>1.0227999999999999</v>
      </c>
      <c r="G60" s="20">
        <f>表2_3671626293038912131415232425262728[[#This Row],[累计净值]]/$B$21-1</f>
        <v>2.4028834601521831E-2</v>
      </c>
    </row>
    <row r="61" spans="1:7">
      <c r="A61" s="15">
        <v>44125</v>
      </c>
      <c r="B61" s="112">
        <v>1.02</v>
      </c>
      <c r="C61" s="108">
        <f t="shared" si="12"/>
        <v>-2.7999999999999137E-3</v>
      </c>
      <c r="D61" s="109">
        <f t="shared" si="13"/>
        <v>-2.7999999999999137E-3</v>
      </c>
      <c r="E61" s="109">
        <f ca="1">IF(表2_3671626293038912131415232425262728[[#This Row],[累计净值]]/MAX(INDIRECT("B21:B" &amp; ROW()))-1&lt;E60,表2_3671626293038912131415232425262728[[#This Row],[累计净值]]/MAX(INDIRECT("B21:B" &amp; ROW()))-1,E60)</f>
        <v>-3.94360642807845E-3</v>
      </c>
      <c r="F61" s="110">
        <f>表2_3671626293038912131415232425262728[[#This Row],[累计净值]]</f>
        <v>1.02</v>
      </c>
      <c r="G61" s="20">
        <f>表2_3671626293038912131415232425262728[[#This Row],[累计净值]]/$B$21-1</f>
        <v>2.1225470564677718E-2</v>
      </c>
    </row>
    <row r="62" spans="1:7">
      <c r="A62" s="15">
        <v>44126</v>
      </c>
      <c r="B62" s="112">
        <v>1.0232000000000001</v>
      </c>
      <c r="C62" s="108">
        <f t="shared" si="12"/>
        <v>3.2000000000000917E-3</v>
      </c>
      <c r="D62" s="109" t="str">
        <f t="shared" si="13"/>
        <v>/</v>
      </c>
      <c r="E62" s="109">
        <f ca="1">IF(表2_3671626293038912131415232425262728[[#This Row],[累计净值]]/MAX(INDIRECT("B21:B" &amp; ROW()))-1&lt;E61,表2_3671626293038912131415232425262728[[#This Row],[累计净值]]/MAX(INDIRECT("B21:B" &amp; ROW()))-1,E61)</f>
        <v>-3.94360642807845E-3</v>
      </c>
      <c r="F62" s="110">
        <f>表2_3671626293038912131415232425262728[[#This Row],[累计净值]]</f>
        <v>1.0232000000000001</v>
      </c>
      <c r="G62" s="20">
        <f>表2_3671626293038912131415232425262728[[#This Row],[累计净值]]/$B$21-1</f>
        <v>2.4429315178214006E-2</v>
      </c>
    </row>
    <row r="63" spans="1:7">
      <c r="A63" s="15">
        <v>44127</v>
      </c>
      <c r="B63" s="112">
        <v>1.0218</v>
      </c>
      <c r="C63" s="108">
        <f t="shared" si="12"/>
        <v>-1.4000000000000679E-3</v>
      </c>
      <c r="D63" s="109">
        <f t="shared" si="13"/>
        <v>-1.4000000000000679E-3</v>
      </c>
      <c r="E63" s="109">
        <f ca="1">IF(表2_3671626293038912131415232425262728[[#This Row],[累计净值]]/MAX(INDIRECT("B21:B" &amp; ROW()))-1&lt;E62,表2_3671626293038912131415232425262728[[#This Row],[累计净值]]/MAX(INDIRECT("B21:B" &amp; ROW()))-1,E62)</f>
        <v>-3.94360642807845E-3</v>
      </c>
      <c r="F63" s="110">
        <f>表2_3671626293038912131415232425262728[[#This Row],[累计净值]]</f>
        <v>1.0218</v>
      </c>
      <c r="G63" s="20">
        <f>表2_3671626293038912131415232425262728[[#This Row],[累计净值]]/$B$21-1</f>
        <v>2.3027633159791838E-2</v>
      </c>
    </row>
    <row r="64" spans="1:7">
      <c r="A64" s="15">
        <v>44130</v>
      </c>
      <c r="B64" s="112">
        <v>1.0204</v>
      </c>
      <c r="C64" s="108">
        <f t="shared" si="12"/>
        <v>-1.4000000000000679E-3</v>
      </c>
      <c r="D64" s="109">
        <f t="shared" si="13"/>
        <v>-1.4000000000000679E-3</v>
      </c>
      <c r="E64" s="109">
        <f ca="1">IF(表2_3671626293038912131415232425262728[[#This Row],[累计净值]]/MAX(INDIRECT("B21:B" &amp; ROW()))-1&lt;E63,表2_3671626293038912131415232425262728[[#This Row],[累计净值]]/MAX(INDIRECT("B21:B" &amp; ROW()))-1,E63)</f>
        <v>-3.94360642807845E-3</v>
      </c>
      <c r="F64" s="110">
        <f>表2_3671626293038912131415232425262728[[#This Row],[累计净值]]</f>
        <v>1.0204</v>
      </c>
      <c r="G64" s="20">
        <f>表2_3671626293038912131415232425262728[[#This Row],[累计净值]]/$B$21-1</f>
        <v>2.162595114136967E-2</v>
      </c>
    </row>
    <row r="65" spans="1:7">
      <c r="A65" s="15">
        <v>44131</v>
      </c>
      <c r="B65" s="112">
        <v>1.0241</v>
      </c>
      <c r="C65" s="108">
        <f>IFERROR(B65-B64,0)</f>
        <v>3.7000000000000366E-3</v>
      </c>
      <c r="D65" s="109" t="str">
        <f>IF(C65&lt;0,C65,"/")</f>
        <v>/</v>
      </c>
      <c r="E65" s="109">
        <f ca="1">IF(表2_3671626293038912131415232425262728[[#This Row],[累计净值]]/MAX(INDIRECT("B21:B" &amp; ROW()))-1&lt;E64,表2_3671626293038912131415232425262728[[#This Row],[累计净值]]/MAX(INDIRECT("B21:B" &amp; ROW()))-1,E64)</f>
        <v>-3.94360642807845E-3</v>
      </c>
      <c r="F65" s="110">
        <f>表2_3671626293038912131415232425262728[[#This Row],[累计净值]]</f>
        <v>1.0241</v>
      </c>
      <c r="G65" s="20">
        <f>表2_3671626293038912131415232425262728[[#This Row],[累计净值]]/$B$21-1</f>
        <v>2.5330396475770955E-2</v>
      </c>
    </row>
    <row r="66" spans="1:7">
      <c r="A66" s="15">
        <v>44132</v>
      </c>
      <c r="B66" s="112">
        <v>1.0226999999999999</v>
      </c>
      <c r="C66" s="108">
        <f>IFERROR(B66-B65,0)</f>
        <v>-1.4000000000000679E-3</v>
      </c>
      <c r="D66" s="109">
        <f>IF(C66&lt;0,C66,"/")</f>
        <v>-1.4000000000000679E-3</v>
      </c>
      <c r="E66" s="109">
        <f ca="1">IF(表2_3671626293038912131415232425262728[[#This Row],[累计净值]]/MAX(INDIRECT("B21:B" &amp; ROW()))-1&lt;E65,表2_3671626293038912131415232425262728[[#This Row],[累计净值]]/MAX(INDIRECT("B21:B" &amp; ROW()))-1,E65)</f>
        <v>-3.94360642807845E-3</v>
      </c>
      <c r="F66" s="110">
        <f>表2_3671626293038912131415232425262728[[#This Row],[累计净值]]</f>
        <v>1.0226999999999999</v>
      </c>
      <c r="G66" s="20">
        <f>表2_3671626293038912131415232425262728[[#This Row],[累计净值]]/$B$21-1</f>
        <v>2.3928714457348788E-2</v>
      </c>
    </row>
    <row r="67" spans="1:7">
      <c r="A67" s="15">
        <v>44133</v>
      </c>
      <c r="B67" s="112">
        <v>1.026</v>
      </c>
      <c r="C67" s="108">
        <f>IFERROR(B67-B66,0)</f>
        <v>3.3000000000000806E-3</v>
      </c>
      <c r="D67" s="109" t="str">
        <f>IF(C67&lt;0,C67,"/")</f>
        <v>/</v>
      </c>
      <c r="E67" s="109">
        <f ca="1">IF(表2_3671626293038912131415232425262728[[#This Row],[累计净值]]/MAX(INDIRECT("B21:B" &amp; ROW()))-1&lt;E66,表2_3671626293038912131415232425262728[[#This Row],[累计净值]]/MAX(INDIRECT("B21:B" &amp; ROW()))-1,E66)</f>
        <v>-3.94360642807845E-3</v>
      </c>
      <c r="F67" s="110">
        <f>表2_3671626293038912131415232425262728[[#This Row],[累计净值]]</f>
        <v>1.026</v>
      </c>
      <c r="G67" s="20">
        <f>表2_3671626293038912131415232425262728[[#This Row],[累计净值]]/$B$21-1</f>
        <v>2.723267921505812E-2</v>
      </c>
    </row>
    <row r="68" spans="1:7">
      <c r="A68" s="15">
        <v>44134</v>
      </c>
      <c r="B68" s="112">
        <v>1.0239</v>
      </c>
      <c r="C68" s="108">
        <f t="shared" ref="C68:C71" si="14">IFERROR(B68-B67,0)</f>
        <v>-2.0999999999999908E-3</v>
      </c>
      <c r="D68" s="109">
        <f t="shared" ref="D68:D71" si="15">IF(C68&lt;0,C68,"/")</f>
        <v>-2.0999999999999908E-3</v>
      </c>
      <c r="E68" s="109">
        <f ca="1">IF(表2_3671626293038912131415232425262728[[#This Row],[累计净值]]/MAX(INDIRECT("B21:B" &amp; ROW()))-1&lt;E67,表2_3671626293038912131415232425262728[[#This Row],[累计净值]]/MAX(INDIRECT("B21:B" &amp; ROW()))-1,E67)</f>
        <v>-3.94360642807845E-3</v>
      </c>
      <c r="F68" s="110">
        <f>表2_3671626293038912131415232425262728[[#This Row],[累计净值]]</f>
        <v>1.0239</v>
      </c>
      <c r="G68" s="20">
        <f>表2_3671626293038912131415232425262728[[#This Row],[累计净值]]/$B$21-1</f>
        <v>2.5130156187424868E-2</v>
      </c>
    </row>
    <row r="69" spans="1:7">
      <c r="A69" s="15">
        <v>44137</v>
      </c>
      <c r="B69" s="112">
        <v>1.0214000000000001</v>
      </c>
      <c r="C69" s="108">
        <f t="shared" si="14"/>
        <v>-2.4999999999999467E-3</v>
      </c>
      <c r="D69" s="109">
        <f t="shared" si="15"/>
        <v>-2.4999999999999467E-3</v>
      </c>
      <c r="E69" s="109">
        <f ca="1">IF(表2_3671626293038912131415232425262728[[#This Row],[累计净值]]/MAX(INDIRECT("B21:B" &amp; ROW()))-1&lt;E68,表2_3671626293038912131415232425262728[[#This Row],[累计净值]]/MAX(INDIRECT("B21:B" &amp; ROW()))-1,E68)</f>
        <v>-4.4834307992202005E-3</v>
      </c>
      <c r="F69" s="110">
        <f>表2_3671626293038912131415232425262728[[#This Row],[累计净值]]</f>
        <v>1.0214000000000001</v>
      </c>
      <c r="G69" s="20">
        <f>表2_3671626293038912131415232425262728[[#This Row],[累计净值]]/$B$21-1</f>
        <v>2.2627152583099885E-2</v>
      </c>
    </row>
    <row r="70" spans="1:7">
      <c r="A70" s="15">
        <v>44138</v>
      </c>
      <c r="B70" s="112">
        <v>1.0256000000000001</v>
      </c>
      <c r="C70" s="108">
        <f t="shared" si="14"/>
        <v>4.1999999999999815E-3</v>
      </c>
      <c r="D70" s="109" t="str">
        <f t="shared" si="15"/>
        <v>/</v>
      </c>
      <c r="E70" s="109">
        <f ca="1">IF(表2_3671626293038912131415232425262728[[#This Row],[累计净值]]/MAX(INDIRECT("B21:B" &amp; ROW()))-1&lt;E69,表2_3671626293038912131415232425262728[[#This Row],[累计净值]]/MAX(INDIRECT("B21:B" &amp; ROW()))-1,E69)</f>
        <v>-4.4834307992202005E-3</v>
      </c>
      <c r="F70" s="110">
        <f>表2_3671626293038912131415232425262728[[#This Row],[累计净值]]</f>
        <v>1.0256000000000001</v>
      </c>
      <c r="G70" s="20">
        <f>表2_3671626293038912131415232425262728[[#This Row],[累计净值]]/$B$21-1</f>
        <v>2.6832198638366167E-2</v>
      </c>
    </row>
    <row r="71" spans="1:7">
      <c r="A71" s="15">
        <v>44139</v>
      </c>
      <c r="B71" s="112">
        <v>1.0294000000000001</v>
      </c>
      <c r="C71" s="108">
        <f t="shared" si="14"/>
        <v>3.8000000000000256E-3</v>
      </c>
      <c r="D71" s="109" t="str">
        <f t="shared" si="15"/>
        <v>/</v>
      </c>
      <c r="E71" s="109">
        <f ca="1">IF(表2_3671626293038912131415232425262728[[#This Row],[累计净值]]/MAX(INDIRECT("B21:B" &amp; ROW()))-1&lt;E70,表2_3671626293038912131415232425262728[[#This Row],[累计净值]]/MAX(INDIRECT("B21:B" &amp; ROW()))-1,E70)</f>
        <v>-4.4834307992202005E-3</v>
      </c>
      <c r="F71" s="110">
        <f>表2_3671626293038912131415232425262728[[#This Row],[累计净值]]</f>
        <v>1.0294000000000001</v>
      </c>
      <c r="G71" s="20">
        <f>表2_3671626293038912131415232425262728[[#This Row],[累计净值]]/$B$21-1</f>
        <v>3.0636764116940496E-2</v>
      </c>
    </row>
    <row r="72" spans="1:7">
      <c r="A72" s="15">
        <v>44140</v>
      </c>
      <c r="B72" s="112">
        <v>1.0223</v>
      </c>
      <c r="C72" s="108">
        <f t="shared" ref="C72:C77" si="16">IFERROR(B72-B71,0)</f>
        <v>-7.1000000000001062E-3</v>
      </c>
      <c r="D72" s="109">
        <f t="shared" ref="D72:D77" si="17">IF(C72&lt;0,C72,"/")</f>
        <v>-7.1000000000001062E-3</v>
      </c>
      <c r="E72" s="109">
        <f ca="1">IF(表2_3671626293038912131415232425262728[[#This Row],[累计净值]]/MAX(INDIRECT("B21:B" &amp; ROW()))-1&lt;E71,表2_3671626293038912131415232425262728[[#This Row],[累计净值]]/MAX(INDIRECT("B21:B" &amp; ROW()))-1,E71)</f>
        <v>-6.8972216825335941E-3</v>
      </c>
      <c r="F72" s="110">
        <f>表2_3671626293038912131415232425262728[[#This Row],[累计净值]]</f>
        <v>1.0223</v>
      </c>
      <c r="G72" s="20">
        <f>表2_3671626293038912131415232425262728[[#This Row],[累计净值]]/$B$21-1</f>
        <v>2.3528233880656835E-2</v>
      </c>
    </row>
    <row r="73" spans="1:7">
      <c r="A73" s="15">
        <v>44141</v>
      </c>
      <c r="B73" s="112">
        <v>1.0223</v>
      </c>
      <c r="C73" s="108">
        <f t="shared" si="16"/>
        <v>0</v>
      </c>
      <c r="D73" s="109" t="str">
        <f t="shared" si="17"/>
        <v>/</v>
      </c>
      <c r="E73" s="109">
        <f ca="1">IF(表2_3671626293038912131415232425262728[[#This Row],[累计净值]]/MAX(INDIRECT("B21:B" &amp; ROW()))-1&lt;E72,表2_3671626293038912131415232425262728[[#This Row],[累计净值]]/MAX(INDIRECT("B21:B" &amp; ROW()))-1,E72)</f>
        <v>-6.8972216825335941E-3</v>
      </c>
      <c r="F73" s="110">
        <f>表2_3671626293038912131415232425262728[[#This Row],[累计净值]]</f>
        <v>1.0223</v>
      </c>
      <c r="G73" s="20">
        <f>表2_3671626293038912131415232425262728[[#This Row],[累计净值]]/$B$21-1</f>
        <v>2.3528233880656835E-2</v>
      </c>
    </row>
    <row r="74" spans="1:7">
      <c r="A74" s="15">
        <v>44144</v>
      </c>
      <c r="B74" s="112">
        <v>1.026</v>
      </c>
      <c r="C74" s="108">
        <f t="shared" si="16"/>
        <v>3.7000000000000366E-3</v>
      </c>
      <c r="D74" s="109" t="str">
        <f t="shared" si="17"/>
        <v>/</v>
      </c>
      <c r="E74" s="109">
        <f ca="1">IF(表2_3671626293038912131415232425262728[[#This Row],[累计净值]]/MAX(INDIRECT("B21:B" &amp; ROW()))-1&lt;E73,表2_3671626293038912131415232425262728[[#This Row],[累计净值]]/MAX(INDIRECT("B21:B" &amp; ROW()))-1,E73)</f>
        <v>-6.8972216825335941E-3</v>
      </c>
      <c r="F74" s="110">
        <f>表2_3671626293038912131415232425262728[[#This Row],[累计净值]]</f>
        <v>1.026</v>
      </c>
      <c r="G74" s="20">
        <f>表2_3671626293038912131415232425262728[[#This Row],[累计净值]]/$B$21-1</f>
        <v>2.723267921505812E-2</v>
      </c>
    </row>
    <row r="75" spans="1:7">
      <c r="A75" s="15">
        <v>44145</v>
      </c>
      <c r="B75" s="112">
        <v>1.0235000000000001</v>
      </c>
      <c r="C75" s="108">
        <f t="shared" si="16"/>
        <v>-2.4999999999999467E-3</v>
      </c>
      <c r="D75" s="109">
        <f t="shared" si="17"/>
        <v>-2.4999999999999467E-3</v>
      </c>
      <c r="E75" s="109">
        <f ca="1">IF(表2_3671626293038912131415232425262728[[#This Row],[累计净值]]/MAX(INDIRECT("B21:B" &amp; ROW()))-1&lt;E74,表2_3671626293038912131415232425262728[[#This Row],[累计净值]]/MAX(INDIRECT("B21:B" &amp; ROW()))-1,E74)</f>
        <v>-6.8972216825335941E-3</v>
      </c>
      <c r="F75" s="110">
        <f>表2_3671626293038912131415232425262728[[#This Row],[累计净值]]</f>
        <v>1.0235000000000001</v>
      </c>
      <c r="G75" s="20">
        <f>表2_3671626293038912131415232425262728[[#This Row],[累计净值]]/$B$21-1</f>
        <v>2.4729675610732915E-2</v>
      </c>
    </row>
    <row r="76" spans="1:7">
      <c r="A76" s="15">
        <v>44146</v>
      </c>
      <c r="B76" s="112">
        <v>1.0239</v>
      </c>
      <c r="C76" s="108">
        <f t="shared" si="16"/>
        <v>3.9999999999995595E-4</v>
      </c>
      <c r="D76" s="109" t="str">
        <f t="shared" si="17"/>
        <v>/</v>
      </c>
      <c r="E76" s="109">
        <f ca="1">IF(表2_3671626293038912131415232425262728[[#This Row],[累计净值]]/MAX(INDIRECT("B21:B" &amp; ROW()))-1&lt;E75,表2_3671626293038912131415232425262728[[#This Row],[累计净值]]/MAX(INDIRECT("B21:B" &amp; ROW()))-1,E75)</f>
        <v>-6.8972216825335941E-3</v>
      </c>
      <c r="F76" s="110">
        <f>表2_3671626293038912131415232425262728[[#This Row],[累计净值]]</f>
        <v>1.0239</v>
      </c>
      <c r="G76" s="20">
        <f>表2_3671626293038912131415232425262728[[#This Row],[累计净值]]/$B$21-1</f>
        <v>2.5130156187424868E-2</v>
      </c>
    </row>
    <row r="77" spans="1:7">
      <c r="A77" s="15">
        <v>44147</v>
      </c>
      <c r="B77" s="112">
        <v>1.0266999999999999</v>
      </c>
      <c r="C77" s="108">
        <f t="shared" si="16"/>
        <v>2.7999999999999137E-3</v>
      </c>
      <c r="D77" s="109" t="str">
        <f t="shared" si="17"/>
        <v>/</v>
      </c>
      <c r="E77" s="109">
        <f ca="1">IF(表2_3671626293038912131415232425262728[[#This Row],[累计净值]]/MAX(INDIRECT("B21:B" &amp; ROW()))-1&lt;E76,表2_3671626293038912131415232425262728[[#This Row],[累计净值]]/MAX(INDIRECT("B21:B" &amp; ROW()))-1,E76)</f>
        <v>-6.8972216825335941E-3</v>
      </c>
      <c r="F77" s="110">
        <f>表2_3671626293038912131415232425262728[[#This Row],[累计净值]]</f>
        <v>1.0266999999999999</v>
      </c>
      <c r="G77" s="20">
        <f>表2_3671626293038912131415232425262728[[#This Row],[累计净值]]/$B$21-1</f>
        <v>2.7933520224268982E-2</v>
      </c>
    </row>
    <row r="78" spans="1:7">
      <c r="A78" s="15">
        <v>44148</v>
      </c>
      <c r="B78" s="112">
        <v>1.0270999999999999</v>
      </c>
      <c r="C78" s="108">
        <f t="shared" ref="C78:C83" si="18">IFERROR(B78-B77,0)</f>
        <v>3.9999999999995595E-4</v>
      </c>
      <c r="D78" s="109" t="str">
        <f t="shared" ref="D78:D83" si="19">IF(C78&lt;0,C78,"/")</f>
        <v>/</v>
      </c>
      <c r="E78" s="109">
        <f ca="1">IF(表2_3671626293038912131415232425262728[[#This Row],[累计净值]]/MAX(INDIRECT("B21:B" &amp; ROW()))-1&lt;E77,表2_3671626293038912131415232425262728[[#This Row],[累计净值]]/MAX(INDIRECT("B21:B" &amp; ROW()))-1,E77)</f>
        <v>-6.8972216825335941E-3</v>
      </c>
      <c r="F78" s="110">
        <f>表2_3671626293038912131415232425262728[[#This Row],[累计净值]]</f>
        <v>1.0270999999999999</v>
      </c>
      <c r="G78" s="20">
        <f>表2_3671626293038912131415232425262728[[#This Row],[累计净值]]/$B$21-1</f>
        <v>2.8334000800960935E-2</v>
      </c>
    </row>
    <row r="79" spans="1:7">
      <c r="A79" s="15">
        <v>44151</v>
      </c>
      <c r="B79" s="112">
        <v>1.024</v>
      </c>
      <c r="C79" s="108">
        <f t="shared" si="18"/>
        <v>-3.0999999999998806E-3</v>
      </c>
      <c r="D79" s="109">
        <f t="shared" si="19"/>
        <v>-3.0999999999998806E-3</v>
      </c>
      <c r="E79" s="109">
        <f ca="1">IF(表2_3671626293038912131415232425262728[[#This Row],[累计净值]]/MAX(INDIRECT("B21:B" &amp; ROW()))-1&lt;E78,表2_3671626293038912131415232425262728[[#This Row],[累计净值]]/MAX(INDIRECT("B21:B" &amp; ROW()))-1,E78)</f>
        <v>-6.8972216825335941E-3</v>
      </c>
      <c r="F79" s="110">
        <f>表2_3671626293038912131415232425262728[[#This Row],[累计净值]]</f>
        <v>1.024</v>
      </c>
      <c r="G79" s="20">
        <f>表2_3671626293038912131415232425262728[[#This Row],[累计净值]]/$B$21-1</f>
        <v>2.5230276331597912E-2</v>
      </c>
    </row>
    <row r="80" spans="1:7">
      <c r="A80" s="15">
        <v>44152</v>
      </c>
      <c r="B80" s="112">
        <v>1.0275000000000001</v>
      </c>
      <c r="C80" s="108">
        <f t="shared" si="18"/>
        <v>3.5000000000000586E-3</v>
      </c>
      <c r="D80" s="109" t="str">
        <f t="shared" si="19"/>
        <v>/</v>
      </c>
      <c r="E80" s="109">
        <f ca="1">IF(表2_3671626293038912131415232425262728[[#This Row],[累计净值]]/MAX(INDIRECT("B21:B" &amp; ROW()))-1&lt;E79,表2_3671626293038912131415232425262728[[#This Row],[累计净值]]/MAX(INDIRECT("B21:B" &amp; ROW()))-1,E79)</f>
        <v>-6.8972216825335941E-3</v>
      </c>
      <c r="F80" s="110">
        <f>表2_3671626293038912131415232425262728[[#This Row],[累计净值]]</f>
        <v>1.0275000000000001</v>
      </c>
      <c r="G80" s="20">
        <f>表2_3671626293038912131415232425262728[[#This Row],[累计净值]]/$B$21-1</f>
        <v>2.8734481377653331E-2</v>
      </c>
    </row>
    <row r="81" spans="1:7">
      <c r="A81" s="15">
        <v>44153</v>
      </c>
      <c r="B81" s="112">
        <v>1.0219</v>
      </c>
      <c r="C81" s="108">
        <f t="shared" si="18"/>
        <v>-5.6000000000000494E-3</v>
      </c>
      <c r="D81" s="109">
        <f t="shared" si="19"/>
        <v>-5.6000000000000494E-3</v>
      </c>
      <c r="E81" s="109">
        <f ca="1">IF(表2_3671626293038912131415232425262728[[#This Row],[累计净值]]/MAX(INDIRECT("B21:B" &amp; ROW()))-1&lt;E80,表2_3671626293038912131415232425262728[[#This Row],[累计净值]]/MAX(INDIRECT("B21:B" &amp; ROW()))-1,E80)</f>
        <v>-7.2857975519721174E-3</v>
      </c>
      <c r="F81" s="110">
        <f>表2_3671626293038912131415232425262728[[#This Row],[累计净值]]</f>
        <v>1.0219</v>
      </c>
      <c r="G81" s="20">
        <f>表2_3671626293038912131415232425262728[[#This Row],[累计净值]]/$B$21-1</f>
        <v>2.312775330396466E-2</v>
      </c>
    </row>
    <row r="82" spans="1:7">
      <c r="A82" s="15">
        <v>44154</v>
      </c>
      <c r="B82" s="112">
        <v>1.0242</v>
      </c>
      <c r="C82" s="108">
        <f t="shared" si="18"/>
        <v>2.2999999999999687E-3</v>
      </c>
      <c r="D82" s="109" t="str">
        <f t="shared" si="19"/>
        <v>/</v>
      </c>
      <c r="E82" s="109">
        <f ca="1">IF(表2_3671626293038912131415232425262728[[#This Row],[累计净值]]/MAX(INDIRECT("B21:B" &amp; ROW()))-1&lt;E81,表2_3671626293038912131415232425262728[[#This Row],[累计净值]]/MAX(INDIRECT("B21:B" &amp; ROW()))-1,E81)</f>
        <v>-7.2857975519721174E-3</v>
      </c>
      <c r="F82" s="110">
        <f>表2_3671626293038912131415232425262728[[#This Row],[累计净值]]</f>
        <v>1.0242</v>
      </c>
      <c r="G82" s="20">
        <f>表2_3671626293038912131415232425262728[[#This Row],[累计净值]]/$B$21-1</f>
        <v>2.5430516619943999E-2</v>
      </c>
    </row>
    <row r="83" spans="1:7">
      <c r="A83" s="15">
        <v>44155</v>
      </c>
      <c r="B83" s="112">
        <v>1.0299</v>
      </c>
      <c r="C83" s="108">
        <f t="shared" si="18"/>
        <v>5.7000000000000384E-3</v>
      </c>
      <c r="D83" s="109" t="str">
        <f t="shared" si="19"/>
        <v>/</v>
      </c>
      <c r="E83" s="109">
        <f ca="1">IF(表2_3671626293038912131415232425262728[[#This Row],[累计净值]]/MAX(INDIRECT("B21:B" &amp; ROW()))-1&lt;E82,表2_3671626293038912131415232425262728[[#This Row],[累计净值]]/MAX(INDIRECT("B21:B" &amp; ROW()))-1,E82)</f>
        <v>-7.2857975519721174E-3</v>
      </c>
      <c r="F83" s="110">
        <f>表2_3671626293038912131415232425262728[[#This Row],[累计净值]]</f>
        <v>1.0299</v>
      </c>
      <c r="G83" s="20">
        <f>表2_3671626293038912131415232425262728[[#This Row],[累计净值]]/$B$21-1</f>
        <v>3.1137364837805492E-2</v>
      </c>
    </row>
    <row r="84" spans="1:7">
      <c r="A84" s="15">
        <v>44158</v>
      </c>
      <c r="B84" s="112">
        <v>1.0333000000000001</v>
      </c>
      <c r="C84" s="108">
        <f t="shared" ref="C84:C89" si="20">IFERROR(B84-B83,0)</f>
        <v>3.4000000000000696E-3</v>
      </c>
      <c r="D84" s="109" t="str">
        <f t="shared" ref="D84:D89" si="21">IF(C84&lt;0,C84,"/")</f>
        <v>/</v>
      </c>
      <c r="E84" s="109">
        <f ca="1">IF(表2_3671626293038912131415232425262728[[#This Row],[累计净值]]/MAX(INDIRECT("B21:B" &amp; ROW()))-1&lt;E83,表2_3671626293038912131415232425262728[[#This Row],[累计净值]]/MAX(INDIRECT("B21:B" &amp; ROW()))-1,E83)</f>
        <v>-7.2857975519721174E-3</v>
      </c>
      <c r="F84" s="110">
        <f>表2_3671626293038912131415232425262728[[#This Row],[累计净值]]</f>
        <v>1.0333000000000001</v>
      </c>
      <c r="G84" s="20">
        <f>表2_3671626293038912131415232425262728[[#This Row],[累计净值]]/$B$21-1</f>
        <v>3.4541449739687646E-2</v>
      </c>
    </row>
    <row r="85" spans="1:7">
      <c r="A85" s="15">
        <v>44159</v>
      </c>
      <c r="B85" s="112">
        <v>1.0295000000000001</v>
      </c>
      <c r="C85" s="108">
        <f t="shared" si="20"/>
        <v>-3.8000000000000256E-3</v>
      </c>
      <c r="D85" s="109">
        <f t="shared" si="21"/>
        <v>-3.8000000000000256E-3</v>
      </c>
      <c r="E85" s="109">
        <f ca="1">IF(表2_3671626293038912131415232425262728[[#This Row],[累计净值]]/MAX(INDIRECT("B21:B" &amp; ROW()))-1&lt;E84,表2_3671626293038912131415232425262728[[#This Row],[累计净值]]/MAX(INDIRECT("B21:B" &amp; ROW()))-1,E84)</f>
        <v>-7.2857975519721174E-3</v>
      </c>
      <c r="F85" s="110">
        <f>表2_3671626293038912131415232425262728[[#This Row],[累计净值]]</f>
        <v>1.0295000000000001</v>
      </c>
      <c r="G85" s="20">
        <f>表2_3671626293038912131415232425262728[[#This Row],[累计净值]]/$B$21-1</f>
        <v>3.0736884261113318E-2</v>
      </c>
    </row>
    <row r="86" spans="1:7">
      <c r="A86" s="15">
        <v>44160</v>
      </c>
      <c r="B86" s="112">
        <v>1.0285</v>
      </c>
      <c r="C86" s="108">
        <f t="shared" si="20"/>
        <v>-1.0000000000001119E-3</v>
      </c>
      <c r="D86" s="109">
        <f t="shared" si="21"/>
        <v>-1.0000000000001119E-3</v>
      </c>
      <c r="E86" s="109">
        <f ca="1">IF(表2_3671626293038912131415232425262728[[#This Row],[累计净值]]/MAX(INDIRECT("B21:B" &amp; ROW()))-1&lt;E85,表2_3671626293038912131415232425262728[[#This Row],[累计净值]]/MAX(INDIRECT("B21:B" &amp; ROW()))-1,E85)</f>
        <v>-7.2857975519721174E-3</v>
      </c>
      <c r="F86" s="110">
        <f>表2_3671626293038912131415232425262728[[#This Row],[累计净值]]</f>
        <v>1.0285</v>
      </c>
      <c r="G86" s="20">
        <f>表2_3671626293038912131415232425262728[[#This Row],[累计净值]]/$B$21-1</f>
        <v>2.9735682819383102E-2</v>
      </c>
    </row>
    <row r="87" spans="1:7">
      <c r="A87" s="15">
        <v>44161</v>
      </c>
      <c r="B87" s="112">
        <v>1.0224</v>
      </c>
      <c r="C87" s="108">
        <f t="shared" si="20"/>
        <v>-6.0999999999999943E-3</v>
      </c>
      <c r="D87" s="109">
        <f t="shared" si="21"/>
        <v>-6.0999999999999943E-3</v>
      </c>
      <c r="E87" s="109">
        <f ca="1">IF(表2_3671626293038912131415232425262728[[#This Row],[累计净值]]/MAX(INDIRECT("B21:B" &amp; ROW()))-1&lt;E86,表2_3671626293038912131415232425262728[[#This Row],[累计净值]]/MAX(INDIRECT("B21:B" &amp; ROW()))-1,E86)</f>
        <v>-1.0548727378302702E-2</v>
      </c>
      <c r="F87" s="110">
        <f>表2_3671626293038912131415232425262728[[#This Row],[累计净值]]</f>
        <v>1.0224</v>
      </c>
      <c r="G87" s="20">
        <f>表2_3671626293038912131415232425262728[[#This Row],[累计净值]]/$B$21-1</f>
        <v>2.3628354024829656E-2</v>
      </c>
    </row>
    <row r="88" spans="1:7">
      <c r="A88" s="15">
        <v>44162</v>
      </c>
      <c r="B88" s="112">
        <v>1.026</v>
      </c>
      <c r="C88" s="108">
        <f t="shared" si="20"/>
        <v>3.6000000000000476E-3</v>
      </c>
      <c r="D88" s="109" t="str">
        <f t="shared" si="21"/>
        <v>/</v>
      </c>
      <c r="E88" s="109">
        <f ca="1">IF(表2_3671626293038912131415232425262728[[#This Row],[累计净值]]/MAX(INDIRECT("B21:B" &amp; ROW()))-1&lt;E87,表2_3671626293038912131415232425262728[[#This Row],[累计净值]]/MAX(INDIRECT("B21:B" &amp; ROW()))-1,E87)</f>
        <v>-1.0548727378302702E-2</v>
      </c>
      <c r="F88" s="110">
        <f>表2_3671626293038912131415232425262728[[#This Row],[累计净值]]</f>
        <v>1.026</v>
      </c>
      <c r="G88" s="20">
        <f>表2_3671626293038912131415232425262728[[#This Row],[累计净值]]/$B$21-1</f>
        <v>2.723267921505812E-2</v>
      </c>
    </row>
    <row r="89" spans="1:7">
      <c r="A89" s="15">
        <v>44165</v>
      </c>
      <c r="B89" s="112">
        <v>1.03</v>
      </c>
      <c r="C89" s="108">
        <f t="shared" si="20"/>
        <v>4.0000000000000036E-3</v>
      </c>
      <c r="D89" s="109" t="str">
        <f t="shared" si="21"/>
        <v>/</v>
      </c>
      <c r="E89" s="109">
        <f ca="1">IF(表2_3671626293038912131415232425262728[[#This Row],[累计净值]]/MAX(INDIRECT("B21:B" &amp; ROW()))-1&lt;E88,表2_3671626293038912131415232425262728[[#This Row],[累计净值]]/MAX(INDIRECT("B21:B" &amp; ROW()))-1,E88)</f>
        <v>-1.0548727378302702E-2</v>
      </c>
      <c r="F89" s="110">
        <f>表2_3671626293038912131415232425262728[[#This Row],[累计净值]]</f>
        <v>1.03</v>
      </c>
      <c r="G89" s="20">
        <f>表2_3671626293038912131415232425262728[[#This Row],[累计净值]]/$B$21-1</f>
        <v>3.1237484981978314E-2</v>
      </c>
    </row>
    <row r="90" spans="1:7">
      <c r="A90" s="15">
        <v>44166</v>
      </c>
      <c r="B90" s="112">
        <v>1.0351999999999999</v>
      </c>
      <c r="C90" s="108">
        <f>IFERROR(B90-B89,0)</f>
        <v>5.1999999999998714E-3</v>
      </c>
      <c r="D90" s="109" t="str">
        <f>IF(C90&lt;0,C90,"/")</f>
        <v>/</v>
      </c>
      <c r="E90" s="109">
        <f ca="1">IF(表2_3671626293038912131415232425262728[[#This Row],[累计净值]]/MAX(INDIRECT("B21:B" &amp; ROW()))-1&lt;E89,表2_3671626293038912131415232425262728[[#This Row],[累计净值]]/MAX(INDIRECT("B21:B" &amp; ROW()))-1,E89)</f>
        <v>-1.0548727378302702E-2</v>
      </c>
      <c r="F90" s="110">
        <f>表2_3671626293038912131415232425262728[[#This Row],[累计净值]]</f>
        <v>1.0351999999999999</v>
      </c>
      <c r="G90" s="20">
        <f>表2_3671626293038912131415232425262728[[#This Row],[累计净值]]/$B$21-1</f>
        <v>3.6443732478974589E-2</v>
      </c>
    </row>
    <row r="91" spans="1:7">
      <c r="A91" s="15">
        <v>44167</v>
      </c>
      <c r="B91" s="112">
        <v>1.0330999999999999</v>
      </c>
      <c r="C91" s="108">
        <f t="shared" ref="C91:C92" si="22">IFERROR(B91-B90,0)</f>
        <v>-2.0999999999999908E-3</v>
      </c>
      <c r="D91" s="109">
        <f t="shared" ref="D91:D92" si="23">IF(C91&lt;0,C91,"/")</f>
        <v>-2.0999999999999908E-3</v>
      </c>
      <c r="E91" s="109">
        <f ca="1">IF(表2_3671626293038912131415232425262728[[#This Row],[累计净值]]/MAX(INDIRECT("B21:B" &amp; ROW()))-1&lt;E90,表2_3671626293038912131415232425262728[[#This Row],[累计净值]]/MAX(INDIRECT("B21:B" &amp; ROW()))-1,E90)</f>
        <v>-1.0548727378302702E-2</v>
      </c>
      <c r="F91" s="110">
        <f>表2_3671626293038912131415232425262728[[#This Row],[累计净值]]</f>
        <v>1.0330999999999999</v>
      </c>
      <c r="G91" s="20">
        <f>表2_3671626293038912131415232425262728[[#This Row],[累计净值]]/$B$21-1</f>
        <v>3.4341209451341559E-2</v>
      </c>
    </row>
    <row r="92" spans="1:7">
      <c r="A92" s="15">
        <v>44168</v>
      </c>
      <c r="B92" s="112">
        <v>1.0358000000000001</v>
      </c>
      <c r="C92" s="108">
        <f t="shared" si="22"/>
        <v>2.7000000000001467E-3</v>
      </c>
      <c r="D92" s="109" t="str">
        <f t="shared" si="23"/>
        <v>/</v>
      </c>
      <c r="E92" s="109">
        <f ca="1">IF(表2_3671626293038912131415232425262728[[#This Row],[累计净值]]/MAX(INDIRECT("B21:B" &amp; ROW()))-1&lt;E91,表2_3671626293038912131415232425262728[[#This Row],[累计净值]]/MAX(INDIRECT("B21:B" &amp; ROW()))-1,E91)</f>
        <v>-1.0548727378302702E-2</v>
      </c>
      <c r="F92" s="110">
        <f>表2_3671626293038912131415232425262728[[#This Row],[累计净值]]</f>
        <v>1.0358000000000001</v>
      </c>
      <c r="G92" s="20">
        <f>表2_3671626293038912131415232425262728[[#This Row],[累计净值]]/$B$21-1</f>
        <v>3.7044453344012851E-2</v>
      </c>
    </row>
    <row r="93" spans="1:7">
      <c r="A93" s="15">
        <v>44169</v>
      </c>
      <c r="B93" s="112">
        <v>1.0366</v>
      </c>
      <c r="C93" s="108">
        <f>IFERROR(B93-B92,0)</f>
        <v>7.9999999999991189E-4</v>
      </c>
      <c r="D93" s="109" t="str">
        <f>IF(C93&lt;0,C93,"/")</f>
        <v>/</v>
      </c>
      <c r="E93" s="109">
        <f ca="1">IF(表2_3671626293038912131415232425262728[[#This Row],[累计净值]]/MAX(INDIRECT("B21:B" &amp; ROW()))-1&lt;E92,表2_3671626293038912131415232425262728[[#This Row],[累计净值]]/MAX(INDIRECT("B21:B" &amp; ROW()))-1,E92)</f>
        <v>-1.0548727378302702E-2</v>
      </c>
      <c r="F93" s="110">
        <f>表2_3671626293038912131415232425262728[[#This Row],[累计净值]]</f>
        <v>1.0366</v>
      </c>
      <c r="G93" s="20">
        <f>表2_3671626293038912131415232425262728[[#This Row],[累计净值]]/$B$21-1</f>
        <v>3.7845414497396757E-2</v>
      </c>
    </row>
    <row r="94" spans="1:7">
      <c r="A94" s="15">
        <v>44172</v>
      </c>
      <c r="B94" s="112">
        <v>1.0355000000000001</v>
      </c>
      <c r="C94" s="108">
        <f>IFERROR(B94-B93,0)</f>
        <v>-1.0999999999998789E-3</v>
      </c>
      <c r="D94" s="109">
        <f>IF(C94&lt;0,C94,"/")</f>
        <v>-1.0999999999998789E-3</v>
      </c>
      <c r="E94" s="109">
        <f ca="1">IF(表2_3671626293038912131415232425262728[[#This Row],[累计净值]]/MAX(INDIRECT("B21:B" &amp; ROW()))-1&lt;E93,表2_3671626293038912131415232425262728[[#This Row],[累计净值]]/MAX(INDIRECT("B21:B" &amp; ROW()))-1,E93)</f>
        <v>-1.0548727378302702E-2</v>
      </c>
      <c r="F94" s="110">
        <f>表2_3671626293038912131415232425262728[[#This Row],[累计净值]]</f>
        <v>1.0355000000000001</v>
      </c>
      <c r="G94" s="20">
        <f>表2_3671626293038912131415232425262728[[#This Row],[累计净值]]/$B$21-1</f>
        <v>3.6744092911493942E-2</v>
      </c>
    </row>
    <row r="95" spans="1:7">
      <c r="A95" s="15">
        <v>44173</v>
      </c>
      <c r="B95" s="112">
        <v>1.0364</v>
      </c>
      <c r="C95" s="108">
        <f>IFERROR(B95-B94,0)</f>
        <v>8.9999999999990088E-4</v>
      </c>
      <c r="D95" s="109" t="str">
        <f>IF(C95&lt;0,C95,"/")</f>
        <v>/</v>
      </c>
      <c r="E95" s="109">
        <f ca="1">IF(表2_3671626293038912131415232425262728[[#This Row],[累计净值]]/MAX(INDIRECT("B21:B" &amp; ROW()))-1&lt;E94,表2_3671626293038912131415232425262728[[#This Row],[累计净值]]/MAX(INDIRECT("B21:B" &amp; ROW()))-1,E94)</f>
        <v>-1.0548727378302702E-2</v>
      </c>
      <c r="F95" s="110">
        <f>表2_3671626293038912131415232425262728[[#This Row],[累计净值]]</f>
        <v>1.0364</v>
      </c>
      <c r="G95" s="20">
        <f>表2_3671626293038912131415232425262728[[#This Row],[累计净值]]/$B$21-1</f>
        <v>3.7645174209050891E-2</v>
      </c>
    </row>
    <row r="96" spans="1:7">
      <c r="A96" s="15">
        <v>44174</v>
      </c>
      <c r="B96" s="112">
        <v>1.0317000000000001</v>
      </c>
      <c r="C96" s="108">
        <f t="shared" ref="C96:C97" si="24">IFERROR(B96-B95,0)</f>
        <v>-4.6999999999999265E-3</v>
      </c>
      <c r="D96" s="109">
        <f t="shared" ref="D96:D97" si="25">IF(C96&lt;0,C96,"/")</f>
        <v>-4.6999999999999265E-3</v>
      </c>
      <c r="E96" s="109">
        <f ca="1">IF(表2_3671626293038912131415232425262728[[#This Row],[累计净值]]/MAX(INDIRECT("B21:B" &amp; ROW()))-1&lt;E95,表2_3671626293038912131415232425262728[[#This Row],[累计净值]]/MAX(INDIRECT("B21:B" &amp; ROW()))-1,E95)</f>
        <v>-1.0548727378302702E-2</v>
      </c>
      <c r="F96" s="110">
        <f>表2_3671626293038912131415232425262728[[#This Row],[累计净值]]</f>
        <v>1.0317000000000001</v>
      </c>
      <c r="G96" s="20">
        <f>表2_3671626293038912131415232425262728[[#This Row],[累计净值]]/$B$21-1</f>
        <v>3.2939527432919613E-2</v>
      </c>
    </row>
    <row r="97" spans="1:7">
      <c r="A97" s="15">
        <v>44175</v>
      </c>
      <c r="B97" s="112">
        <v>1.0324</v>
      </c>
      <c r="C97" s="108">
        <f t="shared" si="24"/>
        <v>6.9999999999992291E-4</v>
      </c>
      <c r="D97" s="109" t="str">
        <f t="shared" si="25"/>
        <v>/</v>
      </c>
      <c r="E97" s="109">
        <f ca="1">IF(表2_3671626293038912131415232425262728[[#This Row],[累计净值]]/MAX(INDIRECT("B21:B" &amp; ROW()))-1&lt;E96,表2_3671626293038912131415232425262728[[#This Row],[累计净值]]/MAX(INDIRECT("B21:B" &amp; ROW()))-1,E96)</f>
        <v>-1.0548727378302702E-2</v>
      </c>
      <c r="F97" s="110">
        <f>表2_3671626293038912131415232425262728[[#This Row],[累计净值]]</f>
        <v>1.0324</v>
      </c>
      <c r="G97" s="20">
        <f>表2_3671626293038912131415232425262728[[#This Row],[累计净值]]/$B$21-1</f>
        <v>3.3640368442130475E-2</v>
      </c>
    </row>
    <row r="98" spans="1:7">
      <c r="A98" s="15">
        <v>44176</v>
      </c>
      <c r="B98" s="112">
        <v>1.0228999999999999</v>
      </c>
      <c r="C98" s="108">
        <f t="shared" ref="C98:C103" si="26">IFERROR(B98-B97,0)</f>
        <v>-9.5000000000000639E-3</v>
      </c>
      <c r="D98" s="109">
        <f t="shared" ref="D98:D103" si="27">IF(C98&lt;0,C98,"/")</f>
        <v>-9.5000000000000639E-3</v>
      </c>
      <c r="E98" s="109">
        <f ca="1">IF(表2_3671626293038912131415232425262728[[#This Row],[累计净值]]/MAX(INDIRECT("B21:B" &amp; ROW()))-1&lt;E97,表2_3671626293038912131415232425262728[[#This Row],[累计净值]]/MAX(INDIRECT("B21:B" &amp; ROW()))-1,E97)</f>
        <v>-1.3216284005402312E-2</v>
      </c>
      <c r="F98" s="110">
        <f>表2_3671626293038912131415232425262728[[#This Row],[累计净值]]</f>
        <v>1.0228999999999999</v>
      </c>
      <c r="G98" s="20">
        <f>表2_3671626293038912131415232425262728[[#This Row],[累计净值]]/$B$21-1</f>
        <v>2.4128954745694653E-2</v>
      </c>
    </row>
    <row r="99" spans="1:7">
      <c r="A99" s="15">
        <v>44179</v>
      </c>
      <c r="B99" s="112">
        <v>1.0285</v>
      </c>
      <c r="C99" s="108">
        <f t="shared" si="26"/>
        <v>5.6000000000000494E-3</v>
      </c>
      <c r="D99" s="109" t="str">
        <f t="shared" si="27"/>
        <v>/</v>
      </c>
      <c r="E99" s="109">
        <f ca="1">IF(表2_3671626293038912131415232425262728[[#This Row],[累计净值]]/MAX(INDIRECT("B21:B" &amp; ROW()))-1&lt;E98,表2_3671626293038912131415232425262728[[#This Row],[累计净值]]/MAX(INDIRECT("B21:B" &amp; ROW()))-1,E98)</f>
        <v>-1.3216284005402312E-2</v>
      </c>
      <c r="F99" s="110">
        <f>表2_3671626293038912131415232425262728[[#This Row],[累计净值]]</f>
        <v>1.0285</v>
      </c>
      <c r="G99" s="20">
        <f>表2_3671626293038912131415232425262728[[#This Row],[累计净值]]/$B$21-1</f>
        <v>2.9735682819383102E-2</v>
      </c>
    </row>
    <row r="100" spans="1:7">
      <c r="A100" s="15">
        <v>44180</v>
      </c>
      <c r="B100" s="112">
        <v>1.0314000000000001</v>
      </c>
      <c r="C100" s="108">
        <f t="shared" si="26"/>
        <v>2.9000000000001247E-3</v>
      </c>
      <c r="D100" s="109" t="str">
        <f t="shared" si="27"/>
        <v>/</v>
      </c>
      <c r="E100" s="109">
        <f ca="1">IF(表2_3671626293038912131415232425262728[[#This Row],[累计净值]]/MAX(INDIRECT("B21:B" &amp; ROW()))-1&lt;E99,表2_3671626293038912131415232425262728[[#This Row],[累计净值]]/MAX(INDIRECT("B21:B" &amp; ROW()))-1,E99)</f>
        <v>-1.3216284005402312E-2</v>
      </c>
      <c r="F100" s="110">
        <f>表2_3671626293038912131415232425262728[[#This Row],[累计净值]]</f>
        <v>1.0314000000000001</v>
      </c>
      <c r="G100" s="20">
        <f>表2_3671626293038912131415232425262728[[#This Row],[累计净值]]/$B$21-1</f>
        <v>3.2639167000400482E-2</v>
      </c>
    </row>
    <row r="101" spans="1:7">
      <c r="A101" s="15">
        <v>44181</v>
      </c>
      <c r="B101" s="112">
        <v>1.0295000000000001</v>
      </c>
      <c r="C101" s="108">
        <f t="shared" si="26"/>
        <v>-1.9000000000000128E-3</v>
      </c>
      <c r="D101" s="109">
        <f t="shared" si="27"/>
        <v>-1.9000000000000128E-3</v>
      </c>
      <c r="E101" s="109">
        <f ca="1">IF(表2_3671626293038912131415232425262728[[#This Row],[累计净值]]/MAX(INDIRECT("B21:B" &amp; ROW()))-1&lt;E100,表2_3671626293038912131415232425262728[[#This Row],[累计净值]]/MAX(INDIRECT("B21:B" &amp; ROW()))-1,E100)</f>
        <v>-1.3216284005402312E-2</v>
      </c>
      <c r="F101" s="110">
        <f>表2_3671626293038912131415232425262728[[#This Row],[累计净值]]</f>
        <v>1.0295000000000001</v>
      </c>
      <c r="G101" s="20">
        <f>表2_3671626293038912131415232425262728[[#This Row],[累计净值]]/$B$21-1</f>
        <v>3.0736884261113318E-2</v>
      </c>
    </row>
    <row r="102" spans="1:7">
      <c r="A102" s="15">
        <v>44182</v>
      </c>
      <c r="B102" s="112">
        <v>1.0344</v>
      </c>
      <c r="C102" s="108">
        <f t="shared" si="26"/>
        <v>4.8999999999999044E-3</v>
      </c>
      <c r="D102" s="109" t="str">
        <f t="shared" si="27"/>
        <v>/</v>
      </c>
      <c r="E102" s="109">
        <f ca="1">IF(表2_3671626293038912131415232425262728[[#This Row],[累计净值]]/MAX(INDIRECT("B21:B" &amp; ROW()))-1&lt;E101,表2_3671626293038912131415232425262728[[#This Row],[累计净值]]/MAX(INDIRECT("B21:B" &amp; ROW()))-1,E101)</f>
        <v>-1.3216284005402312E-2</v>
      </c>
      <c r="F102" s="110">
        <f>表2_3671626293038912131415232425262728[[#This Row],[累计净值]]</f>
        <v>1.0344</v>
      </c>
      <c r="G102" s="20">
        <f>表2_3671626293038912131415232425262728[[#This Row],[累计净值]]/$B$21-1</f>
        <v>3.5642771325590683E-2</v>
      </c>
    </row>
    <row r="103" spans="1:7">
      <c r="A103" s="15">
        <v>44183</v>
      </c>
      <c r="B103" s="112">
        <v>1.0351999999999999</v>
      </c>
      <c r="C103" s="108">
        <f t="shared" si="26"/>
        <v>7.9999999999991189E-4</v>
      </c>
      <c r="D103" s="109" t="str">
        <f t="shared" si="27"/>
        <v>/</v>
      </c>
      <c r="E103" s="109">
        <f ca="1">IF(表2_3671626293038912131415232425262728[[#This Row],[累计净值]]/MAX(INDIRECT("B21:B" &amp; ROW()))-1&lt;E102,表2_3671626293038912131415232425262728[[#This Row],[累计净值]]/MAX(INDIRECT("B21:B" &amp; ROW()))-1,E102)</f>
        <v>-1.3216284005402312E-2</v>
      </c>
      <c r="F103" s="110">
        <f>表2_3671626293038912131415232425262728[[#This Row],[累计净值]]</f>
        <v>1.0351999999999999</v>
      </c>
      <c r="G103" s="20">
        <f>表2_3671626293038912131415232425262728[[#This Row],[累计净值]]/$B$21-1</f>
        <v>3.6443732478974589E-2</v>
      </c>
    </row>
    <row r="104" spans="1:7">
      <c r="A104" s="15">
        <v>44186</v>
      </c>
      <c r="B104" s="112">
        <v>1.0395000000000001</v>
      </c>
      <c r="C104" s="108">
        <f t="shared" ref="C104:C109" si="28">IFERROR(B104-B103,0)</f>
        <v>4.3000000000001926E-3</v>
      </c>
      <c r="D104" s="109" t="str">
        <f t="shared" ref="D104:D109" si="29">IF(C104&lt;0,C104,"/")</f>
        <v>/</v>
      </c>
      <c r="E104" s="109">
        <f ca="1">IF(表2_3671626293038912131415232425262728[[#This Row],[累计净值]]/MAX(INDIRECT("B21:B" &amp; ROW()))-1&lt;E103,表2_3671626293038912131415232425262728[[#This Row],[累计净值]]/MAX(INDIRECT("B21:B" &amp; ROW()))-1,E103)</f>
        <v>-1.3216284005402312E-2</v>
      </c>
      <c r="F104" s="110">
        <f>表2_3671626293038912131415232425262728[[#This Row],[累计净值]]</f>
        <v>1.0395000000000001</v>
      </c>
      <c r="G104" s="20">
        <f>表2_3671626293038912131415232425262728[[#This Row],[累计净值]]/$B$21-1</f>
        <v>4.0748898678414136E-2</v>
      </c>
    </row>
    <row r="105" spans="1:7">
      <c r="A105" s="15">
        <v>44187</v>
      </c>
      <c r="B105" s="112">
        <v>1.0363</v>
      </c>
      <c r="C105" s="108">
        <f t="shared" si="28"/>
        <v>-3.2000000000000917E-3</v>
      </c>
      <c r="D105" s="109">
        <f t="shared" si="29"/>
        <v>-3.2000000000000917E-3</v>
      </c>
      <c r="E105" s="109">
        <f ca="1">IF(表2_3671626293038912131415232425262728[[#This Row],[累计净值]]/MAX(INDIRECT("B21:B" &amp; ROW()))-1&lt;E104,表2_3671626293038912131415232425262728[[#This Row],[累计净值]]/MAX(INDIRECT("B21:B" &amp; ROW()))-1,E104)</f>
        <v>-1.3216284005402312E-2</v>
      </c>
      <c r="F105" s="110">
        <f>表2_3671626293038912131415232425262728[[#This Row],[累计净值]]</f>
        <v>1.0363</v>
      </c>
      <c r="G105" s="20">
        <f>表2_3671626293038912131415232425262728[[#This Row],[累计净值]]/$B$21-1</f>
        <v>3.7545054064877847E-2</v>
      </c>
    </row>
    <row r="106" spans="1:7">
      <c r="A106" s="15">
        <v>44188</v>
      </c>
      <c r="B106" s="112">
        <v>1.0390999999999999</v>
      </c>
      <c r="C106" s="108">
        <f t="shared" si="28"/>
        <v>2.7999999999999137E-3</v>
      </c>
      <c r="D106" s="109" t="str">
        <f t="shared" si="29"/>
        <v>/</v>
      </c>
      <c r="E106" s="109">
        <f ca="1">IF(表2_3671626293038912131415232425262728[[#This Row],[累计净值]]/MAX(INDIRECT("B21:B" &amp; ROW()))-1&lt;E105,表2_3671626293038912131415232425262728[[#This Row],[累计净值]]/MAX(INDIRECT("B21:B" &amp; ROW()))-1,E105)</f>
        <v>-1.3216284005402312E-2</v>
      </c>
      <c r="F106" s="110">
        <f>表2_3671626293038912131415232425262728[[#This Row],[累计净值]]</f>
        <v>1.0390999999999999</v>
      </c>
      <c r="G106" s="20">
        <f>表2_3671626293038912131415232425262728[[#This Row],[累计净值]]/$B$21-1</f>
        <v>4.0348418101721961E-2</v>
      </c>
    </row>
    <row r="107" spans="1:7">
      <c r="A107" s="15">
        <v>44189</v>
      </c>
      <c r="B107" s="112">
        <v>1.0369999999999999</v>
      </c>
      <c r="C107" s="108">
        <f t="shared" si="28"/>
        <v>-2.0999999999999908E-3</v>
      </c>
      <c r="D107" s="109">
        <f t="shared" si="29"/>
        <v>-2.0999999999999908E-3</v>
      </c>
      <c r="E107" s="109">
        <f ca="1">IF(表2_3671626293038912131415232425262728[[#This Row],[累计净值]]/MAX(INDIRECT("B21:B" &amp; ROW()))-1&lt;E106,表2_3671626293038912131415232425262728[[#This Row],[累计净值]]/MAX(INDIRECT("B21:B" &amp; ROW()))-1,E106)</f>
        <v>-1.3216284005402312E-2</v>
      </c>
      <c r="F107" s="110">
        <f>表2_3671626293038912131415232425262728[[#This Row],[累计净值]]</f>
        <v>1.0369999999999999</v>
      </c>
      <c r="G107" s="20">
        <f>表2_3671626293038912131415232425262728[[#This Row],[累计净值]]/$B$21-1</f>
        <v>3.8245895074088709E-2</v>
      </c>
    </row>
    <row r="108" spans="1:7">
      <c r="A108" s="15">
        <v>44190</v>
      </c>
      <c r="B108" s="112">
        <v>1.0383</v>
      </c>
      <c r="C108" s="108">
        <f t="shared" si="28"/>
        <v>1.3000000000000789E-3</v>
      </c>
      <c r="D108" s="109" t="str">
        <f t="shared" si="29"/>
        <v>/</v>
      </c>
      <c r="E108" s="109">
        <f ca="1">IF(表2_3671626293038912131415232425262728[[#This Row],[累计净值]]/MAX(INDIRECT("B21:B" &amp; ROW()))-1&lt;E107,表2_3671626293038912131415232425262728[[#This Row],[累计净值]]/MAX(INDIRECT("B21:B" &amp; ROW()))-1,E107)</f>
        <v>-1.3216284005402312E-2</v>
      </c>
      <c r="F108" s="110">
        <f>表2_3671626293038912131415232425262728[[#This Row],[累计净值]]</f>
        <v>1.0383</v>
      </c>
      <c r="G108" s="20">
        <f>表2_3671626293038912131415232425262728[[#This Row],[累计净值]]/$B$21-1</f>
        <v>3.9547456948338056E-2</v>
      </c>
    </row>
    <row r="109" spans="1:7">
      <c r="A109" s="15">
        <v>44193</v>
      </c>
      <c r="B109" s="112">
        <v>1.0425</v>
      </c>
      <c r="C109" s="108">
        <f t="shared" si="28"/>
        <v>4.1999999999999815E-3</v>
      </c>
      <c r="D109" s="109" t="str">
        <f t="shared" si="29"/>
        <v>/</v>
      </c>
      <c r="E109" s="109">
        <f ca="1">IF(表2_3671626293038912131415232425262728[[#This Row],[累计净值]]/MAX(INDIRECT("B21:B" &amp; ROW()))-1&lt;E108,表2_3671626293038912131415232425262728[[#This Row],[累计净值]]/MAX(INDIRECT("B21:B" &amp; ROW()))-1,E108)</f>
        <v>-1.3216284005402312E-2</v>
      </c>
      <c r="F109" s="110">
        <f>表2_3671626293038912131415232425262728[[#This Row],[累计净值]]</f>
        <v>1.0425</v>
      </c>
      <c r="G109" s="20">
        <f>表2_3671626293038912131415232425262728[[#This Row],[累计净值]]/$B$21-1</f>
        <v>4.3752503003604337E-2</v>
      </c>
    </row>
    <row r="110" spans="1:7">
      <c r="A110" s="15">
        <v>44194</v>
      </c>
      <c r="B110" s="112">
        <v>1.0425</v>
      </c>
      <c r="C110" s="108">
        <f>IFERROR(B110-B109,0)</f>
        <v>0</v>
      </c>
      <c r="D110" s="109" t="str">
        <f>IF(C110&lt;0,C110,"/")</f>
        <v>/</v>
      </c>
      <c r="E110" s="109">
        <f ca="1">IF(表2_3671626293038912131415232425262728[[#This Row],[累计净值]]/MAX(INDIRECT("B21:B" &amp; ROW()))-1&lt;E109,表2_3671626293038912131415232425262728[[#This Row],[累计净值]]/MAX(INDIRECT("B21:B" &amp; ROW()))-1,E109)</f>
        <v>-1.3216284005402312E-2</v>
      </c>
      <c r="F110" s="110">
        <f>表2_3671626293038912131415232425262728[[#This Row],[累计净值]]</f>
        <v>1.0425</v>
      </c>
      <c r="G110" s="20">
        <f>表2_3671626293038912131415232425262728[[#This Row],[累计净值]]/$B$21-1</f>
        <v>4.3752503003604337E-2</v>
      </c>
    </row>
    <row r="111" spans="1:7">
      <c r="A111" s="15">
        <v>44195</v>
      </c>
      <c r="B111" s="112">
        <v>1.0425</v>
      </c>
      <c r="C111" s="108">
        <f>IFERROR(B111-B110,0)</f>
        <v>0</v>
      </c>
      <c r="D111" s="109" t="str">
        <f>IF(C111&lt;0,C111,"/")</f>
        <v>/</v>
      </c>
      <c r="E111" s="109">
        <f ca="1">IF(表2_3671626293038912131415232425262728[[#This Row],[累计净值]]/MAX(INDIRECT("B21:B" &amp; ROW()))-1&lt;E110,表2_3671626293038912131415232425262728[[#This Row],[累计净值]]/MAX(INDIRECT("B21:B" &amp; ROW()))-1,E110)</f>
        <v>-1.3216284005402312E-2</v>
      </c>
      <c r="F111" s="110">
        <f>表2_3671626293038912131415232425262728[[#This Row],[累计净值]]</f>
        <v>1.0425</v>
      </c>
      <c r="G111" s="20">
        <f>表2_3671626293038912131415232425262728[[#This Row],[累计净值]]/$B$21-1</f>
        <v>4.3752503003604337E-2</v>
      </c>
    </row>
    <row r="112" spans="1:7">
      <c r="A112" s="15">
        <v>44196</v>
      </c>
      <c r="B112" s="112">
        <v>1.0428999999999999</v>
      </c>
      <c r="C112" s="108">
        <f>IFERROR(B112-B111,0)</f>
        <v>3.9999999999995595E-4</v>
      </c>
      <c r="D112" s="109" t="str">
        <f>IF(C112&lt;0,C112,"/")</f>
        <v>/</v>
      </c>
      <c r="E112" s="109">
        <f ca="1">IF(表2_3671626293038912131415232425262728[[#This Row],[累计净值]]/MAX(INDIRECT("B21:B" &amp; ROW()))-1&lt;E111,表2_3671626293038912131415232425262728[[#This Row],[累计净值]]/MAX(INDIRECT("B21:B" &amp; ROW()))-1,E111)</f>
        <v>-1.3216284005402312E-2</v>
      </c>
      <c r="F112" s="110">
        <f>表2_3671626293038912131415232425262728[[#This Row],[累计净值]]</f>
        <v>1.0428999999999999</v>
      </c>
      <c r="G112" s="20">
        <f>表2_3671626293038912131415232425262728[[#This Row],[累计净值]]/$B$21-1</f>
        <v>4.415298358029629E-2</v>
      </c>
    </row>
    <row r="113" spans="1:7">
      <c r="A113" s="15">
        <v>44200</v>
      </c>
      <c r="B113" s="112">
        <v>1.0450999999999999</v>
      </c>
      <c r="C113" s="108">
        <f>IFERROR(B113-B112,0)</f>
        <v>2.1999999999999797E-3</v>
      </c>
      <c r="D113" s="109" t="str">
        <f>IF(C113&lt;0,C113,"/")</f>
        <v>/</v>
      </c>
      <c r="E113" s="109">
        <f ca="1">IF(表2_3671626293038912131415232425262728[[#This Row],[累计净值]]/MAX(INDIRECT("B21:B" &amp; ROW()))-1&lt;E112,表2_3671626293038912131415232425262728[[#This Row],[累计净值]]/MAX(INDIRECT("B21:B" &amp; ROW()))-1,E112)</f>
        <v>-1.3216284005402312E-2</v>
      </c>
      <c r="F113" s="110">
        <f>表2_3671626293038912131415232425262728[[#This Row],[累计净值]]</f>
        <v>1.0450999999999999</v>
      </c>
      <c r="G113" s="20">
        <f>表2_3671626293038912131415232425262728[[#This Row],[累计净值]]/$B$21-1</f>
        <v>4.6355626752102363E-2</v>
      </c>
    </row>
    <row r="114" spans="1:7">
      <c r="A114" s="15">
        <v>44201</v>
      </c>
      <c r="B114" s="112">
        <v>1.0476000000000001</v>
      </c>
      <c r="C114" s="108">
        <f t="shared" ref="C114:C115" si="30">IFERROR(B114-B113,0)</f>
        <v>2.5000000000001688E-3</v>
      </c>
      <c r="D114" s="109" t="str">
        <f t="shared" ref="D114:D115" si="31">IF(C114&lt;0,C114,"/")</f>
        <v>/</v>
      </c>
      <c r="E114" s="109">
        <f ca="1">IF(表2_3671626293038912131415232425262728[[#This Row],[累计净值]]/MAX(INDIRECT("B21:B" &amp; ROW()))-1&lt;E113,表2_3671626293038912131415232425262728[[#This Row],[累计净值]]/MAX(INDIRECT("B21:B" &amp; ROW()))-1,E113)</f>
        <v>-1.3216284005402312E-2</v>
      </c>
      <c r="F114" s="110">
        <f>表2_3671626293038912131415232425262728[[#This Row],[累计净值]]</f>
        <v>1.0476000000000001</v>
      </c>
      <c r="G114" s="20">
        <f>表2_3671626293038912131415232425262728[[#This Row],[累计净值]]/$B$21-1</f>
        <v>4.885863035642779E-2</v>
      </c>
    </row>
    <row r="115" spans="1:7">
      <c r="A115" s="15">
        <v>44202</v>
      </c>
      <c r="B115" s="112">
        <v>1.0476000000000001</v>
      </c>
      <c r="C115" s="108">
        <f t="shared" si="30"/>
        <v>0</v>
      </c>
      <c r="D115" s="109" t="str">
        <f t="shared" si="31"/>
        <v>/</v>
      </c>
      <c r="E115" s="109">
        <f ca="1">IF(表2_3671626293038912131415232425262728[[#This Row],[累计净值]]/MAX(INDIRECT("B21:B" &amp; ROW()))-1&lt;E114,表2_3671626293038912131415232425262728[[#This Row],[累计净值]]/MAX(INDIRECT("B21:B" &amp; ROW()))-1,E114)</f>
        <v>-1.3216284005402312E-2</v>
      </c>
      <c r="F115" s="110">
        <f>表2_3671626293038912131415232425262728[[#This Row],[累计净值]]</f>
        <v>1.0476000000000001</v>
      </c>
      <c r="G115" s="20">
        <f>表2_3671626293038912131415232425262728[[#This Row],[累计净值]]/$B$21-1</f>
        <v>4.885863035642779E-2</v>
      </c>
    </row>
    <row r="116" spans="1:7">
      <c r="A116" s="15">
        <v>44203</v>
      </c>
      <c r="B116" s="112">
        <v>1.0468999999999999</v>
      </c>
      <c r="C116" s="108">
        <f t="shared" ref="C116:C117" si="32">IFERROR(B116-B115,0)</f>
        <v>-7.0000000000014495E-4</v>
      </c>
      <c r="D116" s="109">
        <f t="shared" ref="D116:D117" si="33">IF(C116&lt;0,C116,"/")</f>
        <v>-7.0000000000014495E-4</v>
      </c>
      <c r="E116" s="109">
        <f ca="1">IF(表2_3671626293038912131415232425262728[[#This Row],[累计净值]]/MAX(INDIRECT("B21:B" &amp; ROW()))-1&lt;E115,表2_3671626293038912131415232425262728[[#This Row],[累计净值]]/MAX(INDIRECT("B21:B" &amp; ROW()))-1,E115)</f>
        <v>-1.3216284005402312E-2</v>
      </c>
      <c r="F116" s="110">
        <f>表2_3671626293038912131415232425262728[[#This Row],[累计净值]]</f>
        <v>1.0468999999999999</v>
      </c>
      <c r="G116" s="20">
        <f>表2_3671626293038912131415232425262728[[#This Row],[累计净值]]/$B$21-1</f>
        <v>4.8157789347216484E-2</v>
      </c>
    </row>
    <row r="117" spans="1:7">
      <c r="A117" s="15">
        <v>44204</v>
      </c>
      <c r="B117" s="112">
        <v>1.0456000000000001</v>
      </c>
      <c r="C117" s="108">
        <f t="shared" si="32"/>
        <v>-1.2999999999998568E-3</v>
      </c>
      <c r="D117" s="109">
        <f t="shared" si="33"/>
        <v>-1.2999999999998568E-3</v>
      </c>
      <c r="E117" s="109">
        <f ca="1">IF(表2_3671626293038912131415232425262728[[#This Row],[累计净值]]/MAX(INDIRECT("B21:B" &amp; ROW()))-1&lt;E116,表2_3671626293038912131415232425262728[[#This Row],[累计净值]]/MAX(INDIRECT("B21:B" &amp; ROW()))-1,E116)</f>
        <v>-1.3216284005402312E-2</v>
      </c>
      <c r="F117" s="110">
        <f>表2_3671626293038912131415232425262728[[#This Row],[累计净值]]</f>
        <v>1.0456000000000001</v>
      </c>
      <c r="G117" s="20">
        <f>表2_3671626293038912131415232425262728[[#This Row],[累计净值]]/$B$21-1</f>
        <v>4.6856227472967582E-2</v>
      </c>
    </row>
    <row r="118" spans="1:7">
      <c r="A118" s="15">
        <v>44207</v>
      </c>
      <c r="B118" s="112">
        <v>1.0488999999999999</v>
      </c>
      <c r="C118" s="108">
        <f t="shared" ref="C118:C123" si="34">IFERROR(B118-B117,0)</f>
        <v>3.2999999999998586E-3</v>
      </c>
      <c r="D118" s="109" t="str">
        <f t="shared" ref="D118:D123" si="35">IF(C118&lt;0,C118,"/")</f>
        <v>/</v>
      </c>
      <c r="E118" s="109">
        <f ca="1">IF(表2_3671626293038912131415232425262728[[#This Row],[累计净值]]/MAX(INDIRECT("B21:B" &amp; ROW()))-1&lt;E117,表2_3671626293038912131415232425262728[[#This Row],[累计净值]]/MAX(INDIRECT("B21:B" &amp; ROW()))-1,E117)</f>
        <v>-1.3216284005402312E-2</v>
      </c>
      <c r="F118" s="110">
        <f>表2_3671626293038912131415232425262728[[#This Row],[累计净值]]</f>
        <v>1.0488999999999999</v>
      </c>
      <c r="G118" s="20">
        <f>表2_3671626293038912131415232425262728[[#This Row],[累计净值]]/$B$21-1</f>
        <v>5.0160192230676692E-2</v>
      </c>
    </row>
    <row r="119" spans="1:7">
      <c r="A119" s="15">
        <v>44208</v>
      </c>
      <c r="B119" s="112">
        <v>1.0505</v>
      </c>
      <c r="C119" s="108">
        <f t="shared" si="34"/>
        <v>1.6000000000000458E-3</v>
      </c>
      <c r="D119" s="109" t="str">
        <f t="shared" si="35"/>
        <v>/</v>
      </c>
      <c r="E119" s="109">
        <f ca="1">IF(表2_3671626293038912131415232425262728[[#This Row],[累计净值]]/MAX(INDIRECT("B21:B" &amp; ROW()))-1&lt;E118,表2_3671626293038912131415232425262728[[#This Row],[累计净值]]/MAX(INDIRECT("B21:B" &amp; ROW()))-1,E118)</f>
        <v>-1.3216284005402312E-2</v>
      </c>
      <c r="F119" s="110">
        <f>表2_3671626293038912131415232425262728[[#This Row],[累计净值]]</f>
        <v>1.0505</v>
      </c>
      <c r="G119" s="20">
        <f>表2_3671626293038912131415232425262728[[#This Row],[累计净值]]/$B$21-1</f>
        <v>5.1762114537444948E-2</v>
      </c>
    </row>
    <row r="120" spans="1:7">
      <c r="A120" s="15">
        <v>44209</v>
      </c>
      <c r="B120" s="112">
        <v>1.0528</v>
      </c>
      <c r="C120" s="108">
        <f t="shared" si="34"/>
        <v>2.2999999999999687E-3</v>
      </c>
      <c r="D120" s="109" t="str">
        <f t="shared" si="35"/>
        <v>/</v>
      </c>
      <c r="E120" s="109">
        <f ca="1">IF(表2_3671626293038912131415232425262728[[#This Row],[累计净值]]/MAX(INDIRECT("B21:B" &amp; ROW()))-1&lt;E119,表2_3671626293038912131415232425262728[[#This Row],[累计净值]]/MAX(INDIRECT("B21:B" &amp; ROW()))-1,E119)</f>
        <v>-1.3216284005402312E-2</v>
      </c>
      <c r="F120" s="110">
        <f>表2_3671626293038912131415232425262728[[#This Row],[累计净值]]</f>
        <v>1.0528</v>
      </c>
      <c r="G120" s="20">
        <f>表2_3671626293038912131415232425262728[[#This Row],[累计净值]]/$B$21-1</f>
        <v>5.4064877853424065E-2</v>
      </c>
    </row>
    <row r="121" spans="1:7">
      <c r="A121" s="15">
        <v>44210</v>
      </c>
      <c r="B121" s="112">
        <v>1.0528</v>
      </c>
      <c r="C121" s="108">
        <f t="shared" si="34"/>
        <v>0</v>
      </c>
      <c r="D121" s="109" t="str">
        <f t="shared" si="35"/>
        <v>/</v>
      </c>
      <c r="E121" s="109">
        <f ca="1">IF(表2_3671626293038912131415232425262728[[#This Row],[累计净值]]/MAX(INDIRECT("B21:B" &amp; ROW()))-1&lt;E120,表2_3671626293038912131415232425262728[[#This Row],[累计净值]]/MAX(INDIRECT("B21:B" &amp; ROW()))-1,E120)</f>
        <v>-1.3216284005402312E-2</v>
      </c>
      <c r="F121" s="110">
        <f>表2_3671626293038912131415232425262728[[#This Row],[累计净值]]</f>
        <v>1.0528</v>
      </c>
      <c r="G121" s="20">
        <f>表2_3671626293038912131415232425262728[[#This Row],[累计净值]]/$B$21-1</f>
        <v>5.4064877853424065E-2</v>
      </c>
    </row>
    <row r="122" spans="1:7">
      <c r="A122" s="15">
        <v>44211</v>
      </c>
      <c r="B122" s="112">
        <v>1.0537000000000001</v>
      </c>
      <c r="C122" s="108">
        <f t="shared" si="34"/>
        <v>9.0000000000012292E-4</v>
      </c>
      <c r="D122" s="109" t="str">
        <f t="shared" si="35"/>
        <v>/</v>
      </c>
      <c r="E122" s="109">
        <f ca="1">IF(表2_3671626293038912131415232425262728[[#This Row],[累计净值]]/MAX(INDIRECT("B21:B" &amp; ROW()))-1&lt;E121,表2_3671626293038912131415232425262728[[#This Row],[累计净值]]/MAX(INDIRECT("B21:B" &amp; ROW()))-1,E121)</f>
        <v>-1.3216284005402312E-2</v>
      </c>
      <c r="F122" s="110">
        <f>表2_3671626293038912131415232425262728[[#This Row],[累计净值]]</f>
        <v>1.0537000000000001</v>
      </c>
      <c r="G122" s="20">
        <f>表2_3671626293038912131415232425262728[[#This Row],[累计净值]]/$B$21-1</f>
        <v>5.4965959150981236E-2</v>
      </c>
    </row>
    <row r="123" spans="1:7">
      <c r="A123" s="15">
        <v>44214</v>
      </c>
      <c r="B123" s="112">
        <v>1.0582</v>
      </c>
      <c r="C123" s="108">
        <f t="shared" si="34"/>
        <v>4.4999999999999485E-3</v>
      </c>
      <c r="D123" s="109" t="str">
        <f t="shared" si="35"/>
        <v>/</v>
      </c>
      <c r="E123" s="109">
        <f ca="1">IF(表2_3671626293038912131415232425262728[[#This Row],[累计净值]]/MAX(INDIRECT("B21:B" &amp; ROW()))-1&lt;E122,表2_3671626293038912131415232425262728[[#This Row],[累计净值]]/MAX(INDIRECT("B21:B" &amp; ROW()))-1,E122)</f>
        <v>-1.3216284005402312E-2</v>
      </c>
      <c r="F123" s="110">
        <f>表2_3671626293038912131415232425262728[[#This Row],[累计净值]]</f>
        <v>1.0582</v>
      </c>
      <c r="G123" s="20">
        <f>表2_3671626293038912131415232425262728[[#This Row],[累计净值]]/$B$21-1</f>
        <v>5.9471365638766427E-2</v>
      </c>
    </row>
    <row r="124" spans="1:7">
      <c r="A124" s="15">
        <v>44215</v>
      </c>
      <c r="B124" s="112">
        <v>1.0492999999999999</v>
      </c>
      <c r="C124" s="108">
        <f t="shared" ref="C124:C129" si="36">IFERROR(B124-B123,0)</f>
        <v>-8.90000000000013E-3</v>
      </c>
      <c r="D124" s="109">
        <f t="shared" ref="D124:D129" si="37">IF(C124&lt;0,C124,"/")</f>
        <v>-8.90000000000013E-3</v>
      </c>
      <c r="E124" s="109">
        <f ca="1">IF(表2_3671626293038912131415232425262728[[#This Row],[累计净值]]/MAX(INDIRECT("B21:B" &amp; ROW()))-1&lt;E123,表2_3671626293038912131415232425262728[[#This Row],[累计净值]]/MAX(INDIRECT("B21:B" &amp; ROW()))-1,E123)</f>
        <v>-1.3216284005402312E-2</v>
      </c>
      <c r="F124" s="110">
        <f>表2_3671626293038912131415232425262728[[#This Row],[累计净值]]</f>
        <v>1.0492999999999999</v>
      </c>
      <c r="G124" s="20">
        <f>表2_3671626293038912131415232425262728[[#This Row],[累计净值]]/$B$21-1</f>
        <v>5.0560672807368645E-2</v>
      </c>
    </row>
    <row r="125" spans="1:7">
      <c r="A125" s="15">
        <v>44216</v>
      </c>
      <c r="B125" s="112">
        <v>1.0536000000000001</v>
      </c>
      <c r="C125" s="108">
        <f t="shared" si="36"/>
        <v>4.3000000000001926E-3</v>
      </c>
      <c r="D125" s="109" t="str">
        <f t="shared" si="37"/>
        <v>/</v>
      </c>
      <c r="E125" s="109">
        <f ca="1">IF(表2_3671626293038912131415232425262728[[#This Row],[累计净值]]/MAX(INDIRECT("B21:B" &amp; ROW()))-1&lt;E124,表2_3671626293038912131415232425262728[[#This Row],[累计净值]]/MAX(INDIRECT("B21:B" &amp; ROW()))-1,E124)</f>
        <v>-1.3216284005402312E-2</v>
      </c>
      <c r="F125" s="110">
        <f>表2_3671626293038912131415232425262728[[#This Row],[累计净值]]</f>
        <v>1.0536000000000001</v>
      </c>
      <c r="G125" s="20">
        <f>表2_3671626293038912131415232425262728[[#This Row],[累计净值]]/$B$21-1</f>
        <v>5.4865839006808192E-2</v>
      </c>
    </row>
    <row r="126" spans="1:7">
      <c r="A126" s="15">
        <v>44217</v>
      </c>
      <c r="B126" s="112">
        <v>1.0591999999999999</v>
      </c>
      <c r="C126" s="108">
        <f t="shared" si="36"/>
        <v>5.5999999999998273E-3</v>
      </c>
      <c r="D126" s="109" t="str">
        <f t="shared" si="37"/>
        <v>/</v>
      </c>
      <c r="E126" s="109">
        <f ca="1">IF(表2_3671626293038912131415232425262728[[#This Row],[累计净值]]/MAX(INDIRECT("B21:B" &amp; ROW()))-1&lt;E125,表2_3671626293038912131415232425262728[[#This Row],[累计净值]]/MAX(INDIRECT("B21:B" &amp; ROW()))-1,E125)</f>
        <v>-1.3216284005402312E-2</v>
      </c>
      <c r="F126" s="110">
        <f>表2_3671626293038912131415232425262728[[#This Row],[累计净值]]</f>
        <v>1.0591999999999999</v>
      </c>
      <c r="G126" s="20">
        <f>表2_3671626293038912131415232425262728[[#This Row],[累计净值]]/$B$21-1</f>
        <v>6.047256708049642E-2</v>
      </c>
    </row>
    <row r="127" spans="1:7">
      <c r="A127" s="15">
        <v>44218</v>
      </c>
      <c r="B127" s="112">
        <v>1.0627</v>
      </c>
      <c r="C127" s="108">
        <f t="shared" si="36"/>
        <v>3.5000000000000586E-3</v>
      </c>
      <c r="D127" s="109" t="str">
        <f t="shared" si="37"/>
        <v>/</v>
      </c>
      <c r="E127" s="109">
        <f ca="1">IF(表2_3671626293038912131415232425262728[[#This Row],[累计净值]]/MAX(INDIRECT("B21:B" &amp; ROW()))-1&lt;E126,表2_3671626293038912131415232425262728[[#This Row],[累计净值]]/MAX(INDIRECT("B21:B" &amp; ROW()))-1,E126)</f>
        <v>-1.3216284005402312E-2</v>
      </c>
      <c r="F127" s="110">
        <f>表2_3671626293038912131415232425262728[[#This Row],[累计净值]]</f>
        <v>1.0627</v>
      </c>
      <c r="G127" s="20">
        <f>表2_3671626293038912131415232425262728[[#This Row],[累计净值]]/$B$21-1</f>
        <v>6.397677212655184E-2</v>
      </c>
    </row>
    <row r="128" spans="1:7">
      <c r="A128" s="15">
        <v>44221</v>
      </c>
      <c r="B128" s="117">
        <v>1.0647</v>
      </c>
      <c r="C128" s="108">
        <f t="shared" si="36"/>
        <v>2.0000000000000018E-3</v>
      </c>
      <c r="D128" s="109" t="str">
        <f t="shared" si="37"/>
        <v>/</v>
      </c>
      <c r="E128" s="109">
        <f ca="1">IF(表2_3671626293038912131415232425262728[[#This Row],[累计净值]]/MAX(INDIRECT("B21:B" &amp; ROW()))-1&lt;E127,表2_3671626293038912131415232425262728[[#This Row],[累计净值]]/MAX(INDIRECT("B21:B" &amp; ROW()))-1,E127)</f>
        <v>-1.3216284005402312E-2</v>
      </c>
      <c r="F128" s="110">
        <f>表2_3671626293038912131415232425262728[[#This Row],[累计净值]]</f>
        <v>1.0647</v>
      </c>
      <c r="G128" s="20">
        <f>表2_3671626293038912131415232425262728[[#This Row],[累计净值]]/$B$21-1</f>
        <v>6.5979175010012048E-2</v>
      </c>
    </row>
    <row r="129" spans="1:7">
      <c r="A129" s="15">
        <v>44222</v>
      </c>
      <c r="B129" s="112">
        <v>1.0622</v>
      </c>
      <c r="C129" s="108">
        <f t="shared" si="36"/>
        <v>-2.4999999999999467E-3</v>
      </c>
      <c r="D129" s="109">
        <f t="shared" si="37"/>
        <v>-2.4999999999999467E-3</v>
      </c>
      <c r="E129" s="109">
        <f ca="1">IF(表2_3671626293038912131415232425262728[[#This Row],[累计净值]]/MAX(INDIRECT("B21:B" &amp; ROW()))-1&lt;E128,表2_3671626293038912131415232425262728[[#This Row],[累计净值]]/MAX(INDIRECT("B21:B" &amp; ROW()))-1,E128)</f>
        <v>-1.3216284005402312E-2</v>
      </c>
      <c r="F129" s="110">
        <f>表2_3671626293038912131415232425262728[[#This Row],[累计净值]]</f>
        <v>1.0622</v>
      </c>
      <c r="G129" s="20">
        <f>表2_3671626293038912131415232425262728[[#This Row],[累计净值]]/$B$21-1</f>
        <v>6.3476171405686843E-2</v>
      </c>
    </row>
    <row r="130" spans="1:7">
      <c r="A130" s="15">
        <v>44223</v>
      </c>
      <c r="B130" s="112">
        <v>1.0621</v>
      </c>
      <c r="C130" s="108">
        <f t="shared" ref="C130:C136" si="38">IFERROR(B130-B129,0)</f>
        <v>-9.9999999999988987E-5</v>
      </c>
      <c r="D130" s="109">
        <f t="shared" ref="D130:D136" si="39">IF(C130&lt;0,C130,"/")</f>
        <v>-9.9999999999988987E-5</v>
      </c>
      <c r="E130" s="109">
        <f ca="1">IF(表2_3671626293038912131415232425262728[[#This Row],[累计净值]]/MAX(INDIRECT("B21:B" &amp; ROW()))-1&lt;E129,表2_3671626293038912131415232425262728[[#This Row],[累计净值]]/MAX(INDIRECT("B21:B" &amp; ROW()))-1,E129)</f>
        <v>-1.3216284005402312E-2</v>
      </c>
      <c r="F130" s="110">
        <f>表2_3671626293038912131415232425262728[[#This Row],[累计净值]]</f>
        <v>1.0621</v>
      </c>
      <c r="G130" s="20">
        <f>表2_3671626293038912131415232425262728[[#This Row],[累计净值]]/$B$21-1</f>
        <v>6.3376051261513799E-2</v>
      </c>
    </row>
    <row r="131" spans="1:7">
      <c r="A131" s="15">
        <v>44224</v>
      </c>
      <c r="B131" s="112">
        <v>1.0532999999999999</v>
      </c>
      <c r="C131" s="108">
        <f t="shared" si="38"/>
        <v>-8.800000000000141E-3</v>
      </c>
      <c r="D131" s="109">
        <f t="shared" si="39"/>
        <v>-8.800000000000141E-3</v>
      </c>
      <c r="E131" s="109">
        <f ca="1">IF(表2_3671626293038912131415232425262728[[#This Row],[累计净值]]/MAX(INDIRECT("B21:B" &amp; ROW()))-1&lt;E130,表2_3671626293038912131415232425262728[[#This Row],[累计净值]]/MAX(INDIRECT("B21:B" &amp; ROW()))-1,E130)</f>
        <v>-1.3216284005402312E-2</v>
      </c>
      <c r="F131" s="110">
        <f>表2_3671626293038912131415232425262728[[#This Row],[累计净值]]</f>
        <v>1.0532999999999999</v>
      </c>
      <c r="G131" s="20">
        <f>表2_3671626293038912131415232425262728[[#This Row],[累计净值]]/$B$21-1</f>
        <v>5.4565478574289061E-2</v>
      </c>
    </row>
    <row r="132" spans="1:7">
      <c r="A132" s="15">
        <v>44225</v>
      </c>
      <c r="B132" s="112">
        <v>1.0510999999999999</v>
      </c>
      <c r="C132" s="108">
        <f t="shared" si="38"/>
        <v>-2.1999999999999797E-3</v>
      </c>
      <c r="D132" s="109">
        <f t="shared" si="39"/>
        <v>-2.1999999999999797E-3</v>
      </c>
      <c r="E132" s="109">
        <f ca="1">IF(表2_3671626293038912131415232425262728[[#This Row],[累计净值]]/MAX(INDIRECT("B21:B" &amp; ROW()))-1&lt;E131,表2_3671626293038912131415232425262728[[#This Row],[累计净值]]/MAX(INDIRECT("B21:B" &amp; ROW()))-1,E131)</f>
        <v>-1.3216284005402312E-2</v>
      </c>
      <c r="F132" s="110">
        <f>表2_3671626293038912131415232425262728[[#This Row],[累计净值]]</f>
        <v>1.0510999999999999</v>
      </c>
      <c r="G132" s="20">
        <f>表2_3671626293038912131415232425262728[[#This Row],[累计净值]]/$B$21-1</f>
        <v>5.2362835402482988E-2</v>
      </c>
    </row>
    <row r="133" spans="1:7">
      <c r="A133" s="15">
        <v>44228</v>
      </c>
      <c r="B133" s="112">
        <v>1.0551999999999999</v>
      </c>
      <c r="C133" s="108">
        <f t="shared" si="38"/>
        <v>4.0999999999999925E-3</v>
      </c>
      <c r="D133" s="109" t="str">
        <f t="shared" si="39"/>
        <v>/</v>
      </c>
      <c r="E133" s="109">
        <f ca="1">IF(表2_3671626293038912131415232425262728[[#This Row],[累计净值]]/MAX(INDIRECT("B21:B" &amp; ROW()))-1&lt;E132,表2_3671626293038912131415232425262728[[#This Row],[累计净值]]/MAX(INDIRECT("B21:B" &amp; ROW()))-1,E132)</f>
        <v>-1.3216284005402312E-2</v>
      </c>
      <c r="F133" s="110">
        <f>表2_3671626293038912131415232425262728[[#This Row],[累计净值]]</f>
        <v>1.0551999999999999</v>
      </c>
      <c r="G133" s="20">
        <f>表2_3671626293038912131415232425262728[[#This Row],[累计净值]]/$B$21-1</f>
        <v>5.6467761313576226E-2</v>
      </c>
    </row>
    <row r="134" spans="1:7">
      <c r="A134" s="15">
        <v>44229</v>
      </c>
      <c r="B134" s="112">
        <v>1.06</v>
      </c>
      <c r="C134" s="108">
        <f t="shared" si="38"/>
        <v>4.8000000000001375E-3</v>
      </c>
      <c r="D134" s="109" t="str">
        <f t="shared" si="39"/>
        <v>/</v>
      </c>
      <c r="E134" s="109">
        <f ca="1">IF(表2_3671626293038912131415232425262728[[#This Row],[累计净值]]/MAX(INDIRECT("B21:B" &amp; ROW()))-1&lt;E133,表2_3671626293038912131415232425262728[[#This Row],[累计净值]]/MAX(INDIRECT("B21:B" &amp; ROW()))-1,E133)</f>
        <v>-1.3216284005402312E-2</v>
      </c>
      <c r="F134" s="110">
        <f>表2_3671626293038912131415232425262728[[#This Row],[累计净值]]</f>
        <v>1.06</v>
      </c>
      <c r="G134" s="20">
        <f>表2_3671626293038912131415232425262728[[#This Row],[累计净值]]/$B$21-1</f>
        <v>6.127352823388077E-2</v>
      </c>
    </row>
    <row r="135" spans="1:7">
      <c r="A135" s="15">
        <v>44230</v>
      </c>
      <c r="B135" s="112">
        <v>1.0630999999999999</v>
      </c>
      <c r="C135" s="108">
        <f t="shared" si="38"/>
        <v>3.0999999999998806E-3</v>
      </c>
      <c r="D135" s="109" t="str">
        <f t="shared" si="39"/>
        <v>/</v>
      </c>
      <c r="E135" s="109">
        <f ca="1">IF(表2_3671626293038912131415232425262728[[#This Row],[累计净值]]/MAX(INDIRECT("B21:B" &amp; ROW()))-1&lt;E134,表2_3671626293038912131415232425262728[[#This Row],[累计净值]]/MAX(INDIRECT("B21:B" &amp; ROW()))-1,E134)</f>
        <v>-1.3216284005402312E-2</v>
      </c>
      <c r="F135" s="110">
        <f>表2_3671626293038912131415232425262728[[#This Row],[累计净值]]</f>
        <v>1.0630999999999999</v>
      </c>
      <c r="G135" s="20">
        <f>表2_3671626293038912131415232425262728[[#This Row],[累计净值]]/$B$21-1</f>
        <v>6.4377252703243792E-2</v>
      </c>
    </row>
    <row r="136" spans="1:7">
      <c r="A136" s="15">
        <v>44231</v>
      </c>
      <c r="B136" s="112">
        <v>1.0630999999999999</v>
      </c>
      <c r="C136" s="108">
        <f t="shared" si="38"/>
        <v>0</v>
      </c>
      <c r="D136" s="109" t="str">
        <f t="shared" si="39"/>
        <v>/</v>
      </c>
      <c r="E136" s="109">
        <f ca="1">IF(表2_3671626293038912131415232425262728[[#This Row],[累计净值]]/MAX(INDIRECT("B21:B" &amp; ROW()))-1&lt;E135,表2_3671626293038912131415232425262728[[#This Row],[累计净值]]/MAX(INDIRECT("B21:B" &amp; ROW()))-1,E135)</f>
        <v>-1.3216284005402312E-2</v>
      </c>
      <c r="F136" s="110">
        <f>表2_3671626293038912131415232425262728[[#This Row],[累计净值]]</f>
        <v>1.0630999999999999</v>
      </c>
      <c r="G136" s="20">
        <f>表2_3671626293038912131415232425262728[[#This Row],[累计净值]]/$B$21-1</f>
        <v>6.4377252703243792E-2</v>
      </c>
    </row>
    <row r="137" spans="1:7">
      <c r="A137" s="15">
        <v>44232</v>
      </c>
      <c r="B137" s="112">
        <v>1.0624</v>
      </c>
      <c r="C137" s="108">
        <f>IFERROR(B137-B136,0)</f>
        <v>-6.9999999999992291E-4</v>
      </c>
      <c r="D137" s="109">
        <f>IF(C137&lt;0,C137,"/")</f>
        <v>-6.9999999999992291E-4</v>
      </c>
      <c r="E137" s="109">
        <f ca="1">IF(表2_3671626293038912131415232425262728[[#This Row],[累计净值]]/MAX(INDIRECT("B21:B" &amp; ROW()))-1&lt;E136,表2_3671626293038912131415232425262728[[#This Row],[累计净值]]/MAX(INDIRECT("B21:B" &amp; ROW()))-1,E136)</f>
        <v>-1.3216284005402312E-2</v>
      </c>
      <c r="F137" s="110">
        <f>表2_3671626293038912131415232425262728[[#This Row],[累计净值]]</f>
        <v>1.0624</v>
      </c>
      <c r="G137" s="20">
        <f>表2_3671626293038912131415232425262728[[#This Row],[累计净值]]/$B$21-1</f>
        <v>6.3676411694032931E-2</v>
      </c>
    </row>
    <row r="138" spans="1:7">
      <c r="A138" s="15">
        <v>44235</v>
      </c>
      <c r="B138" s="112">
        <v>1.0639000000000001</v>
      </c>
      <c r="C138" s="108">
        <f>IFERROR(B138-B137,0)</f>
        <v>1.5000000000000568E-3</v>
      </c>
      <c r="D138" s="109" t="str">
        <f>IF(C138&lt;0,C138,"/")</f>
        <v>/</v>
      </c>
      <c r="E138" s="109">
        <f ca="1">IF(表2_3671626293038912131415232425262728[[#This Row],[累计净值]]/MAX(INDIRECT("B21:B" &amp; ROW()))-1&lt;E137,表2_3671626293038912131415232425262728[[#This Row],[累计净值]]/MAX(INDIRECT("B21:B" &amp; ROW()))-1,E137)</f>
        <v>-1.3216284005402312E-2</v>
      </c>
      <c r="F138" s="110">
        <f>表2_3671626293038912131415232425262728[[#This Row],[累计净值]]</f>
        <v>1.0639000000000001</v>
      </c>
      <c r="G138" s="20">
        <f>表2_3671626293038912131415232425262728[[#This Row],[累计净值]]/$B$21-1</f>
        <v>6.517821385662792E-2</v>
      </c>
    </row>
    <row r="139" spans="1:7">
      <c r="A139" s="15">
        <v>44236</v>
      </c>
      <c r="B139" s="112">
        <v>1.0607</v>
      </c>
      <c r="C139" s="108">
        <f>IFERROR(B139-B138,0)</f>
        <v>-3.2000000000000917E-3</v>
      </c>
      <c r="D139" s="109">
        <f>IF(C139&lt;0,C139,"/")</f>
        <v>-3.2000000000000917E-3</v>
      </c>
      <c r="E139" s="109">
        <f ca="1">IF(表2_3671626293038912131415232425262728[[#This Row],[累计净值]]/MAX(INDIRECT("B21:B" &amp; ROW()))-1&lt;E138,表2_3671626293038912131415232425262728[[#This Row],[累计净值]]/MAX(INDIRECT("B21:B" &amp; ROW()))-1,E138)</f>
        <v>-1.3216284005402312E-2</v>
      </c>
      <c r="F139" s="110">
        <f>表2_3671626293038912131415232425262728[[#This Row],[累计净值]]</f>
        <v>1.0607</v>
      </c>
      <c r="G139" s="20">
        <f>表2_3671626293038912131415232425262728[[#This Row],[累计净值]]/$B$21-1</f>
        <v>6.1974369243091632E-2</v>
      </c>
    </row>
    <row r="140" spans="1:7">
      <c r="A140" s="15">
        <v>44237</v>
      </c>
      <c r="B140" s="112">
        <v>1.0466</v>
      </c>
      <c r="C140" s="108">
        <f t="shared" ref="C140:C141" si="40">IFERROR(B140-B139,0)</f>
        <v>-1.4100000000000001E-2</v>
      </c>
      <c r="D140" s="109">
        <f t="shared" ref="D140:D141" si="41">IF(C140&lt;0,C140,"/")</f>
        <v>-1.4100000000000001E-2</v>
      </c>
      <c r="E140" s="109">
        <f ca="1">IF(表2_3671626293038912131415232425262728[[#This Row],[累计净值]]/MAX(INDIRECT("B21:B" &amp; ROW()))-1&lt;E139,表2_3671626293038912131415232425262728[[#This Row],[累计净值]]/MAX(INDIRECT("B21:B" &amp; ROW()))-1,E139)</f>
        <v>-1.7000093923170811E-2</v>
      </c>
      <c r="F140" s="110">
        <f>表2_3671626293038912131415232425262728[[#This Row],[累计净值]]</f>
        <v>1.0466</v>
      </c>
      <c r="G140" s="20">
        <f>表2_3671626293038912131415232425262728[[#This Row],[累计净值]]/$B$21-1</f>
        <v>4.7857428914697575E-2</v>
      </c>
    </row>
    <row r="141" spans="1:7">
      <c r="A141" s="15">
        <v>44245</v>
      </c>
      <c r="B141" s="112">
        <v>1.0578000000000001</v>
      </c>
      <c r="C141" s="108">
        <f t="shared" si="40"/>
        <v>1.1200000000000099E-2</v>
      </c>
      <c r="D141" s="109" t="str">
        <f t="shared" si="41"/>
        <v>/</v>
      </c>
      <c r="E141" s="109">
        <f ca="1">IF(表2_3671626293038912131415232425262728[[#This Row],[累计净值]]/MAX(INDIRECT("B21:B" &amp; ROW()))-1&lt;E140,表2_3671626293038912131415232425262728[[#This Row],[累计净值]]/MAX(INDIRECT("B21:B" &amp; ROW()))-1,E140)</f>
        <v>-1.7000093923170811E-2</v>
      </c>
      <c r="F141" s="110">
        <f>表2_3671626293038912131415232425262728[[#This Row],[累计净值]]</f>
        <v>1.0578000000000001</v>
      </c>
      <c r="G141" s="20">
        <f>表2_3671626293038912131415232425262728[[#This Row],[累计净值]]/$B$21-1</f>
        <v>5.9070885062074474E-2</v>
      </c>
    </row>
    <row r="142" spans="1:7">
      <c r="A142" s="15">
        <v>44246</v>
      </c>
      <c r="B142" s="112">
        <v>1.0583</v>
      </c>
      <c r="C142" s="108">
        <f>IFERROR(B142-B141,0)</f>
        <v>4.9999999999994493E-4</v>
      </c>
      <c r="D142" s="109" t="str">
        <f>IF(C142&lt;0,C142,"/")</f>
        <v>/</v>
      </c>
      <c r="E142" s="109">
        <f ca="1">IF(表2_3671626293038912131415232425262728[[#This Row],[累计净值]]/MAX(INDIRECT("B21:B" &amp; ROW()))-1&lt;E141,表2_3671626293038912131415232425262728[[#This Row],[累计净值]]/MAX(INDIRECT("B21:B" &amp; ROW()))-1,E141)</f>
        <v>-1.7000093923170811E-2</v>
      </c>
      <c r="F142" s="110">
        <f>表2_3671626293038912131415232425262728[[#This Row],[累计净值]]</f>
        <v>1.0583</v>
      </c>
      <c r="G142" s="20">
        <f>表2_3671626293038912131415232425262728[[#This Row],[累计净值]]/$B$21-1</f>
        <v>5.9571485782939471E-2</v>
      </c>
    </row>
    <row r="143" spans="1:7">
      <c r="A143" s="15">
        <v>44249</v>
      </c>
      <c r="B143" s="112">
        <v>1.0679000000000001</v>
      </c>
      <c r="C143" s="108">
        <f>IFERROR(B143-B142,0)</f>
        <v>9.6000000000000529E-3</v>
      </c>
      <c r="D143" s="109" t="str">
        <f>IF(C143&lt;0,C143,"/")</f>
        <v>/</v>
      </c>
      <c r="E143" s="109">
        <f ca="1">IF(表2_3671626293038912131415232425262728[[#This Row],[累计净值]]/MAX(INDIRECT("B21:B" &amp; ROW()))-1&lt;E142,表2_3671626293038912131415232425262728[[#This Row],[累计净值]]/MAX(INDIRECT("B21:B" &amp; ROW()))-1,E142)</f>
        <v>-1.7000093923170811E-2</v>
      </c>
      <c r="F143" s="110">
        <f>表2_3671626293038912131415232425262728[[#This Row],[累计净值]]</f>
        <v>1.0679000000000001</v>
      </c>
      <c r="G143" s="20">
        <f>表2_3671626293038912131415232425262728[[#This Row],[累计净值]]/$B$21-1</f>
        <v>6.9183019623548336E-2</v>
      </c>
    </row>
    <row r="144" spans="1:7">
      <c r="A144" s="15">
        <v>44250</v>
      </c>
      <c r="B144" s="112">
        <v>1.0651999999999999</v>
      </c>
      <c r="C144" s="108">
        <f>IFERROR(B144-B143,0)</f>
        <v>-2.7000000000001467E-3</v>
      </c>
      <c r="D144" s="109">
        <f>IF(C144&lt;0,C144,"/")</f>
        <v>-2.7000000000001467E-3</v>
      </c>
      <c r="E144" s="109">
        <f ca="1">IF(表2_3671626293038912131415232425262728[[#This Row],[累计净值]]/MAX(INDIRECT("B21:B" &amp; ROW()))-1&lt;E143,表2_3671626293038912131415232425262728[[#This Row],[累计净值]]/MAX(INDIRECT("B21:B" &amp; ROW()))-1,E143)</f>
        <v>-1.7000093923170811E-2</v>
      </c>
      <c r="F144" s="110">
        <f>表2_3671626293038912131415232425262728[[#This Row],[累计净值]]</f>
        <v>1.0651999999999999</v>
      </c>
      <c r="G144" s="20">
        <f>表2_3671626293038912131415232425262728[[#This Row],[累计净值]]/$B$21-1</f>
        <v>6.6479775730877044E-2</v>
      </c>
    </row>
    <row r="145" spans="1:7">
      <c r="A145" s="15">
        <v>44251</v>
      </c>
      <c r="B145" s="112">
        <v>1.0544</v>
      </c>
      <c r="C145" s="108">
        <f>IFERROR(B145-B144,0)</f>
        <v>-1.0799999999999921E-2</v>
      </c>
      <c r="D145" s="109">
        <f>IF(C145&lt;0,C145,"/")</f>
        <v>-1.0799999999999921E-2</v>
      </c>
      <c r="E145" s="109">
        <f ca="1">IF(表2_3671626293038912131415232425262728[[#This Row],[累计净值]]/MAX(INDIRECT("B21:B" &amp; ROW()))-1&lt;E144,表2_3671626293038912131415232425262728[[#This Row],[累计净值]]/MAX(INDIRECT("B21:B" &amp; ROW()))-1,E144)</f>
        <v>-1.7000093923170811E-2</v>
      </c>
      <c r="F145" s="110">
        <f>表2_3671626293038912131415232425262728[[#This Row],[累计净值]]</f>
        <v>1.0544</v>
      </c>
      <c r="G145" s="20">
        <f>表2_3671626293038912131415232425262728[[#This Row],[累计净值]]/$B$21-1</f>
        <v>5.566680016019232E-2</v>
      </c>
    </row>
    <row r="146" spans="1:7">
      <c r="A146" s="15">
        <v>44252</v>
      </c>
      <c r="B146" s="112">
        <v>1.0537000000000001</v>
      </c>
      <c r="C146" s="108">
        <f t="shared" ref="C146:C147" si="42">IFERROR(B146-B145,0)</f>
        <v>-6.9999999999992291E-4</v>
      </c>
      <c r="D146" s="109">
        <f t="shared" ref="D146:D147" si="43">IF(C146&lt;0,C146,"/")</f>
        <v>-6.9999999999992291E-4</v>
      </c>
      <c r="E146" s="109">
        <f ca="1">IF(表2_3671626293038912131415232425262728[[#This Row],[累计净值]]/MAX(INDIRECT("B21:B" &amp; ROW()))-1&lt;E145,表2_3671626293038912131415232425262728[[#This Row],[累计净值]]/MAX(INDIRECT("B21:B" &amp; ROW()))-1,E145)</f>
        <v>-1.7000093923170811E-2</v>
      </c>
      <c r="F146" s="110">
        <f>表2_3671626293038912131415232425262728[[#This Row],[累计净值]]</f>
        <v>1.0537000000000001</v>
      </c>
      <c r="G146" s="20">
        <f>表2_3671626293038912131415232425262728[[#This Row],[累计净值]]/$B$21-1</f>
        <v>5.4965959150981236E-2</v>
      </c>
    </row>
    <row r="147" spans="1:7">
      <c r="A147" s="15">
        <v>44253</v>
      </c>
      <c r="B147" s="112">
        <v>1.0321</v>
      </c>
      <c r="C147" s="108">
        <f t="shared" si="42"/>
        <v>-2.1600000000000064E-2</v>
      </c>
      <c r="D147" s="109">
        <f t="shared" si="43"/>
        <v>-2.1600000000000064E-2</v>
      </c>
      <c r="E147" s="109">
        <f ca="1">IF(表2_3671626293038912131415232425262728[[#This Row],[累计净值]]/MAX(INDIRECT("B21:B" &amp; ROW()))-1&lt;E146,表2_3671626293038912131415232425262728[[#This Row],[累计净值]]/MAX(INDIRECT("B21:B" &amp; ROW()))-1,E146)</f>
        <v>-3.3523738177732021E-2</v>
      </c>
      <c r="F147" s="110">
        <f>表2_3671626293038912131415232425262728[[#This Row],[累计净值]]</f>
        <v>1.0321</v>
      </c>
      <c r="G147" s="20">
        <f>表2_3671626293038912131415232425262728[[#This Row],[累计净值]]/$B$21-1</f>
        <v>3.3340008009611566E-2</v>
      </c>
    </row>
    <row r="148" spans="1:7">
      <c r="A148" s="15">
        <v>44256</v>
      </c>
      <c r="B148" s="112">
        <v>1.0407</v>
      </c>
      <c r="C148" s="108">
        <f>IFERROR(B148-B147,0)</f>
        <v>8.599999999999941E-3</v>
      </c>
      <c r="D148" s="109" t="str">
        <f>IF(C148&lt;0,C148,"/")</f>
        <v>/</v>
      </c>
      <c r="E148" s="109">
        <f ca="1">IF(表2_3671626293038912131415232425262728[[#This Row],[累计净值]]/MAX(INDIRECT("B21:B" &amp; ROW()))-1&lt;E147,表2_3671626293038912131415232425262728[[#This Row],[累计净值]]/MAX(INDIRECT("B21:B" &amp; ROW()))-1,E147)</f>
        <v>-3.3523738177732021E-2</v>
      </c>
      <c r="F148" s="110">
        <f>表2_3671626293038912131415232425262728[[#This Row],[累计净值]]</f>
        <v>1.0407</v>
      </c>
      <c r="G148" s="20">
        <f>表2_3671626293038912131415232425262728[[#This Row],[累计净值]]/$B$21-1</f>
        <v>4.1950340408490217E-2</v>
      </c>
    </row>
    <row r="149" spans="1:7">
      <c r="A149" s="15">
        <v>44257</v>
      </c>
      <c r="B149" s="112">
        <v>1.0346</v>
      </c>
      <c r="C149" s="108">
        <f t="shared" ref="C149" si="44">IFERROR(B149-B148,0)</f>
        <v>-6.0999999999999943E-3</v>
      </c>
      <c r="D149" s="109">
        <f t="shared" ref="D149" si="45">IF(C149&lt;0,C149,"/")</f>
        <v>-6.0999999999999943E-3</v>
      </c>
      <c r="E149" s="109">
        <f ca="1">IF(表2_3671626293038912131415232425262728[[#This Row],[累计净值]]/MAX(INDIRECT("B21:B" &amp; ROW()))-1&lt;E148,表2_3671626293038912131415232425262728[[#This Row],[累计净值]]/MAX(INDIRECT("B21:B" &amp; ROW()))-1,E148)</f>
        <v>-3.3523738177732021E-2</v>
      </c>
      <c r="F149" s="110">
        <f>表2_3671626293038912131415232425262728[[#This Row],[累计净值]]</f>
        <v>1.0346</v>
      </c>
      <c r="G149" s="20">
        <f>表2_3671626293038912131415232425262728[[#This Row],[累计净值]]/$B$21-1</f>
        <v>3.584301161393677E-2</v>
      </c>
    </row>
    <row r="150" spans="1:7">
      <c r="A150" s="15">
        <v>44258</v>
      </c>
      <c r="B150" s="112">
        <v>1.0474000000000001</v>
      </c>
      <c r="C150" s="108">
        <f t="shared" ref="C150" si="46">IFERROR(B150-B149,0)</f>
        <v>1.2800000000000145E-2</v>
      </c>
      <c r="D150" s="109" t="str">
        <f t="shared" ref="D150" si="47">IF(C150&lt;0,C150,"/")</f>
        <v>/</v>
      </c>
      <c r="E150" s="109">
        <f ca="1">IF(表2_3671626293038912131415232425262728[[#This Row],[累计净值]]/MAX(INDIRECT("B21:B" &amp; ROW()))-1&lt;E149,表2_3671626293038912131415232425262728[[#This Row],[累计净值]]/MAX(INDIRECT("B21:B" &amp; ROW()))-1,E149)</f>
        <v>-3.3523738177732021E-2</v>
      </c>
      <c r="F150" s="110">
        <f>表2_3671626293038912131415232425262728[[#This Row],[累计净值]]</f>
        <v>1.0474000000000001</v>
      </c>
      <c r="G150" s="20">
        <f>表2_3671626293038912131415232425262728[[#This Row],[累计净值]]/$B$21-1</f>
        <v>4.8658390068081703E-2</v>
      </c>
    </row>
    <row r="151" spans="1:7">
      <c r="A151" s="15">
        <v>44259</v>
      </c>
      <c r="B151" s="228">
        <v>1.016</v>
      </c>
      <c r="C151" s="108">
        <f>IFERROR(B151-B150,0)</f>
        <v>-3.1400000000000095E-2</v>
      </c>
      <c r="D151" s="109">
        <f>IF(C151&lt;0,C151,"/")</f>
        <v>-3.1400000000000095E-2</v>
      </c>
      <c r="E151" s="109">
        <f ca="1">IF(表2_3671626293038912131415232425262728[[#This Row],[累计净值]]/MAX(INDIRECT("B21:B" &amp; ROW()))-1&lt;E150,表2_3671626293038912131415232425262728[[#This Row],[累计净值]]/MAX(INDIRECT("B21:B" &amp; ROW()))-1,E150)</f>
        <v>-4.8600056185036156E-2</v>
      </c>
      <c r="F151" s="110">
        <f>表2_3671626293038912131415232425262728[[#This Row],[累计净值]]</f>
        <v>1.016</v>
      </c>
      <c r="G151" s="20">
        <f>表2_3671626293038912131415232425262728[[#This Row],[累计净值]]/$B$21-1</f>
        <v>1.7220664797757301E-2</v>
      </c>
    </row>
    <row r="152" spans="1:7">
      <c r="A152" s="15">
        <v>44260</v>
      </c>
      <c r="B152" s="112">
        <v>1.0133000000000001</v>
      </c>
      <c r="C152" s="108">
        <f t="shared" ref="C152:C158" si="48">IFERROR(B152-B151,0)</f>
        <v>-2.6999999999999247E-3</v>
      </c>
      <c r="D152" s="109">
        <f t="shared" ref="D152:D158" si="49">IF(C152&lt;0,C152,"/")</f>
        <v>-2.6999999999999247E-3</v>
      </c>
      <c r="E152" s="109">
        <f ca="1">IF(表2_3671626293038912131415232425262728[[#This Row],[累计净值]]/MAX(INDIRECT("B21:B" &amp; ROW()))-1&lt;E151,表2_3671626293038912131415232425262728[[#This Row],[累计净值]]/MAX(INDIRECT("B21:B" &amp; ROW()))-1,E151)</f>
        <v>-5.1128382807378969E-2</v>
      </c>
      <c r="F152" s="110">
        <f>表2_3671626293038912131415232425262728[[#This Row],[累计净值]]</f>
        <v>1.0133000000000001</v>
      </c>
      <c r="G152" s="20">
        <f>表2_3671626293038912131415232425262728[[#This Row],[累计净值]]/$B$21-1</f>
        <v>1.4517420905086231E-2</v>
      </c>
    </row>
    <row r="153" spans="1:7">
      <c r="A153" s="15">
        <v>44263</v>
      </c>
      <c r="B153" s="112">
        <v>0.98299999999999998</v>
      </c>
      <c r="C153" s="108">
        <f t="shared" si="48"/>
        <v>-3.0300000000000105E-2</v>
      </c>
      <c r="D153" s="109">
        <f t="shared" si="49"/>
        <v>-3.0300000000000105E-2</v>
      </c>
      <c r="E153" s="109">
        <f ca="1">IF(表2_3671626293038912131415232425262728[[#This Row],[累计净值]]/MAX(INDIRECT("B21:B" &amp; ROW()))-1&lt;E152,表2_3671626293038912131415232425262728[[#This Row],[累计净值]]/MAX(INDIRECT("B21:B" &amp; ROW()))-1,E152)</f>
        <v>-7.9501826013671728E-2</v>
      </c>
      <c r="F153" s="110">
        <f>表2_3671626293038912131415232425262728[[#This Row],[累计净值]]</f>
        <v>0.98299999999999998</v>
      </c>
      <c r="G153" s="20">
        <f>表2_3671626293038912131415232425262728[[#This Row],[累计净值]]/$B$21-1</f>
        <v>-1.5818982779335244E-2</v>
      </c>
    </row>
    <row r="154" spans="1:7">
      <c r="A154" s="15">
        <v>44264</v>
      </c>
      <c r="B154" s="112">
        <v>0.95099999999999996</v>
      </c>
      <c r="C154" s="108">
        <f t="shared" si="48"/>
        <v>-3.2000000000000028E-2</v>
      </c>
      <c r="D154" s="109">
        <f t="shared" si="49"/>
        <v>-3.2000000000000028E-2</v>
      </c>
      <c r="E154" s="109">
        <f ca="1">IF(表2_3671626293038912131415232425262728[[#This Row],[累计净值]]/MAX(INDIRECT("B21:B" &amp; ROW()))-1&lt;E153,表2_3671626293038912131415232425262728[[#This Row],[累计净值]]/MAX(INDIRECT("B21:B" &amp; ROW()))-1,E153)</f>
        <v>-0.10946717857477306</v>
      </c>
      <c r="F154" s="110">
        <f>表2_3671626293038912131415232425262728[[#This Row],[累计净值]]</f>
        <v>0.95099999999999996</v>
      </c>
      <c r="G154" s="20">
        <f>表2_3671626293038912131415232425262728[[#This Row],[累计净值]]/$B$21-1</f>
        <v>-4.7857428914697686E-2</v>
      </c>
    </row>
    <row r="155" spans="1:7">
      <c r="A155" s="15">
        <v>44265</v>
      </c>
      <c r="B155" s="112">
        <v>0.9698</v>
      </c>
      <c r="C155" s="108">
        <f t="shared" si="48"/>
        <v>1.8800000000000039E-2</v>
      </c>
      <c r="D155" s="109" t="str">
        <f t="shared" si="49"/>
        <v>/</v>
      </c>
      <c r="E155" s="109">
        <f ca="1">IF(表2_3671626293038912131415232425262728[[#This Row],[累计净值]]/MAX(INDIRECT("B21:B" &amp; ROW()))-1&lt;E154,表2_3671626293038912131415232425262728[[#This Row],[累计净值]]/MAX(INDIRECT("B21:B" &amp; ROW()))-1,E154)</f>
        <v>-0.10946717857477306</v>
      </c>
      <c r="F155" s="110">
        <f>表2_3671626293038912131415232425262728[[#This Row],[累计净值]]</f>
        <v>0.9698</v>
      </c>
      <c r="G155" s="20">
        <f>表2_3671626293038912131415232425262728[[#This Row],[累计净值]]/$B$21-1</f>
        <v>-2.9034841810172241E-2</v>
      </c>
    </row>
    <row r="156" spans="1:7">
      <c r="A156" s="15">
        <v>44266</v>
      </c>
      <c r="B156" s="112">
        <v>0.97040000000000004</v>
      </c>
      <c r="C156" s="108">
        <f t="shared" si="48"/>
        <v>6.0000000000004494E-4</v>
      </c>
      <c r="D156" s="109" t="str">
        <f t="shared" si="49"/>
        <v>/</v>
      </c>
      <c r="E156" s="109">
        <f ca="1">IF(表2_3671626293038912131415232425262728[[#This Row],[累计净值]]/MAX(INDIRECT("B21:B" &amp; ROW()))-1&lt;E155,表2_3671626293038912131415232425262728[[#This Row],[累计净值]]/MAX(INDIRECT("B21:B" &amp; ROW()))-1,E155)</f>
        <v>-0.10946717857477306</v>
      </c>
      <c r="F156" s="110">
        <f>表2_3671626293038912131415232425262728[[#This Row],[累计净值]]</f>
        <v>0.97040000000000004</v>
      </c>
      <c r="G156" s="20">
        <f>表2_3671626293038912131415232425262728[[#This Row],[累计净值]]/$B$21-1</f>
        <v>-2.8434120945134089E-2</v>
      </c>
    </row>
    <row r="157" spans="1:7">
      <c r="A157" s="15">
        <v>44267</v>
      </c>
      <c r="B157" s="112">
        <v>0.97070000000000001</v>
      </c>
      <c r="C157" s="108">
        <f t="shared" si="48"/>
        <v>2.9999999999996696E-4</v>
      </c>
      <c r="D157" s="109" t="str">
        <f t="shared" si="49"/>
        <v>/</v>
      </c>
      <c r="E157" s="109">
        <f ca="1">IF(表2_3671626293038912131415232425262728[[#This Row],[累计净值]]/MAX(INDIRECT("B21:B" &amp; ROW()))-1&lt;E156,表2_3671626293038912131415232425262728[[#This Row],[累计净值]]/MAX(INDIRECT("B21:B" &amp; ROW()))-1,E156)</f>
        <v>-0.10946717857477306</v>
      </c>
      <c r="F157" s="110">
        <f>表2_3671626293038912131415232425262728[[#This Row],[累计净值]]</f>
        <v>0.97070000000000001</v>
      </c>
      <c r="G157" s="20">
        <f>表2_3671626293038912131415232425262728[[#This Row],[累计净值]]/$B$21-1</f>
        <v>-2.813376051261518E-2</v>
      </c>
    </row>
    <row r="158" spans="1:7">
      <c r="A158" s="15">
        <v>44270</v>
      </c>
      <c r="B158" s="112">
        <v>0.95740000000000003</v>
      </c>
      <c r="C158" s="108">
        <f t="shared" si="48"/>
        <v>-1.3299999999999979E-2</v>
      </c>
      <c r="D158" s="109">
        <f t="shared" si="49"/>
        <v>-1.3299999999999979E-2</v>
      </c>
      <c r="E158" s="109">
        <f ca="1">IF(表2_3671626293038912131415232425262728[[#This Row],[累计净值]]/MAX(INDIRECT("B21:B" &amp; ROW()))-1&lt;E157,表2_3671626293038912131415232425262728[[#This Row],[累计净值]]/MAX(INDIRECT("B21:B" &amp; ROW()))-1,E157)</f>
        <v>-0.10946717857477306</v>
      </c>
      <c r="F158" s="110">
        <f>表2_3671626293038912131415232425262728[[#This Row],[累计净值]]</f>
        <v>0.95740000000000003</v>
      </c>
      <c r="G158" s="20">
        <f>表2_3671626293038912131415232425262728[[#This Row],[累计净值]]/$B$21-1</f>
        <v>-4.1449739687625109E-2</v>
      </c>
    </row>
    <row r="159" spans="1:7">
      <c r="A159" s="15">
        <v>44271</v>
      </c>
      <c r="B159" s="112">
        <v>0.95989999999999998</v>
      </c>
      <c r="C159" s="108">
        <f>IFERROR(B159-B158,0)</f>
        <v>2.4999999999999467E-3</v>
      </c>
      <c r="D159" s="109" t="str">
        <f>IF(C159&lt;0,C159,"/")</f>
        <v>/</v>
      </c>
      <c r="E159" s="109">
        <f ca="1">IF(表2_3671626293038912131415232425262728[[#This Row],[累计净值]]/MAX(INDIRECT("B21:B" &amp; ROW()))-1&lt;E158,表2_3671626293038912131415232425262728[[#This Row],[累计净值]]/MAX(INDIRECT("B21:B" &amp; ROW()))-1,E158)</f>
        <v>-0.10946717857477306</v>
      </c>
      <c r="F159" s="110">
        <f>表2_3671626293038912131415232425262728[[#This Row],[累计净值]]</f>
        <v>0.95989999999999998</v>
      </c>
      <c r="G159" s="20">
        <f>表2_3671626293038912131415232425262728[[#This Row],[累计净值]]/$B$21-1</f>
        <v>-3.8946736083300015E-2</v>
      </c>
    </row>
    <row r="160" spans="1:7">
      <c r="A160" s="15">
        <v>44272</v>
      </c>
      <c r="B160" s="112">
        <v>0.96260000000000001</v>
      </c>
      <c r="C160" s="108">
        <f>IFERROR(B160-B159,0)</f>
        <v>2.7000000000000357E-3</v>
      </c>
      <c r="D160" s="109" t="str">
        <f>IF(C160&lt;0,C160,"/")</f>
        <v>/</v>
      </c>
      <c r="E160" s="109">
        <f ca="1">IF(表2_3671626293038912131415232425262728[[#This Row],[累计净值]]/MAX(INDIRECT("B21:B" &amp; ROW()))-1&lt;E159,表2_3671626293038912131415232425262728[[#This Row],[累计净值]]/MAX(INDIRECT("B21:B" &amp; ROW()))-1,E159)</f>
        <v>-0.10946717857477306</v>
      </c>
      <c r="F160" s="110">
        <f>表2_3671626293038912131415232425262728[[#This Row],[累计净值]]</f>
        <v>0.96260000000000001</v>
      </c>
      <c r="G160" s="20">
        <f>表2_3671626293038912131415232425262728[[#This Row],[累计净值]]/$B$21-1</f>
        <v>-3.6243492190628723E-2</v>
      </c>
    </row>
    <row r="161" spans="1:7">
      <c r="A161" s="15">
        <v>44273</v>
      </c>
      <c r="B161" s="112">
        <v>0.96519999999999995</v>
      </c>
      <c r="C161" s="108">
        <f>IFERROR(B161-B160,0)</f>
        <v>2.5999999999999357E-3</v>
      </c>
      <c r="D161" s="109" t="str">
        <f>IF(C161&lt;0,C161,"/")</f>
        <v>/</v>
      </c>
      <c r="E161" s="109">
        <f ca="1">IF(表2_3671626293038912131415232425262728[[#This Row],[累计净值]]/MAX(INDIRECT("B21:B" &amp; ROW()))-1&lt;E160,表2_3671626293038912131415232425262728[[#This Row],[累计净值]]/MAX(INDIRECT("B21:B" &amp; ROW()))-1,E160)</f>
        <v>-0.10946717857477306</v>
      </c>
      <c r="F161" s="110">
        <f>表2_3671626293038912131415232425262728[[#This Row],[累计净值]]</f>
        <v>0.96519999999999995</v>
      </c>
      <c r="G161" s="20">
        <f>表2_3671626293038912131415232425262728[[#This Row],[累计净值]]/$B$21-1</f>
        <v>-3.3640368442130586E-2</v>
      </c>
    </row>
    <row r="162" spans="1:7">
      <c r="A162" s="15">
        <v>44274</v>
      </c>
      <c r="B162" s="112">
        <v>0.95699999999999996</v>
      </c>
      <c r="C162" s="108">
        <f>IFERROR(B162-B161,0)</f>
        <v>-8.1999999999999851E-3</v>
      </c>
      <c r="D162" s="109">
        <f>IF(C162&lt;0,C162,"/")</f>
        <v>-8.1999999999999851E-3</v>
      </c>
      <c r="E162" s="109">
        <f ca="1">IF(表2_3671626293038912131415232425262728[[#This Row],[累计净值]]/MAX(INDIRECT("B21:B" &amp; ROW()))-1&lt;E161,表2_3671626293038912131415232425262728[[#This Row],[累计净值]]/MAX(INDIRECT("B21:B" &amp; ROW()))-1,E161)</f>
        <v>-0.10946717857477306</v>
      </c>
      <c r="F162" s="110">
        <f>表2_3671626293038912131415232425262728[[#This Row],[累计净值]]</f>
        <v>0.95699999999999996</v>
      </c>
      <c r="G162" s="20">
        <f>表2_3671626293038912131415232425262728[[#This Row],[累计净值]]/$B$21-1</f>
        <v>-4.1850220264317284E-2</v>
      </c>
    </row>
    <row r="163" spans="1:7">
      <c r="A163" s="15">
        <v>44277</v>
      </c>
      <c r="B163" s="112">
        <v>0.95340000000000003</v>
      </c>
      <c r="C163" s="108">
        <f>IFERROR(B163-B162,0)</f>
        <v>-3.5999999999999366E-3</v>
      </c>
      <c r="D163" s="109">
        <f>IF(C163&lt;0,C163,"/")</f>
        <v>-3.5999999999999366E-3</v>
      </c>
      <c r="E163" s="109">
        <f ca="1">IF(表2_3671626293038912131415232425262728[[#This Row],[累计净值]]/MAX(INDIRECT("B21:B" &amp; ROW()))-1&lt;E162,表2_3671626293038912131415232425262728[[#This Row],[累计净值]]/MAX(INDIRECT("B21:B" &amp; ROW()))-1,E162)</f>
        <v>-0.10946717857477306</v>
      </c>
      <c r="F163" s="110">
        <f>表2_3671626293038912131415232425262728[[#This Row],[累计净值]]</f>
        <v>0.95340000000000003</v>
      </c>
      <c r="G163" s="20">
        <f>表2_3671626293038912131415232425262728[[#This Row],[累计净值]]/$B$21-1</f>
        <v>-4.5454545454545414E-2</v>
      </c>
    </row>
    <row r="164" spans="1:7">
      <c r="A164" s="15">
        <v>44278</v>
      </c>
      <c r="B164" s="112">
        <v>0.94689999999999996</v>
      </c>
      <c r="C164" s="108">
        <f t="shared" ref="C164:C167" si="50">IFERROR(B164-B163,0)</f>
        <v>-6.5000000000000613E-3</v>
      </c>
      <c r="D164" s="109">
        <f t="shared" ref="D164:D167" si="51">IF(C164&lt;0,C164,"/")</f>
        <v>-6.5000000000000613E-3</v>
      </c>
      <c r="E164" s="109">
        <f ca="1">IF(表2_3671626293038912131415232425262728[[#This Row],[累计净值]]/MAX(INDIRECT("B21:B" &amp; ROW()))-1&lt;E163,表2_3671626293038912131415232425262728[[#This Row],[累计净值]]/MAX(INDIRECT("B21:B" &amp; ROW()))-1,E163)</f>
        <v>-0.1133064893716641</v>
      </c>
      <c r="F164" s="110">
        <f>表2_3671626293038912131415232425262728[[#This Row],[累计净值]]</f>
        <v>0.94689999999999996</v>
      </c>
      <c r="G164" s="20">
        <f>表2_3671626293038912131415232425262728[[#This Row],[累计净值]]/$B$21-1</f>
        <v>-5.1962354825791035E-2</v>
      </c>
    </row>
    <row r="165" spans="1:7">
      <c r="A165" s="15">
        <v>44279</v>
      </c>
      <c r="B165" s="112">
        <v>0.94199999999999995</v>
      </c>
      <c r="C165" s="108">
        <f t="shared" si="50"/>
        <v>-4.9000000000000155E-3</v>
      </c>
      <c r="D165" s="109">
        <f t="shared" si="51"/>
        <v>-4.9000000000000155E-3</v>
      </c>
      <c r="E165" s="109">
        <f ca="1">IF(表2_3671626293038912131415232425262728[[#This Row],[累计净值]]/MAX(INDIRECT("B21:B" &amp; ROW()))-1&lt;E164,表2_3671626293038912131415232425262728[[#This Row],[累计净值]]/MAX(INDIRECT("B21:B" &amp; ROW()))-1,E164)</f>
        <v>-0.11789493398258277</v>
      </c>
      <c r="F165" s="110">
        <f>表2_3671626293038912131415232425262728[[#This Row],[累计净值]]</f>
        <v>0.94199999999999995</v>
      </c>
      <c r="G165" s="20">
        <f>表2_3671626293038912131415232425262728[[#This Row],[累计净值]]/$B$21-1</f>
        <v>-5.6868241890268401E-2</v>
      </c>
    </row>
    <row r="166" spans="1:7">
      <c r="A166" s="15">
        <v>44280</v>
      </c>
      <c r="B166" s="112">
        <v>0.94869999999999999</v>
      </c>
      <c r="C166" s="108">
        <f t="shared" si="50"/>
        <v>6.7000000000000393E-3</v>
      </c>
      <c r="D166" s="109" t="str">
        <f t="shared" si="51"/>
        <v>/</v>
      </c>
      <c r="E166" s="109">
        <f ca="1">IF(表2_3671626293038912131415232425262728[[#This Row],[累计净值]]/MAX(INDIRECT("B21:B" &amp; ROW()))-1&lt;E165,表2_3671626293038912131415232425262728[[#This Row],[累计净值]]/MAX(INDIRECT("B21:B" &amp; ROW()))-1,E165)</f>
        <v>-0.11789493398258277</v>
      </c>
      <c r="F166" s="110">
        <f>表2_3671626293038912131415232425262728[[#This Row],[累计净值]]</f>
        <v>0.94869999999999999</v>
      </c>
      <c r="G166" s="20">
        <f>表2_3671626293038912131415232425262728[[#This Row],[累计净值]]/$B$21-1</f>
        <v>-5.0160192230676803E-2</v>
      </c>
    </row>
    <row r="167" spans="1:7">
      <c r="A167" s="15">
        <v>44281</v>
      </c>
      <c r="B167" s="112">
        <v>0.95469999999999999</v>
      </c>
      <c r="C167" s="108">
        <f t="shared" si="50"/>
        <v>6.0000000000000053E-3</v>
      </c>
      <c r="D167" s="109" t="str">
        <f t="shared" si="51"/>
        <v>/</v>
      </c>
      <c r="E167" s="109">
        <f ca="1">IF(表2_3671626293038912131415232425262728[[#This Row],[累计净值]]/MAX(INDIRECT("B21:B" &amp; ROW()))-1&lt;E166,表2_3671626293038912131415232425262728[[#This Row],[累计净值]]/MAX(INDIRECT("B21:B" &amp; ROW()))-1,E166)</f>
        <v>-0.11789493398258277</v>
      </c>
      <c r="F167" s="110">
        <f>表2_3671626293038912131415232425262728[[#This Row],[累计净值]]</f>
        <v>0.95469999999999999</v>
      </c>
      <c r="G167" s="20">
        <f>表2_3671626293038912131415232425262728[[#This Row],[累计净值]]/$B$21-1</f>
        <v>-4.4152983580296401E-2</v>
      </c>
    </row>
    <row r="168" spans="1:7">
      <c r="A168" s="15">
        <v>44284</v>
      </c>
      <c r="B168" s="112">
        <v>0.95199999999999996</v>
      </c>
      <c r="C168" s="108">
        <f>IFERROR(B168-B167,0)</f>
        <v>-2.7000000000000357E-3</v>
      </c>
      <c r="D168" s="109">
        <f>IF(C168&lt;0,C168,"/")</f>
        <v>-2.7000000000000357E-3</v>
      </c>
      <c r="E168" s="109">
        <f ca="1">IF(表2_3671626293038912131415232425262728[[#This Row],[累计净值]]/MAX(INDIRECT("B21:B" &amp; ROW()))-1&lt;E167,表2_3671626293038912131415232425262728[[#This Row],[累计净值]]/MAX(INDIRECT("B21:B" &amp; ROW()))-1,E167)</f>
        <v>-0.11789493398258277</v>
      </c>
      <c r="F168" s="110">
        <f>表2_3671626293038912131415232425262728[[#This Row],[累计净值]]</f>
        <v>0.95199999999999996</v>
      </c>
      <c r="G168" s="20">
        <f>表2_3671626293038912131415232425262728[[#This Row],[累计净值]]/$B$21-1</f>
        <v>-4.6856227472967582E-2</v>
      </c>
    </row>
    <row r="169" spans="1:7">
      <c r="A169" s="15">
        <v>44285</v>
      </c>
      <c r="B169" s="112">
        <v>0.95689999999999997</v>
      </c>
      <c r="C169" s="108">
        <f t="shared" ref="C169:C170" si="52">IFERROR(B169-B168,0)</f>
        <v>4.9000000000000155E-3</v>
      </c>
      <c r="D169" s="109" t="str">
        <f t="shared" ref="D169:D170" si="53">IF(C169&lt;0,C169,"/")</f>
        <v>/</v>
      </c>
      <c r="E169" s="109">
        <f ca="1">IF(表2_3671626293038912131415232425262728[[#This Row],[累计净值]]/MAX(INDIRECT("B21:B" &amp; ROW()))-1&lt;E168,表2_3671626293038912131415232425262728[[#This Row],[累计净值]]/MAX(INDIRECT("B21:B" &amp; ROW()))-1,E168)</f>
        <v>-0.11789493398258277</v>
      </c>
      <c r="F169" s="110">
        <f>表2_3671626293038912131415232425262728[[#This Row],[累计净值]]</f>
        <v>0.95689999999999997</v>
      </c>
      <c r="G169" s="20">
        <f>表2_3671626293038912131415232425262728[[#This Row],[累计净值]]/$B$21-1</f>
        <v>-4.1950340408490217E-2</v>
      </c>
    </row>
    <row r="170" spans="1:7">
      <c r="A170" s="15">
        <v>44286</v>
      </c>
      <c r="B170" s="112">
        <v>0.95720000000000005</v>
      </c>
      <c r="C170" s="108">
        <f t="shared" si="52"/>
        <v>3.0000000000007798E-4</v>
      </c>
      <c r="D170" s="109" t="str">
        <f t="shared" si="53"/>
        <v>/</v>
      </c>
      <c r="E170" s="109">
        <f ca="1">IF(表2_3671626293038912131415232425262728[[#This Row],[累计净值]]/MAX(INDIRECT("B21:B" &amp; ROW()))-1&lt;E169,表2_3671626293038912131415232425262728[[#This Row],[累计净值]]/MAX(INDIRECT("B21:B" &amp; ROW()))-1,E169)</f>
        <v>-0.11789493398258277</v>
      </c>
      <c r="F170" s="110">
        <f>表2_3671626293038912131415232425262728[[#This Row],[累计净值]]</f>
        <v>0.95720000000000005</v>
      </c>
      <c r="G170" s="20">
        <f>表2_3671626293038912131415232425262728[[#This Row],[累计净值]]/$B$21-1</f>
        <v>-4.1649979975971085E-2</v>
      </c>
    </row>
    <row r="171" spans="1:7">
      <c r="A171" s="15">
        <v>44287</v>
      </c>
      <c r="B171" s="112">
        <v>0.9607</v>
      </c>
      <c r="C171" s="108">
        <f t="shared" ref="C171:C176" si="54">IFERROR(B171-B170,0)</f>
        <v>3.4999999999999476E-3</v>
      </c>
      <c r="D171" s="109" t="str">
        <f t="shared" ref="D171:D176" si="55">IF(C171&lt;0,C171,"/")</f>
        <v>/</v>
      </c>
      <c r="E171" s="109">
        <f ca="1">IF(表2_3671626293038912131415232425262728[[#This Row],[累计净值]]/MAX(INDIRECT("B21:B" &amp; ROW()))-1&lt;E170,表2_3671626293038912131415232425262728[[#This Row],[累计净值]]/MAX(INDIRECT("B21:B" &amp; ROW()))-1,E170)</f>
        <v>-0.11789493398258277</v>
      </c>
      <c r="F171" s="110">
        <f>表2_3671626293038912131415232425262728[[#This Row],[累计净值]]</f>
        <v>0.9607</v>
      </c>
      <c r="G171" s="20">
        <f>表2_3671626293038912131415232425262728[[#This Row],[累计净值]]/$B$21-1</f>
        <v>-3.8145774929915888E-2</v>
      </c>
    </row>
    <row r="172" spans="1:7">
      <c r="A172" s="15">
        <v>44288</v>
      </c>
      <c r="B172" s="112">
        <v>0.96020000000000005</v>
      </c>
      <c r="C172" s="108">
        <f t="shared" si="54"/>
        <v>-4.9999999999994493E-4</v>
      </c>
      <c r="D172" s="109">
        <f t="shared" si="55"/>
        <v>-4.9999999999994493E-4</v>
      </c>
      <c r="E172" s="109">
        <f ca="1">IF(表2_3671626293038912131415232425262728[[#This Row],[累计净值]]/MAX(INDIRECT("B21:B" &amp; ROW()))-1&lt;E171,表2_3671626293038912131415232425262728[[#This Row],[累计净值]]/MAX(INDIRECT("B21:B" &amp; ROW()))-1,E171)</f>
        <v>-0.11789493398258277</v>
      </c>
      <c r="F172" s="110">
        <f>表2_3671626293038912131415232425262728[[#This Row],[累计净值]]</f>
        <v>0.96020000000000005</v>
      </c>
      <c r="G172" s="20">
        <f>表2_3671626293038912131415232425262728[[#This Row],[累计净值]]/$B$21-1</f>
        <v>-3.8646375650780884E-2</v>
      </c>
    </row>
    <row r="173" spans="1:7">
      <c r="A173" s="15">
        <v>44292</v>
      </c>
      <c r="B173" s="112">
        <v>0.95940000000000003</v>
      </c>
      <c r="C173" s="108">
        <f t="shared" si="54"/>
        <v>-8.0000000000002292E-4</v>
      </c>
      <c r="D173" s="109">
        <f t="shared" si="55"/>
        <v>-8.0000000000002292E-4</v>
      </c>
      <c r="E173" s="109">
        <f ca="1">IF(表2_3671626293038912131415232425262728[[#This Row],[累计净值]]/MAX(INDIRECT("B21:B" &amp; ROW()))-1&lt;E172,表2_3671626293038912131415232425262728[[#This Row],[累计净值]]/MAX(INDIRECT("B21:B" &amp; ROW()))-1,E172)</f>
        <v>-0.11789493398258277</v>
      </c>
      <c r="F173" s="110">
        <f>表2_3671626293038912131415232425262728[[#This Row],[累计净值]]</f>
        <v>0.95940000000000003</v>
      </c>
      <c r="G173" s="20">
        <f>表2_3671626293038912131415232425262728[[#This Row],[累计净值]]/$B$21-1</f>
        <v>-3.9447336804165012E-2</v>
      </c>
    </row>
    <row r="174" spans="1:7">
      <c r="A174" s="15">
        <v>44293</v>
      </c>
      <c r="B174" s="112">
        <v>0.96120000000000005</v>
      </c>
      <c r="C174" s="108">
        <f t="shared" si="54"/>
        <v>1.8000000000000238E-3</v>
      </c>
      <c r="D174" s="109" t="str">
        <f t="shared" si="55"/>
        <v>/</v>
      </c>
      <c r="E174" s="109">
        <f ca="1">IF(表2_3671626293038912131415232425262728[[#This Row],[累计净值]]/MAX(INDIRECT("B21:B" &amp; ROW()))-1&lt;E173,表2_3671626293038912131415232425262728[[#This Row],[累计净值]]/MAX(INDIRECT("B21:B" &amp; ROW()))-1,E173)</f>
        <v>-0.11789493398258277</v>
      </c>
      <c r="F174" s="110">
        <f>表2_3671626293038912131415232425262728[[#This Row],[累计净值]]</f>
        <v>0.96120000000000005</v>
      </c>
      <c r="G174" s="20">
        <f>表2_3671626293038912131415232425262728[[#This Row],[累计净值]]/$B$21-1</f>
        <v>-3.764517420905078E-2</v>
      </c>
    </row>
    <row r="175" spans="1:7">
      <c r="A175" s="15">
        <v>44294</v>
      </c>
      <c r="B175" s="112">
        <v>0.96460000000000001</v>
      </c>
      <c r="C175" s="108">
        <f t="shared" si="54"/>
        <v>3.3999999999999586E-3</v>
      </c>
      <c r="D175" s="109" t="str">
        <f t="shared" si="55"/>
        <v>/</v>
      </c>
      <c r="E175" s="109">
        <f ca="1">IF(表2_3671626293038912131415232425262728[[#This Row],[累计净值]]/MAX(INDIRECT("B21:B" &amp; ROW()))-1&lt;E174,表2_3671626293038912131415232425262728[[#This Row],[累计净值]]/MAX(INDIRECT("B21:B" &amp; ROW()))-1,E174)</f>
        <v>-0.11789493398258277</v>
      </c>
      <c r="F175" s="110">
        <f>表2_3671626293038912131415232425262728[[#This Row],[累计净值]]</f>
        <v>0.96460000000000001</v>
      </c>
      <c r="G175" s="20">
        <f>表2_3671626293038912131415232425262728[[#This Row],[累计净值]]/$B$21-1</f>
        <v>-3.4241089307168626E-2</v>
      </c>
    </row>
    <row r="176" spans="1:7">
      <c r="A176" s="15">
        <v>44295</v>
      </c>
      <c r="B176" s="112">
        <v>0.96240000000000003</v>
      </c>
      <c r="C176" s="108">
        <f t="shared" si="54"/>
        <v>-2.1999999999999797E-3</v>
      </c>
      <c r="D176" s="109">
        <f t="shared" si="55"/>
        <v>-2.1999999999999797E-3</v>
      </c>
      <c r="E176" s="109">
        <f ca="1">IF(表2_3671626293038912131415232425262728[[#This Row],[累计净值]]/MAX(INDIRECT("B21:B" &amp; ROW()))-1&lt;E175,表2_3671626293038912131415232425262728[[#This Row],[累计净值]]/MAX(INDIRECT("B21:B" &amp; ROW()))-1,E175)</f>
        <v>-0.11789493398258277</v>
      </c>
      <c r="F176" s="110">
        <f>表2_3671626293038912131415232425262728[[#This Row],[累计净值]]</f>
        <v>0.96240000000000003</v>
      </c>
      <c r="G176" s="20">
        <f>表2_3671626293038912131415232425262728[[#This Row],[累计净值]]/$B$21-1</f>
        <v>-3.6443732478974811E-2</v>
      </c>
    </row>
    <row r="177" spans="1:7">
      <c r="A177" s="15">
        <v>44298</v>
      </c>
      <c r="B177" s="112">
        <v>0.95820000000000005</v>
      </c>
      <c r="C177" s="108">
        <f t="shared" ref="C177:C183" si="56">IFERROR(B177-B176,0)</f>
        <v>-4.1999999999999815E-3</v>
      </c>
      <c r="D177" s="109">
        <f t="shared" ref="D177:D183" si="57">IF(C177&lt;0,C177,"/")</f>
        <v>-4.1999999999999815E-3</v>
      </c>
      <c r="E177" s="109">
        <f ca="1">IF(表2_3671626293038912131415232425262728[[#This Row],[累计净值]]/MAX(INDIRECT("B21:B" &amp; ROW()))-1&lt;E176,表2_3671626293038912131415232425262728[[#This Row],[累计净值]]/MAX(INDIRECT("B21:B" &amp; ROW()))-1,E176)</f>
        <v>-0.11789493398258277</v>
      </c>
      <c r="F177" s="110">
        <f>表2_3671626293038912131415232425262728[[#This Row],[累计净值]]</f>
        <v>0.95820000000000005</v>
      </c>
      <c r="G177" s="20">
        <f>表2_3671626293038912131415232425262728[[#This Row],[累计净值]]/$B$21-1</f>
        <v>-4.0648778534241092E-2</v>
      </c>
    </row>
    <row r="178" spans="1:7">
      <c r="A178" s="15">
        <v>44299</v>
      </c>
      <c r="B178" s="112">
        <v>0.95199999999999996</v>
      </c>
      <c r="C178" s="108">
        <f t="shared" si="56"/>
        <v>-6.2000000000000943E-3</v>
      </c>
      <c r="D178" s="109">
        <f t="shared" si="57"/>
        <v>-6.2000000000000943E-3</v>
      </c>
      <c r="E178" s="109">
        <f ca="1">IF(表2_3671626293038912131415232425262728[[#This Row],[累计净值]]/MAX(INDIRECT("B21:B" &amp; ROW()))-1&lt;E177,表2_3671626293038912131415232425262728[[#This Row],[累计净值]]/MAX(INDIRECT("B21:B" &amp; ROW()))-1,E177)</f>
        <v>-0.11789493398258277</v>
      </c>
      <c r="F178" s="110">
        <f>表2_3671626293038912131415232425262728[[#This Row],[累计净值]]</f>
        <v>0.95199999999999996</v>
      </c>
      <c r="G178" s="20">
        <f>表2_3671626293038912131415232425262728[[#This Row],[累计净值]]/$B$21-1</f>
        <v>-4.6856227472967582E-2</v>
      </c>
    </row>
    <row r="179" spans="1:7">
      <c r="A179" s="15">
        <v>44300</v>
      </c>
      <c r="B179" s="112">
        <v>0.95750000000000002</v>
      </c>
      <c r="C179" s="108">
        <f t="shared" si="56"/>
        <v>5.5000000000000604E-3</v>
      </c>
      <c r="D179" s="109" t="str">
        <f t="shared" si="57"/>
        <v>/</v>
      </c>
      <c r="E179" s="109">
        <f ca="1">IF(表2_3671626293038912131415232425262728[[#This Row],[累计净值]]/MAX(INDIRECT("B21:B" &amp; ROW()))-1&lt;E178,表2_3671626293038912131415232425262728[[#This Row],[累计净值]]/MAX(INDIRECT("B21:B" &amp; ROW()))-1,E178)</f>
        <v>-0.11789493398258277</v>
      </c>
      <c r="F179" s="110">
        <f>表2_3671626293038912131415232425262728[[#This Row],[累计净值]]</f>
        <v>0.95750000000000002</v>
      </c>
      <c r="G179" s="20">
        <f>表2_3671626293038912131415232425262728[[#This Row],[累计净值]]/$B$21-1</f>
        <v>-4.1349619543452176E-2</v>
      </c>
    </row>
    <row r="180" spans="1:7">
      <c r="A180" s="15">
        <v>44301</v>
      </c>
      <c r="B180" s="112">
        <v>0.95550000000000002</v>
      </c>
      <c r="C180" s="108">
        <f t="shared" si="56"/>
        <v>-2.0000000000000018E-3</v>
      </c>
      <c r="D180" s="109">
        <f t="shared" si="57"/>
        <v>-2.0000000000000018E-3</v>
      </c>
      <c r="E180" s="109">
        <f ca="1">IF(表2_3671626293038912131415232425262728[[#This Row],[累计净值]]/MAX(INDIRECT("B21:B" &amp; ROW()))-1&lt;E179,表2_3671626293038912131415232425262728[[#This Row],[累计净值]]/MAX(INDIRECT("B21:B" &amp; ROW()))-1,E179)</f>
        <v>-0.11789493398258277</v>
      </c>
      <c r="F180" s="110">
        <f>表2_3671626293038912131415232425262728[[#This Row],[累计净值]]</f>
        <v>0.95550000000000002</v>
      </c>
      <c r="G180" s="20">
        <f>表2_3671626293038912131415232425262728[[#This Row],[累计净值]]/$B$21-1</f>
        <v>-4.3352022426912273E-2</v>
      </c>
    </row>
    <row r="181" spans="1:7">
      <c r="A181" s="15">
        <v>44302</v>
      </c>
      <c r="B181" s="112">
        <v>0.95809999999999995</v>
      </c>
      <c r="C181" s="108">
        <f t="shared" si="56"/>
        <v>2.5999999999999357E-3</v>
      </c>
      <c r="D181" s="109" t="str">
        <f t="shared" si="57"/>
        <v>/</v>
      </c>
      <c r="E181" s="109">
        <f ca="1">IF(表2_3671626293038912131415232425262728[[#This Row],[累计净值]]/MAX(INDIRECT("B21:B" &amp; ROW()))-1&lt;E180,表2_3671626293038912131415232425262728[[#This Row],[累计净值]]/MAX(INDIRECT("B21:B" &amp; ROW()))-1,E180)</f>
        <v>-0.11789493398258277</v>
      </c>
      <c r="F181" s="110">
        <f>表2_3671626293038912131415232425262728[[#This Row],[累计净值]]</f>
        <v>0.95809999999999995</v>
      </c>
      <c r="G181" s="20">
        <f>表2_3671626293038912131415232425262728[[#This Row],[累计净值]]/$B$21-1</f>
        <v>-4.0748898678414136E-2</v>
      </c>
    </row>
    <row r="182" spans="1:7">
      <c r="A182" s="15">
        <v>44305</v>
      </c>
      <c r="B182" s="112">
        <v>0.96689999999999998</v>
      </c>
      <c r="C182" s="108">
        <f t="shared" si="56"/>
        <v>8.80000000000003E-3</v>
      </c>
      <c r="D182" s="109" t="str">
        <f t="shared" si="57"/>
        <v>/</v>
      </c>
      <c r="E182" s="109">
        <f ca="1">IF(表2_3671626293038912131415232425262728[[#This Row],[累计净值]]/MAX(INDIRECT("B21:B" &amp; ROW()))-1&lt;E181,表2_3671626293038912131415232425262728[[#This Row],[累计净值]]/MAX(INDIRECT("B21:B" &amp; ROW()))-1,E181)</f>
        <v>-0.11789493398258277</v>
      </c>
      <c r="F182" s="110">
        <f>表2_3671626293038912131415232425262728[[#This Row],[累计净值]]</f>
        <v>0.96689999999999998</v>
      </c>
      <c r="G182" s="20">
        <f>表2_3671626293038912131415232425262728[[#This Row],[累计净值]]/$B$21-1</f>
        <v>-3.1938325991189509E-2</v>
      </c>
    </row>
    <row r="183" spans="1:7">
      <c r="A183" s="15">
        <v>44306</v>
      </c>
      <c r="B183" s="112">
        <v>0.96779999999999999</v>
      </c>
      <c r="C183" s="108">
        <f t="shared" si="56"/>
        <v>9.000000000000119E-4</v>
      </c>
      <c r="D183" s="109" t="str">
        <f t="shared" si="57"/>
        <v>/</v>
      </c>
      <c r="E183" s="109">
        <f ca="1">IF(表2_3671626293038912131415232425262728[[#This Row],[累计净值]]/MAX(INDIRECT("B21:B" &amp; ROW()))-1&lt;E182,表2_3671626293038912131415232425262728[[#This Row],[累计净值]]/MAX(INDIRECT("B21:B" &amp; ROW()))-1,E182)</f>
        <v>-0.11789493398258277</v>
      </c>
      <c r="F183" s="110">
        <f>表2_3671626293038912131415232425262728[[#This Row],[累计净值]]</f>
        <v>0.96779999999999999</v>
      </c>
      <c r="G183" s="20">
        <f>表2_3671626293038912131415232425262728[[#This Row],[累计净值]]/$B$21-1</f>
        <v>-3.1037244693632338E-2</v>
      </c>
    </row>
    <row r="184" spans="1:7">
      <c r="A184" s="15">
        <v>44307</v>
      </c>
      <c r="B184" s="112">
        <v>0.96889999999999998</v>
      </c>
      <c r="C184" s="108">
        <f>IFERROR(B184-B183,0)</f>
        <v>1.0999999999999899E-3</v>
      </c>
      <c r="D184" s="109" t="str">
        <f>IF(C184&lt;0,C184,"/")</f>
        <v>/</v>
      </c>
      <c r="E184" s="109">
        <f ca="1">IF(表2_3671626293038912131415232425262728[[#This Row],[累计净值]]/MAX(INDIRECT("B21:B" &amp; ROW()))-1&lt;E183,表2_3671626293038912131415232425262728[[#This Row],[累计净值]]/MAX(INDIRECT("B21:B" &amp; ROW()))-1,E183)</f>
        <v>-0.11789493398258277</v>
      </c>
      <c r="F184" s="110">
        <f>表2_3671626293038912131415232425262728[[#This Row],[累计净值]]</f>
        <v>0.96889999999999998</v>
      </c>
      <c r="G184" s="20">
        <f>表2_3671626293038912131415232425262728[[#This Row],[累计净值]]/$B$21-1</f>
        <v>-2.9935923107729301E-2</v>
      </c>
    </row>
    <row r="185" spans="1:7">
      <c r="A185" s="15">
        <v>44308</v>
      </c>
      <c r="B185" s="112">
        <v>0.96799999999999997</v>
      </c>
      <c r="C185" s="108">
        <f>IFERROR(B185-B184,0)</f>
        <v>-9.000000000000119E-4</v>
      </c>
      <c r="D185" s="109">
        <f>IF(C185&lt;0,C185,"/")</f>
        <v>-9.000000000000119E-4</v>
      </c>
      <c r="E185" s="109">
        <f ca="1">IF(表2_3671626293038912131415232425262728[[#This Row],[累计净值]]/MAX(INDIRECT("B21:B" &amp; ROW()))-1&lt;E184,表2_3671626293038912131415232425262728[[#This Row],[累计净值]]/MAX(INDIRECT("B21:B" &amp; ROW()))-1,E184)</f>
        <v>-0.11789493398258277</v>
      </c>
      <c r="F185" s="110">
        <f>表2_3671626293038912131415232425262728[[#This Row],[累计净值]]</f>
        <v>0.96799999999999997</v>
      </c>
      <c r="G185" s="20">
        <f>表2_3671626293038912131415232425262728[[#This Row],[累计净值]]/$B$21-1</f>
        <v>-3.0837004405286361E-2</v>
      </c>
    </row>
    <row r="186" spans="1:7">
      <c r="A186" s="15">
        <v>44309</v>
      </c>
      <c r="B186" s="112">
        <v>0.96550000000000002</v>
      </c>
      <c r="C186" s="108">
        <f t="shared" ref="C186:C187" si="58">IFERROR(B186-B185,0)</f>
        <v>-2.4999999999999467E-3</v>
      </c>
      <c r="D186" s="109">
        <f t="shared" ref="D186:D187" si="59">IF(C186&lt;0,C186,"/")</f>
        <v>-2.4999999999999467E-3</v>
      </c>
      <c r="E186" s="109">
        <f ca="1">IF(表2_3671626293038912131415232425262728[[#This Row],[累计净值]]/MAX(INDIRECT("B21:B" &amp; ROW()))-1&lt;E185,表2_3671626293038912131415232425262728[[#This Row],[累计净值]]/MAX(INDIRECT("B21:B" &amp; ROW()))-1,E185)</f>
        <v>-0.11789493398258277</v>
      </c>
      <c r="F186" s="110">
        <f>表2_3671626293038912131415232425262728[[#This Row],[累计净值]]</f>
        <v>0.96550000000000002</v>
      </c>
      <c r="G186" s="20">
        <f>表2_3671626293038912131415232425262728[[#This Row],[累计净值]]/$B$21-1</f>
        <v>-3.3340008009611566E-2</v>
      </c>
    </row>
    <row r="187" spans="1:7">
      <c r="A187" s="15">
        <v>44312</v>
      </c>
      <c r="B187" s="112">
        <v>0.96909999999999996</v>
      </c>
      <c r="C187" s="108">
        <f t="shared" si="58"/>
        <v>3.5999999999999366E-3</v>
      </c>
      <c r="D187" s="109" t="str">
        <f t="shared" si="59"/>
        <v>/</v>
      </c>
      <c r="E187" s="109">
        <f ca="1">IF(表2_3671626293038912131415232425262728[[#This Row],[累计净值]]/MAX(INDIRECT("B21:B" &amp; ROW()))-1&lt;E186,表2_3671626293038912131415232425262728[[#This Row],[累计净值]]/MAX(INDIRECT("B21:B" &amp; ROW()))-1,E186)</f>
        <v>-0.11789493398258277</v>
      </c>
      <c r="F187" s="110">
        <f>表2_3671626293038912131415232425262728[[#This Row],[累计净值]]</f>
        <v>0.96909999999999996</v>
      </c>
      <c r="G187" s="20">
        <f>表2_3671626293038912131415232425262728[[#This Row],[累计净值]]/$B$21-1</f>
        <v>-2.9735682819383324E-2</v>
      </c>
    </row>
    <row r="188" spans="1:7">
      <c r="A188" s="15">
        <v>44313</v>
      </c>
      <c r="B188" s="112">
        <v>0.96450000000000002</v>
      </c>
      <c r="C188" s="108">
        <f>IFERROR(B188-B187,0)</f>
        <v>-4.5999999999999375E-3</v>
      </c>
      <c r="D188" s="109">
        <f>IF(C188&lt;0,C188,"/")</f>
        <v>-4.5999999999999375E-3</v>
      </c>
      <c r="E188" s="109">
        <f ca="1">IF(表2_3671626293038912131415232425262728[[#This Row],[累计净值]]/MAX(INDIRECT("B21:B" &amp; ROW()))-1&lt;E187,表2_3671626293038912131415232425262728[[#This Row],[累计净值]]/MAX(INDIRECT("B21:B" &amp; ROW()))-1,E187)</f>
        <v>-0.11789493398258277</v>
      </c>
      <c r="F188" s="110">
        <f>表2_3671626293038912131415232425262728[[#This Row],[累计净值]]</f>
        <v>0.96450000000000002</v>
      </c>
      <c r="G188" s="20">
        <f>表2_3671626293038912131415232425262728[[#This Row],[累计净值]]/$B$21-1</f>
        <v>-3.4341209451341559E-2</v>
      </c>
    </row>
    <row r="189" spans="1:7">
      <c r="A189" s="15">
        <v>44314</v>
      </c>
      <c r="B189" s="112">
        <v>0.95750000000000002</v>
      </c>
      <c r="C189" s="108">
        <f>IFERROR(B189-B188,0)</f>
        <v>-7.0000000000000062E-3</v>
      </c>
      <c r="D189" s="109">
        <f>IF(C189&lt;0,C189,"/")</f>
        <v>-7.0000000000000062E-3</v>
      </c>
      <c r="E189" s="109">
        <f ca="1">IF(表2_3671626293038912131415232425262728[[#This Row],[累计净值]]/MAX(INDIRECT("B21:B" &amp; ROW()))-1&lt;E188,表2_3671626293038912131415232425262728[[#This Row],[累计净值]]/MAX(INDIRECT("B21:B" &amp; ROW()))-1,E188)</f>
        <v>-0.11789493398258277</v>
      </c>
      <c r="F189" s="110">
        <f>表2_3671626293038912131415232425262728[[#This Row],[累计净值]]</f>
        <v>0.95750000000000002</v>
      </c>
      <c r="G189" s="20">
        <f>表2_3671626293038912131415232425262728[[#This Row],[累计净值]]/$B$21-1</f>
        <v>-4.1349619543452176E-2</v>
      </c>
    </row>
    <row r="190" spans="1:7">
      <c r="A190" s="15">
        <v>44315</v>
      </c>
      <c r="B190" s="112">
        <v>0.96279999999999999</v>
      </c>
      <c r="C190" s="108">
        <f>IFERROR(B190-B189,0)</f>
        <v>5.2999999999999714E-3</v>
      </c>
      <c r="D190" s="109" t="str">
        <f>IF(C190&lt;0,C190,"/")</f>
        <v>/</v>
      </c>
      <c r="E190" s="109">
        <f ca="1">IF(表2_3671626293038912131415232425262728[[#This Row],[累计净值]]/MAX(INDIRECT("B21:B" &amp; ROW()))-1&lt;E189,表2_3671626293038912131415232425262728[[#This Row],[累计净值]]/MAX(INDIRECT("B21:B" &amp; ROW()))-1,E189)</f>
        <v>-0.11789493398258277</v>
      </c>
      <c r="F190" s="110">
        <f>表2_3671626293038912131415232425262728[[#This Row],[累计净值]]</f>
        <v>0.96279999999999999</v>
      </c>
      <c r="G190" s="20">
        <f>表2_3671626293038912131415232425262728[[#This Row],[累计净值]]/$B$21-1</f>
        <v>-3.6043251902282747E-2</v>
      </c>
    </row>
    <row r="191" spans="1:7">
      <c r="A191" s="15">
        <v>44316</v>
      </c>
      <c r="B191" s="112">
        <v>0.96350000000000002</v>
      </c>
      <c r="C191" s="108">
        <f t="shared" ref="C191:C192" si="60">IFERROR(B191-B190,0)</f>
        <v>7.0000000000003393E-4</v>
      </c>
      <c r="D191" s="109" t="str">
        <f t="shared" ref="D191:D192" si="61">IF(C191&lt;0,C191,"/")</f>
        <v>/</v>
      </c>
      <c r="E191" s="109">
        <f ca="1">IF(表2_3671626293038912131415232425262728[[#This Row],[累计净值]]/MAX(INDIRECT("B21:B" &amp; ROW()))-1&lt;E190,表2_3671626293038912131415232425262728[[#This Row],[累计净值]]/MAX(INDIRECT("B21:B" &amp; ROW()))-1,E190)</f>
        <v>-0.11789493398258277</v>
      </c>
      <c r="F191" s="110">
        <f>表2_3671626293038912131415232425262728[[#This Row],[累计净值]]</f>
        <v>0.96350000000000002</v>
      </c>
      <c r="G191" s="20">
        <f>表2_3671626293038912131415232425262728[[#This Row],[累计净值]]/$B$21-1</f>
        <v>-3.5342410893071663E-2</v>
      </c>
    </row>
    <row r="192" spans="1:7">
      <c r="A192" s="15">
        <v>44322</v>
      </c>
      <c r="B192" s="112">
        <v>0.96550000000000002</v>
      </c>
      <c r="C192" s="108">
        <f t="shared" si="60"/>
        <v>2.0000000000000018E-3</v>
      </c>
      <c r="D192" s="109" t="str">
        <f t="shared" si="61"/>
        <v>/</v>
      </c>
      <c r="E192" s="109">
        <f ca="1">IF(表2_3671626293038912131415232425262728[[#This Row],[累计净值]]/MAX(INDIRECT("B21:B" &amp; ROW()))-1&lt;E191,表2_3671626293038912131415232425262728[[#This Row],[累计净值]]/MAX(INDIRECT("B21:B" &amp; ROW()))-1,E191)</f>
        <v>-0.11789493398258277</v>
      </c>
      <c r="F192" s="110">
        <f>表2_3671626293038912131415232425262728[[#This Row],[累计净值]]</f>
        <v>0.96550000000000002</v>
      </c>
      <c r="G192" s="20">
        <f>表2_3671626293038912131415232425262728[[#This Row],[累计净值]]/$B$21-1</f>
        <v>-3.3340008009611566E-2</v>
      </c>
    </row>
    <row r="193" spans="1:7">
      <c r="A193" s="15">
        <v>44323</v>
      </c>
      <c r="B193" s="112">
        <v>0.96060000000000001</v>
      </c>
      <c r="C193" s="108">
        <f t="shared" ref="C193:C198" si="62">IFERROR(B193-B192,0)</f>
        <v>-4.9000000000000155E-3</v>
      </c>
      <c r="D193" s="109">
        <f t="shared" ref="D193:D198" si="63">IF(C193&lt;0,C193,"/")</f>
        <v>-4.9000000000000155E-3</v>
      </c>
      <c r="E193" s="109">
        <f ca="1">IF(表2_3671626293038912131415232425262728[[#This Row],[累计净值]]/MAX(INDIRECT("B21:B" &amp; ROW()))-1&lt;E192,表2_3671626293038912131415232425262728[[#This Row],[累计净值]]/MAX(INDIRECT("B21:B" &amp; ROW()))-1,E192)</f>
        <v>-0.11789493398258277</v>
      </c>
      <c r="F193" s="110">
        <f>表2_3671626293038912131415232425262728[[#This Row],[累计净值]]</f>
        <v>0.96060000000000001</v>
      </c>
      <c r="G193" s="20">
        <f>表2_3671626293038912131415232425262728[[#This Row],[累计净值]]/$B$21-1</f>
        <v>-3.8245895074088931E-2</v>
      </c>
    </row>
    <row r="194" spans="1:7">
      <c r="A194" s="15">
        <v>44326</v>
      </c>
      <c r="B194" s="112">
        <v>0.96419999999999995</v>
      </c>
      <c r="C194" s="108">
        <f t="shared" si="62"/>
        <v>3.5999999999999366E-3</v>
      </c>
      <c r="D194" s="109" t="str">
        <f t="shared" si="63"/>
        <v>/</v>
      </c>
      <c r="E194" s="109">
        <f ca="1">IF(表2_3671626293038912131415232425262728[[#This Row],[累计净值]]/MAX(INDIRECT("B21:B" &amp; ROW()))-1&lt;E193,表2_3671626293038912131415232425262728[[#This Row],[累计净值]]/MAX(INDIRECT("B21:B" &amp; ROW()))-1,E193)</f>
        <v>-0.11789493398258277</v>
      </c>
      <c r="F194" s="110">
        <f>表2_3671626293038912131415232425262728[[#This Row],[累计净值]]</f>
        <v>0.96419999999999995</v>
      </c>
      <c r="G194" s="20">
        <f>表2_3671626293038912131415232425262728[[#This Row],[累计净值]]/$B$21-1</f>
        <v>-3.464156988386069E-2</v>
      </c>
    </row>
    <row r="195" spans="1:7">
      <c r="A195" s="15">
        <v>44327</v>
      </c>
      <c r="B195" s="112">
        <v>0.96799999999999997</v>
      </c>
      <c r="C195" s="108">
        <f t="shared" si="62"/>
        <v>3.8000000000000256E-3</v>
      </c>
      <c r="D195" s="109" t="str">
        <f t="shared" si="63"/>
        <v>/</v>
      </c>
      <c r="E195" s="109">
        <f ca="1">IF(表2_3671626293038912131415232425262728[[#This Row],[累计净值]]/MAX(INDIRECT("B21:B" &amp; ROW()))-1&lt;E194,表2_3671626293038912131415232425262728[[#This Row],[累计净值]]/MAX(INDIRECT("B21:B" &amp; ROW()))-1,E194)</f>
        <v>-0.11789493398258277</v>
      </c>
      <c r="F195" s="110">
        <f>表2_3671626293038912131415232425262728[[#This Row],[累计净值]]</f>
        <v>0.96799999999999997</v>
      </c>
      <c r="G195" s="20">
        <f>表2_3671626293038912131415232425262728[[#This Row],[累计净值]]/$B$21-1</f>
        <v>-3.0837004405286361E-2</v>
      </c>
    </row>
    <row r="196" spans="1:7">
      <c r="A196" s="15">
        <v>44328</v>
      </c>
      <c r="B196" s="112">
        <v>0.96899999999999997</v>
      </c>
      <c r="C196" s="108">
        <f t="shared" si="62"/>
        <v>1.0000000000000009E-3</v>
      </c>
      <c r="D196" s="109" t="str">
        <f t="shared" si="63"/>
        <v>/</v>
      </c>
      <c r="E196" s="109">
        <f ca="1">IF(表2_3671626293038912131415232425262728[[#This Row],[累计净值]]/MAX(INDIRECT("B21:B" &amp; ROW()))-1&lt;E195,表2_3671626293038912131415232425262728[[#This Row],[累计净值]]/MAX(INDIRECT("B21:B" &amp; ROW()))-1,E195)</f>
        <v>-0.11789493398258277</v>
      </c>
      <c r="F196" s="110">
        <f>表2_3671626293038912131415232425262728[[#This Row],[累计净值]]</f>
        <v>0.96899999999999997</v>
      </c>
      <c r="G196" s="20">
        <f>表2_3671626293038912131415232425262728[[#This Row],[累计净值]]/$B$21-1</f>
        <v>-2.9835802963556368E-2</v>
      </c>
    </row>
    <row r="197" spans="1:7">
      <c r="A197" s="15">
        <v>44329</v>
      </c>
      <c r="B197" s="112">
        <v>0.96799999999999997</v>
      </c>
      <c r="C197" s="108">
        <f t="shared" si="62"/>
        <v>-1.0000000000000009E-3</v>
      </c>
      <c r="D197" s="109">
        <f t="shared" si="63"/>
        <v>-1.0000000000000009E-3</v>
      </c>
      <c r="E197" s="109">
        <f ca="1">IF(表2_3671626293038912131415232425262728[[#This Row],[累计净值]]/MAX(INDIRECT("B21:B" &amp; ROW()))-1&lt;E196,表2_3671626293038912131415232425262728[[#This Row],[累计净值]]/MAX(INDIRECT("B21:B" &amp; ROW()))-1,E196)</f>
        <v>-0.11789493398258277</v>
      </c>
      <c r="F197" s="110">
        <f>表2_3671626293038912131415232425262728[[#This Row],[累计净值]]</f>
        <v>0.96799999999999997</v>
      </c>
      <c r="G197" s="20">
        <f>表2_3671626293038912131415232425262728[[#This Row],[累计净值]]/$B$21-1</f>
        <v>-3.0837004405286361E-2</v>
      </c>
    </row>
    <row r="198" spans="1:7">
      <c r="A198" s="15">
        <v>44330</v>
      </c>
      <c r="B198" s="112">
        <v>0.97119999999999995</v>
      </c>
      <c r="C198" s="108">
        <f t="shared" si="62"/>
        <v>3.1999999999999806E-3</v>
      </c>
      <c r="D198" s="109" t="str">
        <f t="shared" si="63"/>
        <v>/</v>
      </c>
      <c r="E198" s="109">
        <f ca="1">IF(表2_3671626293038912131415232425262728[[#This Row],[累计净值]]/MAX(INDIRECT("B21:B" &amp; ROW()))-1&lt;E197,表2_3671626293038912131415232425262728[[#This Row],[累计净值]]/MAX(INDIRECT("B21:B" &amp; ROW()))-1,E197)</f>
        <v>-0.11789493398258277</v>
      </c>
      <c r="F198" s="110">
        <f>表2_3671626293038912131415232425262728[[#This Row],[累计净值]]</f>
        <v>0.97119999999999995</v>
      </c>
      <c r="G198" s="20">
        <f>表2_3671626293038912131415232425262728[[#This Row],[累计净值]]/$B$21-1</f>
        <v>-2.7633159791750184E-2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7">
    <tabColor theme="1"/>
  </sheetPr>
  <dimension ref="A1:I403"/>
  <sheetViews>
    <sheetView workbookViewId="0">
      <pane xSplit="1" ySplit="20" topLeftCell="B392" activePane="bottomRight" state="frozen"/>
      <selection pane="topRight" activeCell="B1" sqref="B1"/>
      <selection pane="bottomLeft" activeCell="A21" sqref="A21"/>
      <selection pane="bottomRight" activeCell="A403" sqref="A40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COUNT(表2_36716262930381011[每日盈亏])</f>
        <v>383</v>
      </c>
      <c r="C2" s="27"/>
      <c r="D2" s="3" t="s">
        <v>1</v>
      </c>
      <c r="E2" s="28"/>
      <c r="F2" s="1" t="s">
        <v>2</v>
      </c>
      <c r="G2" s="400" t="s">
        <v>3</v>
      </c>
    </row>
    <row r="3" spans="1:7">
      <c r="A3" s="25" t="s">
        <v>4</v>
      </c>
      <c r="B3" s="26">
        <f>COUNTIF(表2_36716262930381011[每日盈亏],"&gt;0")</f>
        <v>208</v>
      </c>
      <c r="C3" s="29"/>
      <c r="D3" s="30" t="s">
        <v>5</v>
      </c>
      <c r="E3" s="31">
        <f>245^0.5*(B10-0.025/365)/E10</f>
        <v>1.1300882985113099</v>
      </c>
      <c r="G3" s="400"/>
    </row>
    <row r="4" spans="1:7">
      <c r="A4" s="25" t="s">
        <v>6</v>
      </c>
      <c r="B4" s="26">
        <f>COUNTIF(表2_36716262930381011[每日盈亏],"&lt;0")</f>
        <v>168</v>
      </c>
      <c r="C4" s="29"/>
      <c r="D4" s="32" t="s">
        <v>7</v>
      </c>
      <c r="E4" s="31">
        <f ca="1">-B9/E8</f>
        <v>0.82606403950857155</v>
      </c>
      <c r="G4" s="2">
        <f>LOOKUP(999^10,表2_36716262930381011[累计净值])</f>
        <v>1.3607</v>
      </c>
    </row>
    <row r="5" spans="1:7">
      <c r="A5" s="25" t="s">
        <v>8</v>
      </c>
      <c r="B5" s="26">
        <f>B2-B3-B4</f>
        <v>7</v>
      </c>
      <c r="C5" s="29"/>
      <c r="D5" s="33" t="s">
        <v>9</v>
      </c>
      <c r="E5" s="4">
        <f>245^0.5*(B10-0.025/365)/E9</f>
        <v>1.5326293947434044</v>
      </c>
    </row>
    <row r="6" spans="1:7" ht="16" thickBot="1">
      <c r="A6" s="34"/>
      <c r="B6" s="35"/>
      <c r="C6" s="35"/>
      <c r="D6" s="35"/>
      <c r="E6" s="36"/>
    </row>
    <row r="7" spans="1:7" ht="16" thickBot="1">
      <c r="A7" s="5" t="s">
        <v>10</v>
      </c>
      <c r="B7" s="35"/>
      <c r="C7" s="35"/>
      <c r="D7" s="3" t="s">
        <v>11</v>
      </c>
      <c r="E7" s="37"/>
    </row>
    <row r="8" spans="1:7">
      <c r="A8" s="38" t="s">
        <v>12</v>
      </c>
      <c r="B8" s="39">
        <f>LOOKUP(999^10,表2_36716262930381011[持有涨跌幅])</f>
        <v>8.3150000000000057E-2</v>
      </c>
      <c r="C8" s="40"/>
      <c r="D8" s="30" t="s">
        <v>13</v>
      </c>
      <c r="E8" s="41">
        <f ca="1">MIN(表2_36716262930381011[最大回撤])</f>
        <v>-6.4389617798060517E-2</v>
      </c>
    </row>
    <row r="9" spans="1:7">
      <c r="A9" s="25" t="s">
        <v>14</v>
      </c>
      <c r="B9" s="32">
        <f>B8*245/B2</f>
        <v>5.3189947780678884E-2</v>
      </c>
      <c r="C9" s="40"/>
      <c r="D9" s="33" t="s">
        <v>15</v>
      </c>
      <c r="E9" s="6">
        <f>STDEV(表2_36716262930381011[下跌幅度])</f>
        <v>3.8762636947151236E-3</v>
      </c>
    </row>
    <row r="10" spans="1:7">
      <c r="A10" s="42" t="s">
        <v>16</v>
      </c>
      <c r="B10" s="43">
        <f>AVERAGE(表2_36716262930381011[每日盈亏])</f>
        <v>4.4804177545691899E-4</v>
      </c>
      <c r="C10" s="44"/>
      <c r="D10" s="33" t="s">
        <v>17</v>
      </c>
      <c r="E10" s="6">
        <f>STDEV(表2_36716262930381011[每日盈亏])</f>
        <v>5.2570013229259324E-3</v>
      </c>
    </row>
    <row r="11" spans="1:7">
      <c r="A11" s="7" t="s">
        <v>18</v>
      </c>
      <c r="B11" s="32">
        <f>B3/B2</f>
        <v>0.54308093994778073</v>
      </c>
      <c r="C11" s="40"/>
      <c r="D11" s="32" t="s">
        <v>19</v>
      </c>
      <c r="E11" s="41">
        <f>245^0.5*E10</f>
        <v>8.2285086211080966E-2</v>
      </c>
    </row>
    <row r="12" spans="1:7" ht="16" thickBot="1">
      <c r="A12" s="45" t="s">
        <v>20</v>
      </c>
      <c r="B12" s="46">
        <f>-(SUMIF(表2_36716262930381011[每日盈亏],"&gt;=0")/B3)/(SUMIF(表2_36716262930381011[每日盈亏],"&lt;0")/B4)</f>
        <v>1.0181706676011917</v>
      </c>
      <c r="C12" s="47"/>
      <c r="D12" s="48"/>
      <c r="E12" s="49"/>
    </row>
    <row r="14" spans="1:7" ht="32">
      <c r="A14" s="50" t="s">
        <v>21</v>
      </c>
      <c r="B14" s="50" t="s">
        <v>14</v>
      </c>
      <c r="C14" s="51" t="s">
        <v>19</v>
      </c>
      <c r="D14" s="51" t="s">
        <v>13</v>
      </c>
      <c r="E14" s="51" t="s">
        <v>5</v>
      </c>
      <c r="F14" s="51" t="s">
        <v>7</v>
      </c>
    </row>
    <row r="15" spans="1:7">
      <c r="A15" s="52">
        <f>B2</f>
        <v>383</v>
      </c>
      <c r="B15" s="53">
        <f>B9</f>
        <v>5.3189947780678884E-2</v>
      </c>
      <c r="C15" s="53">
        <f>E11</f>
        <v>8.2285086211080966E-2</v>
      </c>
      <c r="D15" s="53">
        <f ca="1">E8</f>
        <v>-6.4389617798060517E-2</v>
      </c>
      <c r="E15" s="54">
        <f>E3</f>
        <v>1.1300882985113099</v>
      </c>
      <c r="F15" s="54">
        <f ca="1">E4</f>
        <v>0.82606403950857155</v>
      </c>
    </row>
    <row r="19" spans="1:7">
      <c r="A19" s="8"/>
      <c r="B19" s="1" t="s">
        <v>22</v>
      </c>
    </row>
    <row r="20" spans="1:7" ht="16">
      <c r="A20" s="22" t="s">
        <v>23</v>
      </c>
      <c r="B20" s="22" t="s">
        <v>24</v>
      </c>
      <c r="C20" s="22" t="s">
        <v>25</v>
      </c>
      <c r="D20" s="22" t="s">
        <v>26</v>
      </c>
      <c r="E20" s="22" t="s">
        <v>27</v>
      </c>
      <c r="F20" s="22" t="s">
        <v>28</v>
      </c>
      <c r="G20" s="22" t="s">
        <v>29</v>
      </c>
    </row>
    <row r="21" spans="1:7">
      <c r="A21" s="15">
        <v>43747</v>
      </c>
      <c r="B21" s="10">
        <v>1.1866000000000001</v>
      </c>
      <c r="C21" s="11">
        <f>IFERROR(B21-B20,0)</f>
        <v>0</v>
      </c>
      <c r="D21" s="12" t="str">
        <f>IF(C21&lt;0,C21,"/")</f>
        <v>/</v>
      </c>
      <c r="E21" s="12">
        <f ca="1">IF(表2_36716262930381011[[#This Row],[累计净值]]/MAX(INDIRECT("B21:B" &amp; ROW()))-1&lt;E20,表2_36716262930381011[[#This Row],[累计净值]]/MAX(INDIRECT("B21:B" &amp; ROW()))-1,E20)</f>
        <v>0</v>
      </c>
      <c r="F21" s="13">
        <v>1.0851</v>
      </c>
      <c r="G21" s="14" t="s">
        <v>30</v>
      </c>
    </row>
    <row r="22" spans="1:7">
      <c r="A22" s="77">
        <v>43748</v>
      </c>
      <c r="B22" s="76">
        <v>1.194</v>
      </c>
      <c r="C22" s="17">
        <f>IFERROR(B22-B21,0)</f>
        <v>7.3999999999998511E-3</v>
      </c>
      <c r="D22" s="18" t="str">
        <f>IF(C22&lt;0,C22,"/")</f>
        <v>/</v>
      </c>
      <c r="E22" s="18">
        <f ca="1">IF(表2_36716262930381011[[#This Row],[累计净值]]/MAX(INDIRECT("B21:B" &amp; ROW()))-1&lt;E21,表2_36716262930381011[[#This Row],[累计净值]]/MAX(INDIRECT("B21:B" &amp; ROW()))-1,E21)</f>
        <v>0</v>
      </c>
      <c r="F22" s="21">
        <v>1.0925</v>
      </c>
      <c r="G22" s="20">
        <f>IF(F22/$F$21-1&gt;0,0.5*(F22/$F$21-1),F22/$F$21-1)</f>
        <v>3.4098239793567409E-3</v>
      </c>
    </row>
    <row r="23" spans="1:7">
      <c r="A23" s="15">
        <v>43749</v>
      </c>
      <c r="B23" s="16">
        <v>1.1895</v>
      </c>
      <c r="C23" s="17">
        <f>IFERROR(B23-B22,0)</f>
        <v>-4.4999999999999485E-3</v>
      </c>
      <c r="D23" s="18">
        <f>IF(C23&lt;0,C23,"/")</f>
        <v>-4.4999999999999485E-3</v>
      </c>
      <c r="E23" s="18">
        <f ca="1">IF(表2_36716262930381011[[#This Row],[累计净值]]/MAX(INDIRECT("B21:B" &amp; ROW()))-1&lt;E22,表2_36716262930381011[[#This Row],[累计净值]]/MAX(INDIRECT("B21:B" &amp; ROW()))-1,E22)</f>
        <v>-3.7688442211054607E-3</v>
      </c>
      <c r="F23" s="21">
        <v>1.0880000000000001</v>
      </c>
      <c r="G23" s="20">
        <f t="shared" ref="G23:G52" si="0">IF(F23/$F$21-1&gt;0,0.5*(F23/$F$21-1),F23/$F$21-1)</f>
        <v>1.3362823702884885E-3</v>
      </c>
    </row>
    <row r="24" spans="1:7">
      <c r="A24" s="15">
        <v>43752</v>
      </c>
      <c r="B24" s="16">
        <v>1.1919999999999999</v>
      </c>
      <c r="C24" s="17">
        <f>IFERROR(B24-#REF!,0)</f>
        <v>0</v>
      </c>
      <c r="D24" s="18" t="str">
        <f t="shared" ref="D24:D29" si="1">IF(C24&lt;0,C24,"/")</f>
        <v>/</v>
      </c>
      <c r="E24" s="18">
        <f ca="1">IF(表2_36716262930381011[[#This Row],[累计净值]]/MAX(INDIRECT("B21:B" &amp; ROW()))-1&lt;E23,表2_36716262930381011[[#This Row],[累计净值]]/MAX(INDIRECT("B21:B" &amp; ROW()))-1,E23)</f>
        <v>-3.7688442211054607E-3</v>
      </c>
      <c r="F24" s="62">
        <v>1.0905</v>
      </c>
      <c r="G24" s="20">
        <f t="shared" si="0"/>
        <v>2.488249930881925E-3</v>
      </c>
    </row>
    <row r="25" spans="1:7">
      <c r="A25" s="15">
        <v>43753</v>
      </c>
      <c r="B25" s="16">
        <v>1.1865000000000001</v>
      </c>
      <c r="C25" s="61">
        <f t="shared" ref="C25:C30" si="2">IFERROR(B25-B24,0)</f>
        <v>-5.4999999999998384E-3</v>
      </c>
      <c r="D25" s="18">
        <f t="shared" si="1"/>
        <v>-5.4999999999998384E-3</v>
      </c>
      <c r="E25" s="18">
        <f ca="1">IF(表2_36716262930381011[[#This Row],[累计净值]]/MAX(INDIRECT("B21:B" &amp; ROW()))-1&lt;E24,表2_36716262930381011[[#This Row],[累计净值]]/MAX(INDIRECT("B21:B" &amp; ROW()))-1,E24)</f>
        <v>-6.2814070351757678E-3</v>
      </c>
      <c r="F25" s="62">
        <v>1.085</v>
      </c>
      <c r="G25" s="20">
        <f t="shared" si="0"/>
        <v>-9.2157404847470481E-5</v>
      </c>
    </row>
    <row r="26" spans="1:7">
      <c r="A26" s="15">
        <v>43754</v>
      </c>
      <c r="B26" s="16">
        <v>1.1878</v>
      </c>
      <c r="C26" s="61">
        <f t="shared" si="2"/>
        <v>1.2999999999998568E-3</v>
      </c>
      <c r="D26" s="18" t="str">
        <f t="shared" si="1"/>
        <v>/</v>
      </c>
      <c r="E26" s="18">
        <f ca="1">IF(表2_36716262930381011[[#This Row],[累计净值]]/MAX(INDIRECT("B21:B" &amp; ROW()))-1&lt;E25,表2_36716262930381011[[#This Row],[累计净值]]/MAX(INDIRECT("B21:B" &amp; ROW()))-1,E25)</f>
        <v>-6.2814070351757678E-3</v>
      </c>
      <c r="F26" s="62">
        <v>1.0863</v>
      </c>
      <c r="G26" s="20">
        <f t="shared" si="0"/>
        <v>5.5294442908493391E-4</v>
      </c>
    </row>
    <row r="27" spans="1:7">
      <c r="A27" s="15">
        <v>43755</v>
      </c>
      <c r="B27" s="16">
        <v>1.1907000000000001</v>
      </c>
      <c r="C27" s="61">
        <f t="shared" si="2"/>
        <v>2.9000000000001247E-3</v>
      </c>
      <c r="D27" s="18" t="str">
        <f t="shared" si="1"/>
        <v>/</v>
      </c>
      <c r="E27" s="18">
        <f ca="1">IF(表2_36716262930381011[[#This Row],[累计净值]]/MAX(INDIRECT("B21:B" &amp; ROW()))-1&lt;E26,表2_36716262930381011[[#This Row],[累计净值]]/MAX(INDIRECT("B21:B" &amp; ROW()))-1,E26)</f>
        <v>-6.2814070351757678E-3</v>
      </c>
      <c r="F27" s="62">
        <v>1.0891999999999999</v>
      </c>
      <c r="G27" s="20">
        <f t="shared" si="0"/>
        <v>1.8892267993733114E-3</v>
      </c>
    </row>
    <row r="28" spans="1:7">
      <c r="A28" s="15">
        <v>43756</v>
      </c>
      <c r="B28" s="16">
        <v>1.1907000000000001</v>
      </c>
      <c r="C28" s="61">
        <f t="shared" si="2"/>
        <v>0</v>
      </c>
      <c r="D28" s="18" t="str">
        <f t="shared" si="1"/>
        <v>/</v>
      </c>
      <c r="E28" s="18">
        <f ca="1">IF(表2_36716262930381011[[#This Row],[累计净值]]/MAX(INDIRECT("B21:B" &amp; ROW()))-1&lt;E27,表2_36716262930381011[[#This Row],[累计净值]]/MAX(INDIRECT("B21:B" &amp; ROW()))-1,E27)</f>
        <v>-6.2814070351757678E-3</v>
      </c>
      <c r="F28" s="62">
        <v>1.0891999999999999</v>
      </c>
      <c r="G28" s="20">
        <f t="shared" si="0"/>
        <v>1.8892267993733114E-3</v>
      </c>
    </row>
    <row r="29" spans="1:7">
      <c r="A29" s="15">
        <v>43759</v>
      </c>
      <c r="B29" s="16">
        <v>1.1888000000000001</v>
      </c>
      <c r="C29" s="73">
        <f t="shared" si="2"/>
        <v>-1.9000000000000128E-3</v>
      </c>
      <c r="D29" s="18">
        <f t="shared" si="1"/>
        <v>-1.9000000000000128E-3</v>
      </c>
      <c r="E29" s="18">
        <f ca="1">IF(表2_36716262930381011[[#This Row],[累计净值]]/MAX(INDIRECT("B21:B" &amp; ROW()))-1&lt;E28,表2_36716262930381011[[#This Row],[累计净值]]/MAX(INDIRECT("B21:B" &amp; ROW()))-1,E28)</f>
        <v>-6.2814070351757678E-3</v>
      </c>
      <c r="F29" s="62">
        <v>1.0872999999999999</v>
      </c>
      <c r="G29" s="20">
        <f t="shared" si="0"/>
        <v>1.0137314533222863E-3</v>
      </c>
    </row>
    <row r="30" spans="1:7">
      <c r="A30" s="15">
        <v>43760</v>
      </c>
      <c r="B30" s="16">
        <v>1.1913</v>
      </c>
      <c r="C30" s="73">
        <f t="shared" si="2"/>
        <v>2.4999999999999467E-3</v>
      </c>
      <c r="D30" s="18" t="str">
        <f t="shared" ref="D30:D36" si="3">IF(C30&lt;0,C30,"/")</f>
        <v>/</v>
      </c>
      <c r="E30" s="18">
        <f ca="1">IF(表2_36716262930381011[[#This Row],[累计净值]]/MAX(INDIRECT("B21:B" &amp; ROW()))-1&lt;E29,表2_36716262930381011[[#This Row],[累计净值]]/MAX(INDIRECT("B21:B" &amp; ROW()))-1,E29)</f>
        <v>-6.2814070351757678E-3</v>
      </c>
      <c r="F30" s="62">
        <v>1.0898000000000001</v>
      </c>
      <c r="G30" s="20">
        <f t="shared" si="0"/>
        <v>2.1656990139158339E-3</v>
      </c>
    </row>
    <row r="31" spans="1:7">
      <c r="A31" s="15">
        <v>43761</v>
      </c>
      <c r="B31" s="16">
        <v>1.1896</v>
      </c>
      <c r="C31" s="73">
        <f t="shared" ref="C31:C36" si="4">IFERROR(B31-B30,0)</f>
        <v>-1.7000000000000348E-3</v>
      </c>
      <c r="D31" s="18">
        <f t="shared" si="3"/>
        <v>-1.7000000000000348E-3</v>
      </c>
      <c r="E31" s="18">
        <f ca="1">IF(表2_36716262930381011[[#This Row],[累计净值]]/MAX(INDIRECT("B21:B" &amp; ROW()))-1&lt;E30,表2_36716262930381011[[#This Row],[累计净值]]/MAX(INDIRECT("B21:B" &amp; ROW()))-1,E30)</f>
        <v>-6.2814070351757678E-3</v>
      </c>
      <c r="F31" s="62">
        <v>1.0881000000000001</v>
      </c>
      <c r="G31" s="20">
        <f t="shared" si="0"/>
        <v>1.3823610727122793E-3</v>
      </c>
    </row>
    <row r="32" spans="1:7">
      <c r="A32" s="15">
        <v>43762</v>
      </c>
      <c r="B32" s="16">
        <v>1.1884999999999999</v>
      </c>
      <c r="C32" s="73">
        <f t="shared" si="4"/>
        <v>-1.1000000000001009E-3</v>
      </c>
      <c r="D32" s="18">
        <f t="shared" si="3"/>
        <v>-1.1000000000001009E-3</v>
      </c>
      <c r="E32" s="18">
        <f ca="1">IF(表2_36716262930381011[[#This Row],[累计净值]]/MAX(INDIRECT("B21:B" &amp; ROW()))-1&lt;E31,表2_36716262930381011[[#This Row],[累计净值]]/MAX(INDIRECT("B21:B" &amp; ROW()))-1,E31)</f>
        <v>-6.2814070351757678E-3</v>
      </c>
      <c r="F32" s="62">
        <v>1.087</v>
      </c>
      <c r="G32" s="20">
        <f t="shared" si="0"/>
        <v>8.7549534605102508E-4</v>
      </c>
    </row>
    <row r="33" spans="1:9">
      <c r="A33" s="15">
        <v>43763</v>
      </c>
      <c r="B33" s="16">
        <v>1.1896</v>
      </c>
      <c r="C33" s="73">
        <f t="shared" si="4"/>
        <v>1.1000000000001009E-3</v>
      </c>
      <c r="D33" s="18" t="str">
        <f t="shared" si="3"/>
        <v>/</v>
      </c>
      <c r="E33" s="18">
        <f ca="1">IF(表2_36716262930381011[[#This Row],[累计净值]]/MAX(INDIRECT("B21:B" &amp; ROW()))-1&lt;E32,表2_36716262930381011[[#This Row],[累计净值]]/MAX(INDIRECT("B21:B" &amp; ROW()))-1,E32)</f>
        <v>-6.2814070351757678E-3</v>
      </c>
      <c r="F33" s="62">
        <v>1.0881000000000001</v>
      </c>
      <c r="G33" s="20">
        <f t="shared" si="0"/>
        <v>1.3823610727122793E-3</v>
      </c>
    </row>
    <row r="34" spans="1:9">
      <c r="A34" s="15">
        <v>43766</v>
      </c>
      <c r="B34" s="16">
        <v>1.1970000000000001</v>
      </c>
      <c r="C34" s="73">
        <f t="shared" si="4"/>
        <v>7.4000000000000732E-3</v>
      </c>
      <c r="D34" s="18" t="str">
        <f t="shared" si="3"/>
        <v>/</v>
      </c>
      <c r="E34" s="18">
        <f ca="1">IF(表2_36716262930381011[[#This Row],[累计净值]]/MAX(INDIRECT("B21:B" &amp; ROW()))-1&lt;E33,表2_36716262930381011[[#This Row],[累计净值]]/MAX(INDIRECT("B21:B" &amp; ROW()))-1,E33)</f>
        <v>-6.2814070351757678E-3</v>
      </c>
      <c r="F34" s="62">
        <v>1.0954999999999999</v>
      </c>
      <c r="G34" s="20">
        <f t="shared" si="0"/>
        <v>4.7921850520689091E-3</v>
      </c>
    </row>
    <row r="35" spans="1:9">
      <c r="A35" s="15">
        <v>43767</v>
      </c>
      <c r="B35" s="16">
        <v>1.1953</v>
      </c>
      <c r="C35" s="73">
        <f t="shared" si="4"/>
        <v>-1.7000000000000348E-3</v>
      </c>
      <c r="D35" s="18">
        <f t="shared" si="3"/>
        <v>-1.7000000000000348E-3</v>
      </c>
      <c r="E35" s="18">
        <f ca="1">IF(表2_36716262930381011[[#This Row],[累计净值]]/MAX(INDIRECT("B21:B" &amp; ROW()))-1&lt;E34,表2_36716262930381011[[#This Row],[累计净值]]/MAX(INDIRECT("B21:B" &amp; ROW()))-1,E34)</f>
        <v>-6.2814070351757678E-3</v>
      </c>
      <c r="F35" s="62">
        <v>1.0938000000000001</v>
      </c>
      <c r="G35" s="20">
        <f t="shared" si="0"/>
        <v>4.0088471108654655E-3</v>
      </c>
    </row>
    <row r="36" spans="1:9">
      <c r="A36" s="15">
        <v>43768</v>
      </c>
      <c r="B36" s="76">
        <v>1.1996</v>
      </c>
      <c r="C36" s="73">
        <f t="shared" si="4"/>
        <v>4.2999999999999705E-3</v>
      </c>
      <c r="D36" s="18" t="str">
        <f t="shared" si="3"/>
        <v>/</v>
      </c>
      <c r="E36" s="18">
        <f ca="1">IF(表2_36716262930381011[[#This Row],[累计净值]]/MAX(INDIRECT("B21:B" &amp; ROW()))-1&lt;E35,表2_36716262930381011[[#This Row],[累计净值]]/MAX(INDIRECT("B21:B" &amp; ROW()))-1,E35)</f>
        <v>-6.2814070351757678E-3</v>
      </c>
      <c r="F36" s="62">
        <v>1.0981000000000001</v>
      </c>
      <c r="G36" s="20">
        <f t="shared" si="0"/>
        <v>5.9902313150862474E-3</v>
      </c>
    </row>
    <row r="37" spans="1:9">
      <c r="A37" s="15">
        <v>43769</v>
      </c>
      <c r="B37" s="16">
        <v>1.1956</v>
      </c>
      <c r="C37" s="73">
        <f t="shared" ref="C37:C42" si="5">IFERROR(B37-B36,0)</f>
        <v>-4.0000000000000036E-3</v>
      </c>
      <c r="D37" s="18">
        <f t="shared" ref="D37:D42" si="6">IF(C37&lt;0,C37,"/")</f>
        <v>-4.0000000000000036E-3</v>
      </c>
      <c r="E37" s="18">
        <f ca="1">IF(表2_36716262930381011[[#This Row],[累计净值]]/MAX(INDIRECT("B21:B" &amp; ROW()))-1&lt;E36,表2_36716262930381011[[#This Row],[累计净值]]/MAX(INDIRECT("B21:B" &amp; ROW()))-1,E36)</f>
        <v>-6.2814070351757678E-3</v>
      </c>
      <c r="F37" s="62">
        <v>1.0941000000000001</v>
      </c>
      <c r="G37" s="20">
        <f t="shared" si="0"/>
        <v>4.1470832181366157E-3</v>
      </c>
    </row>
    <row r="38" spans="1:9">
      <c r="A38" s="15">
        <v>43770</v>
      </c>
      <c r="B38" s="16">
        <v>1.1966000000000001</v>
      </c>
      <c r="C38" s="73">
        <f t="shared" si="5"/>
        <v>1.0000000000001119E-3</v>
      </c>
      <c r="D38" s="18" t="str">
        <f t="shared" si="6"/>
        <v>/</v>
      </c>
      <c r="E38" s="18">
        <f ca="1">IF(表2_36716262930381011[[#This Row],[累计净值]]/MAX(INDIRECT("B21:B" &amp; ROW()))-1&lt;E37,表2_36716262930381011[[#This Row],[累计净值]]/MAX(INDIRECT("B21:B" &amp; ROW()))-1,E37)</f>
        <v>-6.2814070351757678E-3</v>
      </c>
      <c r="F38" s="62">
        <v>1.0951</v>
      </c>
      <c r="G38" s="20">
        <f t="shared" si="0"/>
        <v>4.6078702423739681E-3</v>
      </c>
      <c r="I38" s="60"/>
    </row>
    <row r="39" spans="1:9">
      <c r="A39" s="15">
        <v>43773</v>
      </c>
      <c r="B39" s="76">
        <v>1.2010000000000001</v>
      </c>
      <c r="C39" s="73">
        <f t="shared" si="5"/>
        <v>4.3999999999999595E-3</v>
      </c>
      <c r="D39" s="18" t="str">
        <f t="shared" si="6"/>
        <v>/</v>
      </c>
      <c r="E39" s="18">
        <f ca="1">IF(表2_36716262930381011[[#This Row],[累计净值]]/MAX(INDIRECT("B21:B" &amp; ROW()))-1&lt;E38,表2_36716262930381011[[#This Row],[累计净值]]/MAX(INDIRECT("B21:B" &amp; ROW()))-1,E38)</f>
        <v>-6.2814070351757678E-3</v>
      </c>
      <c r="F39" s="62">
        <v>1.0994999999999999</v>
      </c>
      <c r="G39" s="20">
        <f t="shared" si="0"/>
        <v>6.6353331490185408E-3</v>
      </c>
    </row>
    <row r="40" spans="1:9">
      <c r="A40" s="15">
        <v>43774</v>
      </c>
      <c r="B40" s="16">
        <v>1.1980999999999999</v>
      </c>
      <c r="C40" s="73">
        <f t="shared" si="5"/>
        <v>-2.9000000000001247E-3</v>
      </c>
      <c r="D40" s="18">
        <f t="shared" si="6"/>
        <v>-2.9000000000001247E-3</v>
      </c>
      <c r="E40" s="18">
        <f ca="1">IF(表2_36716262930381011[[#This Row],[累计净值]]/MAX(INDIRECT("B21:B" &amp; ROW()))-1&lt;E39,表2_36716262930381011[[#This Row],[累计净值]]/MAX(INDIRECT("B21:B" &amp; ROW()))-1,E39)</f>
        <v>-6.2814070351757678E-3</v>
      </c>
      <c r="F40" s="62">
        <v>1.0966</v>
      </c>
      <c r="G40" s="20">
        <f t="shared" si="0"/>
        <v>5.2990507787300523E-3</v>
      </c>
    </row>
    <row r="41" spans="1:9">
      <c r="A41" s="15">
        <v>43775</v>
      </c>
      <c r="B41" s="16">
        <v>1.196</v>
      </c>
      <c r="C41" s="73">
        <f t="shared" si="5"/>
        <v>-2.0999999999999908E-3</v>
      </c>
      <c r="D41" s="18">
        <f t="shared" si="6"/>
        <v>-2.0999999999999908E-3</v>
      </c>
      <c r="E41" s="18">
        <f ca="1">IF(表2_36716262930381011[[#This Row],[累计净值]]/MAX(INDIRECT("B21:B" &amp; ROW()))-1&lt;E40,表2_36716262930381011[[#This Row],[累计净值]]/MAX(INDIRECT("B21:B" &amp; ROW()))-1,E40)</f>
        <v>-6.2814070351757678E-3</v>
      </c>
      <c r="F41" s="62">
        <v>1.0945</v>
      </c>
      <c r="G41" s="20">
        <f t="shared" si="0"/>
        <v>4.3313980278315567E-3</v>
      </c>
    </row>
    <row r="42" spans="1:9">
      <c r="A42" s="15">
        <v>43776</v>
      </c>
      <c r="B42" s="16">
        <v>1.1963999999999999</v>
      </c>
      <c r="C42" s="73">
        <f t="shared" si="5"/>
        <v>3.9999999999995595E-4</v>
      </c>
      <c r="D42" s="18" t="str">
        <f t="shared" si="6"/>
        <v>/</v>
      </c>
      <c r="E42" s="18">
        <f ca="1">IF(表2_36716262930381011[[#This Row],[累计净值]]/MAX(INDIRECT("B21:B" &amp; ROW()))-1&lt;E41,表2_36716262930381011[[#This Row],[累计净值]]/MAX(INDIRECT("B21:B" &amp; ROW()))-1,E41)</f>
        <v>-6.2814070351757678E-3</v>
      </c>
      <c r="F42" s="62">
        <v>1.0949</v>
      </c>
      <c r="G42" s="20">
        <f t="shared" si="0"/>
        <v>4.5157128375264977E-3</v>
      </c>
    </row>
    <row r="43" spans="1:9">
      <c r="A43" s="15">
        <v>43777</v>
      </c>
      <c r="B43" s="16">
        <v>1.1953</v>
      </c>
      <c r="C43" s="73">
        <f t="shared" ref="C43:C48" si="7">IFERROR(B43-B42,0)</f>
        <v>-1.0999999999998789E-3</v>
      </c>
      <c r="D43" s="18">
        <f t="shared" ref="D43:D48" si="8">IF(C43&lt;0,C43,"/")</f>
        <v>-1.0999999999998789E-3</v>
      </c>
      <c r="E43" s="18">
        <f ca="1">IF(表2_36716262930381011[[#This Row],[累计净值]]/MAX(INDIRECT("B21:B" &amp; ROW()))-1&lt;E42,表2_36716262930381011[[#This Row],[累计净值]]/MAX(INDIRECT("B21:B" &amp; ROW()))-1,E42)</f>
        <v>-6.2814070351757678E-3</v>
      </c>
      <c r="F43" s="62">
        <v>1.0938000000000001</v>
      </c>
      <c r="G43" s="20">
        <f t="shared" si="0"/>
        <v>4.0088471108654655E-3</v>
      </c>
    </row>
    <row r="44" spans="1:9">
      <c r="A44" s="15">
        <v>43780</v>
      </c>
      <c r="B44" s="16">
        <v>1.1938</v>
      </c>
      <c r="C44" s="73">
        <f t="shared" si="7"/>
        <v>-1.5000000000000568E-3</v>
      </c>
      <c r="D44" s="18">
        <f t="shared" si="8"/>
        <v>-1.5000000000000568E-3</v>
      </c>
      <c r="E44" s="18">
        <f ca="1">IF(表2_36716262930381011[[#This Row],[累计净值]]/MAX(INDIRECT("B21:B" &amp; ROW()))-1&lt;E43,表2_36716262930381011[[#This Row],[累计净值]]/MAX(INDIRECT("B21:B" &amp; ROW()))-1,E43)</f>
        <v>-6.2814070351757678E-3</v>
      </c>
      <c r="F44" s="62">
        <f>表2_36716262930381011[[#This Row],[累计净值]]-0.1015</f>
        <v>1.0923</v>
      </c>
      <c r="G44" s="20">
        <f t="shared" si="0"/>
        <v>3.3176665745092704E-3</v>
      </c>
    </row>
    <row r="45" spans="1:9">
      <c r="A45" s="15">
        <v>43781</v>
      </c>
      <c r="B45" s="16">
        <v>1.1978</v>
      </c>
      <c r="C45" s="73">
        <f t="shared" si="7"/>
        <v>4.0000000000000036E-3</v>
      </c>
      <c r="D45" s="18" t="str">
        <f t="shared" si="8"/>
        <v>/</v>
      </c>
      <c r="E45" s="18">
        <f ca="1">IF(表2_36716262930381011[[#This Row],[累计净值]]/MAX(INDIRECT("B21:B" &amp; ROW()))-1&lt;E44,表2_36716262930381011[[#This Row],[累计净值]]/MAX(INDIRECT("B21:B" &amp; ROW()))-1,E44)</f>
        <v>-6.2814070351757678E-3</v>
      </c>
      <c r="F45" s="62">
        <f>表2_36716262930381011[[#This Row],[累计净值]]-0.1015</f>
        <v>1.0963000000000001</v>
      </c>
      <c r="G45" s="20">
        <f t="shared" si="0"/>
        <v>5.160814671458902E-3</v>
      </c>
    </row>
    <row r="46" spans="1:9">
      <c r="A46" s="15">
        <v>43782</v>
      </c>
      <c r="B46" s="16">
        <v>1.1976</v>
      </c>
      <c r="C46" s="73">
        <f t="shared" si="7"/>
        <v>-1.9999999999997797E-4</v>
      </c>
      <c r="D46" s="18">
        <f t="shared" si="8"/>
        <v>-1.9999999999997797E-4</v>
      </c>
      <c r="E46" s="18">
        <f ca="1">IF(表2_36716262930381011[[#This Row],[累计净值]]/MAX(INDIRECT("B21:B" &amp; ROW()))-1&lt;E45,表2_36716262930381011[[#This Row],[累计净值]]/MAX(INDIRECT("B21:B" &amp; ROW()))-1,E45)</f>
        <v>-6.2814070351757678E-3</v>
      </c>
      <c r="F46" s="62">
        <f>表2_36716262930381011[[#This Row],[累计净值]]-0.1015</f>
        <v>1.0961000000000001</v>
      </c>
      <c r="G46" s="20">
        <f t="shared" si="0"/>
        <v>5.0686572666114316E-3</v>
      </c>
    </row>
    <row r="47" spans="1:9">
      <c r="A47" s="15">
        <v>43783</v>
      </c>
      <c r="B47" s="16">
        <v>1.2030000000000001</v>
      </c>
      <c r="C47" s="73">
        <f t="shared" si="7"/>
        <v>5.4000000000000714E-3</v>
      </c>
      <c r="D47" s="18" t="str">
        <f t="shared" si="8"/>
        <v>/</v>
      </c>
      <c r="E47" s="18">
        <f ca="1">IF(表2_36716262930381011[[#This Row],[累计净值]]/MAX(INDIRECT("B21:B" &amp; ROW()))-1&lt;E46,表2_36716262930381011[[#This Row],[累计净值]]/MAX(INDIRECT("B21:B" &amp; ROW()))-1,E46)</f>
        <v>-6.2814070351757678E-3</v>
      </c>
      <c r="F47" s="62">
        <f>表2_36716262930381011[[#This Row],[累计净值]]-0.1015</f>
        <v>1.1015000000000001</v>
      </c>
      <c r="G47" s="20">
        <f t="shared" si="0"/>
        <v>7.5569071974933566E-3</v>
      </c>
    </row>
    <row r="48" spans="1:9">
      <c r="A48" s="15">
        <v>43784</v>
      </c>
      <c r="B48" s="16">
        <v>1.1994</v>
      </c>
      <c r="C48" s="73">
        <f t="shared" si="7"/>
        <v>-3.6000000000000476E-3</v>
      </c>
      <c r="D48" s="18">
        <f t="shared" si="8"/>
        <v>-3.6000000000000476E-3</v>
      </c>
      <c r="E48" s="18">
        <f ca="1">IF(表2_36716262930381011[[#This Row],[累计净值]]/MAX(INDIRECT("B21:B" &amp; ROW()))-1&lt;E47,表2_36716262930381011[[#This Row],[累计净值]]/MAX(INDIRECT("B21:B" &amp; ROW()))-1,E47)</f>
        <v>-6.2814070351757678E-3</v>
      </c>
      <c r="F48" s="62">
        <f>表2_36716262930381011[[#This Row],[累计净值]]-0.1015</f>
        <v>1.0979000000000001</v>
      </c>
      <c r="G48" s="20">
        <f t="shared" si="0"/>
        <v>5.8980739102387769E-3</v>
      </c>
    </row>
    <row r="49" spans="1:7">
      <c r="A49" s="15">
        <v>43787</v>
      </c>
      <c r="B49" s="16">
        <v>1.2039</v>
      </c>
      <c r="C49" s="73">
        <f t="shared" ref="C49:C54" si="9">IFERROR(B49-B48,0)</f>
        <v>4.4999999999999485E-3</v>
      </c>
      <c r="D49" s="18" t="str">
        <f t="shared" ref="D49:D54" si="10">IF(C49&lt;0,C49,"/")</f>
        <v>/</v>
      </c>
      <c r="E49" s="18">
        <f ca="1">IF(表2_36716262930381011[[#This Row],[累计净值]]/MAX(INDIRECT("B21:B" &amp; ROW()))-1&lt;E48,表2_36716262930381011[[#This Row],[累计净值]]/MAX(INDIRECT("B21:B" &amp; ROW()))-1,E48)</f>
        <v>-6.2814070351757678E-3</v>
      </c>
      <c r="F49" s="62">
        <f>表2_36716262930381011[[#This Row],[累计净值]]-0.1015</f>
        <v>1.1024</v>
      </c>
      <c r="G49" s="20">
        <f t="shared" si="0"/>
        <v>7.9716155193070293E-3</v>
      </c>
    </row>
    <row r="50" spans="1:7">
      <c r="A50" s="15">
        <v>43788</v>
      </c>
      <c r="B50" s="76">
        <v>1.2088000000000001</v>
      </c>
      <c r="C50" s="73">
        <f t="shared" si="9"/>
        <v>4.9000000000001265E-3</v>
      </c>
      <c r="D50" s="18" t="str">
        <f t="shared" si="10"/>
        <v>/</v>
      </c>
      <c r="E50" s="18">
        <f ca="1">IF(表2_36716262930381011[[#This Row],[累计净值]]/MAX(INDIRECT("B21:B" &amp; ROW()))-1&lt;E49,表2_36716262930381011[[#This Row],[累计净值]]/MAX(INDIRECT("B21:B" &amp; ROW()))-1,E49)</f>
        <v>-6.2814070351757678E-3</v>
      </c>
      <c r="F50" s="62">
        <f>表2_36716262930381011[[#This Row],[累计净值]]-0.1015</f>
        <v>1.1073000000000002</v>
      </c>
      <c r="G50" s="20">
        <f t="shared" si="0"/>
        <v>1.0229471938070334E-2</v>
      </c>
    </row>
    <row r="51" spans="1:7">
      <c r="A51" s="15">
        <v>43789</v>
      </c>
      <c r="B51" s="16">
        <v>1.2067000000000001</v>
      </c>
      <c r="C51" s="73">
        <f t="shared" si="9"/>
        <v>-2.0999999999999908E-3</v>
      </c>
      <c r="D51" s="18">
        <f t="shared" si="10"/>
        <v>-2.0999999999999908E-3</v>
      </c>
      <c r="E51" s="18">
        <f ca="1">IF(表2_36716262930381011[[#This Row],[累计净值]]/MAX(INDIRECT("B21:B" &amp; ROW()))-1&lt;E50,表2_36716262930381011[[#This Row],[累计净值]]/MAX(INDIRECT("B21:B" &amp; ROW()))-1,E50)</f>
        <v>-6.2814070351757678E-3</v>
      </c>
      <c r="F51" s="62">
        <f>表2_36716262930381011[[#This Row],[累计净值]]-0.1015</f>
        <v>1.1052000000000002</v>
      </c>
      <c r="G51" s="20">
        <f t="shared" si="0"/>
        <v>9.2618191871718381E-3</v>
      </c>
    </row>
    <row r="52" spans="1:7">
      <c r="A52" s="15">
        <v>43790</v>
      </c>
      <c r="B52" s="16">
        <v>1.2038</v>
      </c>
      <c r="C52" s="73">
        <f t="shared" si="9"/>
        <v>-2.9000000000001247E-3</v>
      </c>
      <c r="D52" s="18">
        <f t="shared" si="10"/>
        <v>-2.9000000000001247E-3</v>
      </c>
      <c r="E52" s="18">
        <f ca="1">IF(表2_36716262930381011[[#This Row],[累计净值]]/MAX(INDIRECT("B21:B" &amp; ROW()))-1&lt;E51,表2_36716262930381011[[#This Row],[累计净值]]/MAX(INDIRECT("B21:B" &amp; ROW()))-1,E51)</f>
        <v>-6.2814070351757678E-3</v>
      </c>
      <c r="F52" s="62">
        <f>表2_36716262930381011[[#This Row],[累计净值]]-0.1015</f>
        <v>1.1023000000000001</v>
      </c>
      <c r="G52" s="20">
        <f t="shared" si="0"/>
        <v>7.9255368168832385E-3</v>
      </c>
    </row>
    <row r="53" spans="1:7">
      <c r="A53" s="15">
        <v>43791</v>
      </c>
      <c r="B53" s="16">
        <v>1.1957</v>
      </c>
      <c r="C53" s="73">
        <f t="shared" si="9"/>
        <v>-8.0999999999999961E-3</v>
      </c>
      <c r="D53" s="18">
        <f t="shared" si="10"/>
        <v>-8.0999999999999961E-3</v>
      </c>
      <c r="E53" s="18">
        <f ca="1">IF(表2_36716262930381011[[#This Row],[累计净值]]/MAX(INDIRECT("B21:B" &amp; ROW()))-1&lt;E52,表2_36716262930381011[[#This Row],[累计净值]]/MAX(INDIRECT("B21:B" &amp; ROW()))-1,E52)</f>
        <v>-1.08371939113171E-2</v>
      </c>
      <c r="F53" s="62">
        <f>表2_36716262930381011[[#This Row],[累计净值]]-0.1015</f>
        <v>1.0942000000000001</v>
      </c>
      <c r="G53" s="20">
        <f t="shared" ref="G53:G75" si="11">IF(F53/$F$21-1&gt;0,0.5*(F53/$F$21-1),F53/$F$21-1)</f>
        <v>4.1931619205604065E-3</v>
      </c>
    </row>
    <row r="54" spans="1:7">
      <c r="A54" s="15">
        <v>43794</v>
      </c>
      <c r="B54" s="16">
        <v>1.1794</v>
      </c>
      <c r="C54" s="73">
        <f t="shared" si="9"/>
        <v>-1.6299999999999981E-2</v>
      </c>
      <c r="D54" s="18">
        <f t="shared" si="10"/>
        <v>-1.6299999999999981E-2</v>
      </c>
      <c r="E54" s="18">
        <f ca="1">IF(表2_36716262930381011[[#This Row],[累计净值]]/MAX(INDIRECT("B21:B" &amp; ROW()))-1&lt;E53,表2_36716262930381011[[#This Row],[累计净值]]/MAX(INDIRECT("B21:B" &amp; ROW()))-1,E53)</f>
        <v>-2.4321641297154306E-2</v>
      </c>
      <c r="F54" s="62">
        <f>表2_36716262930381011[[#This Row],[累计净值]]-0.1015</f>
        <v>1.0779000000000001</v>
      </c>
      <c r="G54" s="20">
        <f t="shared" si="11"/>
        <v>-6.6353331490184297E-3</v>
      </c>
    </row>
    <row r="55" spans="1:7">
      <c r="A55" s="15">
        <v>43795</v>
      </c>
      <c r="B55" s="16">
        <v>1.1816</v>
      </c>
      <c r="C55" s="73">
        <f t="shared" ref="C55:C60" si="12">IFERROR(B55-B54,0)</f>
        <v>2.1999999999999797E-3</v>
      </c>
      <c r="D55" s="18" t="str">
        <f t="shared" ref="D55:D60" si="13">IF(C55&lt;0,C55,"/")</f>
        <v>/</v>
      </c>
      <c r="E55" s="18">
        <f ca="1">IF(表2_36716262930381011[[#This Row],[累计净值]]/MAX(INDIRECT("B21:B" &amp; ROW()))-1&lt;E54,表2_36716262930381011[[#This Row],[累计净值]]/MAX(INDIRECT("B21:B" &amp; ROW()))-1,E54)</f>
        <v>-2.4321641297154306E-2</v>
      </c>
      <c r="F55" s="62">
        <f>表2_36716262930381011[[#This Row],[累计净值]]-0.1015</f>
        <v>1.0801000000000001</v>
      </c>
      <c r="G55" s="20">
        <f t="shared" si="11"/>
        <v>-4.6078702423738571E-3</v>
      </c>
    </row>
    <row r="56" spans="1:7">
      <c r="A56" s="15">
        <v>43796</v>
      </c>
      <c r="B56" s="16">
        <v>1.1811</v>
      </c>
      <c r="C56" s="73">
        <f t="shared" si="12"/>
        <v>-4.9999999999994493E-4</v>
      </c>
      <c r="D56" s="18">
        <f t="shared" si="13"/>
        <v>-4.9999999999994493E-4</v>
      </c>
      <c r="E56" s="18">
        <f ca="1">IF(表2_36716262930381011[[#This Row],[累计净值]]/MAX(INDIRECT("B21:B" &amp; ROW()))-1&lt;E55,表2_36716262930381011[[#This Row],[累计净值]]/MAX(INDIRECT("B21:B" &amp; ROW()))-1,E55)</f>
        <v>-2.4321641297154306E-2</v>
      </c>
      <c r="F56" s="62">
        <f>表2_36716262930381011[[#This Row],[累计净值]]-0.1015</f>
        <v>1.0796000000000001</v>
      </c>
      <c r="G56" s="20">
        <f t="shared" si="11"/>
        <v>-5.0686572666112095E-3</v>
      </c>
    </row>
    <row r="57" spans="1:7">
      <c r="A57" s="15">
        <v>43797</v>
      </c>
      <c r="B57" s="16">
        <v>1.1815</v>
      </c>
      <c r="C57" s="73">
        <f t="shared" si="12"/>
        <v>3.9999999999995595E-4</v>
      </c>
      <c r="D57" s="18" t="str">
        <f t="shared" si="13"/>
        <v>/</v>
      </c>
      <c r="E57" s="18">
        <f ca="1">IF(表2_36716262930381011[[#This Row],[累计净值]]/MAX(INDIRECT("B21:B" &amp; ROW()))-1&lt;E56,表2_36716262930381011[[#This Row],[累计净值]]/MAX(INDIRECT("B21:B" &amp; ROW()))-1,E56)</f>
        <v>-2.4321641297154306E-2</v>
      </c>
      <c r="F57" s="62">
        <f>表2_36716262930381011[[#This Row],[累计净值]]-0.1015</f>
        <v>1.08</v>
      </c>
      <c r="G57" s="20">
        <f t="shared" si="11"/>
        <v>-4.7000276472213276E-3</v>
      </c>
    </row>
    <row r="58" spans="1:7">
      <c r="A58" s="15">
        <v>43798</v>
      </c>
      <c r="B58" s="16">
        <v>1.1797</v>
      </c>
      <c r="C58" s="73">
        <f t="shared" si="12"/>
        <v>-1.8000000000000238E-3</v>
      </c>
      <c r="D58" s="18">
        <f t="shared" si="13"/>
        <v>-1.8000000000000238E-3</v>
      </c>
      <c r="E58" s="18">
        <f ca="1">IF(表2_36716262930381011[[#This Row],[累计净值]]/MAX(INDIRECT("B21:B" &amp; ROW()))-1&lt;E57,表2_36716262930381011[[#This Row],[累计净值]]/MAX(INDIRECT("B21:B" &amp; ROW()))-1,E57)</f>
        <v>-2.4321641297154306E-2</v>
      </c>
      <c r="F58" s="62">
        <f>表2_36716262930381011[[#This Row],[累计净值]]-0.1015</f>
        <v>1.0782</v>
      </c>
      <c r="G58" s="20">
        <f t="shared" si="11"/>
        <v>-6.3588609344760183E-3</v>
      </c>
    </row>
    <row r="59" spans="1:7">
      <c r="A59" s="15">
        <v>43801</v>
      </c>
      <c r="B59" s="63">
        <v>1.1802999999999999</v>
      </c>
      <c r="C59" s="64">
        <f t="shared" si="12"/>
        <v>5.9999999999993392E-4</v>
      </c>
      <c r="D59" s="65" t="str">
        <f t="shared" si="13"/>
        <v>/</v>
      </c>
      <c r="E59" s="65">
        <f ca="1">IF(表2_36716262930381011[[#This Row],[累计净值]]/MAX(INDIRECT("B21:B" &amp; ROW()))-1&lt;E58,表2_36716262930381011[[#This Row],[累计净值]]/MAX(INDIRECT("B21:B" &amp; ROW()))-1,E58)</f>
        <v>-2.4321641297154306E-2</v>
      </c>
      <c r="F59" s="62">
        <f>表2_36716262930381011[[#This Row],[累计净值]]-0.1015</f>
        <v>1.0788</v>
      </c>
      <c r="G59" s="20">
        <f t="shared" si="11"/>
        <v>-5.8059165053911954E-3</v>
      </c>
    </row>
    <row r="60" spans="1:7">
      <c r="A60" s="15">
        <v>43802</v>
      </c>
      <c r="B60" s="16">
        <v>1.1826000000000001</v>
      </c>
      <c r="C60" s="73">
        <f t="shared" si="12"/>
        <v>2.3000000000001908E-3</v>
      </c>
      <c r="D60" s="18" t="str">
        <f t="shared" si="13"/>
        <v>/</v>
      </c>
      <c r="E60" s="18">
        <f ca="1">IF(表2_36716262930381011[[#This Row],[累计净值]]/MAX(INDIRECT("B21:B" &amp; ROW()))-1&lt;E59,表2_36716262930381011[[#This Row],[累计净值]]/MAX(INDIRECT("B21:B" &amp; ROW()))-1,E59)</f>
        <v>-2.4321641297154306E-2</v>
      </c>
      <c r="F60" s="62">
        <f>表2_36716262930381011[[#This Row],[累计净值]]-0.1015</f>
        <v>1.0811000000000002</v>
      </c>
      <c r="G60" s="20">
        <f t="shared" si="11"/>
        <v>-3.6862961938989303E-3</v>
      </c>
    </row>
    <row r="61" spans="1:7">
      <c r="A61" s="15">
        <v>43803</v>
      </c>
      <c r="B61" s="16">
        <v>1.1849000000000001</v>
      </c>
      <c r="C61" s="73">
        <f t="shared" ref="C61:C78" si="14">IFERROR(B61-B60,0)</f>
        <v>2.2999999999999687E-3</v>
      </c>
      <c r="D61" s="18" t="str">
        <f t="shared" ref="D61:D78" si="15">IF(C61&lt;0,C61,"/")</f>
        <v>/</v>
      </c>
      <c r="E61" s="18">
        <f ca="1">IF(表2_36716262930381011[[#This Row],[累计净值]]/MAX(INDIRECT("B21:B" &amp; ROW()))-1&lt;E60,表2_36716262930381011[[#This Row],[累计净值]]/MAX(INDIRECT("B21:B" &amp; ROW()))-1,E60)</f>
        <v>-2.4321641297154306E-2</v>
      </c>
      <c r="F61" s="62">
        <f>表2_36716262930381011[[#This Row],[累计净值]]-0.1015</f>
        <v>1.0834000000000001</v>
      </c>
      <c r="G61" s="20">
        <f t="shared" si="11"/>
        <v>-1.5666758824069982E-3</v>
      </c>
    </row>
    <row r="62" spans="1:7">
      <c r="A62" s="15">
        <v>43804</v>
      </c>
      <c r="B62" s="16">
        <v>1.1890000000000001</v>
      </c>
      <c r="C62" s="73">
        <f t="shared" si="14"/>
        <v>4.0999999999999925E-3</v>
      </c>
      <c r="D62" s="18" t="str">
        <f t="shared" si="15"/>
        <v>/</v>
      </c>
      <c r="E62" s="18">
        <f ca="1">IF(表2_36716262930381011[[#This Row],[累计净值]]/MAX(INDIRECT("B21:B" &amp; ROW()))-1&lt;E61,表2_36716262930381011[[#This Row],[累计净值]]/MAX(INDIRECT("B21:B" &amp; ROW()))-1,E61)</f>
        <v>-2.4321641297154306E-2</v>
      </c>
      <c r="F62" s="62">
        <f>表2_36716262930381011[[#This Row],[累计净值]]-0.1015</f>
        <v>1.0875000000000001</v>
      </c>
      <c r="G62" s="20">
        <f t="shared" si="11"/>
        <v>1.1058888581698678E-3</v>
      </c>
    </row>
    <row r="63" spans="1:7">
      <c r="A63" s="15">
        <v>43805</v>
      </c>
      <c r="B63" s="16">
        <v>1.1888000000000001</v>
      </c>
      <c r="C63" s="73">
        <f t="shared" si="14"/>
        <v>-1.9999999999997797E-4</v>
      </c>
      <c r="D63" s="18">
        <f t="shared" si="15"/>
        <v>-1.9999999999997797E-4</v>
      </c>
      <c r="E63" s="18">
        <f ca="1">IF(表2_36716262930381011[[#This Row],[累计净值]]/MAX(INDIRECT("B21:B" &amp; ROW()))-1&lt;E62,表2_36716262930381011[[#This Row],[累计净值]]/MAX(INDIRECT("B21:B" &amp; ROW()))-1,E62)</f>
        <v>-2.4321641297154306E-2</v>
      </c>
      <c r="F63" s="62">
        <f>表2_36716262930381011[[#This Row],[累计净值]]-0.1015</f>
        <v>1.0873000000000002</v>
      </c>
      <c r="G63" s="20">
        <f t="shared" si="11"/>
        <v>1.0137314533223973E-3</v>
      </c>
    </row>
    <row r="64" spans="1:7">
      <c r="A64" s="15">
        <v>43808</v>
      </c>
      <c r="B64" s="16">
        <v>1.1877</v>
      </c>
      <c r="C64" s="73">
        <f t="shared" si="14"/>
        <v>-1.1000000000001009E-3</v>
      </c>
      <c r="D64" s="18">
        <f t="shared" si="15"/>
        <v>-1.1000000000001009E-3</v>
      </c>
      <c r="E64" s="18">
        <f ca="1">IF(表2_36716262930381011[[#This Row],[累计净值]]/MAX(INDIRECT("B21:B" &amp; ROW()))-1&lt;E63,表2_36716262930381011[[#This Row],[累计净值]]/MAX(INDIRECT("B21:B" &amp; ROW()))-1,E63)</f>
        <v>-2.4321641297154306E-2</v>
      </c>
      <c r="F64" s="62">
        <f>表2_36716262930381011[[#This Row],[累计净值]]-0.1015</f>
        <v>1.0862000000000001</v>
      </c>
      <c r="G64" s="20">
        <f t="shared" si="11"/>
        <v>5.0686572666114316E-4</v>
      </c>
    </row>
    <row r="65" spans="1:9">
      <c r="A65" s="15">
        <v>43809</v>
      </c>
      <c r="B65" s="16">
        <v>1.1879999999999999</v>
      </c>
      <c r="C65" s="73">
        <f t="shared" si="14"/>
        <v>2.9999999999996696E-4</v>
      </c>
      <c r="D65" s="18" t="str">
        <f t="shared" si="15"/>
        <v>/</v>
      </c>
      <c r="E65" s="18">
        <f ca="1">IF(表2_36716262930381011[[#This Row],[累计净值]]/MAX(INDIRECT("B21:B" &amp; ROW()))-1&lt;E64,表2_36716262930381011[[#This Row],[累计净值]]/MAX(INDIRECT("B21:B" &amp; ROW()))-1,E64)</f>
        <v>-2.4321641297154306E-2</v>
      </c>
      <c r="F65" s="62">
        <f>表2_36716262930381011[[#This Row],[累计净值]]-0.1015</f>
        <v>1.0865</v>
      </c>
      <c r="G65" s="20">
        <f t="shared" si="11"/>
        <v>6.4510183393240439E-4</v>
      </c>
    </row>
    <row r="66" spans="1:9">
      <c r="A66" s="15">
        <v>43810</v>
      </c>
      <c r="B66" s="16">
        <v>1.1898</v>
      </c>
      <c r="C66" s="73">
        <f t="shared" si="14"/>
        <v>1.8000000000000238E-3</v>
      </c>
      <c r="D66" s="18" t="str">
        <f t="shared" si="15"/>
        <v>/</v>
      </c>
      <c r="E66" s="18">
        <f ca="1">IF(表2_36716262930381011[[#This Row],[累计净值]]/MAX(INDIRECT("B21:B" &amp; ROW()))-1&lt;E65,表2_36716262930381011[[#This Row],[累计净值]]/MAX(INDIRECT("B21:B" &amp; ROW()))-1,E65)</f>
        <v>-2.4321641297154306E-2</v>
      </c>
      <c r="F66" s="62">
        <f>表2_36716262930381011[[#This Row],[累计净值]]-0.1015</f>
        <v>1.0883</v>
      </c>
      <c r="G66" s="20">
        <f t="shared" si="11"/>
        <v>1.4745184775597497E-3</v>
      </c>
    </row>
    <row r="67" spans="1:9">
      <c r="A67" s="15">
        <v>43811</v>
      </c>
      <c r="B67" s="16">
        <v>1.1930000000000001</v>
      </c>
      <c r="C67" s="73">
        <f t="shared" si="14"/>
        <v>3.2000000000000917E-3</v>
      </c>
      <c r="D67" s="18" t="str">
        <f t="shared" si="15"/>
        <v>/</v>
      </c>
      <c r="E67" s="18">
        <f ca="1">IF(表2_36716262930381011[[#This Row],[累计净值]]/MAX(INDIRECT("B21:B" &amp; ROW()))-1&lt;E66,表2_36716262930381011[[#This Row],[累计净值]]/MAX(INDIRECT("B21:B" &amp; ROW()))-1,E66)</f>
        <v>-2.4321641297154306E-2</v>
      </c>
      <c r="F67" s="62">
        <f>表2_36716262930381011[[#This Row],[累计净值]]-0.1015</f>
        <v>1.0915000000000001</v>
      </c>
      <c r="G67" s="20">
        <f t="shared" si="11"/>
        <v>2.9490369551193885E-3</v>
      </c>
    </row>
    <row r="68" spans="1:9">
      <c r="A68" s="15">
        <v>43812</v>
      </c>
      <c r="B68" s="16">
        <v>1.1961999999999999</v>
      </c>
      <c r="C68" s="73">
        <f t="shared" si="14"/>
        <v>3.1999999999998696E-3</v>
      </c>
      <c r="D68" s="18" t="str">
        <f t="shared" si="15"/>
        <v>/</v>
      </c>
      <c r="E68" s="18">
        <f ca="1">IF(表2_36716262930381011[[#This Row],[累计净值]]/MAX(INDIRECT("B21:B" &amp; ROW()))-1&lt;E67,表2_36716262930381011[[#This Row],[累计净值]]/MAX(INDIRECT("B21:B" &amp; ROW()))-1,E67)</f>
        <v>-2.4321641297154306E-2</v>
      </c>
      <c r="F68" s="62">
        <f>表2_36716262930381011[[#This Row],[累计净值]]-0.1015</f>
        <v>1.0947</v>
      </c>
      <c r="G68" s="20">
        <f t="shared" si="11"/>
        <v>4.4235554326790272E-3</v>
      </c>
    </row>
    <row r="69" spans="1:9">
      <c r="A69" s="15">
        <v>43815</v>
      </c>
      <c r="B69" s="16">
        <v>1.1994</v>
      </c>
      <c r="C69" s="73">
        <f t="shared" si="14"/>
        <v>3.2000000000000917E-3</v>
      </c>
      <c r="D69" s="18" t="str">
        <f t="shared" si="15"/>
        <v>/</v>
      </c>
      <c r="E69" s="18">
        <f ca="1">IF(表2_36716262930381011[[#This Row],[累计净值]]/MAX(INDIRECT("B21:B" &amp; ROW()))-1&lt;E68,表2_36716262930381011[[#This Row],[累计净值]]/MAX(INDIRECT("B21:B" &amp; ROW()))-1,E68)</f>
        <v>-2.4321641297154306E-2</v>
      </c>
      <c r="F69" s="62">
        <f>表2_36716262930381011[[#This Row],[累计净值]]-0.1015</f>
        <v>1.0979000000000001</v>
      </c>
      <c r="G69" s="20">
        <f t="shared" si="11"/>
        <v>5.8980739102387769E-3</v>
      </c>
    </row>
    <row r="70" spans="1:9">
      <c r="A70" s="15">
        <v>43816</v>
      </c>
      <c r="B70" s="16">
        <v>1.1973</v>
      </c>
      <c r="C70" s="73">
        <f t="shared" si="14"/>
        <v>-2.0999999999999908E-3</v>
      </c>
      <c r="D70" s="18">
        <f t="shared" si="15"/>
        <v>-2.0999999999999908E-3</v>
      </c>
      <c r="E70" s="18">
        <f ca="1">IF(表2_36716262930381011[[#This Row],[累计净值]]/MAX(INDIRECT("B21:B" &amp; ROW()))-1&lt;E69,表2_36716262930381011[[#This Row],[累计净值]]/MAX(INDIRECT("B21:B" &amp; ROW()))-1,E69)</f>
        <v>-2.4321641297154306E-2</v>
      </c>
      <c r="F70" s="62">
        <f>表2_36716262930381011[[#This Row],[累计净值]]-0.1015</f>
        <v>1.0958000000000001</v>
      </c>
      <c r="G70" s="20">
        <f t="shared" si="11"/>
        <v>4.9304211593401703E-3</v>
      </c>
    </row>
    <row r="71" spans="1:9">
      <c r="A71" s="15">
        <v>43817</v>
      </c>
      <c r="B71" s="16">
        <v>1.1994</v>
      </c>
      <c r="C71" s="73">
        <f t="shared" si="14"/>
        <v>2.0999999999999908E-3</v>
      </c>
      <c r="D71" s="18" t="str">
        <f t="shared" si="15"/>
        <v>/</v>
      </c>
      <c r="E71" s="18">
        <f ca="1">IF(表2_36716262930381011[[#This Row],[累计净值]]/MAX(INDIRECT("B21:B" &amp; ROW()))-1&lt;E70,表2_36716262930381011[[#This Row],[累计净值]]/MAX(INDIRECT("B21:B" &amp; ROW()))-1,E70)</f>
        <v>-2.4321641297154306E-2</v>
      </c>
      <c r="F71" s="62">
        <f>表2_36716262930381011[[#This Row],[累计净值]]-0.1015</f>
        <v>1.0979000000000001</v>
      </c>
      <c r="G71" s="20">
        <f t="shared" si="11"/>
        <v>5.8980739102387769E-3</v>
      </c>
    </row>
    <row r="72" spans="1:9">
      <c r="A72" s="15">
        <v>43818</v>
      </c>
      <c r="B72" s="16">
        <v>1.1975</v>
      </c>
      <c r="C72" s="73">
        <f t="shared" si="14"/>
        <v>-1.9000000000000128E-3</v>
      </c>
      <c r="D72" s="18">
        <f t="shared" si="15"/>
        <v>-1.9000000000000128E-3</v>
      </c>
      <c r="E72" s="18">
        <f ca="1">IF(表2_36716262930381011[[#This Row],[累计净值]]/MAX(INDIRECT("B21:B" &amp; ROW()))-1&lt;E71,表2_36716262930381011[[#This Row],[累计净值]]/MAX(INDIRECT("B21:B" &amp; ROW()))-1,E71)</f>
        <v>-2.4321641297154306E-2</v>
      </c>
      <c r="F72" s="62">
        <f>表2_36716262930381011[[#This Row],[累计净值]]-0.1015</f>
        <v>1.0960000000000001</v>
      </c>
      <c r="G72" s="20">
        <f t="shared" si="11"/>
        <v>5.0225785641876408E-3</v>
      </c>
    </row>
    <row r="73" spans="1:9">
      <c r="A73" s="15">
        <v>43819</v>
      </c>
      <c r="B73" s="16">
        <v>1.1908000000000001</v>
      </c>
      <c r="C73" s="73">
        <f t="shared" si="14"/>
        <v>-6.6999999999999282E-3</v>
      </c>
      <c r="D73" s="18">
        <f t="shared" si="15"/>
        <v>-6.6999999999999282E-3</v>
      </c>
      <c r="E73" s="18">
        <f ca="1">IF(表2_36716262930381011[[#This Row],[累计净值]]/MAX(INDIRECT("B21:B" &amp; ROW()))-1&lt;E72,表2_36716262930381011[[#This Row],[累计净值]]/MAX(INDIRECT("B21:B" &amp; ROW()))-1,E72)</f>
        <v>-2.4321641297154306E-2</v>
      </c>
      <c r="F73" s="62">
        <f>表2_36716262930381011[[#This Row],[累计净值]]-0.1015</f>
        <v>1.0893000000000002</v>
      </c>
      <c r="G73" s="20">
        <f t="shared" si="11"/>
        <v>1.9353055017972132E-3</v>
      </c>
    </row>
    <row r="74" spans="1:9">
      <c r="A74" s="15">
        <v>43822</v>
      </c>
      <c r="B74" s="16">
        <v>1.1907000000000001</v>
      </c>
      <c r="C74" s="73">
        <f t="shared" si="14"/>
        <v>-9.9999999999988987E-5</v>
      </c>
      <c r="D74" s="18">
        <f t="shared" si="15"/>
        <v>-9.9999999999988987E-5</v>
      </c>
      <c r="E74" s="18">
        <f ca="1">IF(表2_36716262930381011[[#This Row],[累计净值]]/MAX(INDIRECT("B21:B" &amp; ROW()))-1&lt;E73,表2_36716262930381011[[#This Row],[累计净值]]/MAX(INDIRECT("B21:B" &amp; ROW()))-1,E73)</f>
        <v>-2.4321641297154306E-2</v>
      </c>
      <c r="F74" s="62">
        <f>表2_36716262930381011[[#This Row],[累计净值]]-0.1015</f>
        <v>1.0892000000000002</v>
      </c>
      <c r="G74" s="20">
        <f t="shared" si="11"/>
        <v>1.8892267993734224E-3</v>
      </c>
    </row>
    <row r="75" spans="1:9">
      <c r="A75" s="9">
        <v>43823</v>
      </c>
      <c r="B75" s="10">
        <v>1.1952</v>
      </c>
      <c r="C75" s="80">
        <f t="shared" si="14"/>
        <v>4.4999999999999485E-3</v>
      </c>
      <c r="D75" s="12" t="str">
        <f t="shared" si="15"/>
        <v>/</v>
      </c>
      <c r="E75" s="12">
        <f ca="1">IF(表2_36716262930381011[[#This Row],[累计净值]]/MAX(INDIRECT("B21:B" &amp; ROW()))-1&lt;E74,表2_36716262930381011[[#This Row],[累计净值]]/MAX(INDIRECT("B21:B" &amp; ROW()))-1,E74)</f>
        <v>-2.4321641297154306E-2</v>
      </c>
      <c r="F75" s="81">
        <f>表2_36716262930381011[[#This Row],[累计净值]]-0.1015</f>
        <v>1.0937000000000001</v>
      </c>
      <c r="G75" s="82">
        <f t="shared" si="11"/>
        <v>3.9627684084416748E-3</v>
      </c>
    </row>
    <row r="76" spans="1:9">
      <c r="A76" s="15">
        <v>43824</v>
      </c>
      <c r="B76" s="16">
        <v>1.2014</v>
      </c>
      <c r="C76" s="73">
        <f t="shared" si="14"/>
        <v>6.1999999999999833E-3</v>
      </c>
      <c r="D76" s="18" t="str">
        <f t="shared" si="15"/>
        <v>/</v>
      </c>
      <c r="E76" s="18">
        <f ca="1">IF(表2_36716262930381011[[#This Row],[累计净值]]/MAX(INDIRECT("B21:B" &amp; ROW()))-1&lt;E75,表2_36716262930381011[[#This Row],[累计净值]]/MAX(INDIRECT("B21:B" &amp; ROW()))-1,E75)</f>
        <v>-2.4321641297154306E-2</v>
      </c>
      <c r="F76" s="62">
        <v>1.0362</v>
      </c>
      <c r="G76" s="20">
        <f>$G$75*(1+IF(F76&gt;1.03,0.5*(F76-1.03),F76-1.03))</f>
        <v>3.9750529905078439E-3</v>
      </c>
      <c r="I76" s="60"/>
    </row>
    <row r="77" spans="1:9">
      <c r="A77" s="15">
        <v>43825</v>
      </c>
      <c r="B77" s="16">
        <v>1.2020999999999999</v>
      </c>
      <c r="C77" s="73">
        <f t="shared" si="14"/>
        <v>6.9999999999992291E-4</v>
      </c>
      <c r="D77" s="18" t="str">
        <f t="shared" si="15"/>
        <v>/</v>
      </c>
      <c r="E77" s="18">
        <f ca="1">IF(表2_36716262930381011[[#This Row],[累计净值]]/MAX(INDIRECT("B21:B" &amp; ROW()))-1&lt;E76,表2_36716262930381011[[#This Row],[累计净值]]/MAX(INDIRECT("B21:B" &amp; ROW()))-1,E76)</f>
        <v>-2.4321641297154306E-2</v>
      </c>
      <c r="F77" s="62">
        <f>表2_36716262930381011[[#This Row],[累计净值]]-0.1652</f>
        <v>1.0368999999999999</v>
      </c>
      <c r="G77" s="20">
        <f>$G$75*(1+IF(F77&gt;1.03,0.5*(F77-1.03),F77-1.03))</f>
        <v>3.9764399594507983E-3</v>
      </c>
    </row>
    <row r="78" spans="1:9">
      <c r="A78" s="15">
        <v>43826</v>
      </c>
      <c r="B78" s="16">
        <v>1.1960999999999999</v>
      </c>
      <c r="C78" s="73">
        <f t="shared" si="14"/>
        <v>-6.0000000000000053E-3</v>
      </c>
      <c r="D78" s="18">
        <f t="shared" si="15"/>
        <v>-6.0000000000000053E-3</v>
      </c>
      <c r="E78" s="18">
        <f ca="1">IF(表2_36716262930381011[[#This Row],[累计净值]]/MAX(INDIRECT("B21:B" &amp; ROW()))-1&lt;E77,表2_36716262930381011[[#This Row],[累计净值]]/MAX(INDIRECT("B21:B" &amp; ROW()))-1,E77)</f>
        <v>-2.4321641297154306E-2</v>
      </c>
      <c r="F78" s="62">
        <f>表2_36716262930381011[[#This Row],[累计净值]]-0.1652</f>
        <v>1.0308999999999999</v>
      </c>
      <c r="G78" s="20">
        <f>IF(F78&gt;1.0292,0.5*(F78-1.0292),F78-1.0292)</f>
        <v>8.5000000000001741E-4</v>
      </c>
    </row>
    <row r="79" spans="1:9">
      <c r="A79" s="15">
        <v>43829</v>
      </c>
      <c r="B79" s="16">
        <v>1.1871</v>
      </c>
      <c r="C79" s="73">
        <f t="shared" ref="C79:C84" si="16">IFERROR(B79-B78,0)</f>
        <v>-8.999999999999897E-3</v>
      </c>
      <c r="D79" s="18">
        <f t="shared" ref="D79:D84" si="17">IF(C79&lt;0,C79,"/")</f>
        <v>-8.999999999999897E-3</v>
      </c>
      <c r="E79" s="18">
        <f ca="1">IF(表2_36716262930381011[[#This Row],[累计净值]]/MAX(INDIRECT("B21:B" &amp; ROW()))-1&lt;E78,表2_36716262930381011[[#This Row],[累计净值]]/MAX(INDIRECT("B21:B" &amp; ROW()))-1,E78)</f>
        <v>-2.4321641297154306E-2</v>
      </c>
      <c r="F79" s="62">
        <f>表2_36716262930381011[[#This Row],[累计净值]]-0.1652</f>
        <v>1.0219</v>
      </c>
      <c r="G79" s="20">
        <f t="shared" ref="G79:G85" si="18">IF(F79&gt;1.0292,0.5*(F79-1.0292),F79-1.0292)</f>
        <v>-7.2999999999998622E-3</v>
      </c>
    </row>
    <row r="80" spans="1:9">
      <c r="A80" s="15">
        <v>43830</v>
      </c>
      <c r="B80" s="16">
        <v>1.1902999999999999</v>
      </c>
      <c r="C80" s="73">
        <f t="shared" si="16"/>
        <v>3.1999999999998696E-3</v>
      </c>
      <c r="D80" s="18" t="str">
        <f t="shared" si="17"/>
        <v>/</v>
      </c>
      <c r="E80" s="18">
        <f ca="1">IF(表2_36716262930381011[[#This Row],[累计净值]]/MAX(INDIRECT("B21:B" &amp; ROW()))-1&lt;E79,表2_36716262930381011[[#This Row],[累计净值]]/MAX(INDIRECT("B21:B" &amp; ROW()))-1,E79)</f>
        <v>-2.4321641297154306E-2</v>
      </c>
      <c r="F80" s="62">
        <f>表2_36716262930381011[[#This Row],[累计净值]]-0.1652</f>
        <v>1.0250999999999999</v>
      </c>
      <c r="G80" s="20">
        <f t="shared" si="18"/>
        <v>-4.0999999999999925E-3</v>
      </c>
    </row>
    <row r="81" spans="1:7">
      <c r="A81" s="15">
        <v>43832</v>
      </c>
      <c r="B81" s="16">
        <v>1.1937</v>
      </c>
      <c r="C81" s="73">
        <f t="shared" si="16"/>
        <v>3.4000000000000696E-3</v>
      </c>
      <c r="D81" s="18" t="str">
        <f t="shared" si="17"/>
        <v>/</v>
      </c>
      <c r="E81" s="18">
        <f ca="1">IF(表2_36716262930381011[[#This Row],[累计净值]]/MAX(INDIRECT("B21:B" &amp; ROW()))-1&lt;E80,表2_36716262930381011[[#This Row],[累计净值]]/MAX(INDIRECT("B21:B" &amp; ROW()))-1,E80)</f>
        <v>-2.4321641297154306E-2</v>
      </c>
      <c r="F81" s="62">
        <f>表2_36716262930381011[[#This Row],[累计净值]]-0.1652</f>
        <v>1.0285</v>
      </c>
      <c r="G81" s="20">
        <f t="shared" si="18"/>
        <v>-6.9999999999992291E-4</v>
      </c>
    </row>
    <row r="82" spans="1:7">
      <c r="A82" s="15">
        <v>43833</v>
      </c>
      <c r="B82" s="16">
        <v>1.1976</v>
      </c>
      <c r="C82" s="73">
        <f t="shared" si="16"/>
        <v>3.9000000000000146E-3</v>
      </c>
      <c r="D82" s="18" t="str">
        <f t="shared" si="17"/>
        <v>/</v>
      </c>
      <c r="E82" s="18">
        <f ca="1">IF(表2_36716262930381011[[#This Row],[累计净值]]/MAX(INDIRECT("B21:B" &amp; ROW()))-1&lt;E81,表2_36716262930381011[[#This Row],[累计净值]]/MAX(INDIRECT("B21:B" &amp; ROW()))-1,E81)</f>
        <v>-2.4321641297154306E-2</v>
      </c>
      <c r="F82" s="62">
        <f>表2_36716262930381011[[#This Row],[累计净值]]-0.1652</f>
        <v>1.0324</v>
      </c>
      <c r="G82" s="20">
        <f t="shared" si="18"/>
        <v>1.6000000000000458E-3</v>
      </c>
    </row>
    <row r="83" spans="1:7">
      <c r="A83" s="15">
        <v>43836</v>
      </c>
      <c r="B83" s="16">
        <v>1.1966000000000001</v>
      </c>
      <c r="C83" s="73">
        <f t="shared" si="16"/>
        <v>-9.9999999999988987E-4</v>
      </c>
      <c r="D83" s="18">
        <f t="shared" si="17"/>
        <v>-9.9999999999988987E-4</v>
      </c>
      <c r="E83" s="18">
        <f ca="1">IF(表2_36716262930381011[[#This Row],[累计净值]]/MAX(INDIRECT("B21:B" &amp; ROW()))-1&lt;E82,表2_36716262930381011[[#This Row],[累计净值]]/MAX(INDIRECT("B21:B" &amp; ROW()))-1,E82)</f>
        <v>-2.4321641297154306E-2</v>
      </c>
      <c r="F83" s="62">
        <f>表2_36716262930381011[[#This Row],[累计净值]]-0.1652</f>
        <v>1.0314000000000001</v>
      </c>
      <c r="G83" s="20">
        <f t="shared" si="18"/>
        <v>1.1000000000001009E-3</v>
      </c>
    </row>
    <row r="84" spans="1:7">
      <c r="A84" s="15">
        <v>43837</v>
      </c>
      <c r="B84" s="16">
        <v>1.1969000000000001</v>
      </c>
      <c r="C84" s="73">
        <f t="shared" si="16"/>
        <v>2.9999999999996696E-4</v>
      </c>
      <c r="D84" s="18" t="str">
        <f t="shared" si="17"/>
        <v>/</v>
      </c>
      <c r="E84" s="18">
        <f ca="1">IF(表2_36716262930381011[[#This Row],[累计净值]]/MAX(INDIRECT("B21:B" &amp; ROW()))-1&lt;E83,表2_36716262930381011[[#This Row],[累计净值]]/MAX(INDIRECT("B21:B" &amp; ROW()))-1,E83)</f>
        <v>-2.4321641297154306E-2</v>
      </c>
      <c r="F84" s="62">
        <f>表2_36716262930381011[[#This Row],[累计净值]]-0.1652</f>
        <v>1.0317000000000001</v>
      </c>
      <c r="G84" s="20">
        <f t="shared" si="18"/>
        <v>1.2500000000000844E-3</v>
      </c>
    </row>
    <row r="85" spans="1:7">
      <c r="A85" s="15">
        <v>43838</v>
      </c>
      <c r="B85" s="16">
        <v>1.1947000000000001</v>
      </c>
      <c r="C85" s="73">
        <f t="shared" ref="C85:C91" si="19">IFERROR(B85-B84,0)</f>
        <v>-2.1999999999999797E-3</v>
      </c>
      <c r="D85" s="18">
        <f t="shared" ref="D85:D91" si="20">IF(C85&lt;0,C85,"/")</f>
        <v>-2.1999999999999797E-3</v>
      </c>
      <c r="E85" s="18">
        <f ca="1">IF(表2_36716262930381011[[#This Row],[累计净值]]/MAX(INDIRECT("B21:B" &amp; ROW()))-1&lt;E84,表2_36716262930381011[[#This Row],[累计净值]]/MAX(INDIRECT("B21:B" &amp; ROW()))-1,E84)</f>
        <v>-2.4321641297154306E-2</v>
      </c>
      <c r="F85" s="62">
        <f>表2_36716262930381011[[#This Row],[累计净值]]-0.1652</f>
        <v>1.0295000000000001</v>
      </c>
      <c r="G85" s="20">
        <f t="shared" si="18"/>
        <v>1.500000000000945E-4</v>
      </c>
    </row>
    <row r="86" spans="1:7">
      <c r="A86" s="15">
        <v>43839</v>
      </c>
      <c r="B86" s="16">
        <v>1.202</v>
      </c>
      <c r="C86" s="73">
        <f t="shared" si="19"/>
        <v>7.2999999999998622E-3</v>
      </c>
      <c r="D86" s="18" t="str">
        <f t="shared" si="20"/>
        <v>/</v>
      </c>
      <c r="E86" s="18">
        <f ca="1">IF(表2_36716262930381011[[#This Row],[累计净值]]/MAX(INDIRECT("B21:B" &amp; ROW()))-1&lt;E85,表2_36716262930381011[[#This Row],[累计净值]]/MAX(INDIRECT("B21:B" &amp; ROW()))-1,E85)</f>
        <v>-2.4321641297154306E-2</v>
      </c>
      <c r="F86" s="62">
        <f>表2_36716262930381011[[#This Row],[累计净值]]-0.1652</f>
        <v>1.0367999999999999</v>
      </c>
      <c r="G86" s="20">
        <f t="shared" ref="G86:G117" si="21">IF(F86&gt;1.0292,0.5*(F86-1.0292),F86-1.0292)</f>
        <v>3.8000000000000256E-3</v>
      </c>
    </row>
    <row r="87" spans="1:7">
      <c r="A87" s="15">
        <v>43840</v>
      </c>
      <c r="B87" s="16">
        <v>1.2047000000000001</v>
      </c>
      <c r="C87" s="73">
        <f t="shared" si="19"/>
        <v>2.7000000000001467E-3</v>
      </c>
      <c r="D87" s="18" t="str">
        <f t="shared" si="20"/>
        <v>/</v>
      </c>
      <c r="E87" s="18">
        <f ca="1">IF(表2_36716262930381011[[#This Row],[累计净值]]/MAX(INDIRECT("B21:B" &amp; ROW()))-1&lt;E86,表2_36716262930381011[[#This Row],[累计净值]]/MAX(INDIRECT("B21:B" &amp; ROW()))-1,E86)</f>
        <v>-2.4321641297154306E-2</v>
      </c>
      <c r="F87" s="62">
        <f>表2_36716262930381011[[#This Row],[累计净值]]-0.1652</f>
        <v>1.0395000000000001</v>
      </c>
      <c r="G87" s="20">
        <f t="shared" si="21"/>
        <v>5.1500000000000989E-3</v>
      </c>
    </row>
    <row r="88" spans="1:7">
      <c r="A88" s="15">
        <v>43843</v>
      </c>
      <c r="B88" s="16">
        <v>1.2070000000000001</v>
      </c>
      <c r="C88" s="73">
        <f t="shared" si="19"/>
        <v>2.2999999999999687E-3</v>
      </c>
      <c r="D88" s="18" t="str">
        <f t="shared" si="20"/>
        <v>/</v>
      </c>
      <c r="E88" s="18">
        <f ca="1">IF(表2_36716262930381011[[#This Row],[累计净值]]/MAX(INDIRECT("B21:B" &amp; ROW()))-1&lt;E87,表2_36716262930381011[[#This Row],[累计净值]]/MAX(INDIRECT("B21:B" &amp; ROW()))-1,E87)</f>
        <v>-2.4321641297154306E-2</v>
      </c>
      <c r="F88" s="62">
        <f>表2_36716262930381011[[#This Row],[累计净值]]-0.1652</f>
        <v>1.0418000000000001</v>
      </c>
      <c r="G88" s="20">
        <f t="shared" si="21"/>
        <v>6.3000000000000833E-3</v>
      </c>
    </row>
    <row r="89" spans="1:7">
      <c r="A89" s="15">
        <v>43844</v>
      </c>
      <c r="B89" s="16">
        <v>1.2058</v>
      </c>
      <c r="C89" s="73">
        <f t="shared" si="19"/>
        <v>-1.2000000000000899E-3</v>
      </c>
      <c r="D89" s="18">
        <f t="shared" si="20"/>
        <v>-1.2000000000000899E-3</v>
      </c>
      <c r="E89" s="18">
        <f ca="1">IF(表2_36716262930381011[[#This Row],[累计净值]]/MAX(INDIRECT("B21:B" &amp; ROW()))-1&lt;E88,表2_36716262930381011[[#This Row],[累计净值]]/MAX(INDIRECT("B21:B" &amp; ROW()))-1,E88)</f>
        <v>-2.4321641297154306E-2</v>
      </c>
      <c r="F89" s="62">
        <f>表2_36716262930381011[[#This Row],[累计净值]]-0.1652</f>
        <v>1.0406</v>
      </c>
      <c r="G89" s="20">
        <f t="shared" si="21"/>
        <v>5.7000000000000384E-3</v>
      </c>
    </row>
    <row r="90" spans="1:7">
      <c r="A90" s="15">
        <v>43845</v>
      </c>
      <c r="B90" s="16">
        <v>1.2121999999999999</v>
      </c>
      <c r="C90" s="73">
        <f t="shared" si="19"/>
        <v>6.3999999999999613E-3</v>
      </c>
      <c r="D90" s="18" t="str">
        <f t="shared" si="20"/>
        <v>/</v>
      </c>
      <c r="E90" s="18">
        <f ca="1">IF(表2_36716262930381011[[#This Row],[累计净值]]/MAX(INDIRECT("B21:B" &amp; ROW()))-1&lt;E89,表2_36716262930381011[[#This Row],[累计净值]]/MAX(INDIRECT("B21:B" &amp; ROW()))-1,E89)</f>
        <v>-2.4321641297154306E-2</v>
      </c>
      <c r="F90" s="62">
        <f>表2_36716262930381011[[#This Row],[累计净值]]-0.1652</f>
        <v>1.0469999999999999</v>
      </c>
      <c r="G90" s="20">
        <f t="shared" si="21"/>
        <v>8.900000000000019E-3</v>
      </c>
    </row>
    <row r="91" spans="1:7">
      <c r="A91" s="15">
        <v>43846</v>
      </c>
      <c r="B91" s="16">
        <v>1.2119</v>
      </c>
      <c r="C91" s="73">
        <f t="shared" si="19"/>
        <v>-2.9999999999996696E-4</v>
      </c>
      <c r="D91" s="18">
        <f t="shared" si="20"/>
        <v>-2.9999999999996696E-4</v>
      </c>
      <c r="E91" s="18">
        <f ca="1">IF(表2_36716262930381011[[#This Row],[累计净值]]/MAX(INDIRECT("B21:B" &amp; ROW()))-1&lt;E90,表2_36716262930381011[[#This Row],[累计净值]]/MAX(INDIRECT("B21:B" &amp; ROW()))-1,E90)</f>
        <v>-2.4321641297154306E-2</v>
      </c>
      <c r="F91" s="62">
        <f>表2_36716262930381011[[#This Row],[累计净值]]-0.1652</f>
        <v>1.0467</v>
      </c>
      <c r="G91" s="20">
        <f t="shared" si="21"/>
        <v>8.7500000000000355E-3</v>
      </c>
    </row>
    <row r="92" spans="1:7">
      <c r="A92" s="15">
        <v>43847</v>
      </c>
      <c r="B92" s="16">
        <v>1.2126999999999999</v>
      </c>
      <c r="C92" s="73">
        <f t="shared" ref="C92:C99" si="22">IFERROR(B92-B91,0)</f>
        <v>7.9999999999991189E-4</v>
      </c>
      <c r="D92" s="18" t="str">
        <f t="shared" ref="D92:D99" si="23">IF(C92&lt;0,C92,"/")</f>
        <v>/</v>
      </c>
      <c r="E92" s="18">
        <f ca="1">IF(表2_36716262930381011[[#This Row],[累计净值]]/MAX(INDIRECT("B21:B" &amp; ROW()))-1&lt;E91,表2_36716262930381011[[#This Row],[累计净值]]/MAX(INDIRECT("B21:B" &amp; ROW()))-1,E91)</f>
        <v>-2.4321641297154306E-2</v>
      </c>
      <c r="F92" s="62">
        <f>表2_36716262930381011[[#This Row],[累计净值]]-0.1652</f>
        <v>1.0474999999999999</v>
      </c>
      <c r="G92" s="20">
        <f t="shared" si="21"/>
        <v>9.1499999999999915E-3</v>
      </c>
    </row>
    <row r="93" spans="1:7">
      <c r="A93" s="15">
        <v>43850</v>
      </c>
      <c r="B93" s="16">
        <v>1.2132000000000001</v>
      </c>
      <c r="C93" s="73">
        <f t="shared" si="22"/>
        <v>5.0000000000016698E-4</v>
      </c>
      <c r="D93" s="18" t="str">
        <f t="shared" si="23"/>
        <v>/</v>
      </c>
      <c r="E93" s="18">
        <f ca="1">IF(表2_36716262930381011[[#This Row],[累计净值]]/MAX(INDIRECT("B21:B" &amp; ROW()))-1&lt;E92,表2_36716262930381011[[#This Row],[累计净值]]/MAX(INDIRECT("B21:B" &amp; ROW()))-1,E92)</f>
        <v>-2.4321641297154306E-2</v>
      </c>
      <c r="F93" s="62">
        <f>表2_36716262930381011[[#This Row],[累计净值]]-0.1652</f>
        <v>1.048</v>
      </c>
      <c r="G93" s="20">
        <f t="shared" si="21"/>
        <v>9.400000000000075E-3</v>
      </c>
    </row>
    <row r="94" spans="1:7">
      <c r="A94" s="15">
        <v>43851</v>
      </c>
      <c r="B94" s="16">
        <v>1.2157</v>
      </c>
      <c r="C94" s="73">
        <f t="shared" si="22"/>
        <v>2.4999999999999467E-3</v>
      </c>
      <c r="D94" s="18" t="str">
        <f t="shared" si="23"/>
        <v>/</v>
      </c>
      <c r="E94" s="18">
        <f ca="1">IF(表2_36716262930381011[[#This Row],[累计净值]]/MAX(INDIRECT("B21:B" &amp; ROW()))-1&lt;E93,表2_36716262930381011[[#This Row],[累计净值]]/MAX(INDIRECT("B21:B" &amp; ROW()))-1,E93)</f>
        <v>-2.4321641297154306E-2</v>
      </c>
      <c r="F94" s="62">
        <f>表2_36716262930381011[[#This Row],[累计净值]]-0.1652</f>
        <v>1.0505</v>
      </c>
      <c r="G94" s="20">
        <f t="shared" si="21"/>
        <v>1.0650000000000048E-2</v>
      </c>
    </row>
    <row r="95" spans="1:7">
      <c r="A95" s="15">
        <v>43852</v>
      </c>
      <c r="B95" s="16">
        <v>1.2172000000000001</v>
      </c>
      <c r="C95" s="73">
        <f t="shared" si="22"/>
        <v>1.5000000000000568E-3</v>
      </c>
      <c r="D95" s="18" t="str">
        <f t="shared" si="23"/>
        <v>/</v>
      </c>
      <c r="E95" s="18">
        <f ca="1">IF(表2_36716262930381011[[#This Row],[累计净值]]/MAX(INDIRECT("B21:B" &amp; ROW()))-1&lt;E94,表2_36716262930381011[[#This Row],[累计净值]]/MAX(INDIRECT("B21:B" &amp; ROW()))-1,E94)</f>
        <v>-2.4321641297154306E-2</v>
      </c>
      <c r="F95" s="62">
        <f>表2_36716262930381011[[#This Row],[累计净值]]-0.1652</f>
        <v>1.052</v>
      </c>
      <c r="G95" s="20">
        <f t="shared" si="21"/>
        <v>1.1400000000000077E-2</v>
      </c>
    </row>
    <row r="96" spans="1:7">
      <c r="A96" s="15">
        <v>43853</v>
      </c>
      <c r="B96" s="76">
        <v>1.2184999999999999</v>
      </c>
      <c r="C96" s="73">
        <f t="shared" si="22"/>
        <v>1.2999999999998568E-3</v>
      </c>
      <c r="D96" s="18" t="str">
        <f t="shared" si="23"/>
        <v>/</v>
      </c>
      <c r="E96" s="18">
        <f ca="1">IF(表2_36716262930381011[[#This Row],[累计净值]]/MAX(INDIRECT("B21:B" &amp; ROW()))-1&lt;E95,表2_36716262930381011[[#This Row],[累计净值]]/MAX(INDIRECT("B21:B" &amp; ROW()))-1,E95)</f>
        <v>-2.4321641297154306E-2</v>
      </c>
      <c r="F96" s="62">
        <f>表2_36716262930381011[[#This Row],[累计净值]]-0.1652</f>
        <v>1.0532999999999999</v>
      </c>
      <c r="G96" s="20">
        <f t="shared" si="21"/>
        <v>1.2050000000000005E-2</v>
      </c>
    </row>
    <row r="97" spans="1:7">
      <c r="A97" s="15">
        <v>43864</v>
      </c>
      <c r="B97" s="16">
        <v>1.2156</v>
      </c>
      <c r="C97" s="73">
        <f t="shared" si="22"/>
        <v>-2.8999999999999027E-3</v>
      </c>
      <c r="D97" s="18">
        <f t="shared" si="23"/>
        <v>-2.8999999999999027E-3</v>
      </c>
      <c r="E97" s="18">
        <f ca="1">IF(表2_36716262930381011[[#This Row],[累计净值]]/MAX(INDIRECT("B21:B" &amp; ROW()))-1&lt;E96,表2_36716262930381011[[#This Row],[累计净值]]/MAX(INDIRECT("B21:B" &amp; ROW()))-1,E96)</f>
        <v>-2.4321641297154306E-2</v>
      </c>
      <c r="F97" s="62">
        <f>表2_36716262930381011[[#This Row],[累计净值]]-0.1652</f>
        <v>1.0504</v>
      </c>
      <c r="G97" s="20">
        <f t="shared" si="21"/>
        <v>1.0600000000000054E-2</v>
      </c>
    </row>
    <row r="98" spans="1:7">
      <c r="A98" s="15">
        <v>43865</v>
      </c>
      <c r="B98" s="16">
        <v>1.206</v>
      </c>
      <c r="C98" s="73">
        <f t="shared" si="22"/>
        <v>-9.6000000000000529E-3</v>
      </c>
      <c r="D98" s="18">
        <f t="shared" si="23"/>
        <v>-9.6000000000000529E-3</v>
      </c>
      <c r="E98" s="18">
        <f ca="1">IF(表2_36716262930381011[[#This Row],[累计净值]]/MAX(INDIRECT("B21:B" &amp; ROW()))-1&lt;E97,表2_36716262930381011[[#This Row],[累计净值]]/MAX(INDIRECT("B21:B" &amp; ROW()))-1,E97)</f>
        <v>-2.4321641297154306E-2</v>
      </c>
      <c r="F98" s="62">
        <f>表2_36716262930381011[[#This Row],[累计净值]]-0.1652</f>
        <v>1.0407999999999999</v>
      </c>
      <c r="G98" s="20">
        <f t="shared" si="21"/>
        <v>5.8000000000000274E-3</v>
      </c>
    </row>
    <row r="99" spans="1:7">
      <c r="A99" s="15">
        <v>43866</v>
      </c>
      <c r="B99" s="16">
        <v>1.2097</v>
      </c>
      <c r="C99" s="73">
        <f t="shared" si="22"/>
        <v>3.7000000000000366E-3</v>
      </c>
      <c r="D99" s="18" t="str">
        <f t="shared" si="23"/>
        <v>/</v>
      </c>
      <c r="E99" s="18">
        <f ca="1">IF(表2_36716262930381011[[#This Row],[累计净值]]/MAX(INDIRECT("B21:B" &amp; ROW()))-1&lt;E98,表2_36716262930381011[[#This Row],[累计净值]]/MAX(INDIRECT("B21:B" &amp; ROW()))-1,E98)</f>
        <v>-2.4321641297154306E-2</v>
      </c>
      <c r="F99" s="62">
        <f>表2_36716262930381011[[#This Row],[累计净值]]-0.1652</f>
        <v>1.0445</v>
      </c>
      <c r="G99" s="20">
        <f t="shared" si="21"/>
        <v>7.6500000000000457E-3</v>
      </c>
    </row>
    <row r="100" spans="1:7">
      <c r="A100" s="15">
        <v>43867</v>
      </c>
      <c r="B100" s="16">
        <v>1.2130000000000001</v>
      </c>
      <c r="C100" s="73">
        <f t="shared" ref="C100:C105" si="24">IFERROR(B100-B99,0)</f>
        <v>3.3000000000000806E-3</v>
      </c>
      <c r="D100" s="18" t="str">
        <f t="shared" ref="D100:D105" si="25">IF(C100&lt;0,C100,"/")</f>
        <v>/</v>
      </c>
      <c r="E100" s="18">
        <f ca="1">IF(表2_36716262930381011[[#This Row],[累计净值]]/MAX(INDIRECT("B21:B" &amp; ROW()))-1&lt;E99,表2_36716262930381011[[#This Row],[累计净值]]/MAX(INDIRECT("B21:B" &amp; ROW()))-1,E99)</f>
        <v>-2.4321641297154306E-2</v>
      </c>
      <c r="F100" s="62">
        <f>表2_36716262930381011[[#This Row],[累计净值]]-0.1652</f>
        <v>1.0478000000000001</v>
      </c>
      <c r="G100" s="20">
        <f t="shared" si="21"/>
        <v>9.300000000000086E-3</v>
      </c>
    </row>
    <row r="101" spans="1:7">
      <c r="A101" s="15">
        <v>43868</v>
      </c>
      <c r="B101" s="16">
        <v>1.2183999999999999</v>
      </c>
      <c r="C101" s="73">
        <f t="shared" si="24"/>
        <v>5.3999999999998494E-3</v>
      </c>
      <c r="D101" s="18" t="str">
        <f t="shared" si="25"/>
        <v>/</v>
      </c>
      <c r="E101" s="18">
        <f ca="1">IF(表2_36716262930381011[[#This Row],[累计净值]]/MAX(INDIRECT("B21:B" &amp; ROW()))-1&lt;E100,表2_36716262930381011[[#This Row],[累计净值]]/MAX(INDIRECT("B21:B" &amp; ROW()))-1,E100)</f>
        <v>-2.4321641297154306E-2</v>
      </c>
      <c r="F101" s="62">
        <f>表2_36716262930381011[[#This Row],[累计净值]]-0.1652</f>
        <v>1.0531999999999999</v>
      </c>
      <c r="G101" s="20">
        <f t="shared" si="21"/>
        <v>1.2000000000000011E-2</v>
      </c>
    </row>
    <row r="102" spans="1:7">
      <c r="A102" s="15">
        <v>43871</v>
      </c>
      <c r="B102" s="16">
        <v>1.224</v>
      </c>
      <c r="C102" s="73">
        <f t="shared" si="24"/>
        <v>5.6000000000000494E-3</v>
      </c>
      <c r="D102" s="18" t="str">
        <f t="shared" si="25"/>
        <v>/</v>
      </c>
      <c r="E102" s="18">
        <f ca="1">IF(表2_36716262930381011[[#This Row],[累计净值]]/MAX(INDIRECT("B21:B" &amp; ROW()))-1&lt;E101,表2_36716262930381011[[#This Row],[累计净值]]/MAX(INDIRECT("B21:B" &amp; ROW()))-1,E101)</f>
        <v>-2.4321641297154306E-2</v>
      </c>
      <c r="F102" s="62">
        <f>表2_36716262930381011[[#This Row],[累计净值]]-0.1652</f>
        <v>1.0588</v>
      </c>
      <c r="G102" s="20">
        <f t="shared" si="21"/>
        <v>1.4800000000000035E-2</v>
      </c>
    </row>
    <row r="103" spans="1:7">
      <c r="A103" s="15">
        <v>43872</v>
      </c>
      <c r="B103" s="16">
        <v>1.2270000000000001</v>
      </c>
      <c r="C103" s="73">
        <f t="shared" si="24"/>
        <v>3.0000000000001137E-3</v>
      </c>
      <c r="D103" s="18" t="str">
        <f t="shared" si="25"/>
        <v>/</v>
      </c>
      <c r="E103" s="18">
        <f ca="1">IF(表2_36716262930381011[[#This Row],[累计净值]]/MAX(INDIRECT("B21:B" &amp; ROW()))-1&lt;E102,表2_36716262930381011[[#This Row],[累计净值]]/MAX(INDIRECT("B21:B" &amp; ROW()))-1,E102)</f>
        <v>-2.4321641297154306E-2</v>
      </c>
      <c r="F103" s="62">
        <f>表2_36716262930381011[[#This Row],[累计净值]]-0.1652</f>
        <v>1.0618000000000001</v>
      </c>
      <c r="G103" s="20">
        <f t="shared" si="21"/>
        <v>1.6300000000000092E-2</v>
      </c>
    </row>
    <row r="104" spans="1:7">
      <c r="A104" s="15">
        <v>43873</v>
      </c>
      <c r="B104" s="16">
        <v>1.2303999999999999</v>
      </c>
      <c r="C104" s="73">
        <f t="shared" si="24"/>
        <v>3.3999999999998476E-3</v>
      </c>
      <c r="D104" s="18" t="str">
        <f t="shared" si="25"/>
        <v>/</v>
      </c>
      <c r="E104" s="18">
        <f ca="1">IF(表2_36716262930381011[[#This Row],[累计净值]]/MAX(INDIRECT("B21:B" &amp; ROW()))-1&lt;E103,表2_36716262930381011[[#This Row],[累计净值]]/MAX(INDIRECT("B21:B" &amp; ROW()))-1,E103)</f>
        <v>-2.4321641297154306E-2</v>
      </c>
      <c r="F104" s="62">
        <f>表2_36716262930381011[[#This Row],[累计净值]]-0.1652</f>
        <v>1.0651999999999999</v>
      </c>
      <c r="G104" s="20">
        <f t="shared" si="21"/>
        <v>1.8000000000000016E-2</v>
      </c>
    </row>
    <row r="105" spans="1:7">
      <c r="A105" s="15">
        <v>43874</v>
      </c>
      <c r="B105" s="16">
        <v>1.2355</v>
      </c>
      <c r="C105" s="73">
        <f t="shared" si="24"/>
        <v>5.1000000000001044E-3</v>
      </c>
      <c r="D105" s="18" t="str">
        <f t="shared" si="25"/>
        <v>/</v>
      </c>
      <c r="E105" s="18">
        <f ca="1">IF(表2_36716262930381011[[#This Row],[累计净值]]/MAX(INDIRECT("B21:B" &amp; ROW()))-1&lt;E104,表2_36716262930381011[[#This Row],[累计净值]]/MAX(INDIRECT("B21:B" &amp; ROW()))-1,E104)</f>
        <v>-2.4321641297154306E-2</v>
      </c>
      <c r="F105" s="62">
        <f>表2_36716262930381011[[#This Row],[累计净值]]-0.1652</f>
        <v>1.0703</v>
      </c>
      <c r="G105" s="20">
        <f t="shared" si="21"/>
        <v>2.0550000000000068E-2</v>
      </c>
    </row>
    <row r="106" spans="1:7">
      <c r="A106" s="15">
        <v>43875</v>
      </c>
      <c r="B106" s="16">
        <v>1.2419</v>
      </c>
      <c r="C106" s="73">
        <f t="shared" ref="C106:C111" si="26">IFERROR(B106-B105,0)</f>
        <v>6.3999999999999613E-3</v>
      </c>
      <c r="D106" s="18" t="str">
        <f t="shared" ref="D106:D111" si="27">IF(C106&lt;0,C106,"/")</f>
        <v>/</v>
      </c>
      <c r="E106" s="18">
        <f ca="1">IF(表2_36716262930381011[[#This Row],[累计净值]]/MAX(INDIRECT("B21:B" &amp; ROW()))-1&lt;E105,表2_36716262930381011[[#This Row],[累计净值]]/MAX(INDIRECT("B21:B" &amp; ROW()))-1,E105)</f>
        <v>-2.4321641297154306E-2</v>
      </c>
      <c r="F106" s="62">
        <f>表2_36716262930381011[[#This Row],[累计净值]]-0.1652</f>
        <v>1.0767</v>
      </c>
      <c r="G106" s="20">
        <f t="shared" si="21"/>
        <v>2.3750000000000049E-2</v>
      </c>
    </row>
    <row r="107" spans="1:7">
      <c r="A107" s="15">
        <v>43878</v>
      </c>
      <c r="B107" s="90">
        <v>1.2484</v>
      </c>
      <c r="C107" s="73">
        <f t="shared" si="26"/>
        <v>6.4999999999999503E-3</v>
      </c>
      <c r="D107" s="18" t="str">
        <f t="shared" si="27"/>
        <v>/</v>
      </c>
      <c r="E107" s="18">
        <f ca="1">IF(表2_36716262930381011[[#This Row],[累计净值]]/MAX(INDIRECT("B21:B" &amp; ROW()))-1&lt;E106,表2_36716262930381011[[#This Row],[累计净值]]/MAX(INDIRECT("B21:B" &amp; ROW()))-1,E106)</f>
        <v>-2.4321641297154306E-2</v>
      </c>
      <c r="F107" s="62">
        <f>表2_36716262930381011[[#This Row],[累计净值]]-0.1652</f>
        <v>1.0831999999999999</v>
      </c>
      <c r="G107" s="20">
        <f t="shared" si="21"/>
        <v>2.7000000000000024E-2</v>
      </c>
    </row>
    <row r="108" spans="1:7">
      <c r="A108" s="15">
        <v>43879</v>
      </c>
      <c r="B108" s="90">
        <v>1.2676000000000001</v>
      </c>
      <c r="C108" s="73">
        <f t="shared" si="26"/>
        <v>1.9200000000000106E-2</v>
      </c>
      <c r="D108" s="18" t="str">
        <f t="shared" si="27"/>
        <v>/</v>
      </c>
      <c r="E108" s="18">
        <f ca="1">IF(表2_36716262930381011[[#This Row],[累计净值]]/MAX(INDIRECT("B21:B" &amp; ROW()))-1&lt;E107,表2_36716262930381011[[#This Row],[累计净值]]/MAX(INDIRECT("B21:B" &amp; ROW()))-1,E107)</f>
        <v>-2.4321641297154306E-2</v>
      </c>
      <c r="F108" s="62">
        <f>表2_36716262930381011[[#This Row],[累计净值]]-0.1652</f>
        <v>1.1024</v>
      </c>
      <c r="G108" s="20">
        <f t="shared" si="21"/>
        <v>3.6600000000000077E-2</v>
      </c>
    </row>
    <row r="109" spans="1:7">
      <c r="A109" s="15">
        <v>43880</v>
      </c>
      <c r="B109" s="90">
        <v>1.2705</v>
      </c>
      <c r="C109" s="73">
        <f t="shared" si="26"/>
        <v>2.8999999999999027E-3</v>
      </c>
      <c r="D109" s="18" t="str">
        <f t="shared" si="27"/>
        <v>/</v>
      </c>
      <c r="E109" s="18">
        <f ca="1">IF(表2_36716262930381011[[#This Row],[累计净值]]/MAX(INDIRECT("B21:B" &amp; ROW()))-1&lt;E108,表2_36716262930381011[[#This Row],[累计净值]]/MAX(INDIRECT("B21:B" &amp; ROW()))-1,E108)</f>
        <v>-2.4321641297154306E-2</v>
      </c>
      <c r="F109" s="62">
        <f>表2_36716262930381011[[#This Row],[累计净值]]-0.1652</f>
        <v>1.1052999999999999</v>
      </c>
      <c r="G109" s="20">
        <f t="shared" si="21"/>
        <v>3.8050000000000028E-2</v>
      </c>
    </row>
    <row r="110" spans="1:7">
      <c r="A110" s="15">
        <v>43881</v>
      </c>
      <c r="B110" s="90">
        <v>1.2776000000000001</v>
      </c>
      <c r="C110" s="73">
        <f t="shared" si="26"/>
        <v>7.1000000000001062E-3</v>
      </c>
      <c r="D110" s="18" t="str">
        <f t="shared" si="27"/>
        <v>/</v>
      </c>
      <c r="E110" s="18">
        <f ca="1">IF(表2_36716262930381011[[#This Row],[累计净值]]/MAX(INDIRECT("B21:B" &amp; ROW()))-1&lt;E109,表2_36716262930381011[[#This Row],[累计净值]]/MAX(INDIRECT("B21:B" &amp; ROW()))-1,E109)</f>
        <v>-2.4321641297154306E-2</v>
      </c>
      <c r="F110" s="62">
        <f>表2_36716262930381011[[#This Row],[累计净值]]-0.1652</f>
        <v>1.1124000000000001</v>
      </c>
      <c r="G110" s="20">
        <f t="shared" si="21"/>
        <v>4.1600000000000081E-2</v>
      </c>
    </row>
    <row r="111" spans="1:7">
      <c r="A111" s="15">
        <v>43882</v>
      </c>
      <c r="B111" s="90">
        <v>1.28</v>
      </c>
      <c r="C111" s="73">
        <f t="shared" si="26"/>
        <v>2.3999999999999577E-3</v>
      </c>
      <c r="D111" s="18" t="str">
        <f t="shared" si="27"/>
        <v>/</v>
      </c>
      <c r="E111" s="18">
        <f ca="1">IF(表2_36716262930381011[[#This Row],[累计净值]]/MAX(INDIRECT("B21:B" &amp; ROW()))-1&lt;E110,表2_36716262930381011[[#This Row],[累计净值]]/MAX(INDIRECT("B21:B" &amp; ROW()))-1,E110)</f>
        <v>-2.4321641297154306E-2</v>
      </c>
      <c r="F111" s="62">
        <f>表2_36716262930381011[[#This Row],[累计净值]]-0.1652</f>
        <v>1.1148</v>
      </c>
      <c r="G111" s="20">
        <f t="shared" si="21"/>
        <v>4.280000000000006E-2</v>
      </c>
    </row>
    <row r="112" spans="1:7">
      <c r="A112" s="15">
        <v>43885</v>
      </c>
      <c r="B112" s="76">
        <v>1.2988</v>
      </c>
      <c r="C112" s="73">
        <f t="shared" ref="C112:C117" si="28">IFERROR(B112-B111,0)</f>
        <v>1.8799999999999928E-2</v>
      </c>
      <c r="D112" s="18" t="str">
        <f t="shared" ref="D112:D117" si="29">IF(C112&lt;0,C112,"/")</f>
        <v>/</v>
      </c>
      <c r="E112" s="18">
        <f ca="1">IF(表2_36716262930381011[[#This Row],[累计净值]]/MAX(INDIRECT("B21:B" &amp; ROW()))-1&lt;E111,表2_36716262930381011[[#This Row],[累计净值]]/MAX(INDIRECT("B21:B" &amp; ROW()))-1,E111)</f>
        <v>-2.4321641297154306E-2</v>
      </c>
      <c r="F112" s="62">
        <f>表2_36716262930381011[[#This Row],[累计净值]]-0.1652</f>
        <v>1.1335999999999999</v>
      </c>
      <c r="G112" s="20">
        <f t="shared" si="21"/>
        <v>5.2200000000000024E-2</v>
      </c>
    </row>
    <row r="113" spans="1:7">
      <c r="A113" s="15">
        <v>43886</v>
      </c>
      <c r="B113" s="90">
        <v>1.2967</v>
      </c>
      <c r="C113" s="73">
        <f t="shared" si="28"/>
        <v>-2.0999999999999908E-3</v>
      </c>
      <c r="D113" s="18">
        <f t="shared" si="29"/>
        <v>-2.0999999999999908E-3</v>
      </c>
      <c r="E113" s="18">
        <f ca="1">IF(表2_36716262930381011[[#This Row],[累计净值]]/MAX(INDIRECT("B21:B" &amp; ROW()))-1&lt;E112,表2_36716262930381011[[#This Row],[累计净值]]/MAX(INDIRECT("B21:B" &amp; ROW()))-1,E112)</f>
        <v>-2.4321641297154306E-2</v>
      </c>
      <c r="F113" s="62">
        <f>表2_36716262930381011[[#This Row],[累计净值]]-0.1652</f>
        <v>1.1315</v>
      </c>
      <c r="G113" s="20">
        <f t="shared" si="21"/>
        <v>5.1150000000000029E-2</v>
      </c>
    </row>
    <row r="114" spans="1:7">
      <c r="A114" s="15">
        <v>43887</v>
      </c>
      <c r="B114" s="90">
        <v>1.2814000000000001</v>
      </c>
      <c r="C114" s="73">
        <f t="shared" si="28"/>
        <v>-1.5299999999999869E-2</v>
      </c>
      <c r="D114" s="18">
        <f t="shared" si="29"/>
        <v>-1.5299999999999869E-2</v>
      </c>
      <c r="E114" s="18">
        <f ca="1">IF(表2_36716262930381011[[#This Row],[累计净值]]/MAX(INDIRECT("B21:B" &amp; ROW()))-1&lt;E113,表2_36716262930381011[[#This Row],[累计净值]]/MAX(INDIRECT("B21:B" &amp; ROW()))-1,E113)</f>
        <v>-2.4321641297154306E-2</v>
      </c>
      <c r="F114" s="62">
        <f>表2_36716262930381011[[#This Row],[累计净值]]-0.1652</f>
        <v>1.1162000000000001</v>
      </c>
      <c r="G114" s="20">
        <f t="shared" si="21"/>
        <v>4.3500000000000094E-2</v>
      </c>
    </row>
    <row r="115" spans="1:7">
      <c r="A115" s="15">
        <v>43888</v>
      </c>
      <c r="B115" s="90">
        <v>1.2859</v>
      </c>
      <c r="C115" s="73">
        <f t="shared" si="28"/>
        <v>4.4999999999999485E-3</v>
      </c>
      <c r="D115" s="18" t="str">
        <f t="shared" si="29"/>
        <v>/</v>
      </c>
      <c r="E115" s="18">
        <f ca="1">IF(表2_36716262930381011[[#This Row],[累计净值]]/MAX(INDIRECT("B21:B" &amp; ROW()))-1&lt;E114,表2_36716262930381011[[#This Row],[累计净值]]/MAX(INDIRECT("B21:B" &amp; ROW()))-1,E114)</f>
        <v>-2.4321641297154306E-2</v>
      </c>
      <c r="F115" s="62">
        <f>表2_36716262930381011[[#This Row],[累计净值]]-0.1652</f>
        <v>1.1207</v>
      </c>
      <c r="G115" s="20">
        <f t="shared" si="21"/>
        <v>4.5750000000000068E-2</v>
      </c>
    </row>
    <row r="116" spans="1:7">
      <c r="A116" s="15">
        <v>43889</v>
      </c>
      <c r="B116" s="90">
        <v>1.2679</v>
      </c>
      <c r="C116" s="73">
        <f t="shared" si="28"/>
        <v>-1.8000000000000016E-2</v>
      </c>
      <c r="D116" s="18">
        <f t="shared" si="29"/>
        <v>-1.8000000000000016E-2</v>
      </c>
      <c r="E116" s="18">
        <f ca="1">IF(表2_36716262930381011[[#This Row],[累计净值]]/MAX(INDIRECT("B21:B" &amp; ROW()))-1&lt;E115,表2_36716262930381011[[#This Row],[累计净值]]/MAX(INDIRECT("B21:B" &amp; ROW()))-1,E115)</f>
        <v>-2.4321641297154306E-2</v>
      </c>
      <c r="F116" s="62">
        <f>表2_36716262930381011[[#This Row],[累计净值]]-0.1652</f>
        <v>1.1027</v>
      </c>
      <c r="G116" s="20">
        <f t="shared" si="21"/>
        <v>3.675000000000006E-2</v>
      </c>
    </row>
    <row r="117" spans="1:7">
      <c r="A117" s="15">
        <v>43892</v>
      </c>
      <c r="B117" s="90">
        <v>1.2764</v>
      </c>
      <c r="C117" s="73">
        <f t="shared" si="28"/>
        <v>8.499999999999952E-3</v>
      </c>
      <c r="D117" s="18" t="str">
        <f t="shared" si="29"/>
        <v>/</v>
      </c>
      <c r="E117" s="18">
        <f ca="1">IF(表2_36716262930381011[[#This Row],[累计净值]]/MAX(INDIRECT("B21:B" &amp; ROW()))-1&lt;E116,表2_36716262930381011[[#This Row],[累计净值]]/MAX(INDIRECT("B21:B" &amp; ROW()))-1,E116)</f>
        <v>-2.4321641297154306E-2</v>
      </c>
      <c r="F117" s="62">
        <f>表2_36716262930381011[[#This Row],[累计净值]]-0.1652</f>
        <v>1.1112</v>
      </c>
      <c r="G117" s="20">
        <f t="shared" si="21"/>
        <v>4.1000000000000036E-2</v>
      </c>
    </row>
    <row r="118" spans="1:7">
      <c r="A118" s="15">
        <v>43893</v>
      </c>
      <c r="B118" s="90">
        <v>1.2866</v>
      </c>
      <c r="C118" s="73">
        <f t="shared" ref="C118:C123" si="30">IFERROR(B118-B117,0)</f>
        <v>1.0199999999999987E-2</v>
      </c>
      <c r="D118" s="18" t="str">
        <f t="shared" ref="D118:D123" si="31">IF(C118&lt;0,C118,"/")</f>
        <v>/</v>
      </c>
      <c r="E118" s="18">
        <f ca="1">IF(表2_36716262930381011[[#This Row],[累计净值]]/MAX(INDIRECT("B21:B" &amp; ROW()))-1&lt;E117,表2_36716262930381011[[#This Row],[累计净值]]/MAX(INDIRECT("B21:B" &amp; ROW()))-1,E117)</f>
        <v>-2.4321641297154306E-2</v>
      </c>
      <c r="F118" s="62">
        <f>表2_36716262930381011[[#This Row],[累计净值]]-0.1652</f>
        <v>1.1214</v>
      </c>
      <c r="G118" s="20">
        <f t="shared" ref="G118:G149" si="32">IF(F118&gt;1.0292,0.5*(F118-1.0292),F118-1.0292)</f>
        <v>4.610000000000003E-2</v>
      </c>
    </row>
    <row r="119" spans="1:7">
      <c r="A119" s="15">
        <v>43894</v>
      </c>
      <c r="B119" s="90">
        <v>1.2916000000000001</v>
      </c>
      <c r="C119" s="73">
        <f t="shared" si="30"/>
        <v>5.0000000000001155E-3</v>
      </c>
      <c r="D119" s="18" t="str">
        <f t="shared" si="31"/>
        <v>/</v>
      </c>
      <c r="E119" s="18">
        <f ca="1">IF(表2_36716262930381011[[#This Row],[累计净值]]/MAX(INDIRECT("B21:B" &amp; ROW()))-1&lt;E118,表2_36716262930381011[[#This Row],[累计净值]]/MAX(INDIRECT("B21:B" &amp; ROW()))-1,E118)</f>
        <v>-2.4321641297154306E-2</v>
      </c>
      <c r="F119" s="62">
        <f>表2_36716262930381011[[#This Row],[累计净值]]-0.1652</f>
        <v>1.1264000000000001</v>
      </c>
      <c r="G119" s="20">
        <f t="shared" si="32"/>
        <v>4.8600000000000088E-2</v>
      </c>
    </row>
    <row r="120" spans="1:7">
      <c r="A120" s="15">
        <v>43895</v>
      </c>
      <c r="B120" s="90">
        <v>1.2942</v>
      </c>
      <c r="C120" s="73">
        <f t="shared" si="30"/>
        <v>2.5999999999999357E-3</v>
      </c>
      <c r="D120" s="18" t="str">
        <f t="shared" si="31"/>
        <v>/</v>
      </c>
      <c r="E120" s="18">
        <f ca="1">IF(表2_36716262930381011[[#This Row],[累计净值]]/MAX(INDIRECT("B21:B" &amp; ROW()))-1&lt;E119,表2_36716262930381011[[#This Row],[累计净值]]/MAX(INDIRECT("B21:B" &amp; ROW()))-1,E119)</f>
        <v>-2.4321641297154306E-2</v>
      </c>
      <c r="F120" s="62">
        <f>表2_36716262930381011[[#This Row],[累计净值]]-0.1652</f>
        <v>1.129</v>
      </c>
      <c r="G120" s="20">
        <f t="shared" si="32"/>
        <v>4.9900000000000055E-2</v>
      </c>
    </row>
    <row r="121" spans="1:7">
      <c r="A121" s="15">
        <v>43896</v>
      </c>
      <c r="B121" s="90">
        <v>1.2870999999999999</v>
      </c>
      <c r="C121" s="73">
        <f t="shared" si="30"/>
        <v>-7.1000000000001062E-3</v>
      </c>
      <c r="D121" s="18">
        <f t="shared" si="31"/>
        <v>-7.1000000000001062E-3</v>
      </c>
      <c r="E121" s="18">
        <f ca="1">IF(表2_36716262930381011[[#This Row],[累计净值]]/MAX(INDIRECT("B21:B" &amp; ROW()))-1&lt;E120,表2_36716262930381011[[#This Row],[累计净值]]/MAX(INDIRECT("B21:B" &amp; ROW()))-1,E120)</f>
        <v>-2.4321641297154306E-2</v>
      </c>
      <c r="F121" s="62">
        <f>表2_36716262930381011[[#This Row],[累计净值]]-0.1652</f>
        <v>1.1218999999999999</v>
      </c>
      <c r="G121" s="20">
        <f t="shared" si="32"/>
        <v>4.6350000000000002E-2</v>
      </c>
    </row>
    <row r="122" spans="1:7">
      <c r="A122" s="9">
        <v>43899</v>
      </c>
      <c r="B122" s="93">
        <v>1.2827</v>
      </c>
      <c r="C122" s="80">
        <f t="shared" si="30"/>
        <v>-4.3999999999999595E-3</v>
      </c>
      <c r="D122" s="12">
        <f t="shared" si="31"/>
        <v>-4.3999999999999595E-3</v>
      </c>
      <c r="E122" s="12">
        <f ca="1">IF(表2_36716262930381011[[#This Row],[累计净值]]/MAX(INDIRECT("B21:B" &amp; ROW()))-1&lt;E121,表2_36716262930381011[[#This Row],[累计净值]]/MAX(INDIRECT("B21:B" &amp; ROW()))-1,E121)</f>
        <v>-2.4321641297154306E-2</v>
      </c>
      <c r="F122" s="81">
        <f>表2_36716262930381011[[#This Row],[累计净值]]-0.1652</f>
        <v>1.1174999999999999</v>
      </c>
      <c r="G122" s="82">
        <f t="shared" si="32"/>
        <v>4.4150000000000023E-2</v>
      </c>
    </row>
    <row r="123" spans="1:7">
      <c r="A123" s="15">
        <v>43900</v>
      </c>
      <c r="B123" s="90">
        <v>1.2948999999999999</v>
      </c>
      <c r="C123" s="73">
        <f t="shared" si="30"/>
        <v>1.2199999999999989E-2</v>
      </c>
      <c r="D123" s="18" t="str">
        <f t="shared" si="31"/>
        <v>/</v>
      </c>
      <c r="E123" s="18">
        <f ca="1">IF(表2_36716262930381011[[#This Row],[累计净值]]/MAX(INDIRECT("B21:B" &amp; ROW()))-1&lt;E122,表2_36716262930381011[[#This Row],[累计净值]]/MAX(INDIRECT("B21:B" &amp; ROW()))-1,E122)</f>
        <v>-2.4321641297154306E-2</v>
      </c>
      <c r="F123" s="62">
        <f>表2_36716262930381011[[#This Row],[累计净值]]-0.1652</f>
        <v>1.1296999999999999</v>
      </c>
      <c r="G123" s="20">
        <f t="shared" si="32"/>
        <v>5.0250000000000017E-2</v>
      </c>
    </row>
    <row r="124" spans="1:7">
      <c r="A124" s="15">
        <v>43901</v>
      </c>
      <c r="B124" s="90">
        <v>1.2921</v>
      </c>
      <c r="C124" s="73">
        <f t="shared" ref="C124:C129" si="33">IFERROR(B124-B123,0)</f>
        <v>-2.7999999999999137E-3</v>
      </c>
      <c r="D124" s="18">
        <f t="shared" ref="D124:D129" si="34">IF(C124&lt;0,C124,"/")</f>
        <v>-2.7999999999999137E-3</v>
      </c>
      <c r="E124" s="18">
        <f ca="1">IF(表2_36716262930381011[[#This Row],[累计净值]]/MAX(INDIRECT("B21:B" &amp; ROW()))-1&lt;E123,表2_36716262930381011[[#This Row],[累计净值]]/MAX(INDIRECT("B21:B" &amp; ROW()))-1,E123)</f>
        <v>-2.4321641297154306E-2</v>
      </c>
      <c r="F124" s="62">
        <f>表2_36716262930381011[[#This Row],[累计净值]]-0.1652</f>
        <v>1.1269</v>
      </c>
      <c r="G124" s="20">
        <f t="shared" si="32"/>
        <v>4.885000000000006E-2</v>
      </c>
    </row>
    <row r="125" spans="1:7">
      <c r="A125" s="15">
        <v>43902</v>
      </c>
      <c r="B125" s="90">
        <v>1.2894000000000001</v>
      </c>
      <c r="C125" s="73">
        <f t="shared" si="33"/>
        <v>-2.6999999999999247E-3</v>
      </c>
      <c r="D125" s="18">
        <f t="shared" si="34"/>
        <v>-2.6999999999999247E-3</v>
      </c>
      <c r="E125" s="18">
        <f ca="1">IF(表2_36716262930381011[[#This Row],[累计净值]]/MAX(INDIRECT("B21:B" &amp; ROW()))-1&lt;E124,表2_36716262930381011[[#This Row],[累计净值]]/MAX(INDIRECT("B21:B" &amp; ROW()))-1,E124)</f>
        <v>-2.4321641297154306E-2</v>
      </c>
      <c r="F125" s="62">
        <f>表2_36716262930381011[[#This Row],[累计净值]]-0.1652</f>
        <v>1.1242000000000001</v>
      </c>
      <c r="G125" s="20">
        <f t="shared" si="32"/>
        <v>4.7500000000000098E-2</v>
      </c>
    </row>
    <row r="126" spans="1:7">
      <c r="A126" s="15">
        <v>43903</v>
      </c>
      <c r="B126" s="90">
        <v>1.292</v>
      </c>
      <c r="C126" s="73">
        <f t="shared" si="33"/>
        <v>2.5999999999999357E-3</v>
      </c>
      <c r="D126" s="18" t="str">
        <f t="shared" si="34"/>
        <v>/</v>
      </c>
      <c r="E126" s="18">
        <f ca="1">IF(表2_36716262930381011[[#This Row],[累计净值]]/MAX(INDIRECT("B21:B" &amp; ROW()))-1&lt;E125,表2_36716262930381011[[#This Row],[累计净值]]/MAX(INDIRECT("B21:B" &amp; ROW()))-1,E125)</f>
        <v>-2.4321641297154306E-2</v>
      </c>
      <c r="F126" s="62">
        <f>表2_36716262930381011[[#This Row],[累计净值]]-0.1652</f>
        <v>1.1268</v>
      </c>
      <c r="G126" s="20">
        <f t="shared" si="32"/>
        <v>4.8800000000000066E-2</v>
      </c>
    </row>
    <row r="127" spans="1:7">
      <c r="A127" s="15">
        <v>43906</v>
      </c>
      <c r="B127" s="90">
        <v>1.2858000000000001</v>
      </c>
      <c r="C127" s="73">
        <f t="shared" si="33"/>
        <v>-6.1999999999999833E-3</v>
      </c>
      <c r="D127" s="18">
        <f t="shared" si="34"/>
        <v>-6.1999999999999833E-3</v>
      </c>
      <c r="E127" s="18">
        <f ca="1">IF(表2_36716262930381011[[#This Row],[累计净值]]/MAX(INDIRECT("B21:B" &amp; ROW()))-1&lt;E126,表2_36716262930381011[[#This Row],[累计净值]]/MAX(INDIRECT("B21:B" &amp; ROW()))-1,E126)</f>
        <v>-2.4321641297154306E-2</v>
      </c>
      <c r="F127" s="62">
        <f>表2_36716262930381011[[#This Row],[累计净值]]-0.1652</f>
        <v>1.1206</v>
      </c>
      <c r="G127" s="20">
        <f t="shared" si="32"/>
        <v>4.5700000000000074E-2</v>
      </c>
    </row>
    <row r="128" spans="1:7">
      <c r="A128" s="15">
        <v>43907</v>
      </c>
      <c r="B128" s="90">
        <v>1.2903</v>
      </c>
      <c r="C128" s="73">
        <f t="shared" si="33"/>
        <v>4.4999999999999485E-3</v>
      </c>
      <c r="D128" s="18" t="str">
        <f t="shared" si="34"/>
        <v>/</v>
      </c>
      <c r="E128" s="18">
        <f ca="1">IF(表2_36716262930381011[[#This Row],[累计净值]]/MAX(INDIRECT("B21:B" &amp; ROW()))-1&lt;E127,表2_36716262930381011[[#This Row],[累计净值]]/MAX(INDIRECT("B21:B" &amp; ROW()))-1,E127)</f>
        <v>-2.4321641297154306E-2</v>
      </c>
      <c r="F128" s="62">
        <f>表2_36716262930381011[[#This Row],[累计净值]]-0.1652</f>
        <v>1.1251</v>
      </c>
      <c r="G128" s="20">
        <f t="shared" si="32"/>
        <v>4.7950000000000048E-2</v>
      </c>
    </row>
    <row r="129" spans="1:7">
      <c r="A129" s="15">
        <v>43908</v>
      </c>
      <c r="B129" s="90">
        <v>1.2911999999999999</v>
      </c>
      <c r="C129" s="73">
        <f t="shared" si="33"/>
        <v>8.9999999999990088E-4</v>
      </c>
      <c r="D129" s="18" t="str">
        <f t="shared" si="34"/>
        <v>/</v>
      </c>
      <c r="E129" s="18">
        <f ca="1">IF(表2_36716262930381011[[#This Row],[累计净值]]/MAX(INDIRECT("B21:B" &amp; ROW()))-1&lt;E128,表2_36716262930381011[[#This Row],[累计净值]]/MAX(INDIRECT("B21:B" &amp; ROW()))-1,E128)</f>
        <v>-2.4321641297154306E-2</v>
      </c>
      <c r="F129" s="62">
        <f>表2_36716262930381011[[#This Row],[累计净值]]-0.1652</f>
        <v>1.1259999999999999</v>
      </c>
      <c r="G129" s="20">
        <f t="shared" si="32"/>
        <v>4.8399999999999999E-2</v>
      </c>
    </row>
    <row r="130" spans="1:7">
      <c r="A130" s="15">
        <v>43909</v>
      </c>
      <c r="B130" s="90">
        <v>1.2998000000000001</v>
      </c>
      <c r="C130" s="73">
        <f t="shared" ref="C130:C135" si="35">IFERROR(B130-B129,0)</f>
        <v>8.6000000000001631E-3</v>
      </c>
      <c r="D130" s="18" t="str">
        <f t="shared" ref="D130:D135" si="36">IF(C130&lt;0,C130,"/")</f>
        <v>/</v>
      </c>
      <c r="E130" s="18">
        <f ca="1">IF(表2_36716262930381011[[#This Row],[累计净值]]/MAX(INDIRECT("B21:B" &amp; ROW()))-1&lt;E129,表2_36716262930381011[[#This Row],[累计净值]]/MAX(INDIRECT("B21:B" &amp; ROW()))-1,E129)</f>
        <v>-2.4321641297154306E-2</v>
      </c>
      <c r="F130" s="62">
        <f>表2_36716262930381011[[#This Row],[累计净值]]-0.1652</f>
        <v>1.1346000000000001</v>
      </c>
      <c r="G130" s="20">
        <f t="shared" si="32"/>
        <v>5.270000000000008E-2</v>
      </c>
    </row>
    <row r="131" spans="1:7">
      <c r="A131" s="15">
        <v>43910</v>
      </c>
      <c r="B131" s="90">
        <v>1.3012999999999999</v>
      </c>
      <c r="C131" s="73">
        <f t="shared" si="35"/>
        <v>1.4999999999998348E-3</v>
      </c>
      <c r="D131" s="18" t="str">
        <f t="shared" si="36"/>
        <v>/</v>
      </c>
      <c r="E131" s="18">
        <f ca="1">IF(表2_36716262930381011[[#This Row],[累计净值]]/MAX(INDIRECT("B21:B" &amp; ROW()))-1&lt;E130,表2_36716262930381011[[#This Row],[累计净值]]/MAX(INDIRECT("B21:B" &amp; ROW()))-1,E130)</f>
        <v>-2.4321641297154306E-2</v>
      </c>
      <c r="F131" s="62">
        <f>表2_36716262930381011[[#This Row],[累计净值]]-0.1652</f>
        <v>1.1360999999999999</v>
      </c>
      <c r="G131" s="20">
        <f t="shared" si="32"/>
        <v>5.3449999999999998E-2</v>
      </c>
    </row>
    <row r="132" spans="1:7">
      <c r="A132" s="15">
        <v>43913</v>
      </c>
      <c r="B132" s="90">
        <v>1.2946</v>
      </c>
      <c r="C132" s="73">
        <f t="shared" si="35"/>
        <v>-6.6999999999999282E-3</v>
      </c>
      <c r="D132" s="18">
        <f t="shared" si="36"/>
        <v>-6.6999999999999282E-3</v>
      </c>
      <c r="E132" s="18">
        <f ca="1">IF(表2_36716262930381011[[#This Row],[累计净值]]/MAX(INDIRECT("B21:B" &amp; ROW()))-1&lt;E131,表2_36716262930381011[[#This Row],[累计净值]]/MAX(INDIRECT("B21:B" &amp; ROW()))-1,E131)</f>
        <v>-2.4321641297154306E-2</v>
      </c>
      <c r="F132" s="62">
        <f>表2_36716262930381011[[#This Row],[累计净值]]-0.1652</f>
        <v>1.1294</v>
      </c>
      <c r="G132" s="20">
        <f t="shared" si="32"/>
        <v>5.0100000000000033E-2</v>
      </c>
    </row>
    <row r="133" spans="1:7">
      <c r="A133" s="15">
        <v>43914</v>
      </c>
      <c r="B133" s="16">
        <v>1.3024</v>
      </c>
      <c r="C133" s="73">
        <f t="shared" si="35"/>
        <v>7.8000000000000291E-3</v>
      </c>
      <c r="D133" s="18" t="str">
        <f t="shared" si="36"/>
        <v>/</v>
      </c>
      <c r="E133" s="18">
        <f ca="1">IF(表2_36716262930381011[[#This Row],[累计净值]]/MAX(INDIRECT("B21:B" &amp; ROW()))-1&lt;E132,表2_36716262930381011[[#This Row],[累计净值]]/MAX(INDIRECT("B21:B" &amp; ROW()))-1,E132)</f>
        <v>-2.4321641297154306E-2</v>
      </c>
      <c r="F133" s="62">
        <f>表2_36716262930381011[[#This Row],[累计净值]]-0.1652</f>
        <v>1.1372</v>
      </c>
      <c r="G133" s="20">
        <f t="shared" si="32"/>
        <v>5.4000000000000048E-2</v>
      </c>
    </row>
    <row r="134" spans="1:7">
      <c r="A134" s="15">
        <v>43915</v>
      </c>
      <c r="B134" s="16">
        <v>1.3059000000000001</v>
      </c>
      <c r="C134" s="73">
        <f t="shared" si="35"/>
        <v>3.5000000000000586E-3</v>
      </c>
      <c r="D134" s="18" t="str">
        <f t="shared" si="36"/>
        <v>/</v>
      </c>
      <c r="E134" s="18">
        <f ca="1">IF(表2_36716262930381011[[#This Row],[累计净值]]/MAX(INDIRECT("B21:B" &amp; ROW()))-1&lt;E133,表2_36716262930381011[[#This Row],[累计净值]]/MAX(INDIRECT("B21:B" &amp; ROW()))-1,E133)</f>
        <v>-2.4321641297154306E-2</v>
      </c>
      <c r="F134" s="62">
        <f>表2_36716262930381011[[#This Row],[累计净值]]-0.1652</f>
        <v>1.1407</v>
      </c>
      <c r="G134" s="20">
        <f t="shared" si="32"/>
        <v>5.5750000000000077E-2</v>
      </c>
    </row>
    <row r="135" spans="1:7">
      <c r="A135" s="15">
        <v>43916</v>
      </c>
      <c r="B135" s="76">
        <v>1.3073999999999999</v>
      </c>
      <c r="C135" s="73">
        <f t="shared" si="35"/>
        <v>1.4999999999998348E-3</v>
      </c>
      <c r="D135" s="18" t="str">
        <f t="shared" si="36"/>
        <v>/</v>
      </c>
      <c r="E135" s="18">
        <f ca="1">IF(表2_36716262930381011[[#This Row],[累计净值]]/MAX(INDIRECT("B21:B" &amp; ROW()))-1&lt;E134,表2_36716262930381011[[#This Row],[累计净值]]/MAX(INDIRECT("B21:B" &amp; ROW()))-1,E134)</f>
        <v>-2.4321641297154306E-2</v>
      </c>
      <c r="F135" s="62">
        <f>表2_36716262930381011[[#This Row],[累计净值]]-0.1652</f>
        <v>1.1421999999999999</v>
      </c>
      <c r="G135" s="20">
        <f t="shared" si="32"/>
        <v>5.6499999999999995E-2</v>
      </c>
    </row>
    <row r="136" spans="1:7">
      <c r="A136" s="15">
        <v>43917</v>
      </c>
      <c r="B136" s="16">
        <v>1.3039000000000001</v>
      </c>
      <c r="C136" s="73">
        <f t="shared" ref="C136:C141" si="37">IFERROR(B136-B135,0)</f>
        <v>-3.4999999999998366E-3</v>
      </c>
      <c r="D136" s="18">
        <f t="shared" ref="D136:D141" si="38">IF(C136&lt;0,C136,"/")</f>
        <v>-3.4999999999998366E-3</v>
      </c>
      <c r="E136" s="18">
        <f ca="1">IF(表2_36716262930381011[[#This Row],[累计净值]]/MAX(INDIRECT("B21:B" &amp; ROW()))-1&lt;E135,表2_36716262930381011[[#This Row],[累计净值]]/MAX(INDIRECT("B21:B" &amp; ROW()))-1,E135)</f>
        <v>-2.4321641297154306E-2</v>
      </c>
      <c r="F136" s="62">
        <f>表2_36716262930381011[[#This Row],[累计净值]]-0.1652</f>
        <v>1.1387</v>
      </c>
      <c r="G136" s="20">
        <f t="shared" si="32"/>
        <v>5.4750000000000076E-2</v>
      </c>
    </row>
    <row r="137" spans="1:7">
      <c r="A137" s="15">
        <v>43920</v>
      </c>
      <c r="B137" s="16">
        <v>1.3</v>
      </c>
      <c r="C137" s="73">
        <f t="shared" si="37"/>
        <v>-3.9000000000000146E-3</v>
      </c>
      <c r="D137" s="18">
        <f t="shared" si="38"/>
        <v>-3.9000000000000146E-3</v>
      </c>
      <c r="E137" s="18">
        <f ca="1">IF(表2_36716262930381011[[#This Row],[累计净值]]/MAX(INDIRECT("B21:B" &amp; ROW()))-1&lt;E136,表2_36716262930381011[[#This Row],[累计净值]]/MAX(INDIRECT("B21:B" &amp; ROW()))-1,E136)</f>
        <v>-2.4321641297154306E-2</v>
      </c>
      <c r="F137" s="62">
        <f>表2_36716262930381011[[#This Row],[累计净值]]-0.1652</f>
        <v>1.1348</v>
      </c>
      <c r="G137" s="20">
        <f t="shared" si="32"/>
        <v>5.2800000000000069E-2</v>
      </c>
    </row>
    <row r="138" spans="1:7">
      <c r="A138" s="15">
        <v>43921</v>
      </c>
      <c r="B138" s="16">
        <v>1.3042</v>
      </c>
      <c r="C138" s="73">
        <f t="shared" si="37"/>
        <v>4.1999999999999815E-3</v>
      </c>
      <c r="D138" s="18" t="str">
        <f t="shared" si="38"/>
        <v>/</v>
      </c>
      <c r="E138" s="18">
        <f ca="1">IF(表2_36716262930381011[[#This Row],[累计净值]]/MAX(INDIRECT("B21:B" &amp; ROW()))-1&lt;E137,表2_36716262930381011[[#This Row],[累计净值]]/MAX(INDIRECT("B21:B" &amp; ROW()))-1,E137)</f>
        <v>-2.4321641297154306E-2</v>
      </c>
      <c r="F138" s="62">
        <f>表2_36716262930381011[[#This Row],[累计净值]]-0.1652</f>
        <v>1.139</v>
      </c>
      <c r="G138" s="20">
        <f t="shared" si="32"/>
        <v>5.490000000000006E-2</v>
      </c>
    </row>
    <row r="139" spans="1:7">
      <c r="A139" s="15">
        <v>43922</v>
      </c>
      <c r="B139" s="16">
        <v>1.3078000000000001</v>
      </c>
      <c r="C139" s="73">
        <f t="shared" si="37"/>
        <v>3.6000000000000476E-3</v>
      </c>
      <c r="D139" s="18" t="str">
        <f t="shared" si="38"/>
        <v>/</v>
      </c>
      <c r="E139" s="18">
        <f ca="1">IF(表2_36716262930381011[[#This Row],[累计净值]]/MAX(INDIRECT("B21:B" &amp; ROW()))-1&lt;E138,表2_36716262930381011[[#This Row],[累计净值]]/MAX(INDIRECT("B21:B" &amp; ROW()))-1,E138)</f>
        <v>-2.4321641297154306E-2</v>
      </c>
      <c r="F139" s="62">
        <f>表2_36716262930381011[[#This Row],[累计净值]]-0.1652</f>
        <v>1.1426000000000001</v>
      </c>
      <c r="G139" s="20">
        <f t="shared" si="32"/>
        <v>5.6700000000000084E-2</v>
      </c>
    </row>
    <row r="140" spans="1:7">
      <c r="A140" s="15">
        <v>43923</v>
      </c>
      <c r="B140" s="16">
        <v>1.3082</v>
      </c>
      <c r="C140" s="73">
        <f t="shared" si="37"/>
        <v>3.9999999999995595E-4</v>
      </c>
      <c r="D140" s="18" t="str">
        <f t="shared" si="38"/>
        <v>/</v>
      </c>
      <c r="E140" s="18">
        <f ca="1">IF(表2_36716262930381011[[#This Row],[累计净值]]/MAX(INDIRECT("B21:B" &amp; ROW()))-1&lt;E139,表2_36716262930381011[[#This Row],[累计净值]]/MAX(INDIRECT("B21:B" &amp; ROW()))-1,E139)</f>
        <v>-2.4321641297154306E-2</v>
      </c>
      <c r="F140" s="62">
        <f>表2_36716262930381011[[#This Row],[累计净值]]-0.1652</f>
        <v>1.143</v>
      </c>
      <c r="G140" s="20">
        <f t="shared" si="32"/>
        <v>5.6900000000000062E-2</v>
      </c>
    </row>
    <row r="141" spans="1:7">
      <c r="A141" s="15">
        <v>43924</v>
      </c>
      <c r="B141" s="16">
        <v>1.3120000000000001</v>
      </c>
      <c r="C141" s="73">
        <f t="shared" si="37"/>
        <v>3.8000000000000256E-3</v>
      </c>
      <c r="D141" s="18" t="str">
        <f t="shared" si="38"/>
        <v>/</v>
      </c>
      <c r="E141" s="18">
        <f ca="1">IF(表2_36716262930381011[[#This Row],[累计净值]]/MAX(INDIRECT("B21:B" &amp; ROW()))-1&lt;E140,表2_36716262930381011[[#This Row],[累计净值]]/MAX(INDIRECT("B21:B" &amp; ROW()))-1,E140)</f>
        <v>-2.4321641297154306E-2</v>
      </c>
      <c r="F141" s="62">
        <f>表2_36716262930381011[[#This Row],[累计净值]]-0.1652</f>
        <v>1.1468</v>
      </c>
      <c r="G141" s="20">
        <f t="shared" si="32"/>
        <v>5.8800000000000074E-2</v>
      </c>
    </row>
    <row r="142" spans="1:7">
      <c r="A142" s="15">
        <v>43928</v>
      </c>
      <c r="B142" s="16">
        <v>1.3183</v>
      </c>
      <c r="C142" s="73">
        <f t="shared" ref="C142:C147" si="39">IFERROR(B142-B141,0)</f>
        <v>6.2999999999999723E-3</v>
      </c>
      <c r="D142" s="18" t="str">
        <f t="shared" ref="D142:D147" si="40">IF(C142&lt;0,C142,"/")</f>
        <v>/</v>
      </c>
      <c r="E142" s="18">
        <f ca="1">IF(表2_36716262930381011[[#This Row],[累计净值]]/MAX(INDIRECT("B21:B" &amp; ROW()))-1&lt;E141,表2_36716262930381011[[#This Row],[累计净值]]/MAX(INDIRECT("B21:B" &amp; ROW()))-1,E141)</f>
        <v>-2.4321641297154306E-2</v>
      </c>
      <c r="F142" s="62">
        <f>表2_36716262930381011[[#This Row],[累计净值]]-0.1652</f>
        <v>1.1531</v>
      </c>
      <c r="G142" s="20">
        <f t="shared" si="32"/>
        <v>6.1950000000000061E-2</v>
      </c>
    </row>
    <row r="143" spans="1:7">
      <c r="A143" s="15">
        <v>43929</v>
      </c>
      <c r="B143" s="16">
        <v>1.3159000000000001</v>
      </c>
      <c r="C143" s="73">
        <f t="shared" si="39"/>
        <v>-2.3999999999999577E-3</v>
      </c>
      <c r="D143" s="18">
        <f t="shared" si="40"/>
        <v>-2.3999999999999577E-3</v>
      </c>
      <c r="E143" s="18">
        <f ca="1">IF(表2_36716262930381011[[#This Row],[累计净值]]/MAX(INDIRECT("B21:B" &amp; ROW()))-1&lt;E142,表2_36716262930381011[[#This Row],[累计净值]]/MAX(INDIRECT("B21:B" &amp; ROW()))-1,E142)</f>
        <v>-2.4321641297154306E-2</v>
      </c>
      <c r="F143" s="62">
        <f>表2_36716262930381011[[#This Row],[累计净值]]-0.1652</f>
        <v>1.1507000000000001</v>
      </c>
      <c r="G143" s="20">
        <f t="shared" si="32"/>
        <v>6.0750000000000082E-2</v>
      </c>
    </row>
    <row r="144" spans="1:7">
      <c r="A144" s="15">
        <v>43930</v>
      </c>
      <c r="B144" s="76">
        <v>1.3184</v>
      </c>
      <c r="C144" s="73">
        <f t="shared" si="39"/>
        <v>2.4999999999999467E-3</v>
      </c>
      <c r="D144" s="18" t="str">
        <f t="shared" si="40"/>
        <v>/</v>
      </c>
      <c r="E144" s="18">
        <f ca="1">IF(表2_36716262930381011[[#This Row],[累计净值]]/MAX(INDIRECT("B21:B" &amp; ROW()))-1&lt;E143,表2_36716262930381011[[#This Row],[累计净值]]/MAX(INDIRECT("B21:B" &amp; ROW()))-1,E143)</f>
        <v>-2.4321641297154306E-2</v>
      </c>
      <c r="F144" s="62">
        <f>表2_36716262930381011[[#This Row],[累计净值]]-0.1652</f>
        <v>1.1532</v>
      </c>
      <c r="G144" s="20">
        <f t="shared" si="32"/>
        <v>6.2000000000000055E-2</v>
      </c>
    </row>
    <row r="145" spans="1:7">
      <c r="A145" s="15">
        <v>43931</v>
      </c>
      <c r="B145" s="16">
        <v>1.3067</v>
      </c>
      <c r="C145" s="73">
        <f t="shared" si="39"/>
        <v>-1.1700000000000044E-2</v>
      </c>
      <c r="D145" s="18">
        <f t="shared" si="40"/>
        <v>-1.1700000000000044E-2</v>
      </c>
      <c r="E145" s="18">
        <f ca="1">IF(表2_36716262930381011[[#This Row],[累计净值]]/MAX(INDIRECT("B21:B" &amp; ROW()))-1&lt;E144,表2_36716262930381011[[#This Row],[累计净值]]/MAX(INDIRECT("B21:B" &amp; ROW()))-1,E144)</f>
        <v>-2.4321641297154306E-2</v>
      </c>
      <c r="F145" s="62">
        <f>表2_36716262930381011[[#This Row],[累计净值]]-0.1652</f>
        <v>1.1415</v>
      </c>
      <c r="G145" s="20">
        <f t="shared" si="32"/>
        <v>5.6150000000000033E-2</v>
      </c>
    </row>
    <row r="146" spans="1:7">
      <c r="A146" s="15">
        <v>43934</v>
      </c>
      <c r="B146" s="16">
        <v>1.3047</v>
      </c>
      <c r="C146" s="73">
        <f t="shared" si="39"/>
        <v>-2.0000000000000018E-3</v>
      </c>
      <c r="D146" s="18">
        <f t="shared" si="40"/>
        <v>-2.0000000000000018E-3</v>
      </c>
      <c r="E146" s="18">
        <f ca="1">IF(表2_36716262930381011[[#This Row],[累计净值]]/MAX(INDIRECT("B21:B" &amp; ROW()))-1&lt;E145,表2_36716262930381011[[#This Row],[累计净值]]/MAX(INDIRECT("B21:B" &amp; ROW()))-1,E145)</f>
        <v>-2.4321641297154306E-2</v>
      </c>
      <c r="F146" s="62">
        <f>表2_36716262930381011[[#This Row],[累计净值]]-0.1652</f>
        <v>1.1395</v>
      </c>
      <c r="G146" s="20">
        <f t="shared" si="32"/>
        <v>5.5150000000000032E-2</v>
      </c>
    </row>
    <row r="147" spans="1:7">
      <c r="A147" s="15">
        <v>43935</v>
      </c>
      <c r="B147" s="16">
        <v>1.3089999999999999</v>
      </c>
      <c r="C147" s="73">
        <f t="shared" si="39"/>
        <v>4.2999999999999705E-3</v>
      </c>
      <c r="D147" s="18" t="str">
        <f t="shared" si="40"/>
        <v>/</v>
      </c>
      <c r="E147" s="18">
        <f ca="1">IF(表2_36716262930381011[[#This Row],[累计净值]]/MAX(INDIRECT("B21:B" &amp; ROW()))-1&lt;E146,表2_36716262930381011[[#This Row],[累计净值]]/MAX(INDIRECT("B21:B" &amp; ROW()))-1,E146)</f>
        <v>-2.4321641297154306E-2</v>
      </c>
      <c r="F147" s="62">
        <f>表2_36716262930381011[[#This Row],[累计净值]]-0.1652</f>
        <v>1.1437999999999999</v>
      </c>
      <c r="G147" s="20">
        <f t="shared" si="32"/>
        <v>5.7300000000000018E-2</v>
      </c>
    </row>
    <row r="148" spans="1:7">
      <c r="A148" s="15">
        <v>43936</v>
      </c>
      <c r="B148" s="96">
        <v>1.3073999999999999</v>
      </c>
      <c r="C148" s="94">
        <f t="shared" ref="C148:C153" si="41">IFERROR(B148-B147,0)</f>
        <v>-1.6000000000000458E-3</v>
      </c>
      <c r="D148" s="95">
        <f t="shared" ref="D148:D153" si="42">IF(C148&lt;0,C148,"/")</f>
        <v>-1.6000000000000458E-3</v>
      </c>
      <c r="E148" s="95">
        <f ca="1">IF(表2_36716262930381011[[#This Row],[累计净值]]/MAX(INDIRECT("B21:B" &amp; ROW()))-1&lt;E147,表2_36716262930381011[[#This Row],[累计净值]]/MAX(INDIRECT("B21:B" &amp; ROW()))-1,E147)</f>
        <v>-2.4321641297154306E-2</v>
      </c>
      <c r="F148" s="62">
        <f>表2_36716262930381011[[#This Row],[累计净值]]-0.1652</f>
        <v>1.1421999999999999</v>
      </c>
      <c r="G148" s="20">
        <f t="shared" si="32"/>
        <v>5.6499999999999995E-2</v>
      </c>
    </row>
    <row r="149" spans="1:7">
      <c r="A149" s="15">
        <v>43937</v>
      </c>
      <c r="B149" s="96">
        <v>1.3091999999999999</v>
      </c>
      <c r="C149" s="94">
        <f t="shared" si="41"/>
        <v>1.8000000000000238E-3</v>
      </c>
      <c r="D149" s="95" t="str">
        <f t="shared" si="42"/>
        <v>/</v>
      </c>
      <c r="E149" s="95">
        <f ca="1">IF(表2_36716262930381011[[#This Row],[累计净值]]/MAX(INDIRECT("B21:B" &amp; ROW()))-1&lt;E148,表2_36716262930381011[[#This Row],[累计净值]]/MAX(INDIRECT("B21:B" &amp; ROW()))-1,E148)</f>
        <v>-2.4321641297154306E-2</v>
      </c>
      <c r="F149" s="62">
        <f>表2_36716262930381011[[#This Row],[累计净值]]-0.1652</f>
        <v>1.1439999999999999</v>
      </c>
      <c r="G149" s="20">
        <f t="shared" si="32"/>
        <v>5.7400000000000007E-2</v>
      </c>
    </row>
    <row r="150" spans="1:7">
      <c r="A150" s="15">
        <v>43938</v>
      </c>
      <c r="B150" s="96">
        <v>1.3084</v>
      </c>
      <c r="C150" s="94">
        <f t="shared" si="41"/>
        <v>-7.9999999999991189E-4</v>
      </c>
      <c r="D150" s="95">
        <f t="shared" si="42"/>
        <v>-7.9999999999991189E-4</v>
      </c>
      <c r="E150" s="95">
        <f ca="1">IF(表2_36716262930381011[[#This Row],[累计净值]]/MAX(INDIRECT("B21:B" &amp; ROW()))-1&lt;E149,表2_36716262930381011[[#This Row],[累计净值]]/MAX(INDIRECT("B21:B" &amp; ROW()))-1,E149)</f>
        <v>-2.4321641297154306E-2</v>
      </c>
      <c r="F150" s="62">
        <f>表2_36716262930381011[[#This Row],[累计净值]]-0.1652</f>
        <v>1.1432</v>
      </c>
      <c r="G150" s="20">
        <f t="shared" ref="G150:G181" si="43">IF(F150&gt;1.0292,0.5*(F150-1.0292),F150-1.0292)</f>
        <v>5.7000000000000051E-2</v>
      </c>
    </row>
    <row r="151" spans="1:7">
      <c r="A151" s="15">
        <v>43941</v>
      </c>
      <c r="B151" s="96">
        <v>1.3150999999999999</v>
      </c>
      <c r="C151" s="94">
        <f t="shared" si="41"/>
        <v>6.6999999999999282E-3</v>
      </c>
      <c r="D151" s="95" t="str">
        <f t="shared" si="42"/>
        <v>/</v>
      </c>
      <c r="E151" s="95">
        <f ca="1">IF(表2_36716262930381011[[#This Row],[累计净值]]/MAX(INDIRECT("B21:B" &amp; ROW()))-1&lt;E150,表2_36716262930381011[[#This Row],[累计净值]]/MAX(INDIRECT("B21:B" &amp; ROW()))-1,E150)</f>
        <v>-2.4321641297154306E-2</v>
      </c>
      <c r="F151" s="62">
        <f>表2_36716262930381011[[#This Row],[累计净值]]-0.1652</f>
        <v>1.1498999999999999</v>
      </c>
      <c r="G151" s="20">
        <f t="shared" si="43"/>
        <v>6.0350000000000015E-2</v>
      </c>
    </row>
    <row r="152" spans="1:7">
      <c r="A152" s="15">
        <v>43942</v>
      </c>
      <c r="B152" s="96">
        <v>1.3150999999999999</v>
      </c>
      <c r="C152" s="94">
        <f t="shared" si="41"/>
        <v>0</v>
      </c>
      <c r="D152" s="95" t="str">
        <f t="shared" si="42"/>
        <v>/</v>
      </c>
      <c r="E152" s="95">
        <f ca="1">IF(表2_36716262930381011[[#This Row],[累计净值]]/MAX(INDIRECT("B21:B" &amp; ROW()))-1&lt;E151,表2_36716262930381011[[#This Row],[累计净值]]/MAX(INDIRECT("B21:B" &amp; ROW()))-1,E151)</f>
        <v>-2.4321641297154306E-2</v>
      </c>
      <c r="F152" s="62">
        <f>表2_36716262930381011[[#This Row],[累计净值]]-0.1652</f>
        <v>1.1498999999999999</v>
      </c>
      <c r="G152" s="20">
        <f t="shared" si="43"/>
        <v>6.0350000000000015E-2</v>
      </c>
    </row>
    <row r="153" spans="1:7">
      <c r="A153" s="15">
        <v>43943</v>
      </c>
      <c r="B153" s="96">
        <v>1.3178000000000001</v>
      </c>
      <c r="C153" s="94">
        <f t="shared" si="41"/>
        <v>2.7000000000001467E-3</v>
      </c>
      <c r="D153" s="95" t="str">
        <f t="shared" si="42"/>
        <v>/</v>
      </c>
      <c r="E153" s="95">
        <f ca="1">IF(表2_36716262930381011[[#This Row],[累计净值]]/MAX(INDIRECT("B21:B" &amp; ROW()))-1&lt;E152,表2_36716262930381011[[#This Row],[累计净值]]/MAX(INDIRECT("B21:B" &amp; ROW()))-1,E152)</f>
        <v>-2.4321641297154306E-2</v>
      </c>
      <c r="F153" s="62">
        <f>表2_36716262930381011[[#This Row],[累计净值]]-0.1652</f>
        <v>1.1526000000000001</v>
      </c>
      <c r="G153" s="20">
        <f t="shared" si="43"/>
        <v>6.1700000000000088E-2</v>
      </c>
    </row>
    <row r="154" spans="1:7">
      <c r="A154" s="15">
        <v>43944</v>
      </c>
      <c r="B154" s="96">
        <v>1.3150999999999999</v>
      </c>
      <c r="C154" s="94">
        <f t="shared" ref="C154:C159" si="44">IFERROR(B154-B153,0)</f>
        <v>-2.7000000000001467E-3</v>
      </c>
      <c r="D154" s="95">
        <f t="shared" ref="D154:D159" si="45">IF(C154&lt;0,C154,"/")</f>
        <v>-2.7000000000001467E-3</v>
      </c>
      <c r="E154" s="95">
        <f ca="1">IF(表2_36716262930381011[[#This Row],[累计净值]]/MAX(INDIRECT("B21:B" &amp; ROW()))-1&lt;E153,表2_36716262930381011[[#This Row],[累计净值]]/MAX(INDIRECT("B21:B" &amp; ROW()))-1,E153)</f>
        <v>-2.4321641297154306E-2</v>
      </c>
      <c r="F154" s="62">
        <f>表2_36716262930381011[[#This Row],[累计净值]]-0.1652</f>
        <v>1.1498999999999999</v>
      </c>
      <c r="G154" s="20">
        <f t="shared" si="43"/>
        <v>6.0350000000000015E-2</v>
      </c>
    </row>
    <row r="155" spans="1:7">
      <c r="A155" s="15">
        <v>43945</v>
      </c>
      <c r="B155" s="96">
        <v>1.3081</v>
      </c>
      <c r="C155" s="94">
        <f t="shared" si="44"/>
        <v>-6.9999999999998952E-3</v>
      </c>
      <c r="D155" s="95">
        <f t="shared" si="45"/>
        <v>-6.9999999999998952E-3</v>
      </c>
      <c r="E155" s="95">
        <f ca="1">IF(表2_36716262930381011[[#This Row],[累计净值]]/MAX(INDIRECT("B21:B" &amp; ROW()))-1&lt;E154,表2_36716262930381011[[#This Row],[累计净值]]/MAX(INDIRECT("B21:B" &amp; ROW()))-1,E154)</f>
        <v>-2.4321641297154306E-2</v>
      </c>
      <c r="F155" s="62">
        <f>表2_36716262930381011[[#This Row],[累计净值]]-0.1652</f>
        <v>1.1429</v>
      </c>
      <c r="G155" s="20">
        <f t="shared" si="43"/>
        <v>5.6850000000000067E-2</v>
      </c>
    </row>
    <row r="156" spans="1:7">
      <c r="A156" s="15">
        <v>43948</v>
      </c>
      <c r="B156" s="96">
        <v>1.3082</v>
      </c>
      <c r="C156" s="94">
        <f t="shared" si="44"/>
        <v>9.9999999999988987E-5</v>
      </c>
      <c r="D156" s="95" t="str">
        <f t="shared" si="45"/>
        <v>/</v>
      </c>
      <c r="E156" s="95">
        <f ca="1">IF(表2_36716262930381011[[#This Row],[累计净值]]/MAX(INDIRECT("B21:B" &amp; ROW()))-1&lt;E155,表2_36716262930381011[[#This Row],[累计净值]]/MAX(INDIRECT("B21:B" &amp; ROW()))-1,E155)</f>
        <v>-2.4321641297154306E-2</v>
      </c>
      <c r="F156" s="62">
        <f>表2_36716262930381011[[#This Row],[累计净值]]-0.1652</f>
        <v>1.143</v>
      </c>
      <c r="G156" s="20">
        <f t="shared" si="43"/>
        <v>5.6900000000000062E-2</v>
      </c>
    </row>
    <row r="157" spans="1:7">
      <c r="A157" s="15">
        <v>43949</v>
      </c>
      <c r="B157" s="96">
        <v>1.3109999999999999</v>
      </c>
      <c r="C157" s="94">
        <f t="shared" si="44"/>
        <v>2.7999999999999137E-3</v>
      </c>
      <c r="D157" s="95" t="str">
        <f t="shared" si="45"/>
        <v>/</v>
      </c>
      <c r="E157" s="95">
        <f ca="1">IF(表2_36716262930381011[[#This Row],[累计净值]]/MAX(INDIRECT("B21:B" &amp; ROW()))-1&lt;E156,表2_36716262930381011[[#This Row],[累计净值]]/MAX(INDIRECT("B21:B" &amp; ROW()))-1,E156)</f>
        <v>-2.4321641297154306E-2</v>
      </c>
      <c r="F157" s="62">
        <f>表2_36716262930381011[[#This Row],[累计净值]]-0.1652</f>
        <v>1.1457999999999999</v>
      </c>
      <c r="G157" s="20">
        <f t="shared" si="43"/>
        <v>5.8300000000000018E-2</v>
      </c>
    </row>
    <row r="158" spans="1:7">
      <c r="A158" s="15">
        <v>43950</v>
      </c>
      <c r="B158" s="96">
        <v>1.3048</v>
      </c>
      <c r="C158" s="94">
        <f t="shared" si="44"/>
        <v>-6.1999999999999833E-3</v>
      </c>
      <c r="D158" s="95">
        <f t="shared" si="45"/>
        <v>-6.1999999999999833E-3</v>
      </c>
      <c r="E158" s="95">
        <f ca="1">IF(表2_36716262930381011[[#This Row],[累计净值]]/MAX(INDIRECT("B21:B" &amp; ROW()))-1&lt;E157,表2_36716262930381011[[#This Row],[累计净值]]/MAX(INDIRECT("B21:B" &amp; ROW()))-1,E157)</f>
        <v>-2.4321641297154306E-2</v>
      </c>
      <c r="F158" s="62">
        <f>表2_36716262930381011[[#This Row],[累计净值]]-0.1652</f>
        <v>1.1395999999999999</v>
      </c>
      <c r="G158" s="20">
        <f t="shared" si="43"/>
        <v>5.5200000000000027E-2</v>
      </c>
    </row>
    <row r="159" spans="1:7">
      <c r="A159" s="15">
        <v>43951</v>
      </c>
      <c r="B159" s="96">
        <v>1.3046</v>
      </c>
      <c r="C159" s="94">
        <f t="shared" si="44"/>
        <v>-1.9999999999997797E-4</v>
      </c>
      <c r="D159" s="95">
        <f t="shared" si="45"/>
        <v>-1.9999999999997797E-4</v>
      </c>
      <c r="E159" s="95">
        <f ca="1">IF(表2_36716262930381011[[#This Row],[累计净值]]/MAX(INDIRECT("B21:B" &amp; ROW()))-1&lt;E158,表2_36716262930381011[[#This Row],[累计净值]]/MAX(INDIRECT("B21:B" &amp; ROW()))-1,E158)</f>
        <v>-2.4321641297154306E-2</v>
      </c>
      <c r="F159" s="62">
        <f>表2_36716262930381011[[#This Row],[累计净值]]-0.1652</f>
        <v>1.1394</v>
      </c>
      <c r="G159" s="20">
        <f t="shared" si="43"/>
        <v>5.5100000000000038E-2</v>
      </c>
    </row>
    <row r="160" spans="1:7">
      <c r="A160" s="15">
        <v>43957</v>
      </c>
      <c r="B160" s="96">
        <v>1.3160000000000001</v>
      </c>
      <c r="C160" s="94">
        <f t="shared" ref="C160:C165" si="46">IFERROR(B160-B159,0)</f>
        <v>1.1400000000000077E-2</v>
      </c>
      <c r="D160" s="95" t="str">
        <f t="shared" ref="D160:D165" si="47">IF(C160&lt;0,C160,"/")</f>
        <v>/</v>
      </c>
      <c r="E160" s="95">
        <f ca="1">IF(表2_36716262930381011[[#This Row],[累计净值]]/MAX(INDIRECT("B21:B" &amp; ROW()))-1&lt;E159,表2_36716262930381011[[#This Row],[累计净值]]/MAX(INDIRECT("B21:B" &amp; ROW()))-1,E159)</f>
        <v>-2.4321641297154306E-2</v>
      </c>
      <c r="F160" s="62">
        <f>表2_36716262930381011[[#This Row],[累计净值]]-0.1652</f>
        <v>1.1508</v>
      </c>
      <c r="G160" s="20">
        <f t="shared" si="43"/>
        <v>6.0800000000000076E-2</v>
      </c>
    </row>
    <row r="161" spans="1:7">
      <c r="A161" s="15">
        <v>43958</v>
      </c>
      <c r="B161" s="104">
        <v>1.3174999999999999</v>
      </c>
      <c r="C161" s="101">
        <f t="shared" si="46"/>
        <v>1.4999999999998348E-3</v>
      </c>
      <c r="D161" s="102" t="str">
        <f t="shared" si="47"/>
        <v>/</v>
      </c>
      <c r="E161" s="102">
        <f ca="1">IF(表2_36716262930381011[[#This Row],[累计净值]]/MAX(INDIRECT("B21:B" &amp; ROW()))-1&lt;E160,表2_36716262930381011[[#This Row],[累计净值]]/MAX(INDIRECT("B21:B" &amp; ROW()))-1,E160)</f>
        <v>-2.4321641297154306E-2</v>
      </c>
      <c r="F161" s="62">
        <f>表2_36716262930381011[[#This Row],[累计净值]]-0.1652</f>
        <v>1.1522999999999999</v>
      </c>
      <c r="G161" s="20">
        <f t="shared" si="43"/>
        <v>6.1549999999999994E-2</v>
      </c>
    </row>
    <row r="162" spans="1:7">
      <c r="A162" s="15">
        <v>43959</v>
      </c>
      <c r="B162" s="104">
        <v>1.3180000000000001</v>
      </c>
      <c r="C162" s="101">
        <f t="shared" si="46"/>
        <v>5.0000000000016698E-4</v>
      </c>
      <c r="D162" s="102" t="str">
        <f t="shared" si="47"/>
        <v>/</v>
      </c>
      <c r="E162" s="102">
        <f ca="1">IF(表2_36716262930381011[[#This Row],[累计净值]]/MAX(INDIRECT("B21:B" &amp; ROW()))-1&lt;E161,表2_36716262930381011[[#This Row],[累计净值]]/MAX(INDIRECT("B21:B" &amp; ROW()))-1,E161)</f>
        <v>-2.4321641297154306E-2</v>
      </c>
      <c r="F162" s="62">
        <f>表2_36716262930381011[[#This Row],[累计净值]]-0.1652</f>
        <v>1.1528</v>
      </c>
      <c r="G162" s="20">
        <f t="shared" si="43"/>
        <v>6.1800000000000077E-2</v>
      </c>
    </row>
    <row r="163" spans="1:7">
      <c r="A163" s="15">
        <v>43962</v>
      </c>
      <c r="B163" s="104">
        <v>1.3197000000000001</v>
      </c>
      <c r="C163" s="101">
        <f t="shared" si="46"/>
        <v>1.7000000000000348E-3</v>
      </c>
      <c r="D163" s="102" t="str">
        <f t="shared" si="47"/>
        <v>/</v>
      </c>
      <c r="E163" s="102">
        <f ca="1">IF(表2_36716262930381011[[#This Row],[累计净值]]/MAX(INDIRECT("B21:B" &amp; ROW()))-1&lt;E162,表2_36716262930381011[[#This Row],[累计净值]]/MAX(INDIRECT("B21:B" &amp; ROW()))-1,E162)</f>
        <v>-2.4321641297154306E-2</v>
      </c>
      <c r="F163" s="62">
        <f>表2_36716262930381011[[#This Row],[累计净值]]-0.1652</f>
        <v>1.1545000000000001</v>
      </c>
      <c r="G163" s="20">
        <f t="shared" si="43"/>
        <v>6.2650000000000095E-2</v>
      </c>
    </row>
    <row r="164" spans="1:7">
      <c r="A164" s="15">
        <v>43963</v>
      </c>
      <c r="B164" s="104">
        <v>1.3229</v>
      </c>
      <c r="C164" s="101">
        <f t="shared" si="46"/>
        <v>3.1999999999998696E-3</v>
      </c>
      <c r="D164" s="102" t="str">
        <f t="shared" si="47"/>
        <v>/</v>
      </c>
      <c r="E164" s="102">
        <f ca="1">IF(表2_36716262930381011[[#This Row],[累计净值]]/MAX(INDIRECT("B21:B" &amp; ROW()))-1&lt;E163,表2_36716262930381011[[#This Row],[累计净值]]/MAX(INDIRECT("B21:B" &amp; ROW()))-1,E163)</f>
        <v>-2.4321641297154306E-2</v>
      </c>
      <c r="F164" s="62">
        <f>表2_36716262930381011[[#This Row],[累计净值]]-0.1652</f>
        <v>1.1577</v>
      </c>
      <c r="G164" s="20">
        <f t="shared" si="43"/>
        <v>6.4250000000000029E-2</v>
      </c>
    </row>
    <row r="165" spans="1:7">
      <c r="A165" s="15">
        <v>43964</v>
      </c>
      <c r="B165" s="104">
        <v>1.3270999999999999</v>
      </c>
      <c r="C165" s="101">
        <f t="shared" si="46"/>
        <v>4.1999999999999815E-3</v>
      </c>
      <c r="D165" s="102" t="str">
        <f t="shared" si="47"/>
        <v>/</v>
      </c>
      <c r="E165" s="102">
        <f ca="1">IF(表2_36716262930381011[[#This Row],[累计净值]]/MAX(INDIRECT("B21:B" &amp; ROW()))-1&lt;E164,表2_36716262930381011[[#This Row],[累计净值]]/MAX(INDIRECT("B21:B" &amp; ROW()))-1,E164)</f>
        <v>-2.4321641297154306E-2</v>
      </c>
      <c r="F165" s="62">
        <f>表2_36716262930381011[[#This Row],[累计净值]]-0.1652</f>
        <v>1.1618999999999999</v>
      </c>
      <c r="G165" s="20">
        <f t="shared" si="43"/>
        <v>6.635000000000002E-2</v>
      </c>
    </row>
    <row r="166" spans="1:7">
      <c r="A166" s="15">
        <v>43965</v>
      </c>
      <c r="B166" s="104">
        <v>1.3249</v>
      </c>
      <c r="C166" s="101">
        <f t="shared" ref="C166:C171" si="48">IFERROR(B166-B165,0)</f>
        <v>-2.1999999999999797E-3</v>
      </c>
      <c r="D166" s="102">
        <f t="shared" ref="D166:D171" si="49">IF(C166&lt;0,C166,"/")</f>
        <v>-2.1999999999999797E-3</v>
      </c>
      <c r="E166" s="102">
        <f ca="1">IF(表2_36716262930381011[[#This Row],[累计净值]]/MAX(INDIRECT("B21:B" &amp; ROW()))-1&lt;E165,表2_36716262930381011[[#This Row],[累计净值]]/MAX(INDIRECT("B21:B" &amp; ROW()))-1,E165)</f>
        <v>-2.4321641297154306E-2</v>
      </c>
      <c r="F166" s="62">
        <f>表2_36716262930381011[[#This Row],[累计净值]]-0.1652</f>
        <v>1.1597</v>
      </c>
      <c r="G166" s="20">
        <f t="shared" si="43"/>
        <v>6.525000000000003E-2</v>
      </c>
    </row>
    <row r="167" spans="1:7">
      <c r="A167" s="15">
        <v>43966</v>
      </c>
      <c r="B167" s="104">
        <v>1.3304</v>
      </c>
      <c r="C167" s="101">
        <f t="shared" si="48"/>
        <v>5.5000000000000604E-3</v>
      </c>
      <c r="D167" s="102" t="str">
        <f t="shared" si="49"/>
        <v>/</v>
      </c>
      <c r="E167" s="102">
        <f ca="1">IF(表2_36716262930381011[[#This Row],[累计净值]]/MAX(INDIRECT("B21:B" &amp; ROW()))-1&lt;E166,表2_36716262930381011[[#This Row],[累计净值]]/MAX(INDIRECT("B21:B" &amp; ROW()))-1,E166)</f>
        <v>-2.4321641297154306E-2</v>
      </c>
      <c r="F167" s="62">
        <f>表2_36716262930381011[[#This Row],[累计净值]]-0.1652</f>
        <v>1.1652</v>
      </c>
      <c r="G167" s="20">
        <f t="shared" si="43"/>
        <v>6.800000000000006E-2</v>
      </c>
    </row>
    <row r="168" spans="1:7">
      <c r="A168" s="15">
        <v>43969</v>
      </c>
      <c r="B168" s="104">
        <v>1.3322000000000001</v>
      </c>
      <c r="C168" s="101">
        <f t="shared" si="48"/>
        <v>1.8000000000000238E-3</v>
      </c>
      <c r="D168" s="102" t="str">
        <f t="shared" si="49"/>
        <v>/</v>
      </c>
      <c r="E168" s="102">
        <f ca="1">IF(表2_36716262930381011[[#This Row],[累计净值]]/MAX(INDIRECT("B21:B" &amp; ROW()))-1&lt;E167,表2_36716262930381011[[#This Row],[累计净值]]/MAX(INDIRECT("B21:B" &amp; ROW()))-1,E167)</f>
        <v>-2.4321641297154306E-2</v>
      </c>
      <c r="F168" s="62">
        <f>表2_36716262930381011[[#This Row],[累计净值]]-0.1652</f>
        <v>1.167</v>
      </c>
      <c r="G168" s="20">
        <f t="shared" si="43"/>
        <v>6.8900000000000072E-2</v>
      </c>
    </row>
    <row r="169" spans="1:7">
      <c r="A169" s="15">
        <v>43970</v>
      </c>
      <c r="B169" s="76">
        <v>1.3376999999999999</v>
      </c>
      <c r="C169" s="101">
        <f t="shared" si="48"/>
        <v>5.4999999999998384E-3</v>
      </c>
      <c r="D169" s="102" t="str">
        <f t="shared" si="49"/>
        <v>/</v>
      </c>
      <c r="E169" s="102">
        <f ca="1">IF(表2_36716262930381011[[#This Row],[累计净值]]/MAX(INDIRECT("B21:B" &amp; ROW()))-1&lt;E168,表2_36716262930381011[[#This Row],[累计净值]]/MAX(INDIRECT("B21:B" &amp; ROW()))-1,E168)</f>
        <v>-2.4321641297154306E-2</v>
      </c>
      <c r="F169" s="62">
        <f>表2_36716262930381011[[#This Row],[累计净值]]-0.1652</f>
        <v>1.1724999999999999</v>
      </c>
      <c r="G169" s="20">
        <f t="shared" si="43"/>
        <v>7.1649999999999991E-2</v>
      </c>
    </row>
    <row r="170" spans="1:7">
      <c r="A170" s="15">
        <v>43971</v>
      </c>
      <c r="B170" s="104">
        <v>1.3319000000000001</v>
      </c>
      <c r="C170" s="101">
        <f t="shared" si="48"/>
        <v>-5.7999999999998053E-3</v>
      </c>
      <c r="D170" s="102">
        <f t="shared" si="49"/>
        <v>-5.7999999999998053E-3</v>
      </c>
      <c r="E170" s="102">
        <f ca="1">IF(表2_36716262930381011[[#This Row],[累计净值]]/MAX(INDIRECT("B21:B" &amp; ROW()))-1&lt;E169,表2_36716262930381011[[#This Row],[累计净值]]/MAX(INDIRECT("B21:B" &amp; ROW()))-1,E169)</f>
        <v>-2.4321641297154306E-2</v>
      </c>
      <c r="F170" s="62">
        <f>表2_36716262930381011[[#This Row],[累计净值]]-0.1652</f>
        <v>1.1667000000000001</v>
      </c>
      <c r="G170" s="20">
        <f t="shared" si="43"/>
        <v>6.8750000000000089E-2</v>
      </c>
    </row>
    <row r="171" spans="1:7">
      <c r="A171" s="15">
        <v>43972</v>
      </c>
      <c r="B171" s="112">
        <v>1.325</v>
      </c>
      <c r="C171" s="108">
        <f t="shared" si="48"/>
        <v>-6.9000000000001283E-3</v>
      </c>
      <c r="D171" s="109">
        <f t="shared" si="49"/>
        <v>-6.9000000000001283E-3</v>
      </c>
      <c r="E171" s="109">
        <f ca="1">IF(表2_36716262930381011[[#This Row],[累计净值]]/MAX(INDIRECT("B21:B" &amp; ROW()))-1&lt;E170,表2_36716262930381011[[#This Row],[累计净值]]/MAX(INDIRECT("B21:B" &amp; ROW()))-1,E170)</f>
        <v>-2.4321641297154306E-2</v>
      </c>
      <c r="F171" s="62">
        <f>表2_36716262930381011[[#This Row],[累计净值]]-0.1652</f>
        <v>1.1597999999999999</v>
      </c>
      <c r="G171" s="20">
        <f t="shared" si="43"/>
        <v>6.5300000000000025E-2</v>
      </c>
    </row>
    <row r="172" spans="1:7">
      <c r="A172" s="15">
        <v>43973</v>
      </c>
      <c r="B172" s="112">
        <v>1.3228</v>
      </c>
      <c r="C172" s="108">
        <f t="shared" ref="C172:C178" si="50">IFERROR(B172-B171,0)</f>
        <v>-2.1999999999999797E-3</v>
      </c>
      <c r="D172" s="109">
        <f t="shared" ref="D172:D178" si="51">IF(C172&lt;0,C172,"/")</f>
        <v>-2.1999999999999797E-3</v>
      </c>
      <c r="E172" s="109">
        <f ca="1">IF(表2_36716262930381011[[#This Row],[累计净值]]/MAX(INDIRECT("B21:B" &amp; ROW()))-1&lt;E171,表2_36716262930381011[[#This Row],[累计净值]]/MAX(INDIRECT("B21:B" &amp; ROW()))-1,E171)</f>
        <v>-2.4321641297154306E-2</v>
      </c>
      <c r="F172" s="62">
        <f>表2_36716262930381011[[#This Row],[累计净值]]-0.1652</f>
        <v>1.1576</v>
      </c>
      <c r="G172" s="20">
        <f t="shared" si="43"/>
        <v>6.4200000000000035E-2</v>
      </c>
    </row>
    <row r="173" spans="1:7">
      <c r="A173" s="15">
        <v>43976</v>
      </c>
      <c r="B173" s="112">
        <v>1.3260000000000001</v>
      </c>
      <c r="C173" s="108">
        <f t="shared" si="50"/>
        <v>3.2000000000000917E-3</v>
      </c>
      <c r="D173" s="109" t="str">
        <f t="shared" si="51"/>
        <v>/</v>
      </c>
      <c r="E173" s="109">
        <f ca="1">IF(表2_36716262930381011[[#This Row],[累计净值]]/MAX(INDIRECT("B21:B" &amp; ROW()))-1&lt;E172,表2_36716262930381011[[#This Row],[累计净值]]/MAX(INDIRECT("B21:B" &amp; ROW()))-1,E172)</f>
        <v>-2.4321641297154306E-2</v>
      </c>
      <c r="F173" s="62">
        <f>表2_36716262930381011[[#This Row],[累计净值]]-0.1652</f>
        <v>1.1608000000000001</v>
      </c>
      <c r="G173" s="20">
        <f t="shared" si="43"/>
        <v>6.5800000000000081E-2</v>
      </c>
    </row>
    <row r="174" spans="1:7">
      <c r="A174" s="15">
        <v>43977</v>
      </c>
      <c r="B174" s="112">
        <v>1.3354999999999999</v>
      </c>
      <c r="C174" s="108">
        <f t="shared" si="50"/>
        <v>9.4999999999998419E-3</v>
      </c>
      <c r="D174" s="109" t="str">
        <f t="shared" si="51"/>
        <v>/</v>
      </c>
      <c r="E174" s="109">
        <f ca="1">IF(表2_36716262930381011[[#This Row],[累计净值]]/MAX(INDIRECT("B21:B" &amp; ROW()))-1&lt;E173,表2_36716262930381011[[#This Row],[累计净值]]/MAX(INDIRECT("B21:B" &amp; ROW()))-1,E173)</f>
        <v>-2.4321641297154306E-2</v>
      </c>
      <c r="F174" s="62">
        <f>表2_36716262930381011[[#This Row],[累计净值]]-0.1652</f>
        <v>1.1702999999999999</v>
      </c>
      <c r="G174" s="20">
        <f t="shared" si="43"/>
        <v>7.0550000000000002E-2</v>
      </c>
    </row>
    <row r="175" spans="1:7">
      <c r="A175" s="15">
        <v>43978</v>
      </c>
      <c r="B175" s="112">
        <v>1.3303</v>
      </c>
      <c r="C175" s="108">
        <f t="shared" si="50"/>
        <v>-5.1999999999998714E-3</v>
      </c>
      <c r="D175" s="109">
        <f t="shared" si="51"/>
        <v>-5.1999999999998714E-3</v>
      </c>
      <c r="E175" s="109">
        <f ca="1">IF(表2_36716262930381011[[#This Row],[累计净值]]/MAX(INDIRECT("B21:B" &amp; ROW()))-1&lt;E174,表2_36716262930381011[[#This Row],[累计净值]]/MAX(INDIRECT("B21:B" &amp; ROW()))-1,E174)</f>
        <v>-2.4321641297154306E-2</v>
      </c>
      <c r="F175" s="62">
        <f>表2_36716262930381011[[#This Row],[累计净值]]-0.1652</f>
        <v>1.1651</v>
      </c>
      <c r="G175" s="20">
        <f t="shared" si="43"/>
        <v>6.7950000000000066E-2</v>
      </c>
    </row>
    <row r="176" spans="1:7">
      <c r="A176" s="15">
        <v>43979</v>
      </c>
      <c r="B176" s="112">
        <v>1.3310999999999999</v>
      </c>
      <c r="C176" s="108">
        <f t="shared" si="50"/>
        <v>7.9999999999991189E-4</v>
      </c>
      <c r="D176" s="109" t="str">
        <f t="shared" si="51"/>
        <v>/</v>
      </c>
      <c r="E176" s="109">
        <f ca="1">IF(表2_36716262930381011[[#This Row],[累计净值]]/MAX(INDIRECT("B21:B" &amp; ROW()))-1&lt;E175,表2_36716262930381011[[#This Row],[累计净值]]/MAX(INDIRECT("B21:B" &amp; ROW()))-1,E175)</f>
        <v>-2.4321641297154306E-2</v>
      </c>
      <c r="F176" s="62">
        <f>表2_36716262930381011[[#This Row],[累计净值]]-0.1652</f>
        <v>1.1658999999999999</v>
      </c>
      <c r="G176" s="20">
        <f t="shared" si="43"/>
        <v>6.8350000000000022E-2</v>
      </c>
    </row>
    <row r="177" spans="1:7">
      <c r="A177" s="15">
        <v>43980</v>
      </c>
      <c r="B177" s="112">
        <v>1.3347</v>
      </c>
      <c r="C177" s="108">
        <f t="shared" si="50"/>
        <v>3.6000000000000476E-3</v>
      </c>
      <c r="D177" s="109" t="str">
        <f t="shared" si="51"/>
        <v>/</v>
      </c>
      <c r="E177" s="109">
        <f ca="1">IF(表2_36716262930381011[[#This Row],[累计净值]]/MAX(INDIRECT("B21:B" &amp; ROW()))-1&lt;E176,表2_36716262930381011[[#This Row],[累计净值]]/MAX(INDIRECT("B21:B" &amp; ROW()))-1,E176)</f>
        <v>-2.4321641297154306E-2</v>
      </c>
      <c r="F177" s="62">
        <f>表2_36716262930381011[[#This Row],[累计净值]]-0.1652</f>
        <v>1.1695</v>
      </c>
      <c r="G177" s="20">
        <f t="shared" si="43"/>
        <v>7.0150000000000046E-2</v>
      </c>
    </row>
    <row r="178" spans="1:7">
      <c r="A178" s="15">
        <v>43983</v>
      </c>
      <c r="B178" s="112">
        <v>1.3380000000000001</v>
      </c>
      <c r="C178" s="108">
        <f t="shared" si="50"/>
        <v>3.3000000000000806E-3</v>
      </c>
      <c r="D178" s="109" t="str">
        <f t="shared" si="51"/>
        <v>/</v>
      </c>
      <c r="E178" s="109">
        <f ca="1">IF(表2_36716262930381011[[#This Row],[累计净值]]/MAX(INDIRECT("B21:B" &amp; ROW()))-1&lt;E177,表2_36716262930381011[[#This Row],[累计净值]]/MAX(INDIRECT("B21:B" &amp; ROW()))-1,E177)</f>
        <v>-2.4321641297154306E-2</v>
      </c>
      <c r="F178" s="62">
        <f>表2_36716262930381011[[#This Row],[累计净值]]-0.1652</f>
        <v>1.1728000000000001</v>
      </c>
      <c r="G178" s="20">
        <f t="shared" si="43"/>
        <v>7.1800000000000086E-2</v>
      </c>
    </row>
    <row r="179" spans="1:7">
      <c r="A179" s="15">
        <v>43984</v>
      </c>
      <c r="B179" s="112">
        <v>1.3376999999999999</v>
      </c>
      <c r="C179" s="108">
        <f t="shared" ref="C179:C184" si="52">IFERROR(B179-B178,0)</f>
        <v>-3.00000000000189E-4</v>
      </c>
      <c r="D179" s="109">
        <f t="shared" ref="D179:D184" si="53">IF(C179&lt;0,C179,"/")</f>
        <v>-3.00000000000189E-4</v>
      </c>
      <c r="E179" s="109">
        <f ca="1">IF(表2_36716262930381011[[#This Row],[累计净值]]/MAX(INDIRECT("B21:B" &amp; ROW()))-1&lt;E178,表2_36716262930381011[[#This Row],[累计净值]]/MAX(INDIRECT("B21:B" &amp; ROW()))-1,E178)</f>
        <v>-2.4321641297154306E-2</v>
      </c>
      <c r="F179" s="62">
        <f>表2_36716262930381011[[#This Row],[累计净值]]-0.1652</f>
        <v>1.1724999999999999</v>
      </c>
      <c r="G179" s="20">
        <f t="shared" si="43"/>
        <v>7.1649999999999991E-2</v>
      </c>
    </row>
    <row r="180" spans="1:7">
      <c r="A180" s="15">
        <v>43985</v>
      </c>
      <c r="B180" s="76">
        <v>1.3443000000000001</v>
      </c>
      <c r="C180" s="108">
        <f t="shared" si="52"/>
        <v>6.6000000000001613E-3</v>
      </c>
      <c r="D180" s="109" t="str">
        <f t="shared" si="53"/>
        <v>/</v>
      </c>
      <c r="E180" s="109">
        <f ca="1">IF(表2_36716262930381011[[#This Row],[累计净值]]/MAX(INDIRECT("B21:B" &amp; ROW()))-1&lt;E179,表2_36716262930381011[[#This Row],[累计净值]]/MAX(INDIRECT("B21:B" &amp; ROW()))-1,E179)</f>
        <v>-2.4321641297154306E-2</v>
      </c>
      <c r="F180" s="62">
        <f>表2_36716262930381011[[#This Row],[累计净值]]-0.1652</f>
        <v>1.1791</v>
      </c>
      <c r="G180" s="20">
        <f t="shared" si="43"/>
        <v>7.4950000000000072E-2</v>
      </c>
    </row>
    <row r="181" spans="1:7">
      <c r="A181" s="15">
        <v>43986</v>
      </c>
      <c r="B181" s="112">
        <v>1.3416999999999999</v>
      </c>
      <c r="C181" s="108">
        <f t="shared" si="52"/>
        <v>-2.6000000000001577E-3</v>
      </c>
      <c r="D181" s="109">
        <f t="shared" si="53"/>
        <v>-2.6000000000001577E-3</v>
      </c>
      <c r="E181" s="109">
        <f ca="1">IF(表2_36716262930381011[[#This Row],[累计净值]]/MAX(INDIRECT("B21:B" &amp; ROW()))-1&lt;E180,表2_36716262930381011[[#This Row],[累计净值]]/MAX(INDIRECT("B21:B" &amp; ROW()))-1,E180)</f>
        <v>-2.4321641297154306E-2</v>
      </c>
      <c r="F181" s="62">
        <f>表2_36716262930381011[[#This Row],[累计净值]]-0.1652</f>
        <v>1.1764999999999999</v>
      </c>
      <c r="G181" s="20">
        <f t="shared" si="43"/>
        <v>7.3649999999999993E-2</v>
      </c>
    </row>
    <row r="182" spans="1:7">
      <c r="A182" s="15">
        <v>43987</v>
      </c>
      <c r="B182" s="112">
        <v>1.3405</v>
      </c>
      <c r="C182" s="108">
        <f t="shared" si="52"/>
        <v>-1.1999999999998678E-3</v>
      </c>
      <c r="D182" s="109">
        <f t="shared" si="53"/>
        <v>-1.1999999999998678E-3</v>
      </c>
      <c r="E182" s="109">
        <f ca="1">IF(表2_36716262930381011[[#This Row],[累计净值]]/MAX(INDIRECT("B21:B" &amp; ROW()))-1&lt;E181,表2_36716262930381011[[#This Row],[累计净值]]/MAX(INDIRECT("B21:B" &amp; ROW()))-1,E181)</f>
        <v>-2.4321641297154306E-2</v>
      </c>
      <c r="F182" s="62">
        <f>表2_36716262930381011[[#This Row],[累计净值]]-0.1652</f>
        <v>1.1753</v>
      </c>
      <c r="G182" s="20">
        <f t="shared" ref="G182:G187" si="54">IF(F182&gt;1.0292,0.5*(F182-1.0292),F182-1.0292)</f>
        <v>7.3050000000000059E-2</v>
      </c>
    </row>
    <row r="183" spans="1:7">
      <c r="A183" s="15">
        <v>43990</v>
      </c>
      <c r="B183" s="112">
        <v>1.3382000000000001</v>
      </c>
      <c r="C183" s="108">
        <f t="shared" si="52"/>
        <v>-2.2999999999999687E-3</v>
      </c>
      <c r="D183" s="109">
        <f t="shared" si="53"/>
        <v>-2.2999999999999687E-3</v>
      </c>
      <c r="E183" s="109">
        <f ca="1">IF(表2_36716262930381011[[#This Row],[累计净值]]/MAX(INDIRECT("B21:B" &amp; ROW()))-1&lt;E182,表2_36716262930381011[[#This Row],[累计净值]]/MAX(INDIRECT("B21:B" &amp; ROW()))-1,E182)</f>
        <v>-2.4321641297154306E-2</v>
      </c>
      <c r="F183" s="62">
        <f>表2_36716262930381011[[#This Row],[累计净值]]-0.1652</f>
        <v>1.173</v>
      </c>
      <c r="G183" s="20">
        <f t="shared" si="54"/>
        <v>7.1900000000000075E-2</v>
      </c>
    </row>
    <row r="184" spans="1:7">
      <c r="A184" s="15">
        <v>43991</v>
      </c>
      <c r="B184" s="112">
        <v>1.3379000000000001</v>
      </c>
      <c r="C184" s="108">
        <f t="shared" si="52"/>
        <v>-2.9999999999996696E-4</v>
      </c>
      <c r="D184" s="109">
        <f t="shared" si="53"/>
        <v>-2.9999999999996696E-4</v>
      </c>
      <c r="E184" s="109">
        <f ca="1">IF(表2_36716262930381011[[#This Row],[累计净值]]/MAX(INDIRECT("B21:B" &amp; ROW()))-1&lt;E183,表2_36716262930381011[[#This Row],[累计净值]]/MAX(INDIRECT("B21:B" &amp; ROW()))-1,E183)</f>
        <v>-2.4321641297154306E-2</v>
      </c>
      <c r="F184" s="62">
        <f>表2_36716262930381011[[#This Row],[累计净值]]-0.1652</f>
        <v>1.1727000000000001</v>
      </c>
      <c r="G184" s="20">
        <f t="shared" si="54"/>
        <v>7.1750000000000091E-2</v>
      </c>
    </row>
    <row r="185" spans="1:7">
      <c r="A185" s="15">
        <v>43992</v>
      </c>
      <c r="B185" s="112">
        <v>1.3389</v>
      </c>
      <c r="C185" s="108">
        <f t="shared" ref="C185:C190" si="55">IFERROR(B185-B184,0)</f>
        <v>9.9999999999988987E-4</v>
      </c>
      <c r="D185" s="109" t="str">
        <f t="shared" ref="D185:D190" si="56">IF(C185&lt;0,C185,"/")</f>
        <v>/</v>
      </c>
      <c r="E185" s="109">
        <f ca="1">IF(表2_36716262930381011[[#This Row],[累计净值]]/MAX(INDIRECT("B21:B" &amp; ROW()))-1&lt;E184,表2_36716262930381011[[#This Row],[累计净值]]/MAX(INDIRECT("B21:B" &amp; ROW()))-1,E184)</f>
        <v>-2.4321641297154306E-2</v>
      </c>
      <c r="F185" s="62">
        <f>表2_36716262930381011[[#This Row],[累计净值]]-0.1652</f>
        <v>1.1737</v>
      </c>
      <c r="G185" s="20">
        <f t="shared" si="54"/>
        <v>7.2250000000000036E-2</v>
      </c>
    </row>
    <row r="186" spans="1:7">
      <c r="A186" s="15">
        <v>43993</v>
      </c>
      <c r="B186" s="112">
        <v>1.341</v>
      </c>
      <c r="C186" s="108">
        <f t="shared" si="55"/>
        <v>2.0999999999999908E-3</v>
      </c>
      <c r="D186" s="109" t="str">
        <f t="shared" si="56"/>
        <v>/</v>
      </c>
      <c r="E186" s="109">
        <f ca="1">IF(表2_36716262930381011[[#This Row],[累计净值]]/MAX(INDIRECT("B21:B" &amp; ROW()))-1&lt;E185,表2_36716262930381011[[#This Row],[累计净值]]/MAX(INDIRECT("B21:B" &amp; ROW()))-1,E185)</f>
        <v>-2.4321641297154306E-2</v>
      </c>
      <c r="F186" s="62">
        <f>表2_36716262930381011[[#This Row],[累计净值]]-0.1652</f>
        <v>1.1758</v>
      </c>
      <c r="G186" s="20">
        <f t="shared" si="54"/>
        <v>7.3300000000000032E-2</v>
      </c>
    </row>
    <row r="187" spans="1:7">
      <c r="A187" s="15">
        <v>43994</v>
      </c>
      <c r="B187" s="112">
        <v>1.3421000000000001</v>
      </c>
      <c r="C187" s="108">
        <f t="shared" si="55"/>
        <v>1.1000000000001009E-3</v>
      </c>
      <c r="D187" s="109" t="str">
        <f t="shared" si="56"/>
        <v>/</v>
      </c>
      <c r="E187" s="109">
        <f ca="1">IF(表2_36716262930381011[[#This Row],[累计净值]]/MAX(INDIRECT("B21:B" &amp; ROW()))-1&lt;E186,表2_36716262930381011[[#This Row],[累计净值]]/MAX(INDIRECT("B21:B" &amp; ROW()))-1,E186)</f>
        <v>-2.4321641297154306E-2</v>
      </c>
      <c r="F187" s="62">
        <f>表2_36716262930381011[[#This Row],[累计净值]]-0.1652</f>
        <v>1.1769000000000001</v>
      </c>
      <c r="G187" s="20">
        <f t="shared" si="54"/>
        <v>7.3850000000000082E-2</v>
      </c>
    </row>
    <row r="188" spans="1:7">
      <c r="A188" s="15">
        <v>43997</v>
      </c>
      <c r="B188" s="112">
        <v>1.3424</v>
      </c>
      <c r="C188" s="108">
        <f t="shared" si="55"/>
        <v>2.9999999999996696E-4</v>
      </c>
      <c r="D188" s="109" t="str">
        <f t="shared" si="56"/>
        <v>/</v>
      </c>
      <c r="E188" s="109">
        <f ca="1">IF(表2_36716262930381011[[#This Row],[累计净值]]/MAX(INDIRECT("B21:B" &amp; ROW()))-1&lt;E187,表2_36716262930381011[[#This Row],[累计净值]]/MAX(INDIRECT("B21:B" &amp; ROW()))-1,E187)</f>
        <v>-2.4321641297154306E-2</v>
      </c>
      <c r="F188" s="62">
        <f>表2_36716262930381011[[#This Row],[累计净值]]-0.1652</f>
        <v>1.1772</v>
      </c>
      <c r="G188" s="20">
        <f t="shared" ref="G188:G219" si="57">IF(F188&gt;1.0292,0.5*(F188-1.0292),F188-1.0292)</f>
        <v>7.4000000000000066E-2</v>
      </c>
    </row>
    <row r="189" spans="1:7">
      <c r="A189" s="15">
        <v>43998</v>
      </c>
      <c r="B189" s="76">
        <v>1.3506</v>
      </c>
      <c r="C189" s="108">
        <f t="shared" si="55"/>
        <v>8.1999999999999851E-3</v>
      </c>
      <c r="D189" s="109" t="str">
        <f t="shared" si="56"/>
        <v>/</v>
      </c>
      <c r="E189" s="109">
        <f ca="1">IF(表2_36716262930381011[[#This Row],[累计净值]]/MAX(INDIRECT("B21:B" &amp; ROW()))-1&lt;E188,表2_36716262930381011[[#This Row],[累计净值]]/MAX(INDIRECT("B21:B" &amp; ROW()))-1,E188)</f>
        <v>-2.4321641297154306E-2</v>
      </c>
      <c r="F189" s="62">
        <f>表2_36716262930381011[[#This Row],[累计净值]]-0.1652</f>
        <v>1.1854</v>
      </c>
      <c r="G189" s="20">
        <f t="shared" si="57"/>
        <v>7.8100000000000058E-2</v>
      </c>
    </row>
    <row r="190" spans="1:7">
      <c r="A190" s="15">
        <v>43999</v>
      </c>
      <c r="B190" s="112">
        <v>1.3452</v>
      </c>
      <c r="C190" s="108">
        <f t="shared" si="55"/>
        <v>-5.4000000000000714E-3</v>
      </c>
      <c r="D190" s="109">
        <f t="shared" si="56"/>
        <v>-5.4000000000000714E-3</v>
      </c>
      <c r="E190" s="109">
        <f ca="1">IF(表2_36716262930381011[[#This Row],[累计净值]]/MAX(INDIRECT("B21:B" &amp; ROW()))-1&lt;E189,表2_36716262930381011[[#This Row],[累计净值]]/MAX(INDIRECT("B21:B" &amp; ROW()))-1,E189)</f>
        <v>-2.4321641297154306E-2</v>
      </c>
      <c r="F190" s="62">
        <f>表2_36716262930381011[[#This Row],[累计净值]]-0.1652</f>
        <v>1.18</v>
      </c>
      <c r="G190" s="20">
        <f t="shared" si="57"/>
        <v>7.5400000000000023E-2</v>
      </c>
    </row>
    <row r="191" spans="1:7">
      <c r="A191" s="15">
        <v>44000</v>
      </c>
      <c r="B191" s="112">
        <v>1.3414999999999999</v>
      </c>
      <c r="C191" s="108">
        <f t="shared" ref="C191:C197" si="58">IFERROR(B191-B190,0)</f>
        <v>-3.7000000000000366E-3</v>
      </c>
      <c r="D191" s="109">
        <f t="shared" ref="D191:D197" si="59">IF(C191&lt;0,C191,"/")</f>
        <v>-3.7000000000000366E-3</v>
      </c>
      <c r="E191" s="109">
        <f ca="1">IF(表2_36716262930381011[[#This Row],[累计净值]]/MAX(INDIRECT("B21:B" &amp; ROW()))-1&lt;E190,表2_36716262930381011[[#This Row],[累计净值]]/MAX(INDIRECT("B21:B" &amp; ROW()))-1,E190)</f>
        <v>-2.4321641297154306E-2</v>
      </c>
      <c r="F191" s="62">
        <f>表2_36716262930381011[[#This Row],[累计净值]]-0.1652</f>
        <v>1.1762999999999999</v>
      </c>
      <c r="G191" s="20">
        <f t="shared" si="57"/>
        <v>7.3550000000000004E-2</v>
      </c>
    </row>
    <row r="192" spans="1:7">
      <c r="A192" s="15">
        <v>44001</v>
      </c>
      <c r="B192" s="112">
        <v>1.3438000000000001</v>
      </c>
      <c r="C192" s="108">
        <f t="shared" si="58"/>
        <v>2.3000000000001908E-3</v>
      </c>
      <c r="D192" s="109" t="str">
        <f t="shared" si="59"/>
        <v>/</v>
      </c>
      <c r="E192" s="109">
        <f ca="1">IF(表2_36716262930381011[[#This Row],[累计净值]]/MAX(INDIRECT("B21:B" &amp; ROW()))-1&lt;E191,表2_36716262930381011[[#This Row],[累计净值]]/MAX(INDIRECT("B21:B" &amp; ROW()))-1,E191)</f>
        <v>-2.4321641297154306E-2</v>
      </c>
      <c r="F192" s="62">
        <f>表2_36716262930381011[[#This Row],[累计净值]]-0.1652</f>
        <v>1.1786000000000001</v>
      </c>
      <c r="G192" s="20">
        <f t="shared" si="57"/>
        <v>7.47000000000001E-2</v>
      </c>
    </row>
    <row r="193" spans="1:7">
      <c r="A193" s="15">
        <v>44004</v>
      </c>
      <c r="B193" s="112">
        <v>1.3553999999999999</v>
      </c>
      <c r="C193" s="108">
        <f t="shared" si="58"/>
        <v>1.1599999999999833E-2</v>
      </c>
      <c r="D193" s="109" t="str">
        <f t="shared" si="59"/>
        <v>/</v>
      </c>
      <c r="E193" s="109">
        <f ca="1">IF(表2_36716262930381011[[#This Row],[累计净值]]/MAX(INDIRECT("B21:B" &amp; ROW()))-1&lt;E192,表2_36716262930381011[[#This Row],[累计净值]]/MAX(INDIRECT("B21:B" &amp; ROW()))-1,E192)</f>
        <v>-2.4321641297154306E-2</v>
      </c>
      <c r="F193" s="62">
        <f>表2_36716262930381011[[#This Row],[累计净值]]-0.1652</f>
        <v>1.1901999999999999</v>
      </c>
      <c r="G193" s="20">
        <f t="shared" si="57"/>
        <v>8.0500000000000016E-2</v>
      </c>
    </row>
    <row r="194" spans="1:7">
      <c r="A194" s="15">
        <v>44005</v>
      </c>
      <c r="B194" s="112">
        <v>1.3566</v>
      </c>
      <c r="C194" s="108">
        <f t="shared" si="58"/>
        <v>1.2000000000000899E-3</v>
      </c>
      <c r="D194" s="109" t="str">
        <f t="shared" si="59"/>
        <v>/</v>
      </c>
      <c r="E194" s="109">
        <f ca="1">IF(表2_36716262930381011[[#This Row],[累计净值]]/MAX(INDIRECT("B21:B" &amp; ROW()))-1&lt;E193,表2_36716262930381011[[#This Row],[累计净值]]/MAX(INDIRECT("B21:B" &amp; ROW()))-1,E193)</f>
        <v>-2.4321641297154306E-2</v>
      </c>
      <c r="F194" s="62">
        <f>表2_36716262930381011[[#This Row],[累计净值]]-0.1652</f>
        <v>1.1914</v>
      </c>
      <c r="G194" s="20">
        <f t="shared" si="57"/>
        <v>8.1100000000000061E-2</v>
      </c>
    </row>
    <row r="195" spans="1:7">
      <c r="A195" s="15">
        <v>44006</v>
      </c>
      <c r="B195" s="112">
        <v>1.3544</v>
      </c>
      <c r="C195" s="108">
        <f t="shared" si="58"/>
        <v>-2.1999999999999797E-3</v>
      </c>
      <c r="D195" s="109">
        <f t="shared" si="59"/>
        <v>-2.1999999999999797E-3</v>
      </c>
      <c r="E195" s="109">
        <f ca="1">IF(表2_36716262930381011[[#This Row],[累计净值]]/MAX(INDIRECT("B21:B" &amp; ROW()))-1&lt;E194,表2_36716262930381011[[#This Row],[累计净值]]/MAX(INDIRECT("B21:B" &amp; ROW()))-1,E194)</f>
        <v>-2.4321641297154306E-2</v>
      </c>
      <c r="F195" s="62">
        <f>表2_36716262930381011[[#This Row],[累计净值]]-0.1652</f>
        <v>1.1892</v>
      </c>
      <c r="G195" s="20">
        <f t="shared" si="57"/>
        <v>8.0000000000000071E-2</v>
      </c>
    </row>
    <row r="196" spans="1:7">
      <c r="A196" s="15">
        <v>44011</v>
      </c>
      <c r="B196" s="112">
        <v>1.3584000000000001</v>
      </c>
      <c r="C196" s="108">
        <f t="shared" si="58"/>
        <v>4.0000000000000036E-3</v>
      </c>
      <c r="D196" s="109" t="str">
        <f t="shared" si="59"/>
        <v>/</v>
      </c>
      <c r="E196" s="109">
        <f ca="1">IF(表2_36716262930381011[[#This Row],[累计净值]]/MAX(INDIRECT("B21:B" &amp; ROW()))-1&lt;E195,表2_36716262930381011[[#This Row],[累计净值]]/MAX(INDIRECT("B21:B" &amp; ROW()))-1,E195)</f>
        <v>-2.4321641297154306E-2</v>
      </c>
      <c r="F196" s="62">
        <f>表2_36716262930381011[[#This Row],[累计净值]]-0.1652</f>
        <v>1.1932</v>
      </c>
      <c r="G196" s="20">
        <f t="shared" si="57"/>
        <v>8.2000000000000073E-2</v>
      </c>
    </row>
    <row r="197" spans="1:7">
      <c r="A197" s="15">
        <v>44012</v>
      </c>
      <c r="B197" s="112">
        <v>1.3641000000000001</v>
      </c>
      <c r="C197" s="108">
        <f t="shared" si="58"/>
        <v>5.7000000000000384E-3</v>
      </c>
      <c r="D197" s="109" t="str">
        <f t="shared" si="59"/>
        <v>/</v>
      </c>
      <c r="E197" s="109">
        <f ca="1">IF(表2_36716262930381011[[#This Row],[累计净值]]/MAX(INDIRECT("B21:B" &amp; ROW()))-1&lt;E196,表2_36716262930381011[[#This Row],[累计净值]]/MAX(INDIRECT("B21:B" &amp; ROW()))-1,E196)</f>
        <v>-2.4321641297154306E-2</v>
      </c>
      <c r="F197" s="62">
        <f>表2_36716262930381011[[#This Row],[累计净值]]-0.1652</f>
        <v>1.1989000000000001</v>
      </c>
      <c r="G197" s="20">
        <f t="shared" si="57"/>
        <v>8.4850000000000092E-2</v>
      </c>
    </row>
    <row r="198" spans="1:7">
      <c r="A198" s="15">
        <v>44013</v>
      </c>
      <c r="B198" s="112">
        <v>1.3613</v>
      </c>
      <c r="C198" s="108">
        <f>IFERROR(B198-B197,0)</f>
        <v>-2.8000000000001357E-3</v>
      </c>
      <c r="D198" s="109">
        <f>IF(C198&lt;0,C198,"/")</f>
        <v>-2.8000000000001357E-3</v>
      </c>
      <c r="E198" s="109">
        <f ca="1">IF(表2_36716262930381011[[#This Row],[累计净值]]/MAX(INDIRECT("B21:B" &amp; ROW()))-1&lt;E197,表2_36716262930381011[[#This Row],[累计净值]]/MAX(INDIRECT("B21:B" &amp; ROW()))-1,E197)</f>
        <v>-2.4321641297154306E-2</v>
      </c>
      <c r="F198" s="62">
        <f>表2_36716262930381011[[#This Row],[累计净值]]-0.1652</f>
        <v>1.1960999999999999</v>
      </c>
      <c r="G198" s="20">
        <f t="shared" si="57"/>
        <v>8.3450000000000024E-2</v>
      </c>
    </row>
    <row r="199" spans="1:7">
      <c r="A199" s="15">
        <v>44014</v>
      </c>
      <c r="B199" s="112">
        <v>1.3503000000000001</v>
      </c>
      <c r="C199" s="108">
        <f>IFERROR(B199-B198,0)</f>
        <v>-1.0999999999999899E-2</v>
      </c>
      <c r="D199" s="109">
        <f>IF(C199&lt;0,C199,"/")</f>
        <v>-1.0999999999999899E-2</v>
      </c>
      <c r="E199" s="109">
        <f ca="1">IF(表2_36716262930381011[[#This Row],[累计净值]]/MAX(INDIRECT("B21:B" &amp; ROW()))-1&lt;E198,表2_36716262930381011[[#This Row],[累计净值]]/MAX(INDIRECT("B21:B" &amp; ROW()))-1,E198)</f>
        <v>-2.4321641297154306E-2</v>
      </c>
      <c r="F199" s="62">
        <f>表2_36716262930381011[[#This Row],[累计净值]]-0.1652</f>
        <v>1.1851</v>
      </c>
      <c r="G199" s="20">
        <f t="shared" si="57"/>
        <v>7.7950000000000075E-2</v>
      </c>
    </row>
    <row r="200" spans="1:7">
      <c r="A200" s="15">
        <v>44015</v>
      </c>
      <c r="B200" s="112">
        <v>1.3466</v>
      </c>
      <c r="C200" s="108">
        <f>IFERROR(B200-B199,0)</f>
        <v>-3.7000000000000366E-3</v>
      </c>
      <c r="D200" s="109">
        <f>IF(C200&lt;0,C200,"/")</f>
        <v>-3.7000000000000366E-3</v>
      </c>
      <c r="E200" s="109">
        <f ca="1">IF(表2_36716262930381011[[#This Row],[累计净值]]/MAX(INDIRECT("B21:B" &amp; ROW()))-1&lt;E199,表2_36716262930381011[[#This Row],[累计净值]]/MAX(INDIRECT("B21:B" &amp; ROW()))-1,E199)</f>
        <v>-2.4321641297154306E-2</v>
      </c>
      <c r="F200" s="62">
        <f>表2_36716262930381011[[#This Row],[累计净值]]-0.1652</f>
        <v>1.1814</v>
      </c>
      <c r="G200" s="20">
        <f t="shared" si="57"/>
        <v>7.6100000000000056E-2</v>
      </c>
    </row>
    <row r="201" spans="1:7">
      <c r="A201" s="15">
        <v>44018</v>
      </c>
      <c r="B201" s="112">
        <v>1.3337000000000001</v>
      </c>
      <c r="C201" s="108">
        <f t="shared" ref="C201:C206" si="60">IFERROR(B201-B200,0)</f>
        <v>-1.2899999999999912E-2</v>
      </c>
      <c r="D201" s="109">
        <f t="shared" ref="D201:D206" si="61">IF(C201&lt;0,C201,"/")</f>
        <v>-1.2899999999999912E-2</v>
      </c>
      <c r="E201" s="109">
        <f ca="1">IF(表2_36716262930381011[[#This Row],[累计净值]]/MAX(INDIRECT("B21:B" &amp; ROW()))-1&lt;E200,表2_36716262930381011[[#This Row],[累计净值]]/MAX(INDIRECT("B21:B" &amp; ROW()))-1,E200)</f>
        <v>-2.4321641297154306E-2</v>
      </c>
      <c r="F201" s="62">
        <f>表2_36716262930381011[[#This Row],[累计净值]]-0.1652</f>
        <v>1.1685000000000001</v>
      </c>
      <c r="G201" s="20">
        <f t="shared" si="57"/>
        <v>6.9650000000000101E-2</v>
      </c>
    </row>
    <row r="202" spans="1:7">
      <c r="A202" s="15">
        <v>44019</v>
      </c>
      <c r="B202" s="112">
        <v>1.3411999999999999</v>
      </c>
      <c r="C202" s="108">
        <f t="shared" si="60"/>
        <v>7.4999999999998401E-3</v>
      </c>
      <c r="D202" s="109" t="str">
        <f t="shared" si="61"/>
        <v>/</v>
      </c>
      <c r="E202" s="109">
        <f ca="1">IF(表2_36716262930381011[[#This Row],[累计净值]]/MAX(INDIRECT("B21:B" &amp; ROW()))-1&lt;E201,表2_36716262930381011[[#This Row],[累计净值]]/MAX(INDIRECT("B21:B" &amp; ROW()))-1,E201)</f>
        <v>-2.4321641297154306E-2</v>
      </c>
      <c r="F202" s="62">
        <f>表2_36716262930381011[[#This Row],[累计净值]]-0.1652</f>
        <v>1.1759999999999999</v>
      </c>
      <c r="G202" s="20">
        <f t="shared" si="57"/>
        <v>7.3400000000000021E-2</v>
      </c>
    </row>
    <row r="203" spans="1:7">
      <c r="A203" s="15">
        <v>44020</v>
      </c>
      <c r="B203" s="112">
        <v>1.3525</v>
      </c>
      <c r="C203" s="108">
        <f t="shared" si="60"/>
        <v>1.1300000000000088E-2</v>
      </c>
      <c r="D203" s="109" t="str">
        <f t="shared" si="61"/>
        <v>/</v>
      </c>
      <c r="E203" s="109">
        <f ca="1">IF(表2_36716262930381011[[#This Row],[累计净值]]/MAX(INDIRECT("B21:B" &amp; ROW()))-1&lt;E202,表2_36716262930381011[[#This Row],[累计净值]]/MAX(INDIRECT("B21:B" &amp; ROW()))-1,E202)</f>
        <v>-2.4321641297154306E-2</v>
      </c>
      <c r="F203" s="62">
        <f>表2_36716262930381011[[#This Row],[累计净值]]-0.1652</f>
        <v>1.1873</v>
      </c>
      <c r="G203" s="20">
        <f t="shared" si="57"/>
        <v>7.9050000000000065E-2</v>
      </c>
    </row>
    <row r="204" spans="1:7">
      <c r="A204" s="15">
        <v>44021</v>
      </c>
      <c r="B204" s="112">
        <v>1.3641000000000001</v>
      </c>
      <c r="C204" s="108">
        <f t="shared" si="60"/>
        <v>1.1600000000000055E-2</v>
      </c>
      <c r="D204" s="109" t="str">
        <f t="shared" si="61"/>
        <v>/</v>
      </c>
      <c r="E204" s="109">
        <f ca="1">IF(表2_36716262930381011[[#This Row],[累计净值]]/MAX(INDIRECT("B21:B" &amp; ROW()))-1&lt;E203,表2_36716262930381011[[#This Row],[累计净值]]/MAX(INDIRECT("B21:B" &amp; ROW()))-1,E203)</f>
        <v>-2.4321641297154306E-2</v>
      </c>
      <c r="F204" s="62">
        <f>表2_36716262930381011[[#This Row],[累计净值]]-0.1652</f>
        <v>1.1989000000000001</v>
      </c>
      <c r="G204" s="20">
        <f t="shared" si="57"/>
        <v>8.4850000000000092E-2</v>
      </c>
    </row>
    <row r="205" spans="1:7">
      <c r="A205" s="15">
        <v>44022</v>
      </c>
      <c r="B205" s="112">
        <v>1.3720000000000001</v>
      </c>
      <c r="C205" s="108">
        <f t="shared" si="60"/>
        <v>7.9000000000000181E-3</v>
      </c>
      <c r="D205" s="109" t="str">
        <f t="shared" si="61"/>
        <v>/</v>
      </c>
      <c r="E205" s="109">
        <f ca="1">IF(表2_36716262930381011[[#This Row],[累计净值]]/MAX(INDIRECT("B21:B" &amp; ROW()))-1&lt;E204,表2_36716262930381011[[#This Row],[累计净值]]/MAX(INDIRECT("B21:B" &amp; ROW()))-1,E204)</f>
        <v>-2.4321641297154306E-2</v>
      </c>
      <c r="F205" s="62">
        <f>表2_36716262930381011[[#This Row],[累计净值]]-0.1652</f>
        <v>1.2068000000000001</v>
      </c>
      <c r="G205" s="20">
        <f t="shared" si="57"/>
        <v>8.8800000000000101E-2</v>
      </c>
    </row>
    <row r="206" spans="1:7">
      <c r="A206" s="15">
        <v>44025</v>
      </c>
      <c r="B206" s="112">
        <v>1.3791</v>
      </c>
      <c r="C206" s="108">
        <f t="shared" si="60"/>
        <v>7.0999999999998842E-3</v>
      </c>
      <c r="D206" s="109" t="str">
        <f t="shared" si="61"/>
        <v>/</v>
      </c>
      <c r="E206" s="109">
        <f ca="1">IF(表2_36716262930381011[[#This Row],[累计净值]]/MAX(INDIRECT("B21:B" &amp; ROW()))-1&lt;E205,表2_36716262930381011[[#This Row],[累计净值]]/MAX(INDIRECT("B21:B" &amp; ROW()))-1,E205)</f>
        <v>-2.4321641297154306E-2</v>
      </c>
      <c r="F206" s="62">
        <f>表2_36716262930381011[[#This Row],[累计净值]]-0.1652</f>
        <v>1.2139</v>
      </c>
      <c r="G206" s="20">
        <f t="shared" si="57"/>
        <v>9.2350000000000043E-2</v>
      </c>
    </row>
    <row r="207" spans="1:7">
      <c r="A207" s="15">
        <v>44026</v>
      </c>
      <c r="B207" s="76">
        <v>1.3867</v>
      </c>
      <c r="C207" s="108">
        <f t="shared" ref="C207:C212" si="62">IFERROR(B207-B206,0)</f>
        <v>7.6000000000000512E-3</v>
      </c>
      <c r="D207" s="109" t="str">
        <f t="shared" ref="D207:D212" si="63">IF(C207&lt;0,C207,"/")</f>
        <v>/</v>
      </c>
      <c r="E207" s="109">
        <f ca="1">IF(表2_36716262930381011[[#This Row],[累计净值]]/MAX(INDIRECT("B21:B" &amp; ROW()))-1&lt;E206,表2_36716262930381011[[#This Row],[累计净值]]/MAX(INDIRECT("B21:B" &amp; ROW()))-1,E206)</f>
        <v>-2.4321641297154306E-2</v>
      </c>
      <c r="F207" s="62">
        <f>表2_36716262930381011[[#This Row],[累计净值]]-0.1652</f>
        <v>1.2215</v>
      </c>
      <c r="G207" s="20">
        <f t="shared" si="57"/>
        <v>9.6150000000000069E-2</v>
      </c>
    </row>
    <row r="208" spans="1:7">
      <c r="A208" s="15">
        <v>44027</v>
      </c>
      <c r="B208" s="112">
        <v>1.3774999999999999</v>
      </c>
      <c r="C208" s="108">
        <f t="shared" si="62"/>
        <v>-9.200000000000097E-3</v>
      </c>
      <c r="D208" s="109">
        <f t="shared" si="63"/>
        <v>-9.200000000000097E-3</v>
      </c>
      <c r="E208" s="109">
        <f ca="1">IF(表2_36716262930381011[[#This Row],[累计净值]]/MAX(INDIRECT("B21:B" &amp; ROW()))-1&lt;E207,表2_36716262930381011[[#This Row],[累计净值]]/MAX(INDIRECT("B21:B" &amp; ROW()))-1,E207)</f>
        <v>-2.4321641297154306E-2</v>
      </c>
      <c r="F208" s="62">
        <f>表2_36716262930381011[[#This Row],[累计净值]]-0.1652</f>
        <v>1.2122999999999999</v>
      </c>
      <c r="G208" s="20">
        <f t="shared" si="57"/>
        <v>9.155000000000002E-2</v>
      </c>
    </row>
    <row r="209" spans="1:7">
      <c r="A209" s="15">
        <v>44028</v>
      </c>
      <c r="B209" s="112">
        <v>1.3619000000000001</v>
      </c>
      <c r="C209" s="108">
        <f t="shared" si="62"/>
        <v>-1.5599999999999836E-2</v>
      </c>
      <c r="D209" s="109">
        <f t="shared" si="63"/>
        <v>-1.5599999999999836E-2</v>
      </c>
      <c r="E209" s="109">
        <f ca="1">IF(表2_36716262930381011[[#This Row],[累计净值]]/MAX(INDIRECT("B21:B" &amp; ROW()))-1&lt;E208,表2_36716262930381011[[#This Row],[累计净值]]/MAX(INDIRECT("B21:B" &amp; ROW()))-1,E208)</f>
        <v>-2.4321641297154306E-2</v>
      </c>
      <c r="F209" s="62">
        <f>表2_36716262930381011[[#This Row],[累计净值]]-0.1652</f>
        <v>1.1967000000000001</v>
      </c>
      <c r="G209" s="20">
        <f t="shared" si="57"/>
        <v>8.3750000000000102E-2</v>
      </c>
    </row>
    <row r="210" spans="1:7">
      <c r="A210" s="15">
        <v>44029</v>
      </c>
      <c r="B210" s="112">
        <v>1.3644000000000001</v>
      </c>
      <c r="C210" s="108">
        <f t="shared" si="62"/>
        <v>2.4999999999999467E-3</v>
      </c>
      <c r="D210" s="109" t="str">
        <f t="shared" si="63"/>
        <v>/</v>
      </c>
      <c r="E210" s="109">
        <f ca="1">IF(表2_36716262930381011[[#This Row],[累计净值]]/MAX(INDIRECT("B21:B" &amp; ROW()))-1&lt;E209,表2_36716262930381011[[#This Row],[累计净值]]/MAX(INDIRECT("B21:B" &amp; ROW()))-1,E209)</f>
        <v>-2.4321641297154306E-2</v>
      </c>
      <c r="F210" s="62">
        <f>表2_36716262930381011[[#This Row],[累计净值]]-0.1652</f>
        <v>1.1992</v>
      </c>
      <c r="G210" s="20">
        <f t="shared" si="57"/>
        <v>8.5000000000000075E-2</v>
      </c>
    </row>
    <row r="211" spans="1:7">
      <c r="A211" s="15">
        <v>44032</v>
      </c>
      <c r="B211" s="112">
        <v>1.3675999999999999</v>
      </c>
      <c r="C211" s="108">
        <f t="shared" si="62"/>
        <v>3.1999999999998696E-3</v>
      </c>
      <c r="D211" s="109" t="str">
        <f t="shared" si="63"/>
        <v>/</v>
      </c>
      <c r="E211" s="109">
        <f ca="1">IF(表2_36716262930381011[[#This Row],[累计净值]]/MAX(INDIRECT("B21:B" &amp; ROW()))-1&lt;E210,表2_36716262930381011[[#This Row],[累计净值]]/MAX(INDIRECT("B21:B" &amp; ROW()))-1,E210)</f>
        <v>-2.4321641297154306E-2</v>
      </c>
      <c r="F211" s="62">
        <f>表2_36716262930381011[[#This Row],[累计净值]]-0.1652</f>
        <v>1.2023999999999999</v>
      </c>
      <c r="G211" s="20">
        <f t="shared" si="57"/>
        <v>8.660000000000001E-2</v>
      </c>
    </row>
    <row r="212" spans="1:7">
      <c r="A212" s="15">
        <v>44033</v>
      </c>
      <c r="B212" s="112">
        <v>1.3728</v>
      </c>
      <c r="C212" s="108">
        <f t="shared" si="62"/>
        <v>5.2000000000000934E-3</v>
      </c>
      <c r="D212" s="109" t="str">
        <f t="shared" si="63"/>
        <v>/</v>
      </c>
      <c r="E212" s="109">
        <f ca="1">IF(表2_36716262930381011[[#This Row],[累计净值]]/MAX(INDIRECT("B21:B" &amp; ROW()))-1&lt;E211,表2_36716262930381011[[#This Row],[累计净值]]/MAX(INDIRECT("B21:B" &amp; ROW()))-1,E211)</f>
        <v>-2.4321641297154306E-2</v>
      </c>
      <c r="F212" s="62">
        <f>表2_36716262930381011[[#This Row],[累计净值]]-0.1652</f>
        <v>1.2076</v>
      </c>
      <c r="G212" s="20">
        <f t="shared" si="57"/>
        <v>8.9200000000000057E-2</v>
      </c>
    </row>
    <row r="213" spans="1:7">
      <c r="A213" s="15">
        <v>44034</v>
      </c>
      <c r="B213" s="112">
        <v>1.3747</v>
      </c>
      <c r="C213" s="108">
        <f>IFERROR(B213-B212,0)</f>
        <v>1.9000000000000128E-3</v>
      </c>
      <c r="D213" s="109" t="str">
        <f>IF(C213&lt;0,C213,"/")</f>
        <v>/</v>
      </c>
      <c r="E213" s="109">
        <f ca="1">IF(表2_36716262930381011[[#This Row],[累计净值]]/MAX(INDIRECT("B21:B" &amp; ROW()))-1&lt;E212,表2_36716262930381011[[#This Row],[累计净值]]/MAX(INDIRECT("B21:B" &amp; ROW()))-1,E212)</f>
        <v>-2.4321641297154306E-2</v>
      </c>
      <c r="F213" s="62">
        <f>表2_36716262930381011[[#This Row],[累计净值]]-0.1652</f>
        <v>1.2095</v>
      </c>
      <c r="G213" s="20">
        <f t="shared" si="57"/>
        <v>9.0150000000000063E-2</v>
      </c>
    </row>
    <row r="214" spans="1:7">
      <c r="A214" s="15">
        <v>44035</v>
      </c>
      <c r="B214" s="112">
        <v>1.3752</v>
      </c>
      <c r="C214" s="108">
        <f>IFERROR(B214-B213,0)</f>
        <v>4.9999999999994493E-4</v>
      </c>
      <c r="D214" s="109" t="str">
        <f>IF(C214&lt;0,C214,"/")</f>
        <v>/</v>
      </c>
      <c r="E214" s="109">
        <f ca="1">IF(表2_36716262930381011[[#This Row],[累计净值]]/MAX(INDIRECT("B21:B" &amp; ROW()))-1&lt;E213,表2_36716262930381011[[#This Row],[累计净值]]/MAX(INDIRECT("B21:B" &amp; ROW()))-1,E213)</f>
        <v>-2.4321641297154306E-2</v>
      </c>
      <c r="F214" s="62">
        <f>表2_36716262930381011[[#This Row],[累计净值]]-0.1652</f>
        <v>1.21</v>
      </c>
      <c r="G214" s="20">
        <f t="shared" si="57"/>
        <v>9.0400000000000036E-2</v>
      </c>
    </row>
    <row r="215" spans="1:7">
      <c r="A215" s="15">
        <v>44036</v>
      </c>
      <c r="B215" s="112">
        <v>1.3686</v>
      </c>
      <c r="C215" s="108">
        <f>IFERROR(B215-B214,0)</f>
        <v>-6.5999999999999392E-3</v>
      </c>
      <c r="D215" s="109">
        <f>IF(C215&lt;0,C215,"/")</f>
        <v>-6.5999999999999392E-3</v>
      </c>
      <c r="E215" s="109">
        <f ca="1">IF(表2_36716262930381011[[#This Row],[累计净值]]/MAX(INDIRECT("B21:B" &amp; ROW()))-1&lt;E214,表2_36716262930381011[[#This Row],[累计净值]]/MAX(INDIRECT("B21:B" &amp; ROW()))-1,E214)</f>
        <v>-2.4321641297154306E-2</v>
      </c>
      <c r="F215" s="62">
        <f>表2_36716262930381011[[#This Row],[累计净值]]-0.1652</f>
        <v>1.2034</v>
      </c>
      <c r="G215" s="20">
        <f t="shared" si="57"/>
        <v>8.7100000000000066E-2</v>
      </c>
    </row>
    <row r="216" spans="1:7">
      <c r="A216" s="15">
        <v>44039</v>
      </c>
      <c r="B216" s="112">
        <v>1.3758999999999999</v>
      </c>
      <c r="C216" s="108">
        <f t="shared" ref="C216:C221" si="64">IFERROR(B216-B215,0)</f>
        <v>7.2999999999998622E-3</v>
      </c>
      <c r="D216" s="109" t="str">
        <f t="shared" ref="D216:D221" si="65">IF(C216&lt;0,C216,"/")</f>
        <v>/</v>
      </c>
      <c r="E216" s="109">
        <f ca="1">IF(表2_36716262930381011[[#This Row],[累计净值]]/MAX(INDIRECT("B21:B" &amp; ROW()))-1&lt;E215,表2_36716262930381011[[#This Row],[累计净值]]/MAX(INDIRECT("B21:B" &amp; ROW()))-1,E215)</f>
        <v>-2.4321641297154306E-2</v>
      </c>
      <c r="F216" s="62">
        <f>表2_36716262930381011[[#This Row],[累计净值]]-0.1652</f>
        <v>1.2106999999999999</v>
      </c>
      <c r="G216" s="20">
        <f t="shared" si="57"/>
        <v>9.0749999999999997E-2</v>
      </c>
    </row>
    <row r="217" spans="1:7">
      <c r="A217" s="15">
        <v>44040</v>
      </c>
      <c r="B217" s="112">
        <v>1.3834</v>
      </c>
      <c r="C217" s="108">
        <f t="shared" si="64"/>
        <v>7.5000000000000622E-3</v>
      </c>
      <c r="D217" s="109" t="str">
        <f t="shared" si="65"/>
        <v>/</v>
      </c>
      <c r="E217" s="109">
        <f ca="1">IF(表2_36716262930381011[[#This Row],[累计净值]]/MAX(INDIRECT("B21:B" &amp; ROW()))-1&lt;E216,表2_36716262930381011[[#This Row],[累计净值]]/MAX(INDIRECT("B21:B" &amp; ROW()))-1,E216)</f>
        <v>-2.4321641297154306E-2</v>
      </c>
      <c r="F217" s="62">
        <f>表2_36716262930381011[[#This Row],[累计净值]]-0.1652</f>
        <v>1.2181999999999999</v>
      </c>
      <c r="G217" s="20">
        <f t="shared" si="57"/>
        <v>9.4500000000000028E-2</v>
      </c>
    </row>
    <row r="218" spans="1:7">
      <c r="A218" s="15">
        <v>44041</v>
      </c>
      <c r="B218" s="112">
        <v>1.3854</v>
      </c>
      <c r="C218" s="108">
        <f t="shared" si="64"/>
        <v>2.0000000000000018E-3</v>
      </c>
      <c r="D218" s="109" t="str">
        <f t="shared" si="65"/>
        <v>/</v>
      </c>
      <c r="E218" s="109">
        <f ca="1">IF(表2_36716262930381011[[#This Row],[累计净值]]/MAX(INDIRECT("B21:B" &amp; ROW()))-1&lt;E217,表2_36716262930381011[[#This Row],[累计净值]]/MAX(INDIRECT("B21:B" &amp; ROW()))-1,E217)</f>
        <v>-2.4321641297154306E-2</v>
      </c>
      <c r="F218" s="62">
        <f>表2_36716262930381011[[#This Row],[累计净值]]-0.1652</f>
        <v>1.2202</v>
      </c>
      <c r="G218" s="20">
        <f t="shared" si="57"/>
        <v>9.5500000000000029E-2</v>
      </c>
    </row>
    <row r="219" spans="1:7">
      <c r="A219" s="15">
        <v>44042</v>
      </c>
      <c r="B219" s="112">
        <v>1.3806</v>
      </c>
      <c r="C219" s="108">
        <f t="shared" si="64"/>
        <v>-4.7999999999999154E-3</v>
      </c>
      <c r="D219" s="109">
        <f t="shared" si="65"/>
        <v>-4.7999999999999154E-3</v>
      </c>
      <c r="E219" s="109">
        <f ca="1">IF(表2_36716262930381011[[#This Row],[累计净值]]/MAX(INDIRECT("B21:B" &amp; ROW()))-1&lt;E218,表2_36716262930381011[[#This Row],[累计净值]]/MAX(INDIRECT("B21:B" &amp; ROW()))-1,E218)</f>
        <v>-2.4321641297154306E-2</v>
      </c>
      <c r="F219" s="62">
        <f>表2_36716262930381011[[#This Row],[累计净值]]-0.1652</f>
        <v>1.2154</v>
      </c>
      <c r="G219" s="20">
        <f t="shared" si="57"/>
        <v>9.3100000000000072E-2</v>
      </c>
    </row>
    <row r="220" spans="1:7">
      <c r="A220" s="15">
        <v>44043</v>
      </c>
      <c r="B220" s="112">
        <v>1.3876999999999999</v>
      </c>
      <c r="C220" s="108">
        <f t="shared" si="64"/>
        <v>7.0999999999998842E-3</v>
      </c>
      <c r="D220" s="109" t="str">
        <f t="shared" si="65"/>
        <v>/</v>
      </c>
      <c r="E220" s="109">
        <f ca="1">IF(表2_36716262930381011[[#This Row],[累计净值]]/MAX(INDIRECT("B21:B" &amp; ROW()))-1&lt;E219,表2_36716262930381011[[#This Row],[累计净值]]/MAX(INDIRECT("B21:B" &amp; ROW()))-1,E219)</f>
        <v>-2.4321641297154306E-2</v>
      </c>
      <c r="F220" s="62">
        <f>表2_36716262930381011[[#This Row],[累计净值]]-0.1652</f>
        <v>1.2224999999999999</v>
      </c>
      <c r="G220" s="20">
        <f t="shared" ref="G220:G251" si="66">IF(F220&gt;1.0292,0.5*(F220-1.0292),F220-1.0292)</f>
        <v>9.6650000000000014E-2</v>
      </c>
    </row>
    <row r="221" spans="1:7">
      <c r="A221" s="15">
        <v>44046</v>
      </c>
      <c r="B221" s="112">
        <v>1.3971</v>
      </c>
      <c r="C221" s="108">
        <f t="shared" si="64"/>
        <v>9.400000000000075E-3</v>
      </c>
      <c r="D221" s="109" t="str">
        <f t="shared" si="65"/>
        <v>/</v>
      </c>
      <c r="E221" s="109">
        <f ca="1">IF(表2_36716262930381011[[#This Row],[累计净值]]/MAX(INDIRECT("B21:B" &amp; ROW()))-1&lt;E220,表2_36716262930381011[[#This Row],[累计净值]]/MAX(INDIRECT("B21:B" &amp; ROW()))-1,E220)</f>
        <v>-2.4321641297154306E-2</v>
      </c>
      <c r="F221" s="62">
        <f>表2_36716262930381011[[#This Row],[累计净值]]-0.1652</f>
        <v>1.2319</v>
      </c>
      <c r="G221" s="20">
        <f t="shared" si="66"/>
        <v>0.10135000000000005</v>
      </c>
    </row>
    <row r="222" spans="1:7">
      <c r="A222" s="15">
        <v>44047</v>
      </c>
      <c r="B222" s="112">
        <v>1.3936999999999999</v>
      </c>
      <c r="C222" s="108">
        <f t="shared" ref="C222:C227" si="67">IFERROR(B222-B221,0)</f>
        <v>-3.4000000000000696E-3</v>
      </c>
      <c r="D222" s="109">
        <f t="shared" ref="D222:D227" si="68">IF(C222&lt;0,C222,"/")</f>
        <v>-3.4000000000000696E-3</v>
      </c>
      <c r="E222" s="109">
        <f ca="1">IF(表2_36716262930381011[[#This Row],[累计净值]]/MAX(INDIRECT("B21:B" &amp; ROW()))-1&lt;E221,表2_36716262930381011[[#This Row],[累计净值]]/MAX(INDIRECT("B21:B" &amp; ROW()))-1,E221)</f>
        <v>-2.4321641297154306E-2</v>
      </c>
      <c r="F222" s="62">
        <f>表2_36716262930381011[[#This Row],[累计净值]]-0.1652</f>
        <v>1.2284999999999999</v>
      </c>
      <c r="G222" s="20">
        <f t="shared" si="66"/>
        <v>9.9650000000000016E-2</v>
      </c>
    </row>
    <row r="223" spans="1:7">
      <c r="A223" s="15">
        <v>44048</v>
      </c>
      <c r="B223" s="76">
        <v>1.4024000000000001</v>
      </c>
      <c r="C223" s="108">
        <f t="shared" si="67"/>
        <v>8.7000000000001521E-3</v>
      </c>
      <c r="D223" s="109" t="str">
        <f t="shared" si="68"/>
        <v>/</v>
      </c>
      <c r="E223" s="109">
        <f ca="1">IF(表2_36716262930381011[[#This Row],[累计净值]]/MAX(INDIRECT("B21:B" &amp; ROW()))-1&lt;E222,表2_36716262930381011[[#This Row],[累计净值]]/MAX(INDIRECT("B21:B" &amp; ROW()))-1,E222)</f>
        <v>-2.4321641297154306E-2</v>
      </c>
      <c r="F223" s="62">
        <f>表2_36716262930381011[[#This Row],[累计净值]]-0.1652</f>
        <v>1.2372000000000001</v>
      </c>
      <c r="G223" s="20">
        <f t="shared" si="66"/>
        <v>0.10400000000000009</v>
      </c>
    </row>
    <row r="224" spans="1:7">
      <c r="A224" s="15">
        <v>44049</v>
      </c>
      <c r="B224" s="112">
        <v>1.4016999999999999</v>
      </c>
      <c r="C224" s="108">
        <f t="shared" si="67"/>
        <v>-7.0000000000014495E-4</v>
      </c>
      <c r="D224" s="109">
        <f t="shared" si="68"/>
        <v>-7.0000000000014495E-4</v>
      </c>
      <c r="E224" s="109">
        <f ca="1">IF(表2_36716262930381011[[#This Row],[累计净值]]/MAX(INDIRECT("B21:B" &amp; ROW()))-1&lt;E223,表2_36716262930381011[[#This Row],[累计净值]]/MAX(INDIRECT("B21:B" &amp; ROW()))-1,E223)</f>
        <v>-2.4321641297154306E-2</v>
      </c>
      <c r="F224" s="62">
        <f>表2_36716262930381011[[#This Row],[累计净值]]-0.1652</f>
        <v>1.2364999999999999</v>
      </c>
      <c r="G224" s="20">
        <f t="shared" si="66"/>
        <v>0.10365000000000002</v>
      </c>
    </row>
    <row r="225" spans="1:7">
      <c r="A225" s="15">
        <v>44050</v>
      </c>
      <c r="B225" s="112">
        <v>1.3998999999999999</v>
      </c>
      <c r="C225" s="108">
        <f t="shared" si="67"/>
        <v>-1.8000000000000238E-3</v>
      </c>
      <c r="D225" s="109">
        <f t="shared" si="68"/>
        <v>-1.8000000000000238E-3</v>
      </c>
      <c r="E225" s="109">
        <f ca="1">IF(表2_36716262930381011[[#This Row],[累计净值]]/MAX(INDIRECT("B21:B" &amp; ROW()))-1&lt;E224,表2_36716262930381011[[#This Row],[累计净值]]/MAX(INDIRECT("B21:B" &amp; ROW()))-1,E224)</f>
        <v>-2.4321641297154306E-2</v>
      </c>
      <c r="F225" s="62">
        <f>表2_36716262930381011[[#This Row],[累计净值]]-0.1652</f>
        <v>1.2346999999999999</v>
      </c>
      <c r="G225" s="20">
        <f t="shared" si="66"/>
        <v>0.10275000000000001</v>
      </c>
    </row>
    <row r="226" spans="1:7">
      <c r="A226" s="15">
        <v>44053</v>
      </c>
      <c r="B226" s="112">
        <v>1.3928</v>
      </c>
      <c r="C226" s="108">
        <f t="shared" si="67"/>
        <v>-7.0999999999998842E-3</v>
      </c>
      <c r="D226" s="109">
        <f t="shared" si="68"/>
        <v>-7.0999999999998842E-3</v>
      </c>
      <c r="E226" s="109">
        <f ca="1">IF(表2_36716262930381011[[#This Row],[累计净值]]/MAX(INDIRECT("B21:B" &amp; ROW()))-1&lt;E225,表2_36716262930381011[[#This Row],[累计净值]]/MAX(INDIRECT("B21:B" &amp; ROW()))-1,E225)</f>
        <v>-2.4321641297154306E-2</v>
      </c>
      <c r="F226" s="62">
        <f>表2_36716262930381011[[#This Row],[累计净值]]-0.1652</f>
        <v>1.2276</v>
      </c>
      <c r="G226" s="20">
        <f t="shared" si="66"/>
        <v>9.9200000000000066E-2</v>
      </c>
    </row>
    <row r="227" spans="1:7">
      <c r="A227" s="15">
        <v>44054</v>
      </c>
      <c r="B227" s="112">
        <v>1.3891</v>
      </c>
      <c r="C227" s="108">
        <f t="shared" si="67"/>
        <v>-3.7000000000000366E-3</v>
      </c>
      <c r="D227" s="109">
        <f t="shared" si="68"/>
        <v>-3.7000000000000366E-3</v>
      </c>
      <c r="E227" s="109">
        <f ca="1">IF(表2_36716262930381011[[#This Row],[累计净值]]/MAX(INDIRECT("B21:B" &amp; ROW()))-1&lt;E226,表2_36716262930381011[[#This Row],[累计净值]]/MAX(INDIRECT("B21:B" &amp; ROW()))-1,E226)</f>
        <v>-2.4321641297154306E-2</v>
      </c>
      <c r="F227" s="62">
        <f>表2_36716262930381011[[#This Row],[累计净值]]-0.1652</f>
        <v>1.2239</v>
      </c>
      <c r="G227" s="20">
        <f t="shared" si="66"/>
        <v>9.7350000000000048E-2</v>
      </c>
    </row>
    <row r="228" spans="1:7">
      <c r="A228" s="15">
        <v>44055</v>
      </c>
      <c r="B228" s="112">
        <v>1.3889</v>
      </c>
      <c r="C228" s="108">
        <f t="shared" ref="C228:C233" si="69">IFERROR(B228-B227,0)</f>
        <v>-1.9999999999997797E-4</v>
      </c>
      <c r="D228" s="109">
        <f t="shared" ref="D228:D233" si="70">IF(C228&lt;0,C228,"/")</f>
        <v>-1.9999999999997797E-4</v>
      </c>
      <c r="E228" s="109">
        <f ca="1">IF(表2_36716262930381011[[#This Row],[累计净值]]/MAX(INDIRECT("B21:B" &amp; ROW()))-1&lt;E227,表2_36716262930381011[[#This Row],[累计净值]]/MAX(INDIRECT("B21:B" &amp; ROW()))-1,E227)</f>
        <v>-2.4321641297154306E-2</v>
      </c>
      <c r="F228" s="62">
        <f>表2_36716262930381011[[#This Row],[累计净值]]-0.1652</f>
        <v>1.2237</v>
      </c>
      <c r="G228" s="20">
        <f t="shared" si="66"/>
        <v>9.7250000000000059E-2</v>
      </c>
    </row>
    <row r="229" spans="1:7">
      <c r="A229" s="15">
        <v>44056</v>
      </c>
      <c r="B229" s="112">
        <v>1.3861000000000001</v>
      </c>
      <c r="C229" s="108">
        <f t="shared" si="69"/>
        <v>-2.7999999999999137E-3</v>
      </c>
      <c r="D229" s="109">
        <f t="shared" si="70"/>
        <v>-2.7999999999999137E-3</v>
      </c>
      <c r="E229" s="109">
        <f ca="1">IF(表2_36716262930381011[[#This Row],[累计净值]]/MAX(INDIRECT("B21:B" &amp; ROW()))-1&lt;E228,表2_36716262930381011[[#This Row],[累计净值]]/MAX(INDIRECT("B21:B" &amp; ROW()))-1,E228)</f>
        <v>-2.4321641297154306E-2</v>
      </c>
      <c r="F229" s="62">
        <f>表2_36716262930381011[[#This Row],[累计净值]]-0.1652</f>
        <v>1.2209000000000001</v>
      </c>
      <c r="G229" s="20">
        <f t="shared" si="66"/>
        <v>9.5850000000000102E-2</v>
      </c>
    </row>
    <row r="230" spans="1:7">
      <c r="A230" s="15">
        <v>44057</v>
      </c>
      <c r="B230" s="112">
        <v>1.3811</v>
      </c>
      <c r="C230" s="108">
        <f t="shared" si="69"/>
        <v>-5.0000000000001155E-3</v>
      </c>
      <c r="D230" s="109">
        <f t="shared" si="70"/>
        <v>-5.0000000000001155E-3</v>
      </c>
      <c r="E230" s="109">
        <f ca="1">IF(表2_36716262930381011[[#This Row],[累计净值]]/MAX(INDIRECT("B21:B" &amp; ROW()))-1&lt;E229,表2_36716262930381011[[#This Row],[累计净值]]/MAX(INDIRECT("B21:B" &amp; ROW()))-1,E229)</f>
        <v>-2.4321641297154306E-2</v>
      </c>
      <c r="F230" s="62">
        <f>表2_36716262930381011[[#This Row],[累计净值]]-0.1652</f>
        <v>1.2159</v>
      </c>
      <c r="G230" s="20">
        <f t="shared" si="66"/>
        <v>9.3350000000000044E-2</v>
      </c>
    </row>
    <row r="231" spans="1:7">
      <c r="A231" s="15">
        <v>44060</v>
      </c>
      <c r="B231" s="112">
        <v>1.3907</v>
      </c>
      <c r="C231" s="108">
        <f t="shared" si="69"/>
        <v>9.6000000000000529E-3</v>
      </c>
      <c r="D231" s="109" t="str">
        <f t="shared" si="70"/>
        <v>/</v>
      </c>
      <c r="E231" s="109">
        <f ca="1">IF(表2_36716262930381011[[#This Row],[累计净值]]/MAX(INDIRECT("B21:B" &amp; ROW()))-1&lt;E230,表2_36716262930381011[[#This Row],[累计净值]]/MAX(INDIRECT("B21:B" &amp; ROW()))-1,E230)</f>
        <v>-2.4321641297154306E-2</v>
      </c>
      <c r="F231" s="62">
        <f>表2_36716262930381011[[#This Row],[累计净值]]-0.1652</f>
        <v>1.2255</v>
      </c>
      <c r="G231" s="20">
        <f t="shared" si="66"/>
        <v>9.8150000000000071E-2</v>
      </c>
    </row>
    <row r="232" spans="1:7">
      <c r="A232" s="15">
        <v>44061</v>
      </c>
      <c r="B232" s="112">
        <v>1.3953</v>
      </c>
      <c r="C232" s="108">
        <f t="shared" si="69"/>
        <v>4.5999999999999375E-3</v>
      </c>
      <c r="D232" s="109" t="str">
        <f t="shared" si="70"/>
        <v>/</v>
      </c>
      <c r="E232" s="109">
        <f ca="1">IF(表2_36716262930381011[[#This Row],[累计净值]]/MAX(INDIRECT("B21:B" &amp; ROW()))-1&lt;E231,表2_36716262930381011[[#This Row],[累计净值]]/MAX(INDIRECT("B21:B" &amp; ROW()))-1,E231)</f>
        <v>-2.4321641297154306E-2</v>
      </c>
      <c r="F232" s="62">
        <f>表2_36716262930381011[[#This Row],[累计净值]]-0.1652</f>
        <v>1.2301</v>
      </c>
      <c r="G232" s="20">
        <f t="shared" si="66"/>
        <v>0.10045000000000004</v>
      </c>
    </row>
    <row r="233" spans="1:7">
      <c r="A233" s="15">
        <v>44062</v>
      </c>
      <c r="B233" s="112">
        <v>1.3909</v>
      </c>
      <c r="C233" s="108">
        <f t="shared" si="69"/>
        <v>-4.3999999999999595E-3</v>
      </c>
      <c r="D233" s="109">
        <f t="shared" si="70"/>
        <v>-4.3999999999999595E-3</v>
      </c>
      <c r="E233" s="109">
        <f ca="1">IF(表2_36716262930381011[[#This Row],[累计净值]]/MAX(INDIRECT("B21:B" &amp; ROW()))-1&lt;E232,表2_36716262930381011[[#This Row],[累计净值]]/MAX(INDIRECT("B21:B" &amp; ROW()))-1,E232)</f>
        <v>-2.4321641297154306E-2</v>
      </c>
      <c r="F233" s="62">
        <f>表2_36716262930381011[[#This Row],[累计净值]]-0.1652</f>
        <v>1.2257</v>
      </c>
      <c r="G233" s="20">
        <f t="shared" si="66"/>
        <v>9.825000000000006E-2</v>
      </c>
    </row>
    <row r="234" spans="1:7">
      <c r="A234" s="15">
        <v>44063</v>
      </c>
      <c r="B234" s="112">
        <v>1.3863000000000001</v>
      </c>
      <c r="C234" s="108">
        <f>IFERROR(B234-B233,0)</f>
        <v>-4.5999999999999375E-3</v>
      </c>
      <c r="D234" s="109">
        <f>IF(C234&lt;0,C234,"/")</f>
        <v>-4.5999999999999375E-3</v>
      </c>
      <c r="E234" s="109">
        <f ca="1">IF(表2_36716262930381011[[#This Row],[累计净值]]/MAX(INDIRECT("B21:B" &amp; ROW()))-1&lt;E233,表2_36716262930381011[[#This Row],[累计净值]]/MAX(INDIRECT("B21:B" &amp; ROW()))-1,E233)</f>
        <v>-2.4321641297154306E-2</v>
      </c>
      <c r="F234" s="62">
        <f>表2_36716262930381011[[#This Row],[累计净值]]-0.1652</f>
        <v>1.2211000000000001</v>
      </c>
      <c r="G234" s="20">
        <f t="shared" si="66"/>
        <v>9.5950000000000091E-2</v>
      </c>
    </row>
    <row r="235" spans="1:7">
      <c r="A235" s="15">
        <v>44064</v>
      </c>
      <c r="B235" s="112">
        <v>1.3866000000000001</v>
      </c>
      <c r="C235" s="108">
        <f>IFERROR(B235-B234,0)</f>
        <v>2.9999999999996696E-4</v>
      </c>
      <c r="D235" s="109" t="str">
        <f>IF(C235&lt;0,C235,"/")</f>
        <v>/</v>
      </c>
      <c r="E235" s="109">
        <f ca="1">IF(表2_36716262930381011[[#This Row],[累计净值]]/MAX(INDIRECT("B21:B" &amp; ROW()))-1&lt;E234,表2_36716262930381011[[#This Row],[累计净值]]/MAX(INDIRECT("B21:B" &amp; ROW()))-1,E234)</f>
        <v>-2.4321641297154306E-2</v>
      </c>
      <c r="F235" s="62">
        <f>表2_36716262930381011[[#This Row],[累计净值]]-0.1652</f>
        <v>1.2214</v>
      </c>
      <c r="G235" s="20">
        <f t="shared" si="66"/>
        <v>9.6100000000000074E-2</v>
      </c>
    </row>
    <row r="236" spans="1:7">
      <c r="A236" s="15">
        <v>44067</v>
      </c>
      <c r="B236" s="112">
        <v>1.3925000000000001</v>
      </c>
      <c r="C236" s="108">
        <f>IFERROR(B236-B235,0)</f>
        <v>5.9000000000000163E-3</v>
      </c>
      <c r="D236" s="109" t="str">
        <f>IF(C236&lt;0,C236,"/")</f>
        <v>/</v>
      </c>
      <c r="E236" s="109">
        <f ca="1">IF(表2_36716262930381011[[#This Row],[累计净值]]/MAX(INDIRECT("B21:B" &amp; ROW()))-1&lt;E235,表2_36716262930381011[[#This Row],[累计净值]]/MAX(INDIRECT("B21:B" &amp; ROW()))-1,E235)</f>
        <v>-2.4321641297154306E-2</v>
      </c>
      <c r="F236" s="62">
        <f>表2_36716262930381011[[#This Row],[累计净值]]-0.1652</f>
        <v>1.2273000000000001</v>
      </c>
      <c r="G236" s="20">
        <f t="shared" si="66"/>
        <v>9.9050000000000082E-2</v>
      </c>
    </row>
    <row r="237" spans="1:7">
      <c r="A237" s="15">
        <v>44068</v>
      </c>
      <c r="B237" s="112">
        <v>1.3936999999999999</v>
      </c>
      <c r="C237" s="108">
        <f>IFERROR(B237-B236,0)</f>
        <v>1.1999999999998678E-3</v>
      </c>
      <c r="D237" s="109" t="str">
        <f>IF(C237&lt;0,C237,"/")</f>
        <v>/</v>
      </c>
      <c r="E237" s="109">
        <f ca="1">IF(表2_36716262930381011[[#This Row],[累计净值]]/MAX(INDIRECT("B21:B" &amp; ROW()))-1&lt;E236,表2_36716262930381011[[#This Row],[累计净值]]/MAX(INDIRECT("B21:B" &amp; ROW()))-1,E236)</f>
        <v>-2.4321641297154306E-2</v>
      </c>
      <c r="F237" s="62">
        <f>表2_36716262930381011[[#This Row],[累计净值]]-0.1652</f>
        <v>1.2284999999999999</v>
      </c>
      <c r="G237" s="20">
        <f t="shared" si="66"/>
        <v>9.9650000000000016E-2</v>
      </c>
    </row>
    <row r="238" spans="1:7">
      <c r="A238" s="15">
        <v>44069</v>
      </c>
      <c r="B238" s="112">
        <v>1.3789</v>
      </c>
      <c r="C238" s="108">
        <f>IFERROR(B238-B237,0)</f>
        <v>-1.4799999999999924E-2</v>
      </c>
      <c r="D238" s="109">
        <f>IF(C238&lt;0,C238,"/")</f>
        <v>-1.4799999999999924E-2</v>
      </c>
      <c r="E238" s="109">
        <f ca="1">IF(表2_36716262930381011[[#This Row],[累计净值]]/MAX(INDIRECT("B21:B" &amp; ROW()))-1&lt;E237,表2_36716262930381011[[#This Row],[累计净值]]/MAX(INDIRECT("B21:B" &amp; ROW()))-1,E237)</f>
        <v>-2.4321641297154306E-2</v>
      </c>
      <c r="F238" s="62">
        <f>表2_36716262930381011[[#This Row],[累计净值]]-0.1652</f>
        <v>1.2137</v>
      </c>
      <c r="G238" s="20">
        <f t="shared" si="66"/>
        <v>9.2250000000000054E-2</v>
      </c>
    </row>
    <row r="239" spans="1:7">
      <c r="A239" s="15">
        <v>44070</v>
      </c>
      <c r="B239" s="112">
        <v>1.3854</v>
      </c>
      <c r="C239" s="108">
        <f t="shared" ref="C239:C245" si="71">IFERROR(B239-B238,0)</f>
        <v>6.4999999999999503E-3</v>
      </c>
      <c r="D239" s="109" t="str">
        <f t="shared" ref="D239:D245" si="72">IF(C239&lt;0,C239,"/")</f>
        <v>/</v>
      </c>
      <c r="E239" s="109">
        <f ca="1">IF(表2_36716262930381011[[#This Row],[累计净值]]/MAX(INDIRECT("B21:B" &amp; ROW()))-1&lt;E238,表2_36716262930381011[[#This Row],[累计净值]]/MAX(INDIRECT("B21:B" &amp; ROW()))-1,E238)</f>
        <v>-2.4321641297154306E-2</v>
      </c>
      <c r="F239" s="62">
        <f>表2_36716262930381011[[#This Row],[累计净值]]-0.1652</f>
        <v>1.2202</v>
      </c>
      <c r="G239" s="20">
        <f t="shared" si="66"/>
        <v>9.5500000000000029E-2</v>
      </c>
    </row>
    <row r="240" spans="1:7">
      <c r="A240" s="15">
        <v>44071</v>
      </c>
      <c r="B240" s="112">
        <v>1.3839999999999999</v>
      </c>
      <c r="C240" s="108">
        <f t="shared" si="71"/>
        <v>-1.4000000000000679E-3</v>
      </c>
      <c r="D240" s="109">
        <f t="shared" si="72"/>
        <v>-1.4000000000000679E-3</v>
      </c>
      <c r="E240" s="109">
        <f ca="1">IF(表2_36716262930381011[[#This Row],[累计净值]]/MAX(INDIRECT("B21:B" &amp; ROW()))-1&lt;E239,表2_36716262930381011[[#This Row],[累计净值]]/MAX(INDIRECT("B21:B" &amp; ROW()))-1,E239)</f>
        <v>-2.4321641297154306E-2</v>
      </c>
      <c r="F240" s="62">
        <f>表2_36716262930381011[[#This Row],[累计净值]]-0.1652</f>
        <v>1.2187999999999999</v>
      </c>
      <c r="G240" s="20">
        <f t="shared" si="66"/>
        <v>9.4799999999999995E-2</v>
      </c>
    </row>
    <row r="241" spans="1:7">
      <c r="A241" s="15">
        <v>44074</v>
      </c>
      <c r="B241" s="112">
        <v>1.3904000000000001</v>
      </c>
      <c r="C241" s="108">
        <f t="shared" si="71"/>
        <v>6.4000000000001833E-3</v>
      </c>
      <c r="D241" s="109" t="str">
        <f t="shared" si="72"/>
        <v>/</v>
      </c>
      <c r="E241" s="109">
        <f ca="1">IF(表2_36716262930381011[[#This Row],[累计净值]]/MAX(INDIRECT("B21:B" &amp; ROW()))-1&lt;E240,表2_36716262930381011[[#This Row],[累计净值]]/MAX(INDIRECT("B21:B" &amp; ROW()))-1,E240)</f>
        <v>-2.4321641297154306E-2</v>
      </c>
      <c r="F241" s="62">
        <f>表2_36716262930381011[[#This Row],[累计净值]]-0.1652</f>
        <v>1.2252000000000001</v>
      </c>
      <c r="G241" s="20">
        <f t="shared" si="66"/>
        <v>9.8000000000000087E-2</v>
      </c>
    </row>
    <row r="242" spans="1:7">
      <c r="A242" s="15">
        <v>44075</v>
      </c>
      <c r="B242" s="112">
        <v>1.3895999999999999</v>
      </c>
      <c r="C242" s="108">
        <f t="shared" si="71"/>
        <v>-8.0000000000013394E-4</v>
      </c>
      <c r="D242" s="109">
        <f t="shared" si="72"/>
        <v>-8.0000000000013394E-4</v>
      </c>
      <c r="E242" s="109">
        <f ca="1">IF(表2_36716262930381011[[#This Row],[累计净值]]/MAX(INDIRECT("B21:B" &amp; ROW()))-1&lt;E241,表2_36716262930381011[[#This Row],[累计净值]]/MAX(INDIRECT("B21:B" &amp; ROW()))-1,E241)</f>
        <v>-2.4321641297154306E-2</v>
      </c>
      <c r="F242" s="62">
        <f>表2_36716262930381011[[#This Row],[累计净值]]-0.1652</f>
        <v>1.2243999999999999</v>
      </c>
      <c r="G242" s="20">
        <f t="shared" si="66"/>
        <v>9.760000000000002E-2</v>
      </c>
    </row>
    <row r="243" spans="1:7">
      <c r="A243" s="15">
        <v>44076</v>
      </c>
      <c r="B243" s="112">
        <v>1.3912</v>
      </c>
      <c r="C243" s="108">
        <f t="shared" si="71"/>
        <v>1.6000000000000458E-3</v>
      </c>
      <c r="D243" s="109" t="str">
        <f t="shared" si="72"/>
        <v>/</v>
      </c>
      <c r="E243" s="109">
        <f ca="1">IF(表2_36716262930381011[[#This Row],[累计净值]]/MAX(INDIRECT("B21:B" &amp; ROW()))-1&lt;E242,表2_36716262930381011[[#This Row],[累计净值]]/MAX(INDIRECT("B21:B" &amp; ROW()))-1,E242)</f>
        <v>-2.4321641297154306E-2</v>
      </c>
      <c r="F243" s="62">
        <f>表2_36716262930381011[[#This Row],[累计净值]]-0.1652</f>
        <v>1.226</v>
      </c>
      <c r="G243" s="20">
        <f t="shared" si="66"/>
        <v>9.8400000000000043E-2</v>
      </c>
    </row>
    <row r="244" spans="1:7">
      <c r="A244" s="15">
        <v>44077</v>
      </c>
      <c r="B244" s="112">
        <v>1.3869</v>
      </c>
      <c r="C244" s="108">
        <f t="shared" si="71"/>
        <v>-4.2999999999999705E-3</v>
      </c>
      <c r="D244" s="109">
        <f t="shared" si="72"/>
        <v>-4.2999999999999705E-3</v>
      </c>
      <c r="E244" s="109">
        <f ca="1">IF(表2_36716262930381011[[#This Row],[累计净值]]/MAX(INDIRECT("B21:B" &amp; ROW()))-1&lt;E243,表2_36716262930381011[[#This Row],[累计净值]]/MAX(INDIRECT("B21:B" &amp; ROW()))-1,E243)</f>
        <v>-2.4321641297154306E-2</v>
      </c>
      <c r="F244" s="62">
        <f>表2_36716262930381011[[#This Row],[累计净值]]-0.1652</f>
        <v>1.2217</v>
      </c>
      <c r="G244" s="20">
        <f t="shared" si="66"/>
        <v>9.6250000000000058E-2</v>
      </c>
    </row>
    <row r="245" spans="1:7">
      <c r="A245" s="15">
        <v>44078</v>
      </c>
      <c r="B245" s="112">
        <v>1.3911</v>
      </c>
      <c r="C245" s="108">
        <f t="shared" si="71"/>
        <v>4.1999999999999815E-3</v>
      </c>
      <c r="D245" s="109" t="str">
        <f t="shared" si="72"/>
        <v>/</v>
      </c>
      <c r="E245" s="109">
        <f ca="1">IF(表2_36716262930381011[[#This Row],[累计净值]]/MAX(INDIRECT("B21:B" &amp; ROW()))-1&lt;E244,表2_36716262930381011[[#This Row],[累计净值]]/MAX(INDIRECT("B21:B" &amp; ROW()))-1,E244)</f>
        <v>-2.4321641297154306E-2</v>
      </c>
      <c r="F245" s="62">
        <f>表2_36716262930381011[[#This Row],[累计净值]]-0.1652</f>
        <v>1.2259</v>
      </c>
      <c r="G245" s="20">
        <f t="shared" si="66"/>
        <v>9.8350000000000048E-2</v>
      </c>
    </row>
    <row r="246" spans="1:7">
      <c r="A246" s="15">
        <v>44081</v>
      </c>
      <c r="B246" s="112">
        <v>1.3885000000000001</v>
      </c>
      <c r="C246" s="108">
        <f t="shared" ref="C246:C251" si="73">IFERROR(B246-B245,0)</f>
        <v>-2.5999999999999357E-3</v>
      </c>
      <c r="D246" s="109">
        <f t="shared" ref="D246:D251" si="74">IF(C246&lt;0,C246,"/")</f>
        <v>-2.5999999999999357E-3</v>
      </c>
      <c r="E246" s="109">
        <f ca="1">IF(表2_36716262930381011[[#This Row],[累计净值]]/MAX(INDIRECT("B21:B" &amp; ROW()))-1&lt;E245,表2_36716262930381011[[#This Row],[累计净值]]/MAX(INDIRECT("B21:B" &amp; ROW()))-1,E245)</f>
        <v>-2.4321641297154306E-2</v>
      </c>
      <c r="F246" s="62">
        <f>表2_36716262930381011[[#This Row],[累计净值]]-0.1652</f>
        <v>1.2233000000000001</v>
      </c>
      <c r="G246" s="20">
        <f t="shared" si="66"/>
        <v>9.7050000000000081E-2</v>
      </c>
    </row>
    <row r="247" spans="1:7">
      <c r="A247" s="15">
        <v>44082</v>
      </c>
      <c r="B247" s="112">
        <v>1.3803000000000001</v>
      </c>
      <c r="C247" s="108">
        <f t="shared" si="73"/>
        <v>-8.1999999999999851E-3</v>
      </c>
      <c r="D247" s="109">
        <f t="shared" si="74"/>
        <v>-8.1999999999999851E-3</v>
      </c>
      <c r="E247" s="109">
        <f ca="1">IF(表2_36716262930381011[[#This Row],[累计净值]]/MAX(INDIRECT("B21:B" &amp; ROW()))-1&lt;E246,表2_36716262930381011[[#This Row],[累计净值]]/MAX(INDIRECT("B21:B" &amp; ROW()))-1,E246)</f>
        <v>-2.4321641297154306E-2</v>
      </c>
      <c r="F247" s="62">
        <f>表2_36716262930381011[[#This Row],[累计净值]]-0.1652</f>
        <v>1.2151000000000001</v>
      </c>
      <c r="G247" s="20">
        <f t="shared" si="66"/>
        <v>9.2950000000000088E-2</v>
      </c>
    </row>
    <row r="248" spans="1:7">
      <c r="A248" s="15">
        <v>44083</v>
      </c>
      <c r="B248" s="112">
        <v>1.3665</v>
      </c>
      <c r="C248" s="108">
        <f t="shared" si="73"/>
        <v>-1.3800000000000034E-2</v>
      </c>
      <c r="D248" s="109">
        <f t="shared" si="74"/>
        <v>-1.3800000000000034E-2</v>
      </c>
      <c r="E248" s="109">
        <f ca="1">IF(表2_36716262930381011[[#This Row],[累计净值]]/MAX(INDIRECT("B21:B" &amp; ROW()))-1&lt;E247,表2_36716262930381011[[#This Row],[累计净值]]/MAX(INDIRECT("B21:B" &amp; ROW()))-1,E247)</f>
        <v>-2.5598973188819207E-2</v>
      </c>
      <c r="F248" s="62">
        <f>表2_36716262930381011[[#This Row],[累计净值]]-0.1652</f>
        <v>1.2013</v>
      </c>
      <c r="G248" s="20">
        <f t="shared" si="66"/>
        <v>8.6050000000000071E-2</v>
      </c>
    </row>
    <row r="249" spans="1:7">
      <c r="A249" s="15">
        <v>44084</v>
      </c>
      <c r="B249" s="112">
        <v>1.3446</v>
      </c>
      <c r="C249" s="108">
        <f t="shared" si="73"/>
        <v>-2.1900000000000031E-2</v>
      </c>
      <c r="D249" s="109">
        <f t="shared" si="74"/>
        <v>-2.1900000000000031E-2</v>
      </c>
      <c r="E249" s="109">
        <f ca="1">IF(表2_36716262930381011[[#This Row],[累计净值]]/MAX(INDIRECT("B21:B" &amp; ROW()))-1&lt;E248,表2_36716262930381011[[#This Row],[累计净值]]/MAX(INDIRECT("B21:B" &amp; ROW()))-1,E248)</f>
        <v>-4.1215059897318884E-2</v>
      </c>
      <c r="F249" s="62">
        <f>表2_36716262930381011[[#This Row],[累计净值]]-0.1652</f>
        <v>1.1794</v>
      </c>
      <c r="G249" s="20">
        <f t="shared" si="66"/>
        <v>7.5100000000000056E-2</v>
      </c>
    </row>
    <row r="250" spans="1:7">
      <c r="A250" s="15">
        <v>44085</v>
      </c>
      <c r="B250" s="112">
        <v>1.3553999999999999</v>
      </c>
      <c r="C250" s="108">
        <f t="shared" si="73"/>
        <v>1.0799999999999921E-2</v>
      </c>
      <c r="D250" s="109" t="str">
        <f t="shared" si="74"/>
        <v>/</v>
      </c>
      <c r="E250" s="109">
        <f ca="1">IF(表2_36716262930381011[[#This Row],[累计净值]]/MAX(INDIRECT("B21:B" &amp; ROW()))-1&lt;E249,表2_36716262930381011[[#This Row],[累计净值]]/MAX(INDIRECT("B21:B" &amp; ROW()))-1,E249)</f>
        <v>-4.1215059897318884E-2</v>
      </c>
      <c r="F250" s="62">
        <f>表2_36716262930381011[[#This Row],[累计净值]]-0.1652</f>
        <v>1.1901999999999999</v>
      </c>
      <c r="G250" s="20">
        <f t="shared" si="66"/>
        <v>8.0500000000000016E-2</v>
      </c>
    </row>
    <row r="251" spans="1:7">
      <c r="A251" s="15">
        <v>44088</v>
      </c>
      <c r="B251" s="112">
        <v>1.3691</v>
      </c>
      <c r="C251" s="108">
        <f t="shared" si="73"/>
        <v>1.3700000000000045E-2</v>
      </c>
      <c r="D251" s="109" t="str">
        <f t="shared" si="74"/>
        <v>/</v>
      </c>
      <c r="E251" s="109">
        <f ca="1">IF(表2_36716262930381011[[#This Row],[累计净值]]/MAX(INDIRECT("B21:B" &amp; ROW()))-1&lt;E250,表2_36716262930381011[[#This Row],[累计净值]]/MAX(INDIRECT("B21:B" &amp; ROW()))-1,E250)</f>
        <v>-4.1215059897318884E-2</v>
      </c>
      <c r="F251" s="62">
        <f>表2_36716262930381011[[#This Row],[累计净值]]-0.1652</f>
        <v>1.2039</v>
      </c>
      <c r="G251" s="20">
        <f t="shared" si="66"/>
        <v>8.7350000000000039E-2</v>
      </c>
    </row>
    <row r="252" spans="1:7">
      <c r="A252" s="15">
        <v>44089</v>
      </c>
      <c r="B252" s="112">
        <v>1.3722000000000001</v>
      </c>
      <c r="C252" s="108">
        <f t="shared" ref="C252:C258" si="75">IFERROR(B252-B251,0)</f>
        <v>3.1000000000001027E-3</v>
      </c>
      <c r="D252" s="109" t="str">
        <f t="shared" ref="D252:D258" si="76">IF(C252&lt;0,C252,"/")</f>
        <v>/</v>
      </c>
      <c r="E252" s="109">
        <f ca="1">IF(表2_36716262930381011[[#This Row],[累计净值]]/MAX(INDIRECT("B21:B" &amp; ROW()))-1&lt;E251,表2_36716262930381011[[#This Row],[累计净值]]/MAX(INDIRECT("B21:B" &amp; ROW()))-1,E251)</f>
        <v>-4.1215059897318884E-2</v>
      </c>
      <c r="F252" s="62">
        <f>表2_36716262930381011[[#This Row],[累计净值]]-0.1652</f>
        <v>1.2070000000000001</v>
      </c>
      <c r="G252" s="20">
        <f t="shared" ref="G252:G257" si="77">IF(F252&gt;1.0292,0.5*(F252-1.0292),F252-1.0292)</f>
        <v>8.890000000000009E-2</v>
      </c>
    </row>
    <row r="253" spans="1:7">
      <c r="A253" s="15">
        <v>44090</v>
      </c>
      <c r="B253" s="112">
        <v>1.3640000000000001</v>
      </c>
      <c r="C253" s="108">
        <f t="shared" si="75"/>
        <v>-8.1999999999999851E-3</v>
      </c>
      <c r="D253" s="109">
        <f t="shared" si="76"/>
        <v>-8.1999999999999851E-3</v>
      </c>
      <c r="E253" s="109">
        <f ca="1">IF(表2_36716262930381011[[#This Row],[累计净值]]/MAX(INDIRECT("B21:B" &amp; ROW()))-1&lt;E252,表2_36716262930381011[[#This Row],[累计净值]]/MAX(INDIRECT("B21:B" &amp; ROW()))-1,E252)</f>
        <v>-4.1215059897318884E-2</v>
      </c>
      <c r="F253" s="62">
        <f>表2_36716262930381011[[#This Row],[累计净值]]-0.1652</f>
        <v>1.1988000000000001</v>
      </c>
      <c r="G253" s="20">
        <f t="shared" si="77"/>
        <v>8.4800000000000098E-2</v>
      </c>
    </row>
    <row r="254" spans="1:7">
      <c r="A254" s="15">
        <v>44091</v>
      </c>
      <c r="B254" s="112">
        <v>1.3613999999999999</v>
      </c>
      <c r="C254" s="108">
        <f t="shared" si="75"/>
        <v>-2.6000000000001577E-3</v>
      </c>
      <c r="D254" s="109">
        <f t="shared" si="76"/>
        <v>-2.6000000000001577E-3</v>
      </c>
      <c r="E254" s="109">
        <f ca="1">IF(表2_36716262930381011[[#This Row],[累计净值]]/MAX(INDIRECT("B21:B" &amp; ROW()))-1&lt;E253,表2_36716262930381011[[#This Row],[累计净值]]/MAX(INDIRECT("B21:B" &amp; ROW()))-1,E253)</f>
        <v>-4.1215059897318884E-2</v>
      </c>
      <c r="F254" s="62">
        <f>表2_36716262930381011[[#This Row],[累计净值]]-0.1652</f>
        <v>1.1961999999999999</v>
      </c>
      <c r="G254" s="20">
        <f t="shared" si="77"/>
        <v>8.3500000000000019E-2</v>
      </c>
    </row>
    <row r="255" spans="1:7">
      <c r="A255" s="15">
        <v>44092</v>
      </c>
      <c r="B255" s="112">
        <v>1.3597999999999999</v>
      </c>
      <c r="C255" s="108">
        <f t="shared" si="75"/>
        <v>-1.6000000000000458E-3</v>
      </c>
      <c r="D255" s="109">
        <f t="shared" si="76"/>
        <v>-1.6000000000000458E-3</v>
      </c>
      <c r="E255" s="109">
        <f ca="1">IF(表2_36716262930381011[[#This Row],[累计净值]]/MAX(INDIRECT("B21:B" &amp; ROW()))-1&lt;E254,表2_36716262930381011[[#This Row],[累计净值]]/MAX(INDIRECT("B21:B" &amp; ROW()))-1,E254)</f>
        <v>-4.1215059897318884E-2</v>
      </c>
      <c r="F255" s="62">
        <f>表2_36716262930381011[[#This Row],[累计净值]]-0.1652</f>
        <v>1.1945999999999999</v>
      </c>
      <c r="G255" s="20">
        <f t="shared" si="77"/>
        <v>8.2699999999999996E-2</v>
      </c>
    </row>
    <row r="256" spans="1:7">
      <c r="A256" s="15">
        <v>44095</v>
      </c>
      <c r="B256" s="112">
        <v>1.3673999999999999</v>
      </c>
      <c r="C256" s="108">
        <f t="shared" si="75"/>
        <v>7.6000000000000512E-3</v>
      </c>
      <c r="D256" s="109" t="str">
        <f t="shared" si="76"/>
        <v>/</v>
      </c>
      <c r="E256" s="109">
        <f ca="1">IF(表2_36716262930381011[[#This Row],[累计净值]]/MAX(INDIRECT("B21:B" &amp; ROW()))-1&lt;E255,表2_36716262930381011[[#This Row],[累计净值]]/MAX(INDIRECT("B21:B" &amp; ROW()))-1,E255)</f>
        <v>-4.1215059897318884E-2</v>
      </c>
      <c r="F256" s="62">
        <f>表2_36716262930381011[[#This Row],[累计净值]]-0.1652</f>
        <v>1.2021999999999999</v>
      </c>
      <c r="G256" s="20">
        <f t="shared" si="77"/>
        <v>8.6500000000000021E-2</v>
      </c>
    </row>
    <row r="257" spans="1:7">
      <c r="A257" s="15">
        <v>44096</v>
      </c>
      <c r="B257" s="112">
        <v>1.3645</v>
      </c>
      <c r="C257" s="108">
        <f t="shared" si="75"/>
        <v>-2.8999999999999027E-3</v>
      </c>
      <c r="D257" s="109">
        <f t="shared" si="76"/>
        <v>-2.8999999999999027E-3</v>
      </c>
      <c r="E257" s="109">
        <f ca="1">IF(表2_36716262930381011[[#This Row],[累计净值]]/MAX(INDIRECT("B21:B" &amp; ROW()))-1&lt;E256,表2_36716262930381011[[#This Row],[累计净值]]/MAX(INDIRECT("B21:B" &amp; ROW()))-1,E256)</f>
        <v>-4.1215059897318884E-2</v>
      </c>
      <c r="F257" s="62">
        <f>表2_36716262930381011[[#This Row],[累计净值]]-0.1652</f>
        <v>1.1993</v>
      </c>
      <c r="G257" s="20">
        <f t="shared" si="77"/>
        <v>8.505000000000007E-2</v>
      </c>
    </row>
    <row r="258" spans="1:7">
      <c r="A258" s="15">
        <v>44097</v>
      </c>
      <c r="B258" s="112">
        <v>1.3713</v>
      </c>
      <c r="C258" s="108">
        <f t="shared" si="75"/>
        <v>6.7999999999999172E-3</v>
      </c>
      <c r="D258" s="109" t="str">
        <f t="shared" si="76"/>
        <v>/</v>
      </c>
      <c r="E258" s="109">
        <f ca="1">IF(表2_36716262930381011[[#This Row],[累计净值]]/MAX(INDIRECT("B21:B" &amp; ROW()))-1&lt;E257,表2_36716262930381011[[#This Row],[累计净值]]/MAX(INDIRECT("B21:B" &amp; ROW()))-1,E257)</f>
        <v>-4.1215059897318884E-2</v>
      </c>
      <c r="F258" s="62">
        <f>表2_36716262930381011[[#This Row],[累计净值]]-0.1652</f>
        <v>1.2060999999999999</v>
      </c>
      <c r="G258" s="20">
        <f t="shared" ref="G258" si="78">IF(F258&gt;1.0292,0.5*(F258-1.0292),F258-1.0292)</f>
        <v>8.8450000000000029E-2</v>
      </c>
    </row>
    <row r="259" spans="1:7">
      <c r="A259" s="15">
        <v>44098</v>
      </c>
      <c r="B259" s="112">
        <v>1.3632</v>
      </c>
      <c r="C259" s="108">
        <f t="shared" ref="C259:C264" si="79">IFERROR(B259-B258,0)</f>
        <v>-8.0999999999999961E-3</v>
      </c>
      <c r="D259" s="109">
        <f t="shared" ref="D259:D264" si="80">IF(C259&lt;0,C259,"/")</f>
        <v>-8.0999999999999961E-3</v>
      </c>
      <c r="E259" s="109">
        <f ca="1">IF(表2_36716262930381011[[#This Row],[累计净值]]/MAX(INDIRECT("B21:B" &amp; ROW()))-1&lt;E258,表2_36716262930381011[[#This Row],[累计净值]]/MAX(INDIRECT("B21:B" &amp; ROW()))-1,E258)</f>
        <v>-4.1215059897318884E-2</v>
      </c>
      <c r="F259" s="62">
        <f>表2_36716262930381011[[#This Row],[累计净值]]-0.1652</f>
        <v>1.198</v>
      </c>
      <c r="G259" s="20">
        <f t="shared" ref="G259" si="81">IF(F259&gt;1.0292,0.5*(F259-1.0292),F259-1.0292)</f>
        <v>8.4400000000000031E-2</v>
      </c>
    </row>
    <row r="260" spans="1:7">
      <c r="A260" s="15">
        <v>44099</v>
      </c>
      <c r="B260" s="112">
        <v>1.3595999999999999</v>
      </c>
      <c r="C260" s="108">
        <f t="shared" si="79"/>
        <v>-3.6000000000000476E-3</v>
      </c>
      <c r="D260" s="109">
        <f t="shared" si="80"/>
        <v>-3.6000000000000476E-3</v>
      </c>
      <c r="E260" s="109">
        <f ca="1">IF(表2_36716262930381011[[#This Row],[累计净值]]/MAX(INDIRECT("B21:B" &amp; ROW()))-1&lt;E259,表2_36716262930381011[[#This Row],[累计净值]]/MAX(INDIRECT("B21:B" &amp; ROW()))-1,E259)</f>
        <v>-4.1215059897318884E-2</v>
      </c>
      <c r="F260" s="62">
        <f>表2_36716262930381011[[#This Row],[累计净值]]-0.1652</f>
        <v>1.1943999999999999</v>
      </c>
      <c r="G260" s="20">
        <f t="shared" ref="G260" si="82">IF(F260&gt;1.0292,0.5*(F260-1.0292),F260-1.0292)</f>
        <v>8.2600000000000007E-2</v>
      </c>
    </row>
    <row r="261" spans="1:7">
      <c r="A261" s="15">
        <v>44102</v>
      </c>
      <c r="B261" s="112">
        <v>1.3495999999999999</v>
      </c>
      <c r="C261" s="108">
        <f t="shared" si="79"/>
        <v>-1.0000000000000009E-2</v>
      </c>
      <c r="D261" s="109">
        <f t="shared" si="80"/>
        <v>-1.0000000000000009E-2</v>
      </c>
      <c r="E261" s="109">
        <f ca="1">IF(表2_36716262930381011[[#This Row],[累计净值]]/MAX(INDIRECT("B21:B" &amp; ROW()))-1&lt;E260,表2_36716262930381011[[#This Row],[累计净值]]/MAX(INDIRECT("B21:B" &amp; ROW()))-1,E260)</f>
        <v>-4.1215059897318884E-2</v>
      </c>
      <c r="F261" s="62">
        <f>表2_36716262930381011[[#This Row],[累计净值]]-0.1652</f>
        <v>1.1843999999999999</v>
      </c>
      <c r="G261" s="20">
        <f t="shared" ref="G261:G263" si="83">IF(F261&gt;1.0292,0.5*(F261-1.0292),F261-1.0292)</f>
        <v>7.7600000000000002E-2</v>
      </c>
    </row>
    <row r="262" spans="1:7">
      <c r="A262" s="15">
        <v>44103</v>
      </c>
      <c r="B262" s="63">
        <v>1.3560000000000001</v>
      </c>
      <c r="C262" s="64">
        <f t="shared" si="79"/>
        <v>6.4000000000001833E-3</v>
      </c>
      <c r="D262" s="65" t="str">
        <f t="shared" si="80"/>
        <v>/</v>
      </c>
      <c r="E262" s="65">
        <f ca="1">IF(表2_36716262930381011[[#This Row],[累计净值]]/MAX(INDIRECT("B21:B" &amp; ROW()))-1&lt;E261,表2_36716262930381011[[#This Row],[累计净值]]/MAX(INDIRECT("B21:B" &amp; ROW()))-1,E261)</f>
        <v>-4.1215059897318884E-2</v>
      </c>
      <c r="F262" s="62">
        <f>表2_36716262930381011[[#This Row],[累计净值]]-0.1652</f>
        <v>1.1908000000000001</v>
      </c>
      <c r="G262" s="20">
        <f t="shared" si="83"/>
        <v>8.0800000000000094E-2</v>
      </c>
    </row>
    <row r="263" spans="1:7">
      <c r="A263" s="15">
        <v>44104</v>
      </c>
      <c r="B263" s="112">
        <v>1.3638999999999999</v>
      </c>
      <c r="C263" s="108">
        <f t="shared" si="79"/>
        <v>7.8999999999997961E-3</v>
      </c>
      <c r="D263" s="109" t="str">
        <f t="shared" si="80"/>
        <v>/</v>
      </c>
      <c r="E263" s="109">
        <f ca="1">IF(表2_36716262930381011[[#This Row],[累计净值]]/MAX(INDIRECT("B21:B" &amp; ROW()))-1&lt;E262,表2_36716262930381011[[#This Row],[累计净值]]/MAX(INDIRECT("B21:B" &amp; ROW()))-1,E262)</f>
        <v>-4.1215059897318884E-2</v>
      </c>
      <c r="F263" s="62">
        <f>表2_36716262930381011[[#This Row],[累计净值]]-0.1652</f>
        <v>1.1986999999999999</v>
      </c>
      <c r="G263" s="20">
        <f t="shared" si="83"/>
        <v>8.4749999999999992E-2</v>
      </c>
    </row>
    <row r="264" spans="1:7">
      <c r="A264" s="15">
        <v>44113</v>
      </c>
      <c r="B264" s="112">
        <v>1.3702000000000001</v>
      </c>
      <c r="C264" s="108">
        <f t="shared" si="79"/>
        <v>6.3000000000001943E-3</v>
      </c>
      <c r="D264" s="109" t="str">
        <f t="shared" si="80"/>
        <v>/</v>
      </c>
      <c r="E264" s="109">
        <f ca="1">IF(表2_36716262930381011[[#This Row],[累计净值]]/MAX(INDIRECT("B21:B" &amp; ROW()))-1&lt;E263,表2_36716262930381011[[#This Row],[累计净值]]/MAX(INDIRECT("B21:B" &amp; ROW()))-1,E263)</f>
        <v>-4.1215059897318884E-2</v>
      </c>
      <c r="F264" s="62">
        <f>表2_36716262930381011[[#This Row],[累计净值]]-0.1652</f>
        <v>1.2050000000000001</v>
      </c>
      <c r="G264" s="20">
        <f t="shared" ref="G264" si="84">IF(F264&gt;1.0292,0.5*(F264-1.0292),F264-1.0292)</f>
        <v>8.7900000000000089E-2</v>
      </c>
    </row>
    <row r="265" spans="1:7">
      <c r="A265" s="15">
        <v>44116</v>
      </c>
      <c r="B265" s="112">
        <v>1.3795999999999999</v>
      </c>
      <c r="C265" s="108">
        <f t="shared" ref="C265:C272" si="85">IFERROR(B265-B264,0)</f>
        <v>9.3999999999998529E-3</v>
      </c>
      <c r="D265" s="109" t="str">
        <f t="shared" ref="D265:D272" si="86">IF(C265&lt;0,C265,"/")</f>
        <v>/</v>
      </c>
      <c r="E265" s="109">
        <f ca="1">IF(表2_36716262930381011[[#This Row],[累计净值]]/MAX(INDIRECT("B21:B" &amp; ROW()))-1&lt;E264,表2_36716262930381011[[#This Row],[累计净值]]/MAX(INDIRECT("B21:B" &amp; ROW()))-1,E264)</f>
        <v>-4.1215059897318884E-2</v>
      </c>
      <c r="F265" s="62">
        <f>表2_36716262930381011[[#This Row],[累计净值]]-0.1652</f>
        <v>1.2143999999999999</v>
      </c>
      <c r="G265" s="20">
        <f t="shared" ref="G265" si="87">IF(F265&gt;1.0292,0.5*(F265-1.0292),F265-1.0292)</f>
        <v>9.2600000000000016E-2</v>
      </c>
    </row>
    <row r="266" spans="1:7">
      <c r="A266" s="15">
        <v>44117</v>
      </c>
      <c r="B266" s="112">
        <v>1.3838999999999999</v>
      </c>
      <c r="C266" s="108">
        <f t="shared" si="85"/>
        <v>4.2999999999999705E-3</v>
      </c>
      <c r="D266" s="109" t="str">
        <f t="shared" si="86"/>
        <v>/</v>
      </c>
      <c r="E266" s="109">
        <f ca="1">IF(表2_36716262930381011[[#This Row],[累计净值]]/MAX(INDIRECT("B21:B" &amp; ROW()))-1&lt;E265,表2_36716262930381011[[#This Row],[累计净值]]/MAX(INDIRECT("B21:B" &amp; ROW()))-1,E265)</f>
        <v>-4.1215059897318884E-2</v>
      </c>
      <c r="F266" s="62">
        <f>表2_36716262930381011[[#This Row],[累计净值]]-0.1652</f>
        <v>1.2186999999999999</v>
      </c>
      <c r="G266" s="20">
        <f t="shared" ref="G266" si="88">IF(F266&gt;1.0292,0.5*(F266-1.0292),F266-1.0292)</f>
        <v>9.4750000000000001E-2</v>
      </c>
    </row>
    <row r="267" spans="1:7">
      <c r="A267" s="15">
        <v>44118</v>
      </c>
      <c r="B267" s="112">
        <v>1.3796999999999999</v>
      </c>
      <c r="C267" s="108">
        <f t="shared" si="85"/>
        <v>-4.1999999999999815E-3</v>
      </c>
      <c r="D267" s="109">
        <f t="shared" si="86"/>
        <v>-4.1999999999999815E-3</v>
      </c>
      <c r="E267" s="109">
        <f ca="1">IF(表2_36716262930381011[[#This Row],[累计净值]]/MAX(INDIRECT("B21:B" &amp; ROW()))-1&lt;E266,表2_36716262930381011[[#This Row],[累计净值]]/MAX(INDIRECT("B21:B" &amp; ROW()))-1,E266)</f>
        <v>-4.1215059897318884E-2</v>
      </c>
      <c r="F267" s="62">
        <f>表2_36716262930381011[[#This Row],[累计净值]]-0.1652</f>
        <v>1.2144999999999999</v>
      </c>
      <c r="G267" s="20">
        <f t="shared" ref="G267" si="89">IF(F267&gt;1.0292,0.5*(F267-1.0292),F267-1.0292)</f>
        <v>9.265000000000001E-2</v>
      </c>
    </row>
    <row r="268" spans="1:7">
      <c r="A268" s="15">
        <v>44119</v>
      </c>
      <c r="B268" s="112">
        <v>1.3748</v>
      </c>
      <c r="C268" s="108">
        <f t="shared" si="85"/>
        <v>-4.8999999999999044E-3</v>
      </c>
      <c r="D268" s="109">
        <f t="shared" si="86"/>
        <v>-4.8999999999999044E-3</v>
      </c>
      <c r="E268" s="109">
        <f ca="1">IF(表2_36716262930381011[[#This Row],[累计净值]]/MAX(INDIRECT("B21:B" &amp; ROW()))-1&lt;E267,表2_36716262930381011[[#This Row],[累计净值]]/MAX(INDIRECT("B21:B" &amp; ROW()))-1,E267)</f>
        <v>-4.1215059897318884E-2</v>
      </c>
      <c r="F268" s="62">
        <f>表2_36716262930381011[[#This Row],[累计净值]]-0.1652</f>
        <v>1.2096</v>
      </c>
      <c r="G268" s="20">
        <f t="shared" ref="G268" si="90">IF(F268&gt;1.0292,0.5*(F268-1.0292),F268-1.0292)</f>
        <v>9.0200000000000058E-2</v>
      </c>
    </row>
    <row r="269" spans="1:7">
      <c r="A269" s="15">
        <v>44120</v>
      </c>
      <c r="B269" s="112">
        <v>1.3809</v>
      </c>
      <c r="C269" s="108">
        <f t="shared" si="85"/>
        <v>6.0999999999999943E-3</v>
      </c>
      <c r="D269" s="109" t="str">
        <f t="shared" si="86"/>
        <v>/</v>
      </c>
      <c r="E269" s="109">
        <f ca="1">IF(表2_36716262930381011[[#This Row],[累计净值]]/MAX(INDIRECT("B21:B" &amp; ROW()))-1&lt;E268,表2_36716262930381011[[#This Row],[累计净值]]/MAX(INDIRECT("B21:B" &amp; ROW()))-1,E268)</f>
        <v>-4.1215059897318884E-2</v>
      </c>
      <c r="F269" s="62">
        <f>表2_36716262930381011[[#This Row],[累计净值]]-0.1652</f>
        <v>1.2157</v>
      </c>
      <c r="G269" s="20">
        <f t="shared" ref="G269:G270" si="91">IF(F269&gt;1.0292,0.5*(F269-1.0292),F269-1.0292)</f>
        <v>9.3250000000000055E-2</v>
      </c>
    </row>
    <row r="270" spans="1:7">
      <c r="A270" s="15">
        <v>44123</v>
      </c>
      <c r="B270" s="112">
        <v>1.3882000000000001</v>
      </c>
      <c r="C270" s="108">
        <f t="shared" si="85"/>
        <v>7.3000000000000842E-3</v>
      </c>
      <c r="D270" s="109" t="str">
        <f t="shared" si="86"/>
        <v>/</v>
      </c>
      <c r="E270" s="109">
        <f ca="1">IF(表2_36716262930381011[[#This Row],[累计净值]]/MAX(INDIRECT("B21:B" &amp; ROW()))-1&lt;E269,表2_36716262930381011[[#This Row],[累计净值]]/MAX(INDIRECT("B21:B" &amp; ROW()))-1,E269)</f>
        <v>-4.1215059897318884E-2</v>
      </c>
      <c r="F270" s="62">
        <f>表2_36716262930381011[[#This Row],[累计净值]]-0.1652</f>
        <v>1.2230000000000001</v>
      </c>
      <c r="G270" s="20">
        <f t="shared" si="91"/>
        <v>9.6900000000000097E-2</v>
      </c>
    </row>
    <row r="271" spans="1:7">
      <c r="A271" s="15">
        <v>44124</v>
      </c>
      <c r="B271" s="112">
        <v>1.3902000000000001</v>
      </c>
      <c r="C271" s="108">
        <f t="shared" si="85"/>
        <v>2.0000000000000018E-3</v>
      </c>
      <c r="D271" s="109" t="str">
        <f t="shared" si="86"/>
        <v>/</v>
      </c>
      <c r="E271" s="109">
        <f ca="1">IF(表2_36716262930381011[[#This Row],[累计净值]]/MAX(INDIRECT("B21:B" &amp; ROW()))-1&lt;E270,表2_36716262930381011[[#This Row],[累计净值]]/MAX(INDIRECT("B21:B" &amp; ROW()))-1,E270)</f>
        <v>-4.1215059897318884E-2</v>
      </c>
      <c r="F271" s="62">
        <f>表2_36716262930381011[[#This Row],[累计净值]]-0.1652</f>
        <v>1.2250000000000001</v>
      </c>
      <c r="G271" s="20">
        <f t="shared" ref="G271" si="92">IF(F271&gt;1.0292,0.5*(F271-1.0292),F271-1.0292)</f>
        <v>9.7900000000000098E-2</v>
      </c>
    </row>
    <row r="272" spans="1:7">
      <c r="A272" s="15">
        <v>44125</v>
      </c>
      <c r="B272" s="112">
        <v>1.3835999999999999</v>
      </c>
      <c r="C272" s="108">
        <f t="shared" si="85"/>
        <v>-6.6000000000001613E-3</v>
      </c>
      <c r="D272" s="109">
        <f t="shared" si="86"/>
        <v>-6.6000000000001613E-3</v>
      </c>
      <c r="E272" s="109">
        <f ca="1">IF(表2_36716262930381011[[#This Row],[累计净值]]/MAX(INDIRECT("B21:B" &amp; ROW()))-1&lt;E271,表2_36716262930381011[[#This Row],[累计净值]]/MAX(INDIRECT("B21:B" &amp; ROW()))-1,E271)</f>
        <v>-4.1215059897318884E-2</v>
      </c>
      <c r="F272" s="62">
        <f>表2_36716262930381011[[#This Row],[累计净值]]-0.1652</f>
        <v>1.2183999999999999</v>
      </c>
      <c r="G272" s="20">
        <f t="shared" ref="G272:G273" si="93">IF(F272&gt;1.0292,0.5*(F272-1.0292),F272-1.0292)</f>
        <v>9.4600000000000017E-2</v>
      </c>
    </row>
    <row r="273" spans="1:7">
      <c r="A273" s="15">
        <v>44126</v>
      </c>
      <c r="B273" s="112">
        <v>1.3887</v>
      </c>
      <c r="C273" s="108">
        <f t="shared" ref="C273:C274" si="94">IFERROR(B273-B272,0)</f>
        <v>5.1000000000001044E-3</v>
      </c>
      <c r="D273" s="109" t="str">
        <f t="shared" ref="D273:D274" si="95">IF(C273&lt;0,C273,"/")</f>
        <v>/</v>
      </c>
      <c r="E273" s="109">
        <f ca="1">IF(表2_36716262930381011[[#This Row],[累计净值]]/MAX(INDIRECT("B21:B" &amp; ROW()))-1&lt;E272,表2_36716262930381011[[#This Row],[累计净值]]/MAX(INDIRECT("B21:B" &amp; ROW()))-1,E272)</f>
        <v>-4.1215059897318884E-2</v>
      </c>
      <c r="F273" s="62">
        <f>表2_36716262930381011[[#This Row],[累计净值]]-0.1652</f>
        <v>1.2235</v>
      </c>
      <c r="G273" s="20">
        <f t="shared" si="93"/>
        <v>9.715000000000007E-2</v>
      </c>
    </row>
    <row r="274" spans="1:7">
      <c r="A274" s="15">
        <v>44127</v>
      </c>
      <c r="B274" s="112">
        <v>1.3831</v>
      </c>
      <c r="C274" s="108">
        <f t="shared" si="94"/>
        <v>-5.6000000000000494E-3</v>
      </c>
      <c r="D274" s="109">
        <f t="shared" si="95"/>
        <v>-5.6000000000000494E-3</v>
      </c>
      <c r="E274" s="109">
        <f ca="1">IF(表2_36716262930381011[[#This Row],[累计净值]]/MAX(INDIRECT("B21:B" &amp; ROW()))-1&lt;E273,表2_36716262930381011[[#This Row],[累计净值]]/MAX(INDIRECT("B21:B" &amp; ROW()))-1,E273)</f>
        <v>-4.1215059897318884E-2</v>
      </c>
      <c r="F274" s="62">
        <f>表2_36716262930381011[[#This Row],[累计净值]]-0.1652</f>
        <v>1.2179</v>
      </c>
      <c r="G274" s="20">
        <f t="shared" ref="G274:G275" si="96">IF(F274&gt;1.0292,0.5*(F274-1.0292),F274-1.0292)</f>
        <v>9.4350000000000045E-2</v>
      </c>
    </row>
    <row r="275" spans="1:7">
      <c r="A275" s="15">
        <v>44130</v>
      </c>
      <c r="B275" s="112">
        <v>1.3882000000000001</v>
      </c>
      <c r="C275" s="108">
        <f t="shared" ref="C275:C282" si="97">IFERROR(B275-B274,0)</f>
        <v>5.1000000000001044E-3</v>
      </c>
      <c r="D275" s="109" t="str">
        <f t="shared" ref="D275:D282" si="98">IF(C275&lt;0,C275,"/")</f>
        <v>/</v>
      </c>
      <c r="E275" s="109">
        <f ca="1">IF(表2_36716262930381011[[#This Row],[累计净值]]/MAX(INDIRECT("B21:B" &amp; ROW()))-1&lt;E274,表2_36716262930381011[[#This Row],[累计净值]]/MAX(INDIRECT("B21:B" &amp; ROW()))-1,E274)</f>
        <v>-4.1215059897318884E-2</v>
      </c>
      <c r="F275" s="62">
        <f>表2_36716262930381011[[#This Row],[累计净值]]-0.1652</f>
        <v>1.2230000000000001</v>
      </c>
      <c r="G275" s="20">
        <f t="shared" si="96"/>
        <v>9.6900000000000097E-2</v>
      </c>
    </row>
    <row r="276" spans="1:7">
      <c r="A276" s="15">
        <v>44131</v>
      </c>
      <c r="B276" s="112">
        <v>1.3922000000000001</v>
      </c>
      <c r="C276" s="108">
        <f t="shared" si="97"/>
        <v>4.0000000000000036E-3</v>
      </c>
      <c r="D276" s="109" t="str">
        <f t="shared" si="98"/>
        <v>/</v>
      </c>
      <c r="E276" s="109">
        <f ca="1">IF(表2_36716262930381011[[#This Row],[累计净值]]/MAX(INDIRECT("B21:B" &amp; ROW()))-1&lt;E275,表2_36716262930381011[[#This Row],[累计净值]]/MAX(INDIRECT("B21:B" &amp; ROW()))-1,E275)</f>
        <v>-4.1215059897318884E-2</v>
      </c>
      <c r="F276" s="62">
        <f>表2_36716262930381011[[#This Row],[累计净值]]-0.1652</f>
        <v>1.2270000000000001</v>
      </c>
      <c r="G276" s="20">
        <f t="shared" ref="G276" si="99">IF(F276&gt;1.0292,0.5*(F276-1.0292),F276-1.0292)</f>
        <v>9.8900000000000099E-2</v>
      </c>
    </row>
    <row r="277" spans="1:7">
      <c r="A277" s="15">
        <v>44132</v>
      </c>
      <c r="B277" s="112">
        <v>1.3894</v>
      </c>
      <c r="C277" s="108">
        <f t="shared" si="97"/>
        <v>-2.8000000000001357E-3</v>
      </c>
      <c r="D277" s="109">
        <f t="shared" si="98"/>
        <v>-2.8000000000001357E-3</v>
      </c>
      <c r="E277" s="109">
        <f ca="1">IF(表2_36716262930381011[[#This Row],[累计净值]]/MAX(INDIRECT("B21:B" &amp; ROW()))-1&lt;E276,表2_36716262930381011[[#This Row],[累计净值]]/MAX(INDIRECT("B21:B" &amp; ROW()))-1,E276)</f>
        <v>-4.1215059897318884E-2</v>
      </c>
      <c r="F277" s="62">
        <f>表2_36716262930381011[[#This Row],[累计净值]]-0.1652</f>
        <v>1.2242</v>
      </c>
      <c r="G277" s="20">
        <f t="shared" ref="G277" si="100">IF(F277&gt;1.0292,0.5*(F277-1.0292),F277-1.0292)</f>
        <v>9.7500000000000031E-2</v>
      </c>
    </row>
    <row r="278" spans="1:7">
      <c r="A278" s="15">
        <v>44133</v>
      </c>
      <c r="B278" s="112">
        <v>1.3853</v>
      </c>
      <c r="C278" s="108">
        <f t="shared" si="97"/>
        <v>-4.0999999999999925E-3</v>
      </c>
      <c r="D278" s="109">
        <f t="shared" si="98"/>
        <v>-4.0999999999999925E-3</v>
      </c>
      <c r="E278" s="109">
        <f ca="1">IF(表2_36716262930381011[[#This Row],[累计净值]]/MAX(INDIRECT("B21:B" &amp; ROW()))-1&lt;E277,表2_36716262930381011[[#This Row],[累计净值]]/MAX(INDIRECT("B21:B" &amp; ROW()))-1,E277)</f>
        <v>-4.1215059897318884E-2</v>
      </c>
      <c r="F278" s="62">
        <f>表2_36716262930381011[[#This Row],[累计净值]]-0.1652</f>
        <v>1.2201</v>
      </c>
      <c r="G278" s="20">
        <f t="shared" ref="G278" si="101">IF(F278&gt;1.0292,0.5*(F278-1.0292),F278-1.0292)</f>
        <v>9.5450000000000035E-2</v>
      </c>
    </row>
    <row r="279" spans="1:7">
      <c r="A279" s="15">
        <v>44134</v>
      </c>
      <c r="B279" s="112">
        <v>1.3761000000000001</v>
      </c>
      <c r="C279" s="108">
        <f t="shared" si="97"/>
        <v>-9.1999999999998749E-3</v>
      </c>
      <c r="D279" s="109">
        <f t="shared" si="98"/>
        <v>-9.1999999999998749E-3</v>
      </c>
      <c r="E279" s="109">
        <f ca="1">IF(表2_36716262930381011[[#This Row],[累计净值]]/MAX(INDIRECT("B21:B" &amp; ROW()))-1&lt;E278,表2_36716262930381011[[#This Row],[累计净值]]/MAX(INDIRECT("B21:B" &amp; ROW()))-1,E278)</f>
        <v>-4.1215059897318884E-2</v>
      </c>
      <c r="F279" s="62">
        <f>表2_36716262930381011[[#This Row],[累计净值]]-0.1652</f>
        <v>1.2109000000000001</v>
      </c>
      <c r="G279" s="20">
        <f t="shared" ref="G279:G280" si="102">IF(F279&gt;1.0292,0.5*(F279-1.0292),F279-1.0292)</f>
        <v>9.0850000000000097E-2</v>
      </c>
    </row>
    <row r="280" spans="1:7">
      <c r="A280" s="15">
        <v>44137</v>
      </c>
      <c r="B280" s="112">
        <v>1.3759999999999999</v>
      </c>
      <c r="C280" s="108">
        <f t="shared" si="97"/>
        <v>-1.0000000000021103E-4</v>
      </c>
      <c r="D280" s="109">
        <f t="shared" si="98"/>
        <v>-1.0000000000021103E-4</v>
      </c>
      <c r="E280" s="109">
        <f ca="1">IF(表2_36716262930381011[[#This Row],[累计净值]]/MAX(INDIRECT("B21:B" &amp; ROW()))-1&lt;E279,表2_36716262930381011[[#This Row],[累计净值]]/MAX(INDIRECT("B21:B" &amp; ROW()))-1,E279)</f>
        <v>-4.1215059897318884E-2</v>
      </c>
      <c r="F280" s="62">
        <f>表2_36716262930381011[[#This Row],[累计净值]]-0.1652</f>
        <v>1.2107999999999999</v>
      </c>
      <c r="G280" s="20">
        <f t="shared" si="102"/>
        <v>9.0799999999999992E-2</v>
      </c>
    </row>
    <row r="281" spans="1:7">
      <c r="A281" s="15">
        <v>44138</v>
      </c>
      <c r="B281" s="112">
        <v>1.381</v>
      </c>
      <c r="C281" s="108">
        <f t="shared" si="97"/>
        <v>5.0000000000001155E-3</v>
      </c>
      <c r="D281" s="109" t="str">
        <f t="shared" si="98"/>
        <v>/</v>
      </c>
      <c r="E281" s="109">
        <f ca="1">IF(表2_36716262930381011[[#This Row],[累计净值]]/MAX(INDIRECT("B21:B" &amp; ROW()))-1&lt;E280,表2_36716262930381011[[#This Row],[累计净值]]/MAX(INDIRECT("B21:B" &amp; ROW()))-1,E280)</f>
        <v>-4.1215059897318884E-2</v>
      </c>
      <c r="F281" s="62">
        <f>表2_36716262930381011[[#This Row],[累计净值]]-0.1652</f>
        <v>1.2158</v>
      </c>
      <c r="G281" s="20">
        <f t="shared" ref="G281" si="103">IF(F281&gt;1.0292,0.5*(F281-1.0292),F281-1.0292)</f>
        <v>9.330000000000005E-2</v>
      </c>
    </row>
    <row r="282" spans="1:7">
      <c r="A282" s="15">
        <v>44139</v>
      </c>
      <c r="B282" s="112">
        <v>1.3785000000000001</v>
      </c>
      <c r="C282" s="108">
        <f t="shared" si="97"/>
        <v>-2.4999999999999467E-3</v>
      </c>
      <c r="D282" s="109">
        <f t="shared" si="98"/>
        <v>-2.4999999999999467E-3</v>
      </c>
      <c r="E282" s="109">
        <f ca="1">IF(表2_36716262930381011[[#This Row],[累计净值]]/MAX(INDIRECT("B21:B" &amp; ROW()))-1&lt;E281,表2_36716262930381011[[#This Row],[累计净值]]/MAX(INDIRECT("B21:B" &amp; ROW()))-1,E281)</f>
        <v>-4.1215059897318884E-2</v>
      </c>
      <c r="F282" s="62">
        <f>表2_36716262930381011[[#This Row],[累计净值]]-0.1652</f>
        <v>1.2133</v>
      </c>
      <c r="G282" s="20">
        <f t="shared" ref="G282" si="104">IF(F282&gt;1.0292,0.5*(F282-1.0292),F282-1.0292)</f>
        <v>9.2050000000000076E-2</v>
      </c>
    </row>
    <row r="283" spans="1:7">
      <c r="A283" s="15">
        <v>44140</v>
      </c>
      <c r="B283" s="112">
        <v>1.3758999999999999</v>
      </c>
      <c r="C283" s="108">
        <f>IFERROR(B283-B282,0)</f>
        <v>-2.6000000000001577E-3</v>
      </c>
      <c r="D283" s="109">
        <f>IF(C283&lt;0,C283,"/")</f>
        <v>-2.6000000000001577E-3</v>
      </c>
      <c r="E283" s="109">
        <f ca="1">IF(表2_36716262930381011[[#This Row],[累计净值]]/MAX(INDIRECT("B21:B" &amp; ROW()))-1&lt;E282,表2_36716262930381011[[#This Row],[累计净值]]/MAX(INDIRECT("B21:B" &amp; ROW()))-1,E282)</f>
        <v>-4.1215059897318884E-2</v>
      </c>
      <c r="F283" s="62">
        <f>表2_36716262930381011[[#This Row],[累计净值]]-0.1652</f>
        <v>1.2106999999999999</v>
      </c>
      <c r="G283" s="20">
        <f t="shared" ref="G283:G284" si="105">IF(F283&gt;1.0292,0.5*(F283-1.0292),F283-1.0292)</f>
        <v>9.0749999999999997E-2</v>
      </c>
    </row>
    <row r="284" spans="1:7">
      <c r="A284" s="15">
        <v>44141</v>
      </c>
      <c r="B284" s="112">
        <v>1.3709</v>
      </c>
      <c r="C284" s="108">
        <f>IFERROR(B284-B283,0)</f>
        <v>-4.9999999999998934E-3</v>
      </c>
      <c r="D284" s="109">
        <f>IF(C284&lt;0,C284,"/")</f>
        <v>-4.9999999999998934E-3</v>
      </c>
      <c r="E284" s="109">
        <f ca="1">IF(表2_36716262930381011[[#This Row],[累计净值]]/MAX(INDIRECT("B21:B" &amp; ROW()))-1&lt;E283,表2_36716262930381011[[#This Row],[累计净值]]/MAX(INDIRECT("B21:B" &amp; ROW()))-1,E283)</f>
        <v>-4.1215059897318884E-2</v>
      </c>
      <c r="F284" s="62">
        <f>表2_36716262930381011[[#This Row],[累计净值]]-0.1652</f>
        <v>1.2057</v>
      </c>
      <c r="G284" s="20">
        <f t="shared" si="105"/>
        <v>8.8250000000000051E-2</v>
      </c>
    </row>
    <row r="285" spans="1:7">
      <c r="A285" s="15">
        <v>44144</v>
      </c>
      <c r="B285" s="112">
        <v>1.3826000000000001</v>
      </c>
      <c r="C285" s="108">
        <f>IFERROR(B285-B284,0)</f>
        <v>1.1700000000000044E-2</v>
      </c>
      <c r="D285" s="109" t="str">
        <f>IF(C285&lt;0,C285,"/")</f>
        <v>/</v>
      </c>
      <c r="E285" s="109">
        <f ca="1">IF(表2_36716262930381011[[#This Row],[累计净值]]/MAX(INDIRECT("B21:B" &amp; ROW()))-1&lt;E284,表2_36716262930381011[[#This Row],[累计净值]]/MAX(INDIRECT("B21:B" &amp; ROW()))-1,E284)</f>
        <v>-4.1215059897318884E-2</v>
      </c>
      <c r="F285" s="62">
        <f>表2_36716262930381011[[#This Row],[累计净值]]-0.1652</f>
        <v>1.2174</v>
      </c>
      <c r="G285" s="20">
        <f t="shared" ref="G285" si="106">IF(F285&gt;1.0292,0.5*(F285-1.0292),F285-1.0292)</f>
        <v>9.4100000000000072E-2</v>
      </c>
    </row>
    <row r="286" spans="1:7">
      <c r="A286" s="15">
        <v>44145</v>
      </c>
      <c r="B286" s="112">
        <v>1.3777999999999999</v>
      </c>
      <c r="C286" s="108">
        <f>IFERROR(B286-B285,0)</f>
        <v>-4.8000000000001375E-3</v>
      </c>
      <c r="D286" s="109">
        <f>IF(C286&lt;0,C286,"/")</f>
        <v>-4.8000000000001375E-3</v>
      </c>
      <c r="E286" s="109">
        <f ca="1">IF(表2_36716262930381011[[#This Row],[累计净值]]/MAX(INDIRECT("B21:B" &amp; ROW()))-1&lt;E285,表2_36716262930381011[[#This Row],[累计净值]]/MAX(INDIRECT("B21:B" &amp; ROW()))-1,E285)</f>
        <v>-4.1215059897318884E-2</v>
      </c>
      <c r="F286" s="62">
        <f>表2_36716262930381011[[#This Row],[累计净值]]-0.1652</f>
        <v>1.2125999999999999</v>
      </c>
      <c r="G286" s="20">
        <f t="shared" ref="G286" si="107">IF(F286&gt;1.0292,0.5*(F286-1.0292),F286-1.0292)</f>
        <v>9.1700000000000004E-2</v>
      </c>
    </row>
    <row r="287" spans="1:7">
      <c r="A287" s="15">
        <v>44146</v>
      </c>
      <c r="B287" s="112">
        <v>1.3689</v>
      </c>
      <c r="C287" s="108">
        <f>IFERROR(B287-B286,0)</f>
        <v>-8.899999999999908E-3</v>
      </c>
      <c r="D287" s="109">
        <f>IF(C287&lt;0,C287,"/")</f>
        <v>-8.899999999999908E-3</v>
      </c>
      <c r="E287" s="109">
        <f ca="1">IF(表2_36716262930381011[[#This Row],[累计净值]]/MAX(INDIRECT("B21:B" &amp; ROW()))-1&lt;E286,表2_36716262930381011[[#This Row],[累计净值]]/MAX(INDIRECT("B21:B" &amp; ROW()))-1,E286)</f>
        <v>-4.1215059897318884E-2</v>
      </c>
      <c r="F287" s="62">
        <f>表2_36716262930381011[[#This Row],[累计净值]]-0.1652</f>
        <v>1.2037</v>
      </c>
      <c r="G287" s="20">
        <f t="shared" ref="G287:G288" si="108">IF(F287&gt;1.0292,0.5*(F287-1.0292),F287-1.0292)</f>
        <v>8.725000000000005E-2</v>
      </c>
    </row>
    <row r="288" spans="1:7">
      <c r="A288" s="15">
        <v>44147</v>
      </c>
      <c r="B288" s="112">
        <v>1.3701000000000001</v>
      </c>
      <c r="C288" s="108">
        <f t="shared" ref="C288:C289" si="109">IFERROR(B288-B287,0)</f>
        <v>1.2000000000000899E-3</v>
      </c>
      <c r="D288" s="109" t="str">
        <f t="shared" ref="D288:D289" si="110">IF(C288&lt;0,C288,"/")</f>
        <v>/</v>
      </c>
      <c r="E288" s="109">
        <f ca="1">IF(表2_36716262930381011[[#This Row],[累计净值]]/MAX(INDIRECT("B21:B" &amp; ROW()))-1&lt;E287,表2_36716262930381011[[#This Row],[累计净值]]/MAX(INDIRECT("B21:B" &amp; ROW()))-1,E287)</f>
        <v>-4.1215059897318884E-2</v>
      </c>
      <c r="F288" s="62">
        <f>表2_36716262930381011[[#This Row],[累计净值]]-0.1652</f>
        <v>1.2049000000000001</v>
      </c>
      <c r="G288" s="20">
        <f t="shared" si="108"/>
        <v>8.7850000000000095E-2</v>
      </c>
    </row>
    <row r="289" spans="1:7">
      <c r="A289" s="15">
        <v>44148</v>
      </c>
      <c r="B289" s="112">
        <v>1.3655999999999999</v>
      </c>
      <c r="C289" s="108">
        <f t="shared" si="109"/>
        <v>-4.5000000000001705E-3</v>
      </c>
      <c r="D289" s="109">
        <f t="shared" si="110"/>
        <v>-4.5000000000001705E-3</v>
      </c>
      <c r="E289" s="109">
        <f ca="1">IF(表2_36716262930381011[[#This Row],[累计净值]]/MAX(INDIRECT("B21:B" &amp; ROW()))-1&lt;E288,表2_36716262930381011[[#This Row],[累计净值]]/MAX(INDIRECT("B21:B" &amp; ROW()))-1,E288)</f>
        <v>-4.1215059897318884E-2</v>
      </c>
      <c r="F289" s="62">
        <f>表2_36716262930381011[[#This Row],[累计净值]]-0.1652</f>
        <v>1.2003999999999999</v>
      </c>
      <c r="G289" s="20">
        <f t="shared" ref="G289" si="111">IF(F289&gt;1.0292,0.5*(F289-1.0292),F289-1.0292)</f>
        <v>8.5600000000000009E-2</v>
      </c>
    </row>
    <row r="290" spans="1:7">
      <c r="A290" s="15">
        <v>44151</v>
      </c>
      <c r="B290" s="112">
        <v>1.3552999999999999</v>
      </c>
      <c r="C290" s="108">
        <f t="shared" ref="C290:C295" si="112">IFERROR(B290-B289,0)</f>
        <v>-1.0299999999999976E-2</v>
      </c>
      <c r="D290" s="109">
        <f t="shared" ref="D290:D295" si="113">IF(C290&lt;0,C290,"/")</f>
        <v>-1.0299999999999976E-2</v>
      </c>
      <c r="E290" s="109">
        <f ca="1">IF(表2_36716262930381011[[#This Row],[累计净值]]/MAX(INDIRECT("B21:B" &amp; ROW()))-1&lt;E289,表2_36716262930381011[[#This Row],[累计净值]]/MAX(INDIRECT("B21:B" &amp; ROW()))-1,E289)</f>
        <v>-4.1215059897318884E-2</v>
      </c>
      <c r="F290" s="62">
        <f>表2_36716262930381011[[#This Row],[累计净值]]-0.1652</f>
        <v>1.1900999999999999</v>
      </c>
      <c r="G290" s="20">
        <f t="shared" ref="G290:G291" si="114">IF(F290&gt;1.0292,0.5*(F290-1.0292),F290-1.0292)</f>
        <v>8.0450000000000021E-2</v>
      </c>
    </row>
    <row r="291" spans="1:7">
      <c r="A291" s="15">
        <v>44152</v>
      </c>
      <c r="B291" s="112">
        <v>1.3498000000000001</v>
      </c>
      <c r="C291" s="108">
        <f t="shared" si="112"/>
        <v>-5.4999999999998384E-3</v>
      </c>
      <c r="D291" s="109">
        <f t="shared" si="113"/>
        <v>-5.4999999999998384E-3</v>
      </c>
      <c r="E291" s="109">
        <f ca="1">IF(表2_36716262930381011[[#This Row],[累计净值]]/MAX(INDIRECT("B21:B" &amp; ROW()))-1&lt;E290,表2_36716262930381011[[#This Row],[累计净值]]/MAX(INDIRECT("B21:B" &amp; ROW()))-1,E290)</f>
        <v>-4.1215059897318884E-2</v>
      </c>
      <c r="F291" s="62">
        <f>表2_36716262930381011[[#This Row],[累计净值]]-0.1652</f>
        <v>1.1846000000000001</v>
      </c>
      <c r="G291" s="20">
        <f t="shared" si="114"/>
        <v>7.7700000000000102E-2</v>
      </c>
    </row>
    <row r="292" spans="1:7">
      <c r="A292" s="15">
        <v>44153</v>
      </c>
      <c r="B292" s="112">
        <v>1.3507</v>
      </c>
      <c r="C292" s="108">
        <f t="shared" si="112"/>
        <v>8.9999999999990088E-4</v>
      </c>
      <c r="D292" s="109" t="str">
        <f t="shared" si="113"/>
        <v>/</v>
      </c>
      <c r="E292" s="109">
        <f ca="1">IF(表2_36716262930381011[[#This Row],[累计净值]]/MAX(INDIRECT("B21:B" &amp; ROW()))-1&lt;E291,表2_36716262930381011[[#This Row],[累计净值]]/MAX(INDIRECT("B21:B" &amp; ROW()))-1,E291)</f>
        <v>-4.1215059897318884E-2</v>
      </c>
      <c r="F292" s="62">
        <f>表2_36716262930381011[[#This Row],[累计净值]]-0.1652</f>
        <v>1.1855</v>
      </c>
      <c r="G292" s="20">
        <f t="shared" ref="G292" si="115">IF(F292&gt;1.0292,0.5*(F292-1.0292),F292-1.0292)</f>
        <v>7.8150000000000053E-2</v>
      </c>
    </row>
    <row r="293" spans="1:7">
      <c r="A293" s="15">
        <v>44154</v>
      </c>
      <c r="B293" s="112">
        <v>1.3561000000000001</v>
      </c>
      <c r="C293" s="108">
        <f t="shared" si="112"/>
        <v>5.4000000000000714E-3</v>
      </c>
      <c r="D293" s="109" t="str">
        <f t="shared" si="113"/>
        <v>/</v>
      </c>
      <c r="E293" s="109">
        <f ca="1">IF(表2_36716262930381011[[#This Row],[累计净值]]/MAX(INDIRECT("B21:B" &amp; ROW()))-1&lt;E292,表2_36716262930381011[[#This Row],[累计净值]]/MAX(INDIRECT("B21:B" &amp; ROW()))-1,E292)</f>
        <v>-4.1215059897318884E-2</v>
      </c>
      <c r="F293" s="62">
        <f>表2_36716262930381011[[#This Row],[累计净值]]-0.1652</f>
        <v>1.1909000000000001</v>
      </c>
      <c r="G293" s="20">
        <f t="shared" ref="G293" si="116">IF(F293&gt;1.0292,0.5*(F293-1.0292),F293-1.0292)</f>
        <v>8.0850000000000088E-2</v>
      </c>
    </row>
    <row r="294" spans="1:7">
      <c r="A294" s="15">
        <v>44155</v>
      </c>
      <c r="B294" s="112">
        <v>1.3534999999999999</v>
      </c>
      <c r="C294" s="108">
        <f t="shared" si="112"/>
        <v>-2.6000000000001577E-3</v>
      </c>
      <c r="D294" s="109">
        <f t="shared" si="113"/>
        <v>-2.6000000000001577E-3</v>
      </c>
      <c r="E294" s="109">
        <f ca="1">IF(表2_36716262930381011[[#This Row],[累计净值]]/MAX(INDIRECT("B21:B" &amp; ROW()))-1&lt;E293,表2_36716262930381011[[#This Row],[累计净值]]/MAX(INDIRECT("B21:B" &amp; ROW()))-1,E293)</f>
        <v>-4.1215059897318884E-2</v>
      </c>
      <c r="F294" s="62">
        <f>表2_36716262930381011[[#This Row],[累计净值]]-0.1652</f>
        <v>1.1882999999999999</v>
      </c>
      <c r="G294" s="20">
        <f t="shared" ref="G294" si="117">IF(F294&gt;1.0292,0.5*(F294-1.0292),F294-1.0292)</f>
        <v>7.955000000000001E-2</v>
      </c>
    </row>
    <row r="295" spans="1:7">
      <c r="A295" s="15">
        <v>44158</v>
      </c>
      <c r="B295" s="112">
        <v>1.3548</v>
      </c>
      <c r="C295" s="108">
        <f t="shared" si="112"/>
        <v>1.3000000000000789E-3</v>
      </c>
      <c r="D295" s="109" t="str">
        <f t="shared" si="113"/>
        <v>/</v>
      </c>
      <c r="E295" s="109">
        <f ca="1">IF(表2_36716262930381011[[#This Row],[累计净值]]/MAX(INDIRECT("B21:B" &amp; ROW()))-1&lt;E294,表2_36716262930381011[[#This Row],[累计净值]]/MAX(INDIRECT("B21:B" &amp; ROW()))-1,E294)</f>
        <v>-4.1215059897318884E-2</v>
      </c>
      <c r="F295" s="62">
        <f>表2_36716262930381011[[#This Row],[累计净值]]-0.1652</f>
        <v>1.1896</v>
      </c>
      <c r="G295" s="20">
        <f t="shared" ref="G295" si="118">IF(F295&gt;1.0292,0.5*(F295-1.0292),F295-1.0292)</f>
        <v>8.0200000000000049E-2</v>
      </c>
    </row>
    <row r="296" spans="1:7">
      <c r="A296" s="15">
        <v>44159</v>
      </c>
      <c r="B296" s="112">
        <v>1.3565</v>
      </c>
      <c r="C296" s="108">
        <f t="shared" ref="C296:C301" si="119">IFERROR(B296-B295,0)</f>
        <v>1.7000000000000348E-3</v>
      </c>
      <c r="D296" s="109" t="str">
        <f t="shared" ref="D296:D301" si="120">IF(C296&lt;0,C296,"/")</f>
        <v>/</v>
      </c>
      <c r="E296" s="109">
        <f ca="1">IF(表2_36716262930381011[[#This Row],[累计净值]]/MAX(INDIRECT("B21:B" &amp; ROW()))-1&lt;E295,表2_36716262930381011[[#This Row],[累计净值]]/MAX(INDIRECT("B21:B" &amp; ROW()))-1,E295)</f>
        <v>-4.1215059897318884E-2</v>
      </c>
      <c r="F296" s="62">
        <f>表2_36716262930381011[[#This Row],[累计净值]]-0.1652</f>
        <v>1.1913</v>
      </c>
      <c r="G296" s="20">
        <f t="shared" ref="G296" si="121">IF(F296&gt;1.0292,0.5*(F296-1.0292),F296-1.0292)</f>
        <v>8.1050000000000066E-2</v>
      </c>
    </row>
    <row r="297" spans="1:7">
      <c r="A297" s="15">
        <v>44160</v>
      </c>
      <c r="B297" s="112">
        <v>1.3523000000000001</v>
      </c>
      <c r="C297" s="108">
        <f t="shared" si="119"/>
        <v>-4.1999999999999815E-3</v>
      </c>
      <c r="D297" s="109">
        <f t="shared" si="120"/>
        <v>-4.1999999999999815E-3</v>
      </c>
      <c r="E297" s="109">
        <f ca="1">IF(表2_36716262930381011[[#This Row],[累计净值]]/MAX(INDIRECT("B21:B" &amp; ROW()))-1&lt;E296,表2_36716262930381011[[#This Row],[累计净值]]/MAX(INDIRECT("B21:B" &amp; ROW()))-1,E296)</f>
        <v>-4.1215059897318884E-2</v>
      </c>
      <c r="F297" s="62">
        <f>表2_36716262930381011[[#This Row],[累计净值]]-0.1652</f>
        <v>1.1871</v>
      </c>
      <c r="G297" s="20">
        <f t="shared" ref="G297" si="122">IF(F297&gt;1.0292,0.5*(F297-1.0292),F297-1.0292)</f>
        <v>7.8950000000000076E-2</v>
      </c>
    </row>
    <row r="298" spans="1:7">
      <c r="A298" s="15">
        <v>44161</v>
      </c>
      <c r="B298" s="112">
        <v>1.3515999999999999</v>
      </c>
      <c r="C298" s="108">
        <f t="shared" si="119"/>
        <v>-7.0000000000014495E-4</v>
      </c>
      <c r="D298" s="109">
        <f t="shared" si="120"/>
        <v>-7.0000000000014495E-4</v>
      </c>
      <c r="E298" s="109">
        <f ca="1">IF(表2_36716262930381011[[#This Row],[累计净值]]/MAX(INDIRECT("B21:B" &amp; ROW()))-1&lt;E297,表2_36716262930381011[[#This Row],[累计净值]]/MAX(INDIRECT("B21:B" &amp; ROW()))-1,E297)</f>
        <v>-4.1215059897318884E-2</v>
      </c>
      <c r="F298" s="62">
        <f>表2_36716262930381011[[#This Row],[累计净值]]-0.1652</f>
        <v>1.1863999999999999</v>
      </c>
      <c r="G298" s="20">
        <f t="shared" ref="G298:G299" si="123">IF(F298&gt;1.0292,0.5*(F298-1.0292),F298-1.0292)</f>
        <v>7.8600000000000003E-2</v>
      </c>
    </row>
    <row r="299" spans="1:7">
      <c r="A299" s="15">
        <v>44162</v>
      </c>
      <c r="B299" s="112">
        <v>1.3480000000000001</v>
      </c>
      <c r="C299" s="108">
        <f t="shared" si="119"/>
        <v>-3.5999999999998256E-3</v>
      </c>
      <c r="D299" s="109">
        <f t="shared" si="120"/>
        <v>-3.5999999999998256E-3</v>
      </c>
      <c r="E299" s="109">
        <f ca="1">IF(表2_36716262930381011[[#This Row],[累计净值]]/MAX(INDIRECT("B21:B" &amp; ROW()))-1&lt;E298,表2_36716262930381011[[#This Row],[累计净值]]/MAX(INDIRECT("B21:B" &amp; ROW()))-1,E298)</f>
        <v>-4.1215059897318884E-2</v>
      </c>
      <c r="F299" s="62">
        <f>表2_36716262930381011[[#This Row],[累计净值]]-0.1652</f>
        <v>1.1828000000000001</v>
      </c>
      <c r="G299" s="20">
        <f t="shared" si="123"/>
        <v>7.680000000000009E-2</v>
      </c>
    </row>
    <row r="300" spans="1:7">
      <c r="A300" s="15">
        <v>44165</v>
      </c>
      <c r="B300" s="112">
        <v>1.3489</v>
      </c>
      <c r="C300" s="108">
        <f t="shared" si="119"/>
        <v>8.9999999999990088E-4</v>
      </c>
      <c r="D300" s="109" t="str">
        <f t="shared" si="120"/>
        <v>/</v>
      </c>
      <c r="E300" s="109">
        <f ca="1">IF(表2_36716262930381011[[#This Row],[累计净值]]/MAX(INDIRECT("B21:B" &amp; ROW()))-1&lt;E299,表2_36716262930381011[[#This Row],[累计净值]]/MAX(INDIRECT("B21:B" &amp; ROW()))-1,E299)</f>
        <v>-4.1215059897318884E-2</v>
      </c>
      <c r="F300" s="62">
        <f>表2_36716262930381011[[#This Row],[累计净值]]-0.1652</f>
        <v>1.1837</v>
      </c>
      <c r="G300" s="20">
        <f t="shared" ref="G300:G302" si="124">IF(F300&gt;1.0292,0.5*(F300-1.0292),F300-1.0292)</f>
        <v>7.7250000000000041E-2</v>
      </c>
    </row>
    <row r="301" spans="1:7">
      <c r="A301" s="15">
        <v>44166</v>
      </c>
      <c r="B301" s="112">
        <v>1.3495999999999999</v>
      </c>
      <c r="C301" s="108">
        <f t="shared" si="119"/>
        <v>6.9999999999992291E-4</v>
      </c>
      <c r="D301" s="109" t="str">
        <f t="shared" si="120"/>
        <v>/</v>
      </c>
      <c r="E301" s="109">
        <f ca="1">IF(表2_36716262930381011[[#This Row],[累计净值]]/MAX(INDIRECT("B21:B" &amp; ROW()))-1&lt;E300,表2_36716262930381011[[#This Row],[累计净值]]/MAX(INDIRECT("B21:B" &amp; ROW()))-1,E300)</f>
        <v>-4.1215059897318884E-2</v>
      </c>
      <c r="F301" s="62">
        <f>表2_36716262930381011[[#This Row],[累计净值]]-0.1652</f>
        <v>1.1843999999999999</v>
      </c>
      <c r="G301" s="20">
        <f t="shared" si="124"/>
        <v>7.7600000000000002E-2</v>
      </c>
    </row>
    <row r="302" spans="1:7">
      <c r="A302" s="15">
        <v>44167</v>
      </c>
      <c r="B302" s="112">
        <v>1.349</v>
      </c>
      <c r="C302" s="108">
        <f t="shared" ref="C302:C307" si="125">IFERROR(B302-B301,0)</f>
        <v>-5.9999999999993392E-4</v>
      </c>
      <c r="D302" s="109">
        <f t="shared" ref="D302:D307" si="126">IF(C302&lt;0,C302,"/")</f>
        <v>-5.9999999999993392E-4</v>
      </c>
      <c r="E302" s="109">
        <f ca="1">IF(表2_36716262930381011[[#This Row],[累计净值]]/MAX(INDIRECT("B21:B" &amp; ROW()))-1&lt;E301,表2_36716262930381011[[#This Row],[累计净值]]/MAX(INDIRECT("B21:B" &amp; ROW()))-1,E301)</f>
        <v>-4.1215059897318884E-2</v>
      </c>
      <c r="F302" s="62">
        <f>表2_36716262930381011[[#This Row],[累计净值]]-0.1652</f>
        <v>1.1838</v>
      </c>
      <c r="G302" s="20">
        <f t="shared" si="124"/>
        <v>7.7300000000000035E-2</v>
      </c>
    </row>
    <row r="303" spans="1:7">
      <c r="A303" s="15">
        <v>44168</v>
      </c>
      <c r="B303" s="112">
        <v>1.3426</v>
      </c>
      <c r="C303" s="108">
        <f t="shared" si="125"/>
        <v>-6.3999999999999613E-3</v>
      </c>
      <c r="D303" s="109">
        <f t="shared" si="126"/>
        <v>-6.3999999999999613E-3</v>
      </c>
      <c r="E303" s="109">
        <f ca="1">IF(表2_36716262930381011[[#This Row],[累计净值]]/MAX(INDIRECT("B21:B" &amp; ROW()))-1&lt;E302,表2_36716262930381011[[#This Row],[累计净值]]/MAX(INDIRECT("B21:B" &amp; ROW()))-1,E302)</f>
        <v>-4.2641186537364595E-2</v>
      </c>
      <c r="F303" s="62">
        <f>表2_36716262930381011[[#This Row],[累计净值]]-0.1652</f>
        <v>1.1774</v>
      </c>
      <c r="G303" s="20">
        <f t="shared" ref="G303" si="127">IF(F303&gt;1.0292,0.5*(F303-1.0292),F303-1.0292)</f>
        <v>7.4100000000000055E-2</v>
      </c>
    </row>
    <row r="304" spans="1:7">
      <c r="A304" s="15">
        <v>44169</v>
      </c>
      <c r="B304" s="112">
        <v>1.3418000000000001</v>
      </c>
      <c r="C304" s="108">
        <f t="shared" si="125"/>
        <v>-7.9999999999991189E-4</v>
      </c>
      <c r="D304" s="109">
        <f t="shared" si="126"/>
        <v>-7.9999999999991189E-4</v>
      </c>
      <c r="E304" s="109">
        <f ca="1">IF(表2_36716262930381011[[#This Row],[累计净值]]/MAX(INDIRECT("B21:B" &amp; ROW()))-1&lt;E303,表2_36716262930381011[[#This Row],[累计净值]]/MAX(INDIRECT("B21:B" &amp; ROW()))-1,E303)</f>
        <v>-4.3211637193382724E-2</v>
      </c>
      <c r="F304" s="62">
        <f>表2_36716262930381011[[#This Row],[累计净值]]-0.1652</f>
        <v>1.1766000000000001</v>
      </c>
      <c r="G304" s="20">
        <f t="shared" ref="G304:G305" si="128">IF(F304&gt;1.0292,0.5*(F304-1.0292),F304-1.0292)</f>
        <v>7.3700000000000099E-2</v>
      </c>
    </row>
    <row r="305" spans="1:7">
      <c r="A305" s="15">
        <v>44172</v>
      </c>
      <c r="B305" s="112">
        <v>1.3439000000000001</v>
      </c>
      <c r="C305" s="108">
        <f t="shared" si="125"/>
        <v>2.0999999999999908E-3</v>
      </c>
      <c r="D305" s="109" t="str">
        <f t="shared" si="126"/>
        <v>/</v>
      </c>
      <c r="E305" s="109">
        <f ca="1">IF(表2_36716262930381011[[#This Row],[累计净值]]/MAX(INDIRECT("B21:B" &amp; ROW()))-1&lt;E304,表2_36716262930381011[[#This Row],[累计净值]]/MAX(INDIRECT("B21:B" &amp; ROW()))-1,E304)</f>
        <v>-4.3211637193382724E-2</v>
      </c>
      <c r="F305" s="62">
        <f>表2_36716262930381011[[#This Row],[累计净值]]-0.1652</f>
        <v>1.1787000000000001</v>
      </c>
      <c r="G305" s="20">
        <f t="shared" si="128"/>
        <v>7.4750000000000094E-2</v>
      </c>
    </row>
    <row r="306" spans="1:7">
      <c r="A306" s="15">
        <v>44173</v>
      </c>
      <c r="B306" s="112">
        <v>1.3409</v>
      </c>
      <c r="C306" s="108">
        <f t="shared" si="125"/>
        <v>-3.0000000000001137E-3</v>
      </c>
      <c r="D306" s="109">
        <f t="shared" si="126"/>
        <v>-3.0000000000001137E-3</v>
      </c>
      <c r="E306" s="109">
        <f ca="1">IF(表2_36716262930381011[[#This Row],[累计净值]]/MAX(INDIRECT("B21:B" &amp; ROW()))-1&lt;E305,表2_36716262930381011[[#This Row],[累计净值]]/MAX(INDIRECT("B21:B" &amp; ROW()))-1,E305)</f>
        <v>-4.3853394181403438E-2</v>
      </c>
      <c r="F306" s="62">
        <f>表2_36716262930381011[[#This Row],[累计净值]]-0.1652</f>
        <v>1.1757</v>
      </c>
      <c r="G306" s="20">
        <f t="shared" ref="G306:G307" si="129">IF(F306&gt;1.0292,0.5*(F306-1.0292),F306-1.0292)</f>
        <v>7.3250000000000037E-2</v>
      </c>
    </row>
    <row r="307" spans="1:7">
      <c r="A307" s="15">
        <v>44174</v>
      </c>
      <c r="B307" s="112">
        <v>1.3394999999999999</v>
      </c>
      <c r="C307" s="108">
        <f t="shared" si="125"/>
        <v>-1.4000000000000679E-3</v>
      </c>
      <c r="D307" s="109">
        <f t="shared" si="126"/>
        <v>-1.4000000000000679E-3</v>
      </c>
      <c r="E307" s="109">
        <f ca="1">IF(表2_36716262930381011[[#This Row],[累计净值]]/MAX(INDIRECT("B21:B" &amp; ROW()))-1&lt;E306,表2_36716262930381011[[#This Row],[累计净值]]/MAX(INDIRECT("B21:B" &amp; ROW()))-1,E306)</f>
        <v>-4.4851682829435413E-2</v>
      </c>
      <c r="F307" s="62">
        <f>表2_36716262930381011[[#This Row],[累计净值]]-0.1652</f>
        <v>1.1742999999999999</v>
      </c>
      <c r="G307" s="20">
        <f t="shared" si="129"/>
        <v>7.2550000000000003E-2</v>
      </c>
    </row>
    <row r="308" spans="1:7">
      <c r="A308" s="15">
        <v>44175</v>
      </c>
      <c r="B308" s="112">
        <v>1.3411</v>
      </c>
      <c r="C308" s="108">
        <f t="shared" ref="C308:C309" si="130">IFERROR(B308-B307,0)</f>
        <v>1.6000000000000458E-3</v>
      </c>
      <c r="D308" s="109" t="str">
        <f t="shared" ref="D308:D309" si="131">IF(C308&lt;0,C308,"/")</f>
        <v>/</v>
      </c>
      <c r="E308" s="109">
        <f ca="1">IF(表2_36716262930381011[[#This Row],[累计净值]]/MAX(INDIRECT("B21:B" &amp; ROW()))-1&lt;E307,表2_36716262930381011[[#This Row],[累计净值]]/MAX(INDIRECT("B21:B" &amp; ROW()))-1,E307)</f>
        <v>-4.4851682829435413E-2</v>
      </c>
      <c r="F308" s="62">
        <f>表2_36716262930381011[[#This Row],[累计净值]]-0.1652</f>
        <v>1.1758999999999999</v>
      </c>
      <c r="G308" s="20">
        <f t="shared" ref="G308:G309" si="132">IF(F308&gt;1.0292,0.5*(F308-1.0292),F308-1.0292)</f>
        <v>7.3350000000000026E-2</v>
      </c>
    </row>
    <row r="309" spans="1:7">
      <c r="A309" s="15">
        <v>44176</v>
      </c>
      <c r="B309" s="112">
        <v>1.3402000000000001</v>
      </c>
      <c r="C309" s="108">
        <f t="shared" si="130"/>
        <v>-8.9999999999990088E-4</v>
      </c>
      <c r="D309" s="109">
        <f t="shared" si="131"/>
        <v>-8.9999999999990088E-4</v>
      </c>
      <c r="E309" s="109">
        <f ca="1">IF(表2_36716262930381011[[#This Row],[累计净值]]/MAX(INDIRECT("B21:B" &amp; ROW()))-1&lt;E308,表2_36716262930381011[[#This Row],[累计净值]]/MAX(INDIRECT("B21:B" &amp; ROW()))-1,E308)</f>
        <v>-4.4851682829435413E-2</v>
      </c>
      <c r="F309" s="62">
        <f>表2_36716262930381011[[#This Row],[累计净值]]-0.1652</f>
        <v>1.175</v>
      </c>
      <c r="G309" s="20">
        <f t="shared" si="132"/>
        <v>7.2900000000000076E-2</v>
      </c>
    </row>
    <row r="310" spans="1:7">
      <c r="A310" s="15">
        <v>44179</v>
      </c>
      <c r="B310" s="112">
        <v>1.3411999999999999</v>
      </c>
      <c r="C310" s="108">
        <f t="shared" ref="C310:C315" si="133">IFERROR(B310-B309,0)</f>
        <v>9.9999999999988987E-4</v>
      </c>
      <c r="D310" s="109" t="str">
        <f t="shared" ref="D310:D315" si="134">IF(C310&lt;0,C310,"/")</f>
        <v>/</v>
      </c>
      <c r="E310" s="109">
        <f ca="1">IF(表2_36716262930381011[[#This Row],[累计净值]]/MAX(INDIRECT("B21:B" &amp; ROW()))-1&lt;E309,表2_36716262930381011[[#This Row],[累计净值]]/MAX(INDIRECT("B21:B" &amp; ROW()))-1,E309)</f>
        <v>-4.4851682829435413E-2</v>
      </c>
      <c r="F310" s="62">
        <f>表2_36716262930381011[[#This Row],[累计净值]]-0.1652</f>
        <v>1.1759999999999999</v>
      </c>
      <c r="G310" s="20">
        <f t="shared" ref="G310:G312" si="135">IF(F310&gt;1.0292,0.5*(F310-1.0292),F310-1.0292)</f>
        <v>7.3400000000000021E-2</v>
      </c>
    </row>
    <row r="311" spans="1:7">
      <c r="A311" s="15">
        <v>44180</v>
      </c>
      <c r="B311" s="112">
        <v>1.3426</v>
      </c>
      <c r="C311" s="108">
        <f t="shared" si="133"/>
        <v>1.4000000000000679E-3</v>
      </c>
      <c r="D311" s="109" t="str">
        <f t="shared" si="134"/>
        <v>/</v>
      </c>
      <c r="E311" s="109">
        <f ca="1">IF(表2_36716262930381011[[#This Row],[累计净值]]/MAX(INDIRECT("B21:B" &amp; ROW()))-1&lt;E310,表2_36716262930381011[[#This Row],[累计净值]]/MAX(INDIRECT("B21:B" &amp; ROW()))-1,E310)</f>
        <v>-4.4851682829435413E-2</v>
      </c>
      <c r="F311" s="62">
        <f>表2_36716262930381011[[#This Row],[累计净值]]-0.1652</f>
        <v>1.1774</v>
      </c>
      <c r="G311" s="20">
        <f t="shared" si="135"/>
        <v>7.4100000000000055E-2</v>
      </c>
    </row>
    <row r="312" spans="1:7">
      <c r="A312" s="15">
        <v>44181</v>
      </c>
      <c r="B312" s="112">
        <v>1.3383</v>
      </c>
      <c r="C312" s="108">
        <f t="shared" si="133"/>
        <v>-4.2999999999999705E-3</v>
      </c>
      <c r="D312" s="109">
        <f t="shared" si="134"/>
        <v>-4.2999999999999705E-3</v>
      </c>
      <c r="E312" s="109">
        <f ca="1">IF(表2_36716262930381011[[#This Row],[累计净值]]/MAX(INDIRECT("B21:B" &amp; ROW()))-1&lt;E311,表2_36716262930381011[[#This Row],[累计净值]]/MAX(INDIRECT("B21:B" &amp; ROW()))-1,E311)</f>
        <v>-4.5707358813462662E-2</v>
      </c>
      <c r="F312" s="62">
        <f>表2_36716262930381011[[#This Row],[累计净值]]-0.1652</f>
        <v>1.1731</v>
      </c>
      <c r="G312" s="20">
        <f t="shared" si="135"/>
        <v>7.1950000000000069E-2</v>
      </c>
    </row>
    <row r="313" spans="1:7">
      <c r="A313" s="15">
        <v>44182</v>
      </c>
      <c r="B313" s="112">
        <v>1.3373999999999999</v>
      </c>
      <c r="C313" s="108">
        <f t="shared" si="133"/>
        <v>-9.0000000000012292E-4</v>
      </c>
      <c r="D313" s="109">
        <f t="shared" si="134"/>
        <v>-9.0000000000012292E-4</v>
      </c>
      <c r="E313" s="109">
        <f ca="1">IF(表2_36716262930381011[[#This Row],[累计净值]]/MAX(INDIRECT("B21:B" &amp; ROW()))-1&lt;E312,表2_36716262930381011[[#This Row],[累计净值]]/MAX(INDIRECT("B21:B" &amp; ROW()))-1,E312)</f>
        <v>-4.6349115801483265E-2</v>
      </c>
      <c r="F313" s="62">
        <f>表2_36716262930381011[[#This Row],[累计净值]]-0.1652</f>
        <v>1.1721999999999999</v>
      </c>
      <c r="G313" s="20">
        <f t="shared" ref="G313:G314" si="136">IF(F313&gt;1.0292,0.5*(F313-1.0292),F313-1.0292)</f>
        <v>7.1500000000000008E-2</v>
      </c>
    </row>
    <row r="314" spans="1:7">
      <c r="A314" s="15">
        <v>44183</v>
      </c>
      <c r="B314" s="112">
        <v>1.3415999999999999</v>
      </c>
      <c r="C314" s="108">
        <f t="shared" si="133"/>
        <v>4.1999999999999815E-3</v>
      </c>
      <c r="D314" s="109" t="str">
        <f t="shared" si="134"/>
        <v>/</v>
      </c>
      <c r="E314" s="109">
        <f ca="1">IF(表2_36716262930381011[[#This Row],[累计净值]]/MAX(INDIRECT("B21:B" &amp; ROW()))-1&lt;E313,表2_36716262930381011[[#This Row],[累计净值]]/MAX(INDIRECT("B21:B" &amp; ROW()))-1,E313)</f>
        <v>-4.6349115801483265E-2</v>
      </c>
      <c r="F314" s="62">
        <f>表2_36716262930381011[[#This Row],[累计净值]]-0.1652</f>
        <v>1.1763999999999999</v>
      </c>
      <c r="G314" s="20">
        <f t="shared" si="136"/>
        <v>7.3599999999999999E-2</v>
      </c>
    </row>
    <row r="315" spans="1:7">
      <c r="A315" s="15">
        <v>44186</v>
      </c>
      <c r="B315" s="112">
        <v>1.3401000000000001</v>
      </c>
      <c r="C315" s="108">
        <f t="shared" si="133"/>
        <v>-1.4999999999998348E-3</v>
      </c>
      <c r="D315" s="109">
        <f t="shared" si="134"/>
        <v>-1.4999999999998348E-3</v>
      </c>
      <c r="E315" s="109">
        <f ca="1">IF(表2_36716262930381011[[#This Row],[累计净值]]/MAX(INDIRECT("B21:B" &amp; ROW()))-1&lt;E314,表2_36716262930381011[[#This Row],[累计净值]]/MAX(INDIRECT("B21:B" &amp; ROW()))-1,E314)</f>
        <v>-4.6349115801483265E-2</v>
      </c>
      <c r="F315" s="62">
        <f>表2_36716262930381011[[#This Row],[累计净值]]-0.1652</f>
        <v>1.1749000000000001</v>
      </c>
      <c r="G315" s="20">
        <f t="shared" ref="G315" si="137">IF(F315&gt;1.0292,0.5*(F315-1.0292),F315-1.0292)</f>
        <v>7.2850000000000081E-2</v>
      </c>
    </row>
    <row r="316" spans="1:7">
      <c r="A316" s="15">
        <v>44187</v>
      </c>
      <c r="B316" s="112">
        <v>1.3387</v>
      </c>
      <c r="C316" s="108">
        <f>IFERROR(B316-B315,0)</f>
        <v>-1.4000000000000679E-3</v>
      </c>
      <c r="D316" s="109">
        <f>IF(C316&lt;0,C316,"/")</f>
        <v>-1.4000000000000679E-3</v>
      </c>
      <c r="E316" s="109">
        <f ca="1">IF(表2_36716262930381011[[#This Row],[累计净值]]/MAX(INDIRECT("B21:B" &amp; ROW()))-1&lt;E315,表2_36716262930381011[[#This Row],[累计净值]]/MAX(INDIRECT("B21:B" &amp; ROW()))-1,E315)</f>
        <v>-4.6349115801483265E-2</v>
      </c>
      <c r="F316" s="62">
        <f>表2_36716262930381011[[#This Row],[累计净值]]-0.1652</f>
        <v>1.1735</v>
      </c>
      <c r="G316" s="20">
        <f t="shared" ref="G316" si="138">IF(F316&gt;1.0292,0.5*(F316-1.0292),F316-1.0292)</f>
        <v>7.2150000000000047E-2</v>
      </c>
    </row>
    <row r="317" spans="1:7">
      <c r="A317" s="15">
        <v>44188</v>
      </c>
      <c r="B317" s="112">
        <v>1.3443000000000001</v>
      </c>
      <c r="C317" s="108">
        <f>IFERROR(B317-B316,0)</f>
        <v>5.6000000000000494E-3</v>
      </c>
      <c r="D317" s="109" t="str">
        <f>IF(C317&lt;0,C317,"/")</f>
        <v>/</v>
      </c>
      <c r="E317" s="109">
        <f ca="1">IF(表2_36716262930381011[[#This Row],[累计净值]]/MAX(INDIRECT("B21:B" &amp; ROW()))-1&lt;E316,表2_36716262930381011[[#This Row],[累计净值]]/MAX(INDIRECT("B21:B" &amp; ROW()))-1,E316)</f>
        <v>-4.6349115801483265E-2</v>
      </c>
      <c r="F317" s="62">
        <f>表2_36716262930381011[[#This Row],[累计净值]]-0.1652</f>
        <v>1.1791</v>
      </c>
      <c r="G317" s="20">
        <f t="shared" ref="G317" si="139">IF(F317&gt;1.0292,0.5*(F317-1.0292),F317-1.0292)</f>
        <v>7.4950000000000072E-2</v>
      </c>
    </row>
    <row r="318" spans="1:7">
      <c r="A318" s="15">
        <v>44189</v>
      </c>
      <c r="B318" s="112">
        <v>1.3433999999999999</v>
      </c>
      <c r="C318" s="108">
        <f t="shared" ref="C318:C319" si="140">IFERROR(B318-B317,0)</f>
        <v>-9.0000000000012292E-4</v>
      </c>
      <c r="D318" s="109">
        <f t="shared" ref="D318:D319" si="141">IF(C318&lt;0,C318,"/")</f>
        <v>-9.0000000000012292E-4</v>
      </c>
      <c r="E318" s="109">
        <f ca="1">IF(表2_36716262930381011[[#This Row],[累计净值]]/MAX(INDIRECT("B21:B" &amp; ROW()))-1&lt;E317,表2_36716262930381011[[#This Row],[累计净值]]/MAX(INDIRECT("B21:B" &amp; ROW()))-1,E317)</f>
        <v>-4.6349115801483265E-2</v>
      </c>
      <c r="F318" s="62">
        <f>表2_36716262930381011[[#This Row],[累计净值]]-0.1652</f>
        <v>1.1781999999999999</v>
      </c>
      <c r="G318" s="20">
        <f t="shared" ref="G318" si="142">IF(F318&gt;1.0292,0.5*(F318-1.0292),F318-1.0292)</f>
        <v>7.4500000000000011E-2</v>
      </c>
    </row>
    <row r="319" spans="1:7">
      <c r="A319" s="15">
        <v>44190</v>
      </c>
      <c r="B319" s="112">
        <v>1.3415999999999999</v>
      </c>
      <c r="C319" s="108">
        <f t="shared" si="140"/>
        <v>-1.8000000000000238E-3</v>
      </c>
      <c r="D319" s="109">
        <f t="shared" si="141"/>
        <v>-1.8000000000000238E-3</v>
      </c>
      <c r="E319" s="109">
        <f ca="1">IF(表2_36716262930381011[[#This Row],[累计净值]]/MAX(INDIRECT("B21:B" &amp; ROW()))-1&lt;E318,表2_36716262930381011[[#This Row],[累计净值]]/MAX(INDIRECT("B21:B" &amp; ROW()))-1,E318)</f>
        <v>-4.6349115801483265E-2</v>
      </c>
      <c r="F319" s="62">
        <f>表2_36716262930381011[[#This Row],[累计净值]]-0.1652</f>
        <v>1.1763999999999999</v>
      </c>
      <c r="G319" s="20">
        <f t="shared" ref="G319" si="143">IF(F319&gt;1.0292,0.5*(F319-1.0292),F319-1.0292)</f>
        <v>7.3599999999999999E-2</v>
      </c>
    </row>
    <row r="320" spans="1:7">
      <c r="A320" s="15">
        <v>44193</v>
      </c>
      <c r="B320" s="112">
        <v>1.3372999999999999</v>
      </c>
      <c r="C320" s="108">
        <f t="shared" ref="C320:C325" si="144">IFERROR(B320-B319,0)</f>
        <v>-4.2999999999999705E-3</v>
      </c>
      <c r="D320" s="109">
        <f t="shared" ref="D320:D325" si="145">IF(C320&lt;0,C320,"/")</f>
        <v>-4.2999999999999705E-3</v>
      </c>
      <c r="E320" s="109">
        <f ca="1">IF(表2_36716262930381011[[#This Row],[累计净值]]/MAX(INDIRECT("B21:B" &amp; ROW()))-1&lt;E319,表2_36716262930381011[[#This Row],[累计净值]]/MAX(INDIRECT("B21:B" &amp; ROW()))-1,E319)</f>
        <v>-4.6420422133485517E-2</v>
      </c>
      <c r="F320" s="62">
        <f>表2_36716262930381011[[#This Row],[累计净值]]-0.1652</f>
        <v>1.1720999999999999</v>
      </c>
      <c r="G320" s="20">
        <f t="shared" ref="G320" si="146">IF(F320&gt;1.0292,0.5*(F320-1.0292),F320-1.0292)</f>
        <v>7.1450000000000014E-2</v>
      </c>
    </row>
    <row r="321" spans="1:7">
      <c r="A321" s="15">
        <v>44194</v>
      </c>
      <c r="B321" s="112">
        <v>1.3351999999999999</v>
      </c>
      <c r="C321" s="108">
        <f t="shared" si="144"/>
        <v>-2.0999999999999908E-3</v>
      </c>
      <c r="D321" s="109">
        <f t="shared" si="145"/>
        <v>-2.0999999999999908E-3</v>
      </c>
      <c r="E321" s="109">
        <f ca="1">IF(表2_36716262930381011[[#This Row],[累计净值]]/MAX(INDIRECT("B21:B" &amp; ROW()))-1&lt;E320,表2_36716262930381011[[#This Row],[累计净值]]/MAX(INDIRECT("B21:B" &amp; ROW()))-1,E320)</f>
        <v>-4.791785510553348E-2</v>
      </c>
      <c r="F321" s="62">
        <f>表2_36716262930381011[[#This Row],[累计净值]]-0.1652</f>
        <v>1.17</v>
      </c>
      <c r="G321" s="20">
        <f t="shared" ref="G321" si="147">IF(F321&gt;1.0292,0.5*(F321-1.0292),F321-1.0292)</f>
        <v>7.0400000000000018E-2</v>
      </c>
    </row>
    <row r="322" spans="1:7">
      <c r="A322" s="15">
        <v>44195</v>
      </c>
      <c r="B322" s="112">
        <v>1.3327</v>
      </c>
      <c r="C322" s="108">
        <f t="shared" si="144"/>
        <v>-2.4999999999999467E-3</v>
      </c>
      <c r="D322" s="109">
        <f t="shared" si="145"/>
        <v>-2.4999999999999467E-3</v>
      </c>
      <c r="E322" s="109">
        <f ca="1">IF(表2_36716262930381011[[#This Row],[累计净值]]/MAX(INDIRECT("B21:B" &amp; ROW()))-1&lt;E321,表2_36716262930381011[[#This Row],[累计净值]]/MAX(INDIRECT("B21:B" &amp; ROW()))-1,E321)</f>
        <v>-4.9700513405590452E-2</v>
      </c>
      <c r="F322" s="62">
        <f>表2_36716262930381011[[#This Row],[累计净值]]-0.1652</f>
        <v>1.1675</v>
      </c>
      <c r="G322" s="20">
        <f t="shared" ref="G322" si="148">IF(F322&gt;1.0292,0.5*(F322-1.0292),F322-1.0292)</f>
        <v>6.9150000000000045E-2</v>
      </c>
    </row>
    <row r="323" spans="1:7">
      <c r="A323" s="15">
        <v>44196</v>
      </c>
      <c r="B323" s="112">
        <v>1.3352999999999999</v>
      </c>
      <c r="C323" s="108">
        <f t="shared" si="144"/>
        <v>2.5999999999999357E-3</v>
      </c>
      <c r="D323" s="109" t="str">
        <f t="shared" si="145"/>
        <v>/</v>
      </c>
      <c r="E323" s="109">
        <f ca="1">IF(表2_36716262930381011[[#This Row],[累计净值]]/MAX(INDIRECT("B21:B" &amp; ROW()))-1&lt;E322,表2_36716262930381011[[#This Row],[累计净值]]/MAX(INDIRECT("B21:B" &amp; ROW()))-1,E322)</f>
        <v>-4.9700513405590452E-2</v>
      </c>
      <c r="F323" s="62">
        <f>表2_36716262930381011[[#This Row],[累计净值]]-0.1652</f>
        <v>1.1700999999999999</v>
      </c>
      <c r="G323" s="20">
        <f t="shared" ref="G323:G324" si="149">IF(F323&gt;1.0292,0.5*(F323-1.0292),F323-1.0292)</f>
        <v>7.0450000000000013E-2</v>
      </c>
    </row>
    <row r="324" spans="1:7">
      <c r="A324" s="15">
        <v>44200</v>
      </c>
      <c r="B324" s="112">
        <v>1.3362000000000001</v>
      </c>
      <c r="C324" s="108">
        <f t="shared" si="144"/>
        <v>9.0000000000012292E-4</v>
      </c>
      <c r="D324" s="109" t="str">
        <f t="shared" si="145"/>
        <v>/</v>
      </c>
      <c r="E324" s="109">
        <f ca="1">IF(表2_36716262930381011[[#This Row],[累计净值]]/MAX(INDIRECT("B21:B" &amp; ROW()))-1&lt;E323,表2_36716262930381011[[#This Row],[累计净值]]/MAX(INDIRECT("B21:B" &amp; ROW()))-1,E323)</f>
        <v>-4.9700513405590452E-2</v>
      </c>
      <c r="F324" s="62">
        <f>表2_36716262930381011[[#This Row],[累计净值]]-0.1652</f>
        <v>1.171</v>
      </c>
      <c r="G324" s="20">
        <f t="shared" si="149"/>
        <v>7.0900000000000074E-2</v>
      </c>
    </row>
    <row r="325" spans="1:7">
      <c r="A325" s="15">
        <v>44201</v>
      </c>
      <c r="B325" s="112">
        <v>1.3343</v>
      </c>
      <c r="C325" s="108">
        <f t="shared" si="144"/>
        <v>-1.9000000000000128E-3</v>
      </c>
      <c r="D325" s="109">
        <f t="shared" si="145"/>
        <v>-1.9000000000000128E-3</v>
      </c>
      <c r="E325" s="109">
        <f ca="1">IF(表2_36716262930381011[[#This Row],[累计净值]]/MAX(INDIRECT("B21:B" &amp; ROW()))-1&lt;E324,表2_36716262930381011[[#This Row],[累计净值]]/MAX(INDIRECT("B21:B" &amp; ROW()))-1,E324)</f>
        <v>-4.9700513405590452E-2</v>
      </c>
      <c r="F325" s="62">
        <f>表2_36716262930381011[[#This Row],[累计净值]]-0.1652</f>
        <v>1.1691</v>
      </c>
      <c r="G325" s="20">
        <f t="shared" ref="G325:G326" si="150">IF(F325&gt;1.0292,0.5*(F325-1.0292),F325-1.0292)</f>
        <v>6.9950000000000068E-2</v>
      </c>
    </row>
    <row r="326" spans="1:7">
      <c r="A326" s="15">
        <v>44202</v>
      </c>
      <c r="B326" s="112">
        <v>1.33</v>
      </c>
      <c r="C326" s="108">
        <f>IFERROR(B326-B325,0)</f>
        <v>-4.2999999999999705E-3</v>
      </c>
      <c r="D326" s="109">
        <f>IF(C326&lt;0,C326,"/")</f>
        <v>-4.2999999999999705E-3</v>
      </c>
      <c r="E326" s="109">
        <f ca="1">IF(表2_36716262930381011[[#This Row],[累计净值]]/MAX(INDIRECT("B21:B" &amp; ROW()))-1&lt;E325,表2_36716262930381011[[#This Row],[累计净值]]/MAX(INDIRECT("B21:B" &amp; ROW()))-1,E325)</f>
        <v>-5.1625784369652039E-2</v>
      </c>
      <c r="F326" s="62">
        <f>表2_36716262930381011[[#This Row],[累计净值]]-0.1652</f>
        <v>1.1648000000000001</v>
      </c>
      <c r="G326" s="20">
        <f t="shared" si="150"/>
        <v>6.7800000000000082E-2</v>
      </c>
    </row>
    <row r="327" spans="1:7">
      <c r="A327" s="15">
        <v>44203</v>
      </c>
      <c r="B327" s="112">
        <v>1.3144</v>
      </c>
      <c r="C327" s="108">
        <f>IFERROR(B327-B326,0)</f>
        <v>-1.5600000000000058E-2</v>
      </c>
      <c r="D327" s="109">
        <f>IF(C327&lt;0,C327,"/")</f>
        <v>-1.5600000000000058E-2</v>
      </c>
      <c r="E327" s="109">
        <f ca="1">IF(表2_36716262930381011[[#This Row],[累计净值]]/MAX(INDIRECT("B21:B" &amp; ROW()))-1&lt;E326,表2_36716262930381011[[#This Row],[累计净值]]/MAX(INDIRECT("B21:B" &amp; ROW()))-1,E326)</f>
        <v>-6.2749572162008049E-2</v>
      </c>
      <c r="F327" s="62">
        <f>表2_36716262930381011[[#This Row],[累计净值]]-0.1652</f>
        <v>1.1492</v>
      </c>
      <c r="G327" s="20">
        <f t="shared" ref="G327:G328" si="151">IF(F327&gt;1.0292,0.5*(F327-1.0292),F327-1.0292)</f>
        <v>6.0000000000000053E-2</v>
      </c>
    </row>
    <row r="328" spans="1:7">
      <c r="A328" s="15">
        <v>44204</v>
      </c>
      <c r="B328" s="112">
        <v>1.3134999999999999</v>
      </c>
      <c r="C328" s="108">
        <f>IFERROR(B328-B327,0)</f>
        <v>-9.0000000000012292E-4</v>
      </c>
      <c r="D328" s="109">
        <f>IF(C328&lt;0,C328,"/")</f>
        <v>-9.0000000000012292E-4</v>
      </c>
      <c r="E328" s="109">
        <f ca="1">IF(表2_36716262930381011[[#This Row],[累计净值]]/MAX(INDIRECT("B21:B" &amp; ROW()))-1&lt;E327,表2_36716262930381011[[#This Row],[累计净值]]/MAX(INDIRECT("B21:B" &amp; ROW()))-1,E327)</f>
        <v>-6.3391329150028652E-2</v>
      </c>
      <c r="F328" s="62">
        <f>表2_36716262930381011[[#This Row],[累计净值]]-0.1652</f>
        <v>1.1482999999999999</v>
      </c>
      <c r="G328" s="20">
        <f t="shared" si="151"/>
        <v>5.9549999999999992E-2</v>
      </c>
    </row>
    <row r="329" spans="1:7">
      <c r="A329" s="15">
        <v>44207</v>
      </c>
      <c r="B329" s="112">
        <v>1.3121</v>
      </c>
      <c r="C329" s="108">
        <f>IFERROR(B329-B328,0)</f>
        <v>-1.3999999999998458E-3</v>
      </c>
      <c r="D329" s="109">
        <f>IF(C329&lt;0,C329,"/")</f>
        <v>-1.3999999999998458E-3</v>
      </c>
      <c r="E329" s="109">
        <f ca="1">IF(表2_36716262930381011[[#This Row],[累计净值]]/MAX(INDIRECT("B21:B" &amp; ROW()))-1&lt;E328,表2_36716262930381011[[#This Row],[累计净值]]/MAX(INDIRECT("B21:B" &amp; ROW()))-1,E328)</f>
        <v>-6.4389617798060517E-2</v>
      </c>
      <c r="F329" s="62">
        <f>表2_36716262930381011[[#This Row],[累计净值]]-0.1652</f>
        <v>1.1469</v>
      </c>
      <c r="G329" s="20">
        <f t="shared" ref="G329:G332" si="152">IF(F329&gt;1.0292,0.5*(F329-1.0292),F329-1.0292)</f>
        <v>5.8850000000000069E-2</v>
      </c>
    </row>
    <row r="330" spans="1:7">
      <c r="A330" s="15">
        <v>44208</v>
      </c>
      <c r="B330" s="112">
        <v>1.32</v>
      </c>
      <c r="C330" s="108">
        <f t="shared" ref="C330:C332" si="153">IFERROR(B330-B329,0)</f>
        <v>7.9000000000000181E-3</v>
      </c>
      <c r="D330" s="109" t="str">
        <f t="shared" ref="D330:D332" si="154">IF(C330&lt;0,C330,"/")</f>
        <v>/</v>
      </c>
      <c r="E330" s="109">
        <f ca="1">IF(表2_36716262930381011[[#This Row],[累计净值]]/MAX(INDIRECT("B21:B" &amp; ROW()))-1&lt;E329,表2_36716262930381011[[#This Row],[累计净值]]/MAX(INDIRECT("B21:B" &amp; ROW()))-1,E329)</f>
        <v>-6.4389617798060517E-2</v>
      </c>
      <c r="F330" s="62">
        <f>表2_36716262930381011[[#This Row],[累计净值]]-0.1652</f>
        <v>1.1548</v>
      </c>
      <c r="G330" s="20">
        <f t="shared" si="152"/>
        <v>6.2800000000000078E-2</v>
      </c>
    </row>
    <row r="331" spans="1:7">
      <c r="A331" s="15">
        <v>44209</v>
      </c>
      <c r="B331" s="112">
        <v>1.3204</v>
      </c>
      <c r="C331" s="108">
        <f t="shared" si="153"/>
        <v>3.9999999999995595E-4</v>
      </c>
      <c r="D331" s="109" t="str">
        <f t="shared" si="154"/>
        <v>/</v>
      </c>
      <c r="E331" s="109">
        <f ca="1">IF(表2_36716262930381011[[#This Row],[累计净值]]/MAX(INDIRECT("B21:B" &amp; ROW()))-1&lt;E330,表2_36716262930381011[[#This Row],[累计净值]]/MAX(INDIRECT("B21:B" &amp; ROW()))-1,E330)</f>
        <v>-6.4389617798060517E-2</v>
      </c>
      <c r="F331" s="62">
        <f>表2_36716262930381011[[#This Row],[累计净值]]-0.1652</f>
        <v>1.1552</v>
      </c>
      <c r="G331" s="20">
        <f t="shared" si="152"/>
        <v>6.3000000000000056E-2</v>
      </c>
    </row>
    <row r="332" spans="1:7">
      <c r="A332" s="15">
        <v>44210</v>
      </c>
      <c r="B332" s="112">
        <v>1.32</v>
      </c>
      <c r="C332" s="108">
        <f t="shared" si="153"/>
        <v>-3.9999999999995595E-4</v>
      </c>
      <c r="D332" s="109">
        <f t="shared" si="154"/>
        <v>-3.9999999999995595E-4</v>
      </c>
      <c r="E332" s="109">
        <f ca="1">IF(表2_36716262930381011[[#This Row],[累计净值]]/MAX(INDIRECT("B21:B" &amp; ROW()))-1&lt;E331,表2_36716262930381011[[#This Row],[累计净值]]/MAX(INDIRECT("B21:B" &amp; ROW()))-1,E331)</f>
        <v>-6.4389617798060517E-2</v>
      </c>
      <c r="F332" s="62">
        <f>表2_36716262930381011[[#This Row],[累计净值]]-0.1652</f>
        <v>1.1548</v>
      </c>
      <c r="G332" s="20">
        <f t="shared" si="152"/>
        <v>6.2800000000000078E-2</v>
      </c>
    </row>
    <row r="333" spans="1:7">
      <c r="A333" s="15">
        <v>44211</v>
      </c>
      <c r="B333" s="112">
        <v>1.3298000000000001</v>
      </c>
      <c r="C333" s="108">
        <f t="shared" ref="C333:C334" si="155">IFERROR(B333-B332,0)</f>
        <v>9.8000000000000309E-3</v>
      </c>
      <c r="D333" s="109" t="str">
        <f t="shared" ref="D333:D334" si="156">IF(C333&lt;0,C333,"/")</f>
        <v>/</v>
      </c>
      <c r="E333" s="109">
        <f ca="1">IF(表2_36716262930381011[[#This Row],[累计净值]]/MAX(INDIRECT("B21:B" &amp; ROW()))-1&lt;E332,表2_36716262930381011[[#This Row],[累计净值]]/MAX(INDIRECT("B21:B" &amp; ROW()))-1,E332)</f>
        <v>-6.4389617798060517E-2</v>
      </c>
      <c r="F333" s="62">
        <f>表2_36716262930381011[[#This Row],[累计净值]]-0.1652</f>
        <v>1.1646000000000001</v>
      </c>
      <c r="G333" s="20">
        <f t="shared" ref="G333:G334" si="157">IF(F333&gt;1.0292,0.5*(F333-1.0292),F333-1.0292)</f>
        <v>6.7700000000000093E-2</v>
      </c>
    </row>
    <row r="334" spans="1:7">
      <c r="A334" s="15">
        <v>44214</v>
      </c>
      <c r="B334" s="112">
        <v>1.3345</v>
      </c>
      <c r="C334" s="108">
        <f t="shared" si="155"/>
        <v>4.6999999999999265E-3</v>
      </c>
      <c r="D334" s="109" t="str">
        <f t="shared" si="156"/>
        <v>/</v>
      </c>
      <c r="E334" s="109">
        <f ca="1">IF(表2_36716262930381011[[#This Row],[累计净值]]/MAX(INDIRECT("B21:B" &amp; ROW()))-1&lt;E333,表2_36716262930381011[[#This Row],[累计净值]]/MAX(INDIRECT("B21:B" &amp; ROW()))-1,E333)</f>
        <v>-6.4389617798060517E-2</v>
      </c>
      <c r="F334" s="62">
        <f>表2_36716262930381011[[#This Row],[累计净值]]-0.1652</f>
        <v>1.1693</v>
      </c>
      <c r="G334" s="20">
        <f t="shared" si="157"/>
        <v>7.0050000000000057E-2</v>
      </c>
    </row>
    <row r="335" spans="1:7">
      <c r="A335" s="15">
        <v>44215</v>
      </c>
      <c r="B335" s="112">
        <v>1.3346</v>
      </c>
      <c r="C335" s="108">
        <f>IFERROR(B335-B334,0)</f>
        <v>9.9999999999988987E-5</v>
      </c>
      <c r="D335" s="109" t="str">
        <f>IF(C335&lt;0,C335,"/")</f>
        <v>/</v>
      </c>
      <c r="E335" s="109">
        <f ca="1">IF(表2_36716262930381011[[#This Row],[累计净值]]/MAX(INDIRECT("B21:B" &amp; ROW()))-1&lt;E334,表2_36716262930381011[[#This Row],[累计净值]]/MAX(INDIRECT("B21:B" &amp; ROW()))-1,E334)</f>
        <v>-6.4389617798060517E-2</v>
      </c>
      <c r="F335" s="62">
        <f>表2_36716262930381011[[#This Row],[累计净值]]-0.1652</f>
        <v>1.1694</v>
      </c>
      <c r="G335" s="20">
        <f t="shared" ref="G335" si="158">IF(F335&gt;1.0292,0.5*(F335-1.0292),F335-1.0292)</f>
        <v>7.0100000000000051E-2</v>
      </c>
    </row>
    <row r="336" spans="1:7">
      <c r="A336" s="15">
        <v>44216</v>
      </c>
      <c r="B336" s="112">
        <v>1.3326</v>
      </c>
      <c r="C336" s="108">
        <f t="shared" ref="C336:C337" si="159">IFERROR(B336-B335,0)</f>
        <v>-2.0000000000000018E-3</v>
      </c>
      <c r="D336" s="109">
        <f t="shared" ref="D336:D337" si="160">IF(C336&lt;0,C336,"/")</f>
        <v>-2.0000000000000018E-3</v>
      </c>
      <c r="E336" s="109">
        <f ca="1">IF(表2_36716262930381011[[#This Row],[累计净值]]/MAX(INDIRECT("B21:B" &amp; ROW()))-1&lt;E335,表2_36716262930381011[[#This Row],[累计净值]]/MAX(INDIRECT("B21:B" &amp; ROW()))-1,E335)</f>
        <v>-6.4389617798060517E-2</v>
      </c>
      <c r="F336" s="62">
        <f>表2_36716262930381011[[#This Row],[累计净值]]-0.1652</f>
        <v>1.1674</v>
      </c>
      <c r="G336" s="20">
        <f t="shared" ref="G336" si="161">IF(F336&gt;1.0292,0.5*(F336-1.0292),F336-1.0292)</f>
        <v>6.910000000000005E-2</v>
      </c>
    </row>
    <row r="337" spans="1:7">
      <c r="A337" s="15">
        <v>44217</v>
      </c>
      <c r="B337" s="112">
        <v>1.3317000000000001</v>
      </c>
      <c r="C337" s="108">
        <f t="shared" si="159"/>
        <v>-8.9999999999990088E-4</v>
      </c>
      <c r="D337" s="109">
        <f t="shared" si="160"/>
        <v>-8.9999999999990088E-4</v>
      </c>
      <c r="E337" s="109">
        <f ca="1">IF(表2_36716262930381011[[#This Row],[累计净值]]/MAX(INDIRECT("B21:B" &amp; ROW()))-1&lt;E336,表2_36716262930381011[[#This Row],[累计净值]]/MAX(INDIRECT("B21:B" &amp; ROW()))-1,E336)</f>
        <v>-6.4389617798060517E-2</v>
      </c>
      <c r="F337" s="62">
        <f>表2_36716262930381011[[#This Row],[累计净值]]-0.1652</f>
        <v>1.1665000000000001</v>
      </c>
      <c r="G337" s="20">
        <f t="shared" ref="G337:G338" si="162">IF(F337&gt;1.0292,0.5*(F337-1.0292),F337-1.0292)</f>
        <v>6.86500000000001E-2</v>
      </c>
    </row>
    <row r="338" spans="1:7">
      <c r="A338" s="15">
        <v>44218</v>
      </c>
      <c r="B338" s="112">
        <v>1.3302</v>
      </c>
      <c r="C338" s="108">
        <f t="shared" ref="C338:C343" si="163">IFERROR(B338-B337,0)</f>
        <v>-1.5000000000000568E-3</v>
      </c>
      <c r="D338" s="109">
        <f t="shared" ref="D338:D343" si="164">IF(C338&lt;0,C338,"/")</f>
        <v>-1.5000000000000568E-3</v>
      </c>
      <c r="E338" s="109">
        <f ca="1">IF(表2_36716262930381011[[#This Row],[累计净值]]/MAX(INDIRECT("B21:B" &amp; ROW()))-1&lt;E337,表2_36716262930381011[[#This Row],[累计净值]]/MAX(INDIRECT("B21:B" &amp; ROW()))-1,E337)</f>
        <v>-6.4389617798060517E-2</v>
      </c>
      <c r="F338" s="62">
        <f>表2_36716262930381011[[#This Row],[累计净值]]-0.1652</f>
        <v>1.165</v>
      </c>
      <c r="G338" s="20">
        <f t="shared" si="162"/>
        <v>6.7900000000000071E-2</v>
      </c>
    </row>
    <row r="339" spans="1:7">
      <c r="A339" s="15">
        <v>44221</v>
      </c>
      <c r="B339" s="112">
        <v>1.3302</v>
      </c>
      <c r="C339" s="108">
        <f t="shared" si="163"/>
        <v>0</v>
      </c>
      <c r="D339" s="109" t="str">
        <f t="shared" si="164"/>
        <v>/</v>
      </c>
      <c r="E339" s="109">
        <f ca="1">IF(表2_36716262930381011[[#This Row],[累计净值]]/MAX(INDIRECT("B21:B" &amp; ROW()))-1&lt;E338,表2_36716262930381011[[#This Row],[累计净值]]/MAX(INDIRECT("B21:B" &amp; ROW()))-1,E338)</f>
        <v>-6.4389617798060517E-2</v>
      </c>
      <c r="F339" s="62">
        <f>表2_36716262930381011[[#This Row],[累计净值]]-0.1652</f>
        <v>1.165</v>
      </c>
      <c r="G339" s="20">
        <f t="shared" ref="G339:G340" si="165">IF(F339&gt;1.0292,0.5*(F339-1.0292),F339-1.0292)</f>
        <v>6.7900000000000071E-2</v>
      </c>
    </row>
    <row r="340" spans="1:7">
      <c r="A340" s="15">
        <v>44222</v>
      </c>
      <c r="B340" s="112">
        <v>1.3310999999999999</v>
      </c>
      <c r="C340" s="108">
        <f t="shared" si="163"/>
        <v>8.9999999999990088E-4</v>
      </c>
      <c r="D340" s="109" t="str">
        <f t="shared" si="164"/>
        <v>/</v>
      </c>
      <c r="E340" s="109">
        <f ca="1">IF(表2_36716262930381011[[#This Row],[累计净值]]/MAX(INDIRECT("B21:B" &amp; ROW()))-1&lt;E339,表2_36716262930381011[[#This Row],[累计净值]]/MAX(INDIRECT("B21:B" &amp; ROW()))-1,E339)</f>
        <v>-6.4389617798060517E-2</v>
      </c>
      <c r="F340" s="62">
        <f>表2_36716262930381011[[#This Row],[累计净值]]-0.1652</f>
        <v>1.1658999999999999</v>
      </c>
      <c r="G340" s="20">
        <f t="shared" si="165"/>
        <v>6.8350000000000022E-2</v>
      </c>
    </row>
    <row r="341" spans="1:7">
      <c r="A341" s="15">
        <v>44223</v>
      </c>
      <c r="B341" s="112">
        <v>1.3315999999999999</v>
      </c>
      <c r="C341" s="108">
        <f t="shared" si="163"/>
        <v>4.9999999999994493E-4</v>
      </c>
      <c r="D341" s="109" t="str">
        <f t="shared" si="164"/>
        <v>/</v>
      </c>
      <c r="E341" s="109">
        <f ca="1">IF(表2_36716262930381011[[#This Row],[累计净值]]/MAX(INDIRECT("B21:B" &amp; ROW()))-1&lt;E340,表2_36716262930381011[[#This Row],[累计净值]]/MAX(INDIRECT("B21:B" &amp; ROW()))-1,E340)</f>
        <v>-6.4389617798060517E-2</v>
      </c>
      <c r="F341" s="62">
        <f>表2_36716262930381011[[#This Row],[累计净值]]-0.1652</f>
        <v>1.1663999999999999</v>
      </c>
      <c r="G341" s="20">
        <f t="shared" ref="G341" si="166">IF(F341&gt;1.0292,0.5*(F341-1.0292),F341-1.0292)</f>
        <v>6.8599999999999994E-2</v>
      </c>
    </row>
    <row r="342" spans="1:7">
      <c r="A342" s="15">
        <v>44224</v>
      </c>
      <c r="B342" s="112">
        <v>1.33</v>
      </c>
      <c r="C342" s="108">
        <f t="shared" si="163"/>
        <v>-1.5999999999998238E-3</v>
      </c>
      <c r="D342" s="109">
        <f t="shared" si="164"/>
        <v>-1.5999999999998238E-3</v>
      </c>
      <c r="E342" s="109">
        <f ca="1">IF(表2_36716262930381011[[#This Row],[累计净值]]/MAX(INDIRECT("B21:B" &amp; ROW()))-1&lt;E341,表2_36716262930381011[[#This Row],[累计净值]]/MAX(INDIRECT("B21:B" &amp; ROW()))-1,E341)</f>
        <v>-6.4389617798060517E-2</v>
      </c>
      <c r="F342" s="62">
        <f>表2_36716262930381011[[#This Row],[累计净值]]-0.1652</f>
        <v>1.1648000000000001</v>
      </c>
      <c r="G342" s="20">
        <f t="shared" ref="G342" si="167">IF(F342&gt;1.0292,0.5*(F342-1.0292),F342-1.0292)</f>
        <v>6.7800000000000082E-2</v>
      </c>
    </row>
    <row r="343" spans="1:7">
      <c r="A343" s="15">
        <v>44225</v>
      </c>
      <c r="B343" s="112">
        <v>1.3307</v>
      </c>
      <c r="C343" s="108">
        <f t="shared" si="163"/>
        <v>6.9999999999992291E-4</v>
      </c>
      <c r="D343" s="109" t="str">
        <f t="shared" si="164"/>
        <v>/</v>
      </c>
      <c r="E343" s="109">
        <f ca="1">IF(表2_36716262930381011[[#This Row],[累计净值]]/MAX(INDIRECT("B21:B" &amp; ROW()))-1&lt;E342,表2_36716262930381011[[#This Row],[累计净值]]/MAX(INDIRECT("B21:B" &amp; ROW()))-1,E342)</f>
        <v>-6.4389617798060517E-2</v>
      </c>
      <c r="F343" s="62">
        <f>表2_36716262930381011[[#This Row],[累计净值]]-0.1652</f>
        <v>1.1655</v>
      </c>
      <c r="G343" s="20">
        <f t="shared" ref="G343" si="168">IF(F343&gt;1.0292,0.5*(F343-1.0292),F343-1.0292)</f>
        <v>6.8150000000000044E-2</v>
      </c>
    </row>
    <row r="344" spans="1:7">
      <c r="A344" s="15">
        <v>44228</v>
      </c>
      <c r="B344" s="112">
        <v>1.3331</v>
      </c>
      <c r="C344" s="108">
        <f>IFERROR(B344-B343,0)</f>
        <v>2.3999999999999577E-3</v>
      </c>
      <c r="D344" s="109" t="str">
        <f>IF(C344&lt;0,C344,"/")</f>
        <v>/</v>
      </c>
      <c r="E344" s="109">
        <f ca="1">IF(表2_36716262930381011[[#This Row],[累计净值]]/MAX(INDIRECT("B21:B" &amp; ROW()))-1&lt;E343,表2_36716262930381011[[#This Row],[累计净值]]/MAX(INDIRECT("B21:B" &amp; ROW()))-1,E343)</f>
        <v>-6.4389617798060517E-2</v>
      </c>
      <c r="F344" s="62">
        <f>表2_36716262930381011[[#This Row],[累计净值]]-0.1652</f>
        <v>1.1678999999999999</v>
      </c>
      <c r="G344" s="20">
        <f t="shared" ref="G344" si="169">IF(F344&gt;1.0292,0.5*(F344-1.0292),F344-1.0292)</f>
        <v>6.9350000000000023E-2</v>
      </c>
    </row>
    <row r="345" spans="1:7">
      <c r="A345" s="15">
        <v>44229</v>
      </c>
      <c r="B345" s="112">
        <v>1.3365</v>
      </c>
      <c r="C345" s="108">
        <f>IFERROR(B345-B344,0)</f>
        <v>3.4000000000000696E-3</v>
      </c>
      <c r="D345" s="109" t="str">
        <f>IF(C345&lt;0,C345,"/")</f>
        <v>/</v>
      </c>
      <c r="E345" s="109">
        <f ca="1">IF(表2_36716262930381011[[#This Row],[累计净值]]/MAX(INDIRECT("B21:B" &amp; ROW()))-1&lt;E344,表2_36716262930381011[[#This Row],[累计净值]]/MAX(INDIRECT("B21:B" &amp; ROW()))-1,E344)</f>
        <v>-6.4389617798060517E-2</v>
      </c>
      <c r="F345" s="62">
        <f>表2_36716262930381011[[#This Row],[累计净值]]-0.1652</f>
        <v>1.1713</v>
      </c>
      <c r="G345" s="20">
        <f t="shared" ref="G345" si="170">IF(F345&gt;1.0292,0.5*(F345-1.0292),F345-1.0292)</f>
        <v>7.1050000000000058E-2</v>
      </c>
    </row>
    <row r="346" spans="1:7">
      <c r="A346" s="15">
        <v>44230</v>
      </c>
      <c r="B346" s="112">
        <v>1.3349</v>
      </c>
      <c r="C346" s="108">
        <f>IFERROR(B346-B345,0)</f>
        <v>-1.6000000000000458E-3</v>
      </c>
      <c r="D346" s="109">
        <f>IF(C346&lt;0,C346,"/")</f>
        <v>-1.6000000000000458E-3</v>
      </c>
      <c r="E346" s="109">
        <f ca="1">IF(表2_36716262930381011[[#This Row],[累计净值]]/MAX(INDIRECT("B21:B" &amp; ROW()))-1&lt;E345,表2_36716262930381011[[#This Row],[累计净值]]/MAX(INDIRECT("B21:B" &amp; ROW()))-1,E345)</f>
        <v>-6.4389617798060517E-2</v>
      </c>
      <c r="F346" s="62">
        <f>表2_36716262930381011[[#This Row],[累计净值]]-0.1652</f>
        <v>1.1697</v>
      </c>
      <c r="G346" s="20">
        <f t="shared" ref="G346:G347" si="171">IF(F346&gt;1.0292,0.5*(F346-1.0292),F346-1.0292)</f>
        <v>7.0250000000000035E-2</v>
      </c>
    </row>
    <row r="347" spans="1:7">
      <c r="A347" s="15">
        <v>44231</v>
      </c>
      <c r="B347" s="112">
        <v>1.3343</v>
      </c>
      <c r="C347" s="108">
        <f>IFERROR(B347-B346,0)</f>
        <v>-5.9999999999993392E-4</v>
      </c>
      <c r="D347" s="109">
        <f>IF(C347&lt;0,C347,"/")</f>
        <v>-5.9999999999993392E-4</v>
      </c>
      <c r="E347" s="109">
        <f ca="1">IF(表2_36716262930381011[[#This Row],[累计净值]]/MAX(INDIRECT("B21:B" &amp; ROW()))-1&lt;E346,表2_36716262930381011[[#This Row],[累计净值]]/MAX(INDIRECT("B21:B" &amp; ROW()))-1,E346)</f>
        <v>-6.4389617798060517E-2</v>
      </c>
      <c r="F347" s="62">
        <f>表2_36716262930381011[[#This Row],[累计净值]]-0.1652</f>
        <v>1.1691</v>
      </c>
      <c r="G347" s="20">
        <f t="shared" si="171"/>
        <v>6.9950000000000068E-2</v>
      </c>
    </row>
    <row r="348" spans="1:7">
      <c r="A348" s="15">
        <v>44232</v>
      </c>
      <c r="B348" s="112">
        <v>1.3346</v>
      </c>
      <c r="C348" s="108">
        <f>IFERROR(B348-B347,0)</f>
        <v>2.9999999999996696E-4</v>
      </c>
      <c r="D348" s="109" t="str">
        <f>IF(C348&lt;0,C348,"/")</f>
        <v>/</v>
      </c>
      <c r="E348" s="109">
        <f ca="1">IF(表2_36716262930381011[[#This Row],[累计净值]]/MAX(INDIRECT("B21:B" &amp; ROW()))-1&lt;E347,表2_36716262930381011[[#This Row],[累计净值]]/MAX(INDIRECT("B21:B" &amp; ROW()))-1,E347)</f>
        <v>-6.4389617798060517E-2</v>
      </c>
      <c r="F348" s="62">
        <f>表2_36716262930381011[[#This Row],[累计净值]]-0.1652</f>
        <v>1.1694</v>
      </c>
      <c r="G348" s="20">
        <f t="shared" ref="G348" si="172">IF(F348&gt;1.0292,0.5*(F348-1.0292),F348-1.0292)</f>
        <v>7.0100000000000051E-2</v>
      </c>
    </row>
    <row r="349" spans="1:7">
      <c r="A349" s="15">
        <v>44235</v>
      </c>
      <c r="B349" s="112">
        <v>1.3351</v>
      </c>
      <c r="C349" s="108">
        <f t="shared" ref="C349:C350" si="173">IFERROR(B349-B348,0)</f>
        <v>4.9999999999994493E-4</v>
      </c>
      <c r="D349" s="109" t="str">
        <f t="shared" ref="D349:D350" si="174">IF(C349&lt;0,C349,"/")</f>
        <v>/</v>
      </c>
      <c r="E349" s="109">
        <f ca="1">IF(表2_36716262930381011[[#This Row],[累计净值]]/MAX(INDIRECT("B21:B" &amp; ROW()))-1&lt;E348,表2_36716262930381011[[#This Row],[累计净值]]/MAX(INDIRECT("B21:B" &amp; ROW()))-1,E348)</f>
        <v>-6.4389617798060517E-2</v>
      </c>
      <c r="F349" s="62">
        <f>表2_36716262930381011[[#This Row],[累计净值]]-0.1652</f>
        <v>1.1698999999999999</v>
      </c>
      <c r="G349" s="20">
        <f t="shared" ref="G349:G351" si="175">IF(F349&gt;1.0292,0.5*(F349-1.0292),F349-1.0292)</f>
        <v>7.0350000000000024E-2</v>
      </c>
    </row>
    <row r="350" spans="1:7">
      <c r="A350" s="15">
        <v>44236</v>
      </c>
      <c r="B350" s="112">
        <v>1.3363</v>
      </c>
      <c r="C350" s="108">
        <f t="shared" si="173"/>
        <v>1.2000000000000899E-3</v>
      </c>
      <c r="D350" s="109" t="str">
        <f t="shared" si="174"/>
        <v>/</v>
      </c>
      <c r="E350" s="109">
        <f ca="1">IF(表2_36716262930381011[[#This Row],[累计净值]]/MAX(INDIRECT("B21:B" &amp; ROW()))-1&lt;E349,表2_36716262930381011[[#This Row],[累计净值]]/MAX(INDIRECT("B21:B" &amp; ROW()))-1,E349)</f>
        <v>-6.4389617798060517E-2</v>
      </c>
      <c r="F350" s="62">
        <f>表2_36716262930381011[[#This Row],[累计净值]]-0.1652</f>
        <v>1.1711</v>
      </c>
      <c r="G350" s="20">
        <f t="shared" si="175"/>
        <v>7.0950000000000069E-2</v>
      </c>
    </row>
    <row r="351" spans="1:7">
      <c r="A351" s="15">
        <v>44237</v>
      </c>
      <c r="B351" s="112">
        <v>1.3333999999999999</v>
      </c>
      <c r="C351" s="108">
        <f t="shared" ref="C351:C352" si="176">IFERROR(B351-B350,0)</f>
        <v>-2.9000000000001247E-3</v>
      </c>
      <c r="D351" s="109">
        <f t="shared" ref="D351:D352" si="177">IF(C351&lt;0,C351,"/")</f>
        <v>-2.9000000000001247E-3</v>
      </c>
      <c r="E351" s="109">
        <f ca="1">IF(表2_36716262930381011[[#This Row],[累计净值]]/MAX(INDIRECT("B21:B" &amp; ROW()))-1&lt;E350,表2_36716262930381011[[#This Row],[累计净值]]/MAX(INDIRECT("B21:B" &amp; ROW()))-1,E350)</f>
        <v>-6.4389617798060517E-2</v>
      </c>
      <c r="F351" s="62">
        <f>表2_36716262930381011[[#This Row],[累计净值]]-0.1652</f>
        <v>1.1681999999999999</v>
      </c>
      <c r="G351" s="20">
        <f t="shared" si="175"/>
        <v>6.9500000000000006E-2</v>
      </c>
    </row>
    <row r="352" spans="1:7">
      <c r="A352" s="15">
        <v>44245</v>
      </c>
      <c r="B352" s="112">
        <v>1.3293999999999999</v>
      </c>
      <c r="C352" s="108">
        <f t="shared" si="176"/>
        <v>-4.0000000000000036E-3</v>
      </c>
      <c r="D352" s="109">
        <f t="shared" si="177"/>
        <v>-4.0000000000000036E-3</v>
      </c>
      <c r="E352" s="109">
        <f ca="1">IF(表2_36716262930381011[[#This Row],[累计净值]]/MAX(INDIRECT("B21:B" &amp; ROW()))-1&lt;E351,表2_36716262930381011[[#This Row],[累计净值]]/MAX(INDIRECT("B21:B" &amp; ROW()))-1,E351)</f>
        <v>-6.4389617798060517E-2</v>
      </c>
      <c r="F352" s="62">
        <f>表2_36716262930381011[[#This Row],[累计净值]]-0.1652</f>
        <v>1.1641999999999999</v>
      </c>
      <c r="G352" s="20">
        <f t="shared" ref="G352:G353" si="178">IF(F352&gt;1.0292,0.5*(F352-1.0292),F352-1.0292)</f>
        <v>6.7500000000000004E-2</v>
      </c>
    </row>
    <row r="353" spans="1:7">
      <c r="A353" s="15">
        <v>44246</v>
      </c>
      <c r="B353" s="112">
        <v>1.3268</v>
      </c>
      <c r="C353" s="108">
        <f>IFERROR(B353-B352,0)</f>
        <v>-2.5999999999999357E-3</v>
      </c>
      <c r="D353" s="109">
        <f>IF(C353&lt;0,C353,"/")</f>
        <v>-2.5999999999999357E-3</v>
      </c>
      <c r="E353" s="109">
        <f ca="1">IF(表2_36716262930381011[[#This Row],[累计净值]]/MAX(INDIRECT("B21:B" &amp; ROW()))-1&lt;E352,表2_36716262930381011[[#This Row],[累计净值]]/MAX(INDIRECT("B21:B" &amp; ROW()))-1,E352)</f>
        <v>-6.4389617798060517E-2</v>
      </c>
      <c r="F353" s="62">
        <f>表2_36716262930381011[[#This Row],[累计净值]]-0.1652</f>
        <v>1.1616</v>
      </c>
      <c r="G353" s="20">
        <f t="shared" si="178"/>
        <v>6.6200000000000037E-2</v>
      </c>
    </row>
    <row r="354" spans="1:7">
      <c r="A354" s="15">
        <v>44249</v>
      </c>
      <c r="B354" s="112">
        <v>1.3288</v>
      </c>
      <c r="C354" s="108">
        <f>IFERROR(B354-B353,0)</f>
        <v>2.0000000000000018E-3</v>
      </c>
      <c r="D354" s="109" t="str">
        <f>IF(C354&lt;0,C354,"/")</f>
        <v>/</v>
      </c>
      <c r="E354" s="109">
        <f ca="1">IF(表2_36716262930381011[[#This Row],[累计净值]]/MAX(INDIRECT("B21:B" &amp; ROW()))-1&lt;E353,表2_36716262930381011[[#This Row],[累计净值]]/MAX(INDIRECT("B21:B" &amp; ROW()))-1,E353)</f>
        <v>-6.4389617798060517E-2</v>
      </c>
      <c r="F354" s="62">
        <f>表2_36716262930381011[[#This Row],[累计净值]]-0.1652</f>
        <v>1.1636</v>
      </c>
      <c r="G354" s="20">
        <f t="shared" ref="G354" si="179">IF(F354&gt;1.0292,0.5*(F354-1.0292),F354-1.0292)</f>
        <v>6.7200000000000037E-2</v>
      </c>
    </row>
    <row r="355" spans="1:7">
      <c r="A355" s="15">
        <v>44250</v>
      </c>
      <c r="B355" s="112">
        <v>1.3269</v>
      </c>
      <c r="C355" s="108">
        <f>IFERROR(B355-B354,0)</f>
        <v>-1.9000000000000128E-3</v>
      </c>
      <c r="D355" s="109">
        <f>IF(C355&lt;0,C355,"/")</f>
        <v>-1.9000000000000128E-3</v>
      </c>
      <c r="E355" s="109">
        <f ca="1">IF(表2_36716262930381011[[#This Row],[累计净值]]/MAX(INDIRECT("B21:B" &amp; ROW()))-1&lt;E354,表2_36716262930381011[[#This Row],[累计净值]]/MAX(INDIRECT("B21:B" &amp; ROW()))-1,E354)</f>
        <v>-6.4389617798060517E-2</v>
      </c>
      <c r="F355" s="62">
        <f>表2_36716262930381011[[#This Row],[累计净值]]-0.1652</f>
        <v>1.1617</v>
      </c>
      <c r="G355" s="20">
        <f t="shared" ref="G355" si="180">IF(F355&gt;1.0292,0.5*(F355-1.0292),F355-1.0292)</f>
        <v>6.6250000000000031E-2</v>
      </c>
    </row>
    <row r="356" spans="1:7">
      <c r="A356" s="15">
        <v>44251</v>
      </c>
      <c r="B356" s="112">
        <v>1.3265</v>
      </c>
      <c r="C356" s="108">
        <f t="shared" ref="C356:C357" si="181">IFERROR(B356-B355,0)</f>
        <v>-3.9999999999995595E-4</v>
      </c>
      <c r="D356" s="109">
        <f t="shared" ref="D356:D357" si="182">IF(C356&lt;0,C356,"/")</f>
        <v>-3.9999999999995595E-4</v>
      </c>
      <c r="E356" s="109">
        <f ca="1">IF(表2_36716262930381011[[#This Row],[累计净值]]/MAX(INDIRECT("B21:B" &amp; ROW()))-1&lt;E355,表2_36716262930381011[[#This Row],[累计净值]]/MAX(INDIRECT("B21:B" &amp; ROW()))-1,E355)</f>
        <v>-6.4389617798060517E-2</v>
      </c>
      <c r="F356" s="62">
        <f>表2_36716262930381011[[#This Row],[累计净值]]-0.1652</f>
        <v>1.1613</v>
      </c>
      <c r="G356" s="20">
        <f t="shared" ref="G356:G357" si="183">IF(F356&gt;1.0292,0.5*(F356-1.0292),F356-1.0292)</f>
        <v>6.6050000000000053E-2</v>
      </c>
    </row>
    <row r="357" spans="1:7">
      <c r="A357" s="15">
        <v>44252</v>
      </c>
      <c r="B357" s="112">
        <v>1.3289</v>
      </c>
      <c r="C357" s="108">
        <f t="shared" si="181"/>
        <v>2.3999999999999577E-3</v>
      </c>
      <c r="D357" s="109" t="str">
        <f t="shared" si="182"/>
        <v>/</v>
      </c>
      <c r="E357" s="109">
        <f ca="1">IF(表2_36716262930381011[[#This Row],[累计净值]]/MAX(INDIRECT("B21:B" &amp; ROW()))-1&lt;E356,表2_36716262930381011[[#This Row],[累计净值]]/MAX(INDIRECT("B21:B" &amp; ROW()))-1,E356)</f>
        <v>-6.4389617798060517E-2</v>
      </c>
      <c r="F357" s="62">
        <f>表2_36716262930381011[[#This Row],[累计净值]]-0.1652</f>
        <v>1.1637</v>
      </c>
      <c r="G357" s="20">
        <f t="shared" si="183"/>
        <v>6.7250000000000032E-2</v>
      </c>
    </row>
    <row r="358" spans="1:7">
      <c r="A358" s="15">
        <v>44253</v>
      </c>
      <c r="B358" s="112">
        <v>1.3333999999999999</v>
      </c>
      <c r="C358" s="108">
        <f>IFERROR(B358-B357,0)</f>
        <v>4.4999999999999485E-3</v>
      </c>
      <c r="D358" s="109" t="str">
        <f>IF(C358&lt;0,C358,"/")</f>
        <v>/</v>
      </c>
      <c r="E358" s="109">
        <f ca="1">IF(表2_36716262930381011[[#This Row],[累计净值]]/MAX(INDIRECT("B21:B" &amp; ROW()))-1&lt;E357,表2_36716262930381011[[#This Row],[累计净值]]/MAX(INDIRECT("B21:B" &amp; ROW()))-1,E357)</f>
        <v>-6.4389617798060517E-2</v>
      </c>
      <c r="F358" s="62">
        <f>表2_36716262930381011[[#This Row],[累计净值]]-0.1652</f>
        <v>1.1681999999999999</v>
      </c>
      <c r="G358" s="20">
        <f t="shared" ref="G358" si="184">IF(F358&gt;1.0292,0.5*(F358-1.0292),F358-1.0292)</f>
        <v>6.9500000000000006E-2</v>
      </c>
    </row>
    <row r="359" spans="1:7">
      <c r="A359" s="15">
        <v>44256</v>
      </c>
      <c r="B359" s="112">
        <v>1.3362000000000001</v>
      </c>
      <c r="C359" s="108">
        <f>IFERROR(B359-B358,0)</f>
        <v>2.8000000000001357E-3</v>
      </c>
      <c r="D359" s="109" t="str">
        <f>IF(C359&lt;0,C359,"/")</f>
        <v>/</v>
      </c>
      <c r="E359" s="109">
        <f ca="1">IF(表2_36716262930381011[[#This Row],[累计净值]]/MAX(INDIRECT("B21:B" &amp; ROW()))-1&lt;E358,表2_36716262930381011[[#This Row],[累计净值]]/MAX(INDIRECT("B21:B" &amp; ROW()))-1,E358)</f>
        <v>-6.4389617798060517E-2</v>
      </c>
      <c r="F359" s="62">
        <f>表2_36716262930381011[[#This Row],[累计净值]]-0.1652</f>
        <v>1.171</v>
      </c>
      <c r="G359" s="20">
        <f t="shared" ref="G359" si="185">IF(F359&gt;1.0292,0.5*(F359-1.0292),F359-1.0292)</f>
        <v>7.0900000000000074E-2</v>
      </c>
    </row>
    <row r="360" spans="1:7">
      <c r="A360" s="15">
        <v>44257</v>
      </c>
      <c r="B360" s="112">
        <v>1.335</v>
      </c>
      <c r="C360" s="108">
        <f t="shared" ref="C360:C363" si="186">IFERROR(B360-B359,0)</f>
        <v>-1.2000000000000899E-3</v>
      </c>
      <c r="D360" s="109">
        <f t="shared" ref="D360:D363" si="187">IF(C360&lt;0,C360,"/")</f>
        <v>-1.2000000000000899E-3</v>
      </c>
      <c r="E360" s="109">
        <f ca="1">IF(表2_36716262930381011[[#This Row],[累计净值]]/MAX(INDIRECT("B21:B" &amp; ROW()))-1&lt;E359,表2_36716262930381011[[#This Row],[累计净值]]/MAX(INDIRECT("B21:B" &amp; ROW()))-1,E359)</f>
        <v>-6.4389617798060517E-2</v>
      </c>
      <c r="F360" s="62">
        <f>表2_36716262930381011[[#This Row],[累计净值]]-0.1652</f>
        <v>1.1698</v>
      </c>
      <c r="G360" s="20">
        <f t="shared" ref="G360:G363" si="188">IF(F360&gt;1.0292,0.5*(F360-1.0292),F360-1.0292)</f>
        <v>7.0300000000000029E-2</v>
      </c>
    </row>
    <row r="361" spans="1:7">
      <c r="A361" s="15">
        <v>44258</v>
      </c>
      <c r="B361" s="112">
        <v>1.3360000000000001</v>
      </c>
      <c r="C361" s="108">
        <f t="shared" si="186"/>
        <v>1.0000000000001119E-3</v>
      </c>
      <c r="D361" s="109" t="str">
        <f t="shared" si="187"/>
        <v>/</v>
      </c>
      <c r="E361" s="109">
        <f ca="1">IF(表2_36716262930381011[[#This Row],[累计净值]]/MAX(INDIRECT("B21:B" &amp; ROW()))-1&lt;E360,表2_36716262930381011[[#This Row],[累计净值]]/MAX(INDIRECT("B21:B" &amp; ROW()))-1,E360)</f>
        <v>-6.4389617798060517E-2</v>
      </c>
      <c r="F361" s="62">
        <f>表2_36716262930381011[[#This Row],[累计净值]]-0.1652</f>
        <v>1.1708000000000001</v>
      </c>
      <c r="G361" s="20">
        <f t="shared" si="188"/>
        <v>7.0800000000000085E-2</v>
      </c>
    </row>
    <row r="362" spans="1:7">
      <c r="A362" s="15">
        <v>44259</v>
      </c>
      <c r="B362" s="112">
        <v>1.3380000000000001</v>
      </c>
      <c r="C362" s="108">
        <f t="shared" si="186"/>
        <v>2.0000000000000018E-3</v>
      </c>
      <c r="D362" s="109" t="str">
        <f t="shared" si="187"/>
        <v>/</v>
      </c>
      <c r="E362" s="109">
        <f ca="1">IF(表2_36716262930381011[[#This Row],[累计净值]]/MAX(INDIRECT("B21:B" &amp; ROW()))-1&lt;E361,表2_36716262930381011[[#This Row],[累计净值]]/MAX(INDIRECT("B21:B" &amp; ROW()))-1,E361)</f>
        <v>-6.4389617798060517E-2</v>
      </c>
      <c r="F362" s="62">
        <f>表2_36716262930381011[[#This Row],[累计净值]]-0.1652</f>
        <v>1.1728000000000001</v>
      </c>
      <c r="G362" s="20">
        <f t="shared" si="188"/>
        <v>7.1800000000000086E-2</v>
      </c>
    </row>
    <row r="363" spans="1:7">
      <c r="A363" s="15">
        <v>44260</v>
      </c>
      <c r="B363" s="112">
        <v>1.341</v>
      </c>
      <c r="C363" s="108">
        <f t="shared" si="186"/>
        <v>2.9999999999998916E-3</v>
      </c>
      <c r="D363" s="109" t="str">
        <f t="shared" si="187"/>
        <v>/</v>
      </c>
      <c r="E363" s="109">
        <f ca="1">IF(表2_36716262930381011[[#This Row],[累计净值]]/MAX(INDIRECT("B21:B" &amp; ROW()))-1&lt;E362,表2_36716262930381011[[#This Row],[累计净值]]/MAX(INDIRECT("B21:B" &amp; ROW()))-1,E362)</f>
        <v>-6.4389617798060517E-2</v>
      </c>
      <c r="F363" s="62">
        <f>表2_36716262930381011[[#This Row],[累计净值]]-0.1652</f>
        <v>1.1758</v>
      </c>
      <c r="G363" s="20">
        <f t="shared" si="188"/>
        <v>7.3300000000000032E-2</v>
      </c>
    </row>
    <row r="364" spans="1:7">
      <c r="A364" s="15">
        <v>44263</v>
      </c>
      <c r="B364" s="112">
        <v>1.3447</v>
      </c>
      <c r="C364" s="108">
        <f t="shared" ref="C364:C369" si="189">IFERROR(B364-B363,0)</f>
        <v>3.7000000000000366E-3</v>
      </c>
      <c r="D364" s="109" t="str">
        <f t="shared" ref="D364:D369" si="190">IF(C364&lt;0,C364,"/")</f>
        <v>/</v>
      </c>
      <c r="E364" s="109">
        <f ca="1">IF(表2_36716262930381011[[#This Row],[累计净值]]/MAX(INDIRECT("B21:B" &amp; ROW()))-1&lt;E363,表2_36716262930381011[[#This Row],[累计净值]]/MAX(INDIRECT("B21:B" &amp; ROW()))-1,E363)</f>
        <v>-6.4389617798060517E-2</v>
      </c>
      <c r="F364" s="62">
        <f>表2_36716262930381011[[#This Row],[累计净值]]-0.1652</f>
        <v>1.1795</v>
      </c>
      <c r="G364" s="20">
        <f t="shared" ref="G364" si="191">IF(F364&gt;1.0292,0.5*(F364-1.0292),F364-1.0292)</f>
        <v>7.515000000000005E-2</v>
      </c>
    </row>
    <row r="365" spans="1:7">
      <c r="A365" s="15">
        <v>44264</v>
      </c>
      <c r="B365" s="112">
        <v>1.3431999999999999</v>
      </c>
      <c r="C365" s="108">
        <f t="shared" si="189"/>
        <v>-1.5000000000000568E-3</v>
      </c>
      <c r="D365" s="109">
        <f t="shared" si="190"/>
        <v>-1.5000000000000568E-3</v>
      </c>
      <c r="E365" s="109">
        <f ca="1">IF(表2_36716262930381011[[#This Row],[累计净值]]/MAX(INDIRECT("B21:B" &amp; ROW()))-1&lt;E364,表2_36716262930381011[[#This Row],[累计净值]]/MAX(INDIRECT("B21:B" &amp; ROW()))-1,E364)</f>
        <v>-6.4389617798060517E-2</v>
      </c>
      <c r="F365" s="62">
        <f>表2_36716262930381011[[#This Row],[累计净值]]-0.1652</f>
        <v>1.1779999999999999</v>
      </c>
      <c r="G365" s="20">
        <f t="shared" ref="G365" si="192">IF(F365&gt;1.0292,0.5*(F365-1.0292),F365-1.0292)</f>
        <v>7.4400000000000022E-2</v>
      </c>
    </row>
    <row r="366" spans="1:7">
      <c r="A366" s="15">
        <v>44265</v>
      </c>
      <c r="B366" s="112">
        <v>1.3472999999999999</v>
      </c>
      <c r="C366" s="108">
        <f t="shared" si="189"/>
        <v>4.0999999999999925E-3</v>
      </c>
      <c r="D366" s="109" t="str">
        <f t="shared" si="190"/>
        <v>/</v>
      </c>
      <c r="E366" s="109">
        <f ca="1">IF(表2_36716262930381011[[#This Row],[累计净值]]/MAX(INDIRECT("B21:B" &amp; ROW()))-1&lt;E365,表2_36716262930381011[[#This Row],[累计净值]]/MAX(INDIRECT("B21:B" &amp; ROW()))-1,E365)</f>
        <v>-6.4389617798060517E-2</v>
      </c>
      <c r="F366" s="62">
        <f>表2_36716262930381011[[#This Row],[累计净值]]-0.1652</f>
        <v>1.1820999999999999</v>
      </c>
      <c r="G366" s="20">
        <f t="shared" ref="G366" si="193">IF(F366&gt;1.0292,0.5*(F366-1.0292),F366-1.0292)</f>
        <v>7.6450000000000018E-2</v>
      </c>
    </row>
    <row r="367" spans="1:7">
      <c r="A367" s="15">
        <v>44266</v>
      </c>
      <c r="B367" s="112">
        <v>1.3466</v>
      </c>
      <c r="C367" s="108">
        <f t="shared" si="189"/>
        <v>-6.9999999999992291E-4</v>
      </c>
      <c r="D367" s="109">
        <f t="shared" si="190"/>
        <v>-6.9999999999992291E-4</v>
      </c>
      <c r="E367" s="109">
        <f ca="1">IF(表2_36716262930381011[[#This Row],[累计净值]]/MAX(INDIRECT("B21:B" &amp; ROW()))-1&lt;E366,表2_36716262930381011[[#This Row],[累计净值]]/MAX(INDIRECT("B21:B" &amp; ROW()))-1,E366)</f>
        <v>-6.4389617798060517E-2</v>
      </c>
      <c r="F367" s="62">
        <f>表2_36716262930381011[[#This Row],[累计净值]]-0.1652</f>
        <v>1.1814</v>
      </c>
      <c r="G367" s="20">
        <f t="shared" ref="G367" si="194">IF(F367&gt;1.0292,0.5*(F367-1.0292),F367-1.0292)</f>
        <v>7.6100000000000056E-2</v>
      </c>
    </row>
    <row r="368" spans="1:7">
      <c r="A368" s="15">
        <v>44267</v>
      </c>
      <c r="B368" s="112">
        <v>1.3469</v>
      </c>
      <c r="C368" s="108">
        <f t="shared" si="189"/>
        <v>2.9999999999996696E-4</v>
      </c>
      <c r="D368" s="109" t="str">
        <f t="shared" si="190"/>
        <v>/</v>
      </c>
      <c r="E368" s="109">
        <f ca="1">IF(表2_36716262930381011[[#This Row],[累计净值]]/MAX(INDIRECT("B21:B" &amp; ROW()))-1&lt;E367,表2_36716262930381011[[#This Row],[累计净值]]/MAX(INDIRECT("B21:B" &amp; ROW()))-1,E367)</f>
        <v>-6.4389617798060517E-2</v>
      </c>
      <c r="F368" s="62">
        <f>表2_36716262930381011[[#This Row],[累计净值]]-0.1652</f>
        <v>1.1817</v>
      </c>
      <c r="G368" s="20">
        <f t="shared" ref="G368" si="195">IF(F368&gt;1.0292,0.5*(F368-1.0292),F368-1.0292)</f>
        <v>7.625000000000004E-2</v>
      </c>
    </row>
    <row r="369" spans="1:7">
      <c r="A369" s="15">
        <v>44270</v>
      </c>
      <c r="B369" s="112">
        <v>1.3452999999999999</v>
      </c>
      <c r="C369" s="108">
        <f t="shared" si="189"/>
        <v>-1.6000000000000458E-3</v>
      </c>
      <c r="D369" s="109">
        <f t="shared" si="190"/>
        <v>-1.6000000000000458E-3</v>
      </c>
      <c r="E369" s="109">
        <f ca="1">IF(表2_36716262930381011[[#This Row],[累计净值]]/MAX(INDIRECT("B21:B" &amp; ROW()))-1&lt;E368,表2_36716262930381011[[#This Row],[累计净值]]/MAX(INDIRECT("B21:B" &amp; ROW()))-1,E368)</f>
        <v>-6.4389617798060517E-2</v>
      </c>
      <c r="F369" s="62">
        <f>表2_36716262930381011[[#This Row],[累计净值]]-0.1652</f>
        <v>1.1800999999999999</v>
      </c>
      <c r="G369" s="20">
        <f t="shared" ref="G369" si="196">IF(F369&gt;1.0292,0.5*(F369-1.0292),F369-1.0292)</f>
        <v>7.5450000000000017E-2</v>
      </c>
    </row>
    <row r="370" spans="1:7">
      <c r="A370" s="15">
        <v>44271</v>
      </c>
      <c r="B370" s="112">
        <v>1.3488</v>
      </c>
      <c r="C370" s="108">
        <f>IFERROR(B370-B369,0)</f>
        <v>3.5000000000000586E-3</v>
      </c>
      <c r="D370" s="109" t="str">
        <f>IF(C370&lt;0,C370,"/")</f>
        <v>/</v>
      </c>
      <c r="E370" s="109">
        <f ca="1">IF(表2_36716262930381011[[#This Row],[累计净值]]/MAX(INDIRECT("B21:B" &amp; ROW()))-1&lt;E369,表2_36716262930381011[[#This Row],[累计净值]]/MAX(INDIRECT("B21:B" &amp; ROW()))-1,E369)</f>
        <v>-6.4389617798060517E-2</v>
      </c>
      <c r="F370" s="62">
        <f>表2_36716262930381011[[#This Row],[累计净值]]-0.1652</f>
        <v>1.1836</v>
      </c>
      <c r="G370" s="20">
        <f t="shared" ref="G370" si="197">IF(F370&gt;1.0292,0.5*(F370-1.0292),F370-1.0292)</f>
        <v>7.7200000000000046E-2</v>
      </c>
    </row>
    <row r="371" spans="1:7">
      <c r="A371" s="15">
        <v>44272</v>
      </c>
      <c r="B371" s="112">
        <v>1.3512999999999999</v>
      </c>
      <c r="C371" s="108">
        <f>IFERROR(B371-B370,0)</f>
        <v>2.4999999999999467E-3</v>
      </c>
      <c r="D371" s="109" t="str">
        <f>IF(C371&lt;0,C371,"/")</f>
        <v>/</v>
      </c>
      <c r="E371" s="109">
        <f ca="1">IF(表2_36716262930381011[[#This Row],[累计净值]]/MAX(INDIRECT("B21:B" &amp; ROW()))-1&lt;E370,表2_36716262930381011[[#This Row],[累计净值]]/MAX(INDIRECT("B21:B" &amp; ROW()))-1,E370)</f>
        <v>-6.4389617798060517E-2</v>
      </c>
      <c r="F371" s="62">
        <f>表2_36716262930381011[[#This Row],[累计净值]]-0.1652</f>
        <v>1.1860999999999999</v>
      </c>
      <c r="G371" s="20">
        <f t="shared" ref="G371" si="198">IF(F371&gt;1.0292,0.5*(F371-1.0292),F371-1.0292)</f>
        <v>7.845000000000002E-2</v>
      </c>
    </row>
    <row r="372" spans="1:7">
      <c r="A372" s="15">
        <v>44273</v>
      </c>
      <c r="B372" s="112">
        <v>1.3527</v>
      </c>
      <c r="C372" s="108">
        <f>IFERROR(B372-B371,0)</f>
        <v>1.4000000000000679E-3</v>
      </c>
      <c r="D372" s="109" t="str">
        <f>IF(C372&lt;0,C372,"/")</f>
        <v>/</v>
      </c>
      <c r="E372" s="109">
        <f ca="1">IF(表2_36716262930381011[[#This Row],[累计净值]]/MAX(INDIRECT("B21:B" &amp; ROW()))-1&lt;E371,表2_36716262930381011[[#This Row],[累计净值]]/MAX(INDIRECT("B21:B" &amp; ROW()))-1,E371)</f>
        <v>-6.4389617798060517E-2</v>
      </c>
      <c r="F372" s="62">
        <f>表2_36716262930381011[[#This Row],[累计净值]]-0.1652</f>
        <v>1.1875</v>
      </c>
      <c r="G372" s="20">
        <f t="shared" ref="G372" si="199">IF(F372&gt;1.0292,0.5*(F372-1.0292),F372-1.0292)</f>
        <v>7.9150000000000054E-2</v>
      </c>
    </row>
    <row r="373" spans="1:7">
      <c r="A373" s="15">
        <v>44274</v>
      </c>
      <c r="B373" s="112">
        <v>1.3523000000000001</v>
      </c>
      <c r="C373" s="108">
        <f>IFERROR(B373-B372,0)</f>
        <v>-3.9999999999995595E-4</v>
      </c>
      <c r="D373" s="109">
        <f>IF(C373&lt;0,C373,"/")</f>
        <v>-3.9999999999995595E-4</v>
      </c>
      <c r="E373" s="109">
        <f ca="1">IF(表2_36716262930381011[[#This Row],[累计净值]]/MAX(INDIRECT("B21:B" &amp; ROW()))-1&lt;E372,表2_36716262930381011[[#This Row],[累计净值]]/MAX(INDIRECT("B21:B" &amp; ROW()))-1,E372)</f>
        <v>-6.4389617798060517E-2</v>
      </c>
      <c r="F373" s="62">
        <f>表2_36716262930381011[[#This Row],[累计净值]]-0.1652</f>
        <v>1.1871</v>
      </c>
      <c r="G373" s="20">
        <f t="shared" ref="G373" si="200">IF(F373&gt;1.0292,0.5*(F373-1.0292),F373-1.0292)</f>
        <v>7.8950000000000076E-2</v>
      </c>
    </row>
    <row r="374" spans="1:7">
      <c r="A374" s="15">
        <v>44277</v>
      </c>
      <c r="B374" s="112">
        <v>1.3549</v>
      </c>
      <c r="C374" s="108">
        <f>IFERROR(B374-B373,0)</f>
        <v>2.5999999999999357E-3</v>
      </c>
      <c r="D374" s="109" t="str">
        <f>IF(C374&lt;0,C374,"/")</f>
        <v>/</v>
      </c>
      <c r="E374" s="109">
        <f ca="1">IF(表2_36716262930381011[[#This Row],[累计净值]]/MAX(INDIRECT("B21:B" &amp; ROW()))-1&lt;E373,表2_36716262930381011[[#This Row],[累计净值]]/MAX(INDIRECT("B21:B" &amp; ROW()))-1,E373)</f>
        <v>-6.4389617798060517E-2</v>
      </c>
      <c r="F374" s="62">
        <f>表2_36716262930381011[[#This Row],[累计净值]]-0.1652</f>
        <v>1.1897</v>
      </c>
      <c r="G374" s="20">
        <f t="shared" ref="G374:G376" si="201">IF(F374&gt;1.0292,0.5*(F374-1.0292),F374-1.0292)</f>
        <v>8.0250000000000044E-2</v>
      </c>
    </row>
    <row r="375" spans="1:7">
      <c r="A375" s="15">
        <v>44278</v>
      </c>
      <c r="B375" s="112">
        <v>1.3549</v>
      </c>
      <c r="C375" s="108">
        <f t="shared" ref="C375:C378" si="202">IFERROR(B375-B374,0)</f>
        <v>0</v>
      </c>
      <c r="D375" s="109" t="str">
        <f t="shared" ref="D375:D378" si="203">IF(C375&lt;0,C375,"/")</f>
        <v>/</v>
      </c>
      <c r="E375" s="109">
        <f ca="1">IF(表2_36716262930381011[[#This Row],[累计净值]]/MAX(INDIRECT("B21:B" &amp; ROW()))-1&lt;E374,表2_36716262930381011[[#This Row],[累计净值]]/MAX(INDIRECT("B21:B" &amp; ROW()))-1,E374)</f>
        <v>-6.4389617798060517E-2</v>
      </c>
      <c r="F375" s="62">
        <f>表2_36716262930381011[[#This Row],[累计净值]]-0.1652</f>
        <v>1.1897</v>
      </c>
      <c r="G375" s="20">
        <f t="shared" si="201"/>
        <v>8.0250000000000044E-2</v>
      </c>
    </row>
    <row r="376" spans="1:7">
      <c r="A376" s="15">
        <v>44279</v>
      </c>
      <c r="B376" s="112">
        <v>1.3507</v>
      </c>
      <c r="C376" s="108">
        <f t="shared" si="202"/>
        <v>-4.1999999999999815E-3</v>
      </c>
      <c r="D376" s="109">
        <f t="shared" si="203"/>
        <v>-4.1999999999999815E-3</v>
      </c>
      <c r="E376" s="109">
        <f ca="1">IF(表2_36716262930381011[[#This Row],[累计净值]]/MAX(INDIRECT("B21:B" &amp; ROW()))-1&lt;E375,表2_36716262930381011[[#This Row],[累计净值]]/MAX(INDIRECT("B21:B" &amp; ROW()))-1,E375)</f>
        <v>-6.4389617798060517E-2</v>
      </c>
      <c r="F376" s="62">
        <f>表2_36716262930381011[[#This Row],[累计净值]]-0.1652</f>
        <v>1.1855</v>
      </c>
      <c r="G376" s="20">
        <f t="shared" si="201"/>
        <v>7.8150000000000053E-2</v>
      </c>
    </row>
    <row r="377" spans="1:7">
      <c r="A377" s="15">
        <v>44280</v>
      </c>
      <c r="B377" s="112">
        <v>1.3506</v>
      </c>
      <c r="C377" s="108">
        <f t="shared" si="202"/>
        <v>-9.9999999999988987E-5</v>
      </c>
      <c r="D377" s="109">
        <f t="shared" si="203"/>
        <v>-9.9999999999988987E-5</v>
      </c>
      <c r="E377" s="109">
        <f ca="1">IF(表2_36716262930381011[[#This Row],[累计净值]]/MAX(INDIRECT("B21:B" &amp; ROW()))-1&lt;E376,表2_36716262930381011[[#This Row],[累计净值]]/MAX(INDIRECT("B21:B" &amp; ROW()))-1,E376)</f>
        <v>-6.4389617798060517E-2</v>
      </c>
      <c r="F377" s="62">
        <f>表2_36716262930381011[[#This Row],[累计净值]]-0.1652</f>
        <v>1.1854</v>
      </c>
      <c r="G377" s="20">
        <f t="shared" ref="G377:G378" si="204">IF(F377&gt;1.0292,0.5*(F377-1.0292),F377-1.0292)</f>
        <v>7.8100000000000058E-2</v>
      </c>
    </row>
    <row r="378" spans="1:7">
      <c r="A378" s="15">
        <v>44281</v>
      </c>
      <c r="B378" s="112">
        <v>1.3547</v>
      </c>
      <c r="C378" s="108">
        <f t="shared" si="202"/>
        <v>4.0999999999999925E-3</v>
      </c>
      <c r="D378" s="109" t="str">
        <f t="shared" si="203"/>
        <v>/</v>
      </c>
      <c r="E378" s="109">
        <f ca="1">IF(表2_36716262930381011[[#This Row],[累计净值]]/MAX(INDIRECT("B21:B" &amp; ROW()))-1&lt;E377,表2_36716262930381011[[#This Row],[累计净值]]/MAX(INDIRECT("B21:B" &amp; ROW()))-1,E377)</f>
        <v>-6.4389617798060517E-2</v>
      </c>
      <c r="F378" s="62">
        <f>表2_36716262930381011[[#This Row],[累计净值]]-0.1652</f>
        <v>1.1895</v>
      </c>
      <c r="G378" s="20">
        <f t="shared" si="204"/>
        <v>8.0150000000000055E-2</v>
      </c>
    </row>
    <row r="379" spans="1:7">
      <c r="A379" s="15">
        <v>44284</v>
      </c>
      <c r="B379" s="112">
        <v>1.3553999999999999</v>
      </c>
      <c r="C379" s="108">
        <f t="shared" ref="C379:C385" si="205">IFERROR(B379-B378,0)</f>
        <v>6.9999999999992291E-4</v>
      </c>
      <c r="D379" s="109" t="str">
        <f t="shared" ref="D379:D385" si="206">IF(C379&lt;0,C379,"/")</f>
        <v>/</v>
      </c>
      <c r="E379" s="109">
        <f ca="1">IF(表2_36716262930381011[[#This Row],[累计净值]]/MAX(INDIRECT("B21:B" &amp; ROW()))-1&lt;E378,表2_36716262930381011[[#This Row],[累计净值]]/MAX(INDIRECT("B21:B" &amp; ROW()))-1,E378)</f>
        <v>-6.4389617798060517E-2</v>
      </c>
      <c r="F379" s="62">
        <f>表2_36716262930381011[[#This Row],[累计净值]]-0.1652</f>
        <v>1.1901999999999999</v>
      </c>
      <c r="G379" s="20">
        <f t="shared" ref="G379:G380" si="207">IF(F379&gt;1.0292,0.5*(F379-1.0292),F379-1.0292)</f>
        <v>8.0500000000000016E-2</v>
      </c>
    </row>
    <row r="380" spans="1:7">
      <c r="A380" s="15">
        <v>44285</v>
      </c>
      <c r="B380" s="112">
        <v>1.3555999999999999</v>
      </c>
      <c r="C380" s="108">
        <f t="shared" si="205"/>
        <v>1.9999999999997797E-4</v>
      </c>
      <c r="D380" s="109" t="str">
        <f t="shared" si="206"/>
        <v>/</v>
      </c>
      <c r="E380" s="109">
        <f ca="1">IF(表2_36716262930381011[[#This Row],[累计净值]]/MAX(INDIRECT("B21:B" &amp; ROW()))-1&lt;E379,表2_36716262930381011[[#This Row],[累计净值]]/MAX(INDIRECT("B21:B" &amp; ROW()))-1,E379)</f>
        <v>-6.4389617798060517E-2</v>
      </c>
      <c r="F380" s="62">
        <f>表2_36716262930381011[[#This Row],[累计净值]]-0.1652</f>
        <v>1.1903999999999999</v>
      </c>
      <c r="G380" s="20">
        <f t="shared" si="207"/>
        <v>8.0600000000000005E-2</v>
      </c>
    </row>
    <row r="381" spans="1:7">
      <c r="A381" s="15">
        <v>44286</v>
      </c>
      <c r="B381" s="112">
        <v>1.3544</v>
      </c>
      <c r="C381" s="108">
        <f t="shared" si="205"/>
        <v>-1.1999999999998678E-3</v>
      </c>
      <c r="D381" s="109">
        <f t="shared" si="206"/>
        <v>-1.1999999999998678E-3</v>
      </c>
      <c r="E381" s="109">
        <f ca="1">IF(表2_36716262930381011[[#This Row],[累计净值]]/MAX(INDIRECT("B21:B" &amp; ROW()))-1&lt;E380,表2_36716262930381011[[#This Row],[累计净值]]/MAX(INDIRECT("B21:B" &amp; ROW()))-1,E380)</f>
        <v>-6.4389617798060517E-2</v>
      </c>
      <c r="F381" s="62">
        <f>表2_36716262930381011[[#This Row],[累计净值]]-0.1652</f>
        <v>1.1892</v>
      </c>
      <c r="G381" s="20">
        <f t="shared" ref="G381" si="208">IF(F381&gt;1.0292,0.5*(F381-1.0292),F381-1.0292)</f>
        <v>8.0000000000000071E-2</v>
      </c>
    </row>
    <row r="382" spans="1:7">
      <c r="A382" s="15">
        <v>44287</v>
      </c>
      <c r="B382" s="112">
        <v>1.3553999999999999</v>
      </c>
      <c r="C382" s="108">
        <f t="shared" si="205"/>
        <v>9.9999999999988987E-4</v>
      </c>
      <c r="D382" s="109" t="str">
        <f t="shared" si="206"/>
        <v>/</v>
      </c>
      <c r="E382" s="109">
        <f ca="1">IF(表2_36716262930381011[[#This Row],[累计净值]]/MAX(INDIRECT("B21:B" &amp; ROW()))-1&lt;E381,表2_36716262930381011[[#This Row],[累计净值]]/MAX(INDIRECT("B21:B" &amp; ROW()))-1,E381)</f>
        <v>-6.4389617798060517E-2</v>
      </c>
      <c r="F382" s="62">
        <f>表2_36716262930381011[[#This Row],[累计净值]]-0.1652</f>
        <v>1.1901999999999999</v>
      </c>
      <c r="G382" s="20">
        <f t="shared" ref="G382" si="209">IF(F382&gt;1.0292,0.5*(F382-1.0292),F382-1.0292)</f>
        <v>8.0500000000000016E-2</v>
      </c>
    </row>
    <row r="383" spans="1:7">
      <c r="A383" s="15">
        <v>44288</v>
      </c>
      <c r="B383" s="112">
        <v>1.3557999999999999</v>
      </c>
      <c r="C383" s="108">
        <f t="shared" si="205"/>
        <v>3.9999999999995595E-4</v>
      </c>
      <c r="D383" s="109" t="str">
        <f t="shared" si="206"/>
        <v>/</v>
      </c>
      <c r="E383" s="109">
        <f ca="1">IF(表2_36716262930381011[[#This Row],[累计净值]]/MAX(INDIRECT("B21:B" &amp; ROW()))-1&lt;E382,表2_36716262930381011[[#This Row],[累计净值]]/MAX(INDIRECT("B21:B" &amp; ROW()))-1,E382)</f>
        <v>-6.4389617798060517E-2</v>
      </c>
      <c r="F383" s="62">
        <f>表2_36716262930381011[[#This Row],[累计净值]]-0.1652</f>
        <v>1.1905999999999999</v>
      </c>
      <c r="G383" s="20">
        <f t="shared" ref="G383" si="210">IF(F383&gt;1.0292,0.5*(F383-1.0292),F383-1.0292)</f>
        <v>8.0699999999999994E-2</v>
      </c>
    </row>
    <row r="384" spans="1:7">
      <c r="A384" s="15">
        <v>44292</v>
      </c>
      <c r="B384" s="112">
        <v>1.3568</v>
      </c>
      <c r="C384" s="108">
        <f t="shared" si="205"/>
        <v>1.0000000000001119E-3</v>
      </c>
      <c r="D384" s="109" t="str">
        <f t="shared" si="206"/>
        <v>/</v>
      </c>
      <c r="E384" s="109">
        <f ca="1">IF(表2_36716262930381011[[#This Row],[累计净值]]/MAX(INDIRECT("B21:B" &amp; ROW()))-1&lt;E383,表2_36716262930381011[[#This Row],[累计净值]]/MAX(INDIRECT("B21:B" &amp; ROW()))-1,E383)</f>
        <v>-6.4389617798060517E-2</v>
      </c>
      <c r="F384" s="62">
        <f>表2_36716262930381011[[#This Row],[累计净值]]-0.1652</f>
        <v>1.1916</v>
      </c>
      <c r="G384" s="20">
        <f t="shared" ref="G384" si="211">IF(F384&gt;1.0292,0.5*(F384-1.0292),F384-1.0292)</f>
        <v>8.120000000000005E-2</v>
      </c>
    </row>
    <row r="385" spans="1:7">
      <c r="A385" s="15">
        <v>44293</v>
      </c>
      <c r="B385" s="112">
        <v>1.355</v>
      </c>
      <c r="C385" s="108">
        <f t="shared" si="205"/>
        <v>-1.8000000000000238E-3</v>
      </c>
      <c r="D385" s="109">
        <f t="shared" si="206"/>
        <v>-1.8000000000000238E-3</v>
      </c>
      <c r="E385" s="109">
        <f ca="1">IF(表2_36716262930381011[[#This Row],[累计净值]]/MAX(INDIRECT("B21:B" &amp; ROW()))-1&lt;E384,表2_36716262930381011[[#This Row],[累计净值]]/MAX(INDIRECT("B21:B" &amp; ROW()))-1,E384)</f>
        <v>-6.4389617798060517E-2</v>
      </c>
      <c r="F385" s="62">
        <f>表2_36716262930381011[[#This Row],[累计净值]]-0.1652</f>
        <v>1.1898</v>
      </c>
      <c r="G385" s="20">
        <f t="shared" ref="G385" si="212">IF(F385&gt;1.0292,0.5*(F385-1.0292),F385-1.0292)</f>
        <v>8.0300000000000038E-2</v>
      </c>
    </row>
    <row r="386" spans="1:7">
      <c r="A386" s="15">
        <v>44294</v>
      </c>
      <c r="B386" s="112">
        <v>1.355</v>
      </c>
      <c r="C386" s="108">
        <f t="shared" ref="C386:C391" si="213">IFERROR(B386-B385,0)</f>
        <v>0</v>
      </c>
      <c r="D386" s="109" t="str">
        <f t="shared" ref="D386:D391" si="214">IF(C386&lt;0,C386,"/")</f>
        <v>/</v>
      </c>
      <c r="E386" s="109">
        <f ca="1">IF(表2_36716262930381011[[#This Row],[累计净值]]/MAX(INDIRECT("B21:B" &amp; ROW()))-1&lt;E385,表2_36716262930381011[[#This Row],[累计净值]]/MAX(INDIRECT("B21:B" &amp; ROW()))-1,E385)</f>
        <v>-6.4389617798060517E-2</v>
      </c>
      <c r="F386" s="62">
        <f>表2_36716262930381011[[#This Row],[累计净值]]-0.1652</f>
        <v>1.1898</v>
      </c>
      <c r="G386" s="20">
        <f t="shared" ref="G386" si="215">IF(F386&gt;1.0292,0.5*(F386-1.0292),F386-1.0292)</f>
        <v>8.0300000000000038E-2</v>
      </c>
    </row>
    <row r="387" spans="1:7">
      <c r="A387" s="15">
        <v>44295</v>
      </c>
      <c r="B387" s="112">
        <v>1.3532999999999999</v>
      </c>
      <c r="C387" s="108">
        <f t="shared" si="213"/>
        <v>-1.7000000000000348E-3</v>
      </c>
      <c r="D387" s="109">
        <f t="shared" si="214"/>
        <v>-1.7000000000000348E-3</v>
      </c>
      <c r="E387" s="109">
        <f ca="1">IF(表2_36716262930381011[[#This Row],[累计净值]]/MAX(INDIRECT("B21:B" &amp; ROW()))-1&lt;E386,表2_36716262930381011[[#This Row],[累计净值]]/MAX(INDIRECT("B21:B" &amp; ROW()))-1,E386)</f>
        <v>-6.4389617798060517E-2</v>
      </c>
      <c r="F387" s="62">
        <f>表2_36716262930381011[[#This Row],[累计净值]]-0.1652</f>
        <v>1.1880999999999999</v>
      </c>
      <c r="G387" s="20">
        <f t="shared" ref="G387" si="216">IF(F387&gt;1.0292,0.5*(F387-1.0292),F387-1.0292)</f>
        <v>7.9450000000000021E-2</v>
      </c>
    </row>
    <row r="388" spans="1:7">
      <c r="A388" s="15">
        <v>44298</v>
      </c>
      <c r="B388" s="112">
        <v>1.3512</v>
      </c>
      <c r="C388" s="108">
        <f t="shared" si="213"/>
        <v>-2.0999999999999908E-3</v>
      </c>
      <c r="D388" s="109">
        <f t="shared" si="214"/>
        <v>-2.0999999999999908E-3</v>
      </c>
      <c r="E388" s="109">
        <f ca="1">IF(表2_36716262930381011[[#This Row],[累计净值]]/MAX(INDIRECT("B21:B" &amp; ROW()))-1&lt;E387,表2_36716262930381011[[#This Row],[累计净值]]/MAX(INDIRECT("B21:B" &amp; ROW()))-1,E387)</f>
        <v>-6.4389617798060517E-2</v>
      </c>
      <c r="F388" s="62">
        <f>表2_36716262930381011[[#This Row],[累计净值]]-0.1652</f>
        <v>1.1859999999999999</v>
      </c>
      <c r="G388" s="20">
        <f t="shared" ref="G388" si="217">IF(F388&gt;1.0292,0.5*(F388-1.0292),F388-1.0292)</f>
        <v>7.8400000000000025E-2</v>
      </c>
    </row>
    <row r="389" spans="1:7">
      <c r="A389" s="15">
        <v>44299</v>
      </c>
      <c r="B389" s="112">
        <v>1.3515999999999999</v>
      </c>
      <c r="C389" s="108">
        <f t="shared" si="213"/>
        <v>3.9999999999995595E-4</v>
      </c>
      <c r="D389" s="109" t="str">
        <f t="shared" si="214"/>
        <v>/</v>
      </c>
      <c r="E389" s="109">
        <f ca="1">IF(表2_36716262930381011[[#This Row],[累计净值]]/MAX(INDIRECT("B21:B" &amp; ROW()))-1&lt;E388,表2_36716262930381011[[#This Row],[累计净值]]/MAX(INDIRECT("B21:B" &amp; ROW()))-1,E388)</f>
        <v>-6.4389617798060517E-2</v>
      </c>
      <c r="F389" s="62">
        <f>表2_36716262930381011[[#This Row],[累计净值]]-0.1652</f>
        <v>1.1863999999999999</v>
      </c>
      <c r="G389" s="20">
        <f t="shared" ref="G389" si="218">IF(F389&gt;1.0292,0.5*(F389-1.0292),F389-1.0292)</f>
        <v>7.8600000000000003E-2</v>
      </c>
    </row>
    <row r="390" spans="1:7">
      <c r="A390" s="15">
        <v>44300</v>
      </c>
      <c r="B390" s="112">
        <v>1.353</v>
      </c>
      <c r="C390" s="108">
        <f t="shared" si="213"/>
        <v>1.4000000000000679E-3</v>
      </c>
      <c r="D390" s="109" t="str">
        <f t="shared" si="214"/>
        <v>/</v>
      </c>
      <c r="E390" s="109">
        <f ca="1">IF(表2_36716262930381011[[#This Row],[累计净值]]/MAX(INDIRECT("B21:B" &amp; ROW()))-1&lt;E389,表2_36716262930381011[[#This Row],[累计净值]]/MAX(INDIRECT("B21:B" &amp; ROW()))-1,E389)</f>
        <v>-6.4389617798060517E-2</v>
      </c>
      <c r="F390" s="62">
        <f>表2_36716262930381011[[#This Row],[累计净值]]-0.1652</f>
        <v>1.1878</v>
      </c>
      <c r="G390" s="20">
        <f t="shared" ref="G390:G391" si="219">IF(F390&gt;1.0292,0.5*(F390-1.0292),F390-1.0292)</f>
        <v>7.9300000000000037E-2</v>
      </c>
    </row>
    <row r="391" spans="1:7">
      <c r="A391" s="15">
        <v>44301</v>
      </c>
      <c r="B391" s="112">
        <v>1.3519000000000001</v>
      </c>
      <c r="C391" s="108">
        <f t="shared" si="213"/>
        <v>-1.0999999999998789E-3</v>
      </c>
      <c r="D391" s="109">
        <f t="shared" si="214"/>
        <v>-1.0999999999998789E-3</v>
      </c>
      <c r="E391" s="109">
        <f ca="1">IF(表2_36716262930381011[[#This Row],[累计净值]]/MAX(INDIRECT("B21:B" &amp; ROW()))-1&lt;E390,表2_36716262930381011[[#This Row],[累计净值]]/MAX(INDIRECT("B21:B" &amp; ROW()))-1,E390)</f>
        <v>-6.4389617798060517E-2</v>
      </c>
      <c r="F391" s="62">
        <f>表2_36716262930381011[[#This Row],[累计净值]]-0.1652</f>
        <v>1.1867000000000001</v>
      </c>
      <c r="G391" s="20">
        <f t="shared" si="219"/>
        <v>7.8750000000000098E-2</v>
      </c>
    </row>
    <row r="392" spans="1:7">
      <c r="A392" s="15">
        <v>44302</v>
      </c>
      <c r="B392" s="112">
        <v>1.3472999999999999</v>
      </c>
      <c r="C392" s="108">
        <f t="shared" ref="C392:C398" si="220">IFERROR(B392-B391,0)</f>
        <v>-4.6000000000001595E-3</v>
      </c>
      <c r="D392" s="109">
        <f t="shared" ref="D392:D398" si="221">IF(C392&lt;0,C392,"/")</f>
        <v>-4.6000000000001595E-3</v>
      </c>
      <c r="E392" s="109">
        <f ca="1">IF(表2_36716262930381011[[#This Row],[累计净值]]/MAX(INDIRECT("B21:B" &amp; ROW()))-1&lt;E391,表2_36716262930381011[[#This Row],[累计净值]]/MAX(INDIRECT("B21:B" &amp; ROW()))-1,E391)</f>
        <v>-6.4389617798060517E-2</v>
      </c>
      <c r="F392" s="62">
        <f>表2_36716262930381011[[#This Row],[累计净值]]-0.1652</f>
        <v>1.1820999999999999</v>
      </c>
      <c r="G392" s="20">
        <f t="shared" ref="G392" si="222">IF(F392&gt;1.0292,0.5*(F392-1.0292),F392-1.0292)</f>
        <v>7.6450000000000018E-2</v>
      </c>
    </row>
    <row r="393" spans="1:7">
      <c r="A393" s="15">
        <v>44305</v>
      </c>
      <c r="B393" s="112">
        <v>1.3531</v>
      </c>
      <c r="C393" s="108">
        <f t="shared" si="220"/>
        <v>5.8000000000000274E-3</v>
      </c>
      <c r="D393" s="109" t="str">
        <f t="shared" si="221"/>
        <v>/</v>
      </c>
      <c r="E393" s="109">
        <f ca="1">IF(表2_36716262930381011[[#This Row],[累计净值]]/MAX(INDIRECT("B21:B" &amp; ROW()))-1&lt;E392,表2_36716262930381011[[#This Row],[累计净值]]/MAX(INDIRECT("B21:B" &amp; ROW()))-1,E392)</f>
        <v>-6.4389617798060517E-2</v>
      </c>
      <c r="F393" s="62">
        <f>表2_36716262930381011[[#This Row],[累计净值]]-0.1652</f>
        <v>1.1879</v>
      </c>
      <c r="G393" s="20">
        <f t="shared" ref="G393" si="223">IF(F393&gt;1.0292,0.5*(F393-1.0292),F393-1.0292)</f>
        <v>7.9350000000000032E-2</v>
      </c>
    </row>
    <row r="394" spans="1:7">
      <c r="A394" s="15">
        <v>44306</v>
      </c>
      <c r="B394" s="112">
        <v>1.3528</v>
      </c>
      <c r="C394" s="108">
        <f t="shared" si="220"/>
        <v>-2.9999999999996696E-4</v>
      </c>
      <c r="D394" s="109">
        <f t="shared" si="221"/>
        <v>-2.9999999999996696E-4</v>
      </c>
      <c r="E394" s="109">
        <f ca="1">IF(表2_36716262930381011[[#This Row],[累计净值]]/MAX(INDIRECT("B21:B" &amp; ROW()))-1&lt;E393,表2_36716262930381011[[#This Row],[累计净值]]/MAX(INDIRECT("B21:B" &amp; ROW()))-1,E393)</f>
        <v>-6.4389617798060517E-2</v>
      </c>
      <c r="F394" s="62">
        <f>表2_36716262930381011[[#This Row],[累计净值]]-0.1652</f>
        <v>1.1876</v>
      </c>
      <c r="G394" s="20">
        <f t="shared" ref="G394" si="224">IF(F394&gt;1.0292,0.5*(F394-1.0292),F394-1.0292)</f>
        <v>7.9200000000000048E-2</v>
      </c>
    </row>
    <row r="395" spans="1:7">
      <c r="A395" s="15">
        <v>44307</v>
      </c>
      <c r="B395" s="112">
        <v>1.3551</v>
      </c>
      <c r="C395" s="108">
        <f t="shared" si="220"/>
        <v>2.2999999999999687E-3</v>
      </c>
      <c r="D395" s="109" t="str">
        <f t="shared" si="221"/>
        <v>/</v>
      </c>
      <c r="E395" s="109">
        <f ca="1">IF(表2_36716262930381011[[#This Row],[累计净值]]/MAX(INDIRECT("B21:B" &amp; ROW()))-1&lt;E394,表2_36716262930381011[[#This Row],[累计净值]]/MAX(INDIRECT("B21:B" &amp; ROW()))-1,E394)</f>
        <v>-6.4389617798060517E-2</v>
      </c>
      <c r="F395" s="62">
        <f>表2_36716262930381011[[#This Row],[累计净值]]-0.1652</f>
        <v>1.1899</v>
      </c>
      <c r="G395" s="20">
        <f t="shared" ref="G395" si="225">IF(F395&gt;1.0292,0.5*(F395-1.0292),F395-1.0292)</f>
        <v>8.0350000000000033E-2</v>
      </c>
    </row>
    <row r="396" spans="1:7">
      <c r="A396" s="15">
        <v>44308</v>
      </c>
      <c r="B396" s="112">
        <v>1.3571</v>
      </c>
      <c r="C396" s="108">
        <f t="shared" si="220"/>
        <v>2.0000000000000018E-3</v>
      </c>
      <c r="D396" s="109" t="str">
        <f t="shared" si="221"/>
        <v>/</v>
      </c>
      <c r="E396" s="109">
        <f ca="1">IF(表2_36716262930381011[[#This Row],[累计净值]]/MAX(INDIRECT("B21:B" &amp; ROW()))-1&lt;E395,表2_36716262930381011[[#This Row],[累计净值]]/MAX(INDIRECT("B21:B" &amp; ROW()))-1,E395)</f>
        <v>-6.4389617798060517E-2</v>
      </c>
      <c r="F396" s="62">
        <f>表2_36716262930381011[[#This Row],[累计净值]]-0.1652</f>
        <v>1.1919</v>
      </c>
      <c r="G396" s="20">
        <f t="shared" ref="G396" si="226">IF(F396&gt;1.0292,0.5*(F396-1.0292),F396-1.0292)</f>
        <v>8.1350000000000033E-2</v>
      </c>
    </row>
    <row r="397" spans="1:7">
      <c r="A397" s="15">
        <v>44309</v>
      </c>
      <c r="B397" s="112">
        <v>1.3567</v>
      </c>
      <c r="C397" s="108">
        <f t="shared" si="220"/>
        <v>-3.9999999999995595E-4</v>
      </c>
      <c r="D397" s="109">
        <f t="shared" si="221"/>
        <v>-3.9999999999995595E-4</v>
      </c>
      <c r="E397" s="109">
        <f ca="1">IF(表2_36716262930381011[[#This Row],[累计净值]]/MAX(INDIRECT("B21:B" &amp; ROW()))-1&lt;E396,表2_36716262930381011[[#This Row],[累计净值]]/MAX(INDIRECT("B21:B" &amp; ROW()))-1,E396)</f>
        <v>-6.4389617798060517E-2</v>
      </c>
      <c r="F397" s="62">
        <f>表2_36716262930381011[[#This Row],[累计净值]]-0.1652</f>
        <v>1.1915</v>
      </c>
      <c r="G397" s="20">
        <f t="shared" ref="G397" si="227">IF(F397&gt;1.0292,0.5*(F397-1.0292),F397-1.0292)</f>
        <v>8.1150000000000055E-2</v>
      </c>
    </row>
    <row r="398" spans="1:7">
      <c r="A398" s="15">
        <v>44312</v>
      </c>
      <c r="B398" s="112">
        <v>1.3593</v>
      </c>
      <c r="C398" s="108">
        <f t="shared" si="220"/>
        <v>2.5999999999999357E-3</v>
      </c>
      <c r="D398" s="109" t="str">
        <f t="shared" si="221"/>
        <v>/</v>
      </c>
      <c r="E398" s="109">
        <f ca="1">IF(表2_36716262930381011[[#This Row],[累计净值]]/MAX(INDIRECT("B21:B" &amp; ROW()))-1&lt;E397,表2_36716262930381011[[#This Row],[累计净值]]/MAX(INDIRECT("B21:B" &amp; ROW()))-1,E397)</f>
        <v>-6.4389617798060517E-2</v>
      </c>
      <c r="F398" s="62">
        <f>表2_36716262930381011[[#This Row],[累计净值]]-0.1652</f>
        <v>1.1940999999999999</v>
      </c>
      <c r="G398" s="20">
        <f t="shared" ref="G398" si="228">IF(F398&gt;1.0292,0.5*(F398-1.0292),F398-1.0292)</f>
        <v>8.2450000000000023E-2</v>
      </c>
    </row>
    <row r="399" spans="1:7">
      <c r="A399" s="15">
        <v>44313</v>
      </c>
      <c r="B399" s="112">
        <v>1.3604000000000001</v>
      </c>
      <c r="C399" s="108">
        <f t="shared" ref="C399:C400" si="229">IFERROR(B399-B398,0)</f>
        <v>1.1000000000001009E-3</v>
      </c>
      <c r="D399" s="109" t="str">
        <f t="shared" ref="D399:D400" si="230">IF(C399&lt;0,C399,"/")</f>
        <v>/</v>
      </c>
      <c r="E399" s="109">
        <f ca="1">IF(表2_36716262930381011[[#This Row],[累计净值]]/MAX(INDIRECT("B21:B" &amp; ROW()))-1&lt;E398,表2_36716262930381011[[#This Row],[累计净值]]/MAX(INDIRECT("B21:B" &amp; ROW()))-1,E398)</f>
        <v>-6.4389617798060517E-2</v>
      </c>
      <c r="F399" s="62">
        <f>表2_36716262930381011[[#This Row],[累计净值]]-0.1652</f>
        <v>1.1952</v>
      </c>
      <c r="G399" s="20">
        <f t="shared" ref="G399:G400" si="231">IF(F399&gt;1.0292,0.5*(F399-1.0292),F399-1.0292)</f>
        <v>8.3000000000000074E-2</v>
      </c>
    </row>
    <row r="400" spans="1:7">
      <c r="A400" s="15">
        <v>44314</v>
      </c>
      <c r="B400" s="112">
        <v>1.3603000000000001</v>
      </c>
      <c r="C400" s="108">
        <f t="shared" si="229"/>
        <v>-9.9999999999988987E-5</v>
      </c>
      <c r="D400" s="109">
        <f t="shared" si="230"/>
        <v>-9.9999999999988987E-5</v>
      </c>
      <c r="E400" s="109">
        <f ca="1">IF(表2_36716262930381011[[#This Row],[累计净值]]/MAX(INDIRECT("B21:B" &amp; ROW()))-1&lt;E399,表2_36716262930381011[[#This Row],[累计净值]]/MAX(INDIRECT("B21:B" &amp; ROW()))-1,E399)</f>
        <v>-6.4389617798060517E-2</v>
      </c>
      <c r="F400" s="62">
        <f>表2_36716262930381011[[#This Row],[累计净值]]-0.1652</f>
        <v>1.1951000000000001</v>
      </c>
      <c r="G400" s="20">
        <f t="shared" si="231"/>
        <v>8.2950000000000079E-2</v>
      </c>
    </row>
    <row r="401" spans="1:7">
      <c r="A401" s="15">
        <v>44315</v>
      </c>
      <c r="B401" s="112">
        <v>1.3635999999999999</v>
      </c>
      <c r="C401" s="108">
        <f>IFERROR(B401-B400,0)</f>
        <v>3.2999999999998586E-3</v>
      </c>
      <c r="D401" s="109" t="str">
        <f>IF(C401&lt;0,C401,"/")</f>
        <v>/</v>
      </c>
      <c r="E401" s="109">
        <f ca="1">IF(表2_36716262930381011[[#This Row],[累计净值]]/MAX(INDIRECT("B21:B" &amp; ROW()))-1&lt;E400,表2_36716262930381011[[#This Row],[累计净值]]/MAX(INDIRECT("B21:B" &amp; ROW()))-1,E400)</f>
        <v>-6.4389617798060517E-2</v>
      </c>
      <c r="F401" s="62">
        <f>表2_36716262930381011[[#This Row],[累计净值]]-0.1652</f>
        <v>1.1983999999999999</v>
      </c>
      <c r="G401" s="20">
        <f t="shared" ref="G401" si="232">IF(F401&gt;1.0292,0.5*(F401-1.0292),F401-1.0292)</f>
        <v>8.4600000000000009E-2</v>
      </c>
    </row>
    <row r="402" spans="1:7">
      <c r="A402" s="15">
        <v>44316</v>
      </c>
      <c r="B402" s="112">
        <v>1.3586</v>
      </c>
      <c r="C402" s="108">
        <f t="shared" ref="C402:C403" si="233">IFERROR(B402-B401,0)</f>
        <v>-4.9999999999998934E-3</v>
      </c>
      <c r="D402" s="109">
        <f t="shared" ref="D402:D403" si="234">IF(C402&lt;0,C402,"/")</f>
        <v>-4.9999999999998934E-3</v>
      </c>
      <c r="E402" s="109">
        <f ca="1">IF(表2_36716262930381011[[#This Row],[累计净值]]/MAX(INDIRECT("B21:B" &amp; ROW()))-1&lt;E401,表2_36716262930381011[[#This Row],[累计净值]]/MAX(INDIRECT("B21:B" &amp; ROW()))-1,E401)</f>
        <v>-6.4389617798060517E-2</v>
      </c>
      <c r="F402" s="62">
        <f>表2_36716262930381011[[#This Row],[累计净值]]-0.1652</f>
        <v>1.1934</v>
      </c>
      <c r="G402" s="20">
        <f t="shared" ref="G402:G403" si="235">IF(F402&gt;1.0292,0.5*(F402-1.0292),F402-1.0292)</f>
        <v>8.2100000000000062E-2</v>
      </c>
    </row>
    <row r="403" spans="1:7">
      <c r="A403" s="15">
        <v>44322</v>
      </c>
      <c r="B403" s="112">
        <v>1.3607</v>
      </c>
      <c r="C403" s="108">
        <f t="shared" si="233"/>
        <v>2.0999999999999908E-3</v>
      </c>
      <c r="D403" s="109" t="str">
        <f t="shared" si="234"/>
        <v>/</v>
      </c>
      <c r="E403" s="109">
        <f ca="1">IF(表2_36716262930381011[[#This Row],[累计净值]]/MAX(INDIRECT("B21:B" &amp; ROW()))-1&lt;E402,表2_36716262930381011[[#This Row],[累计净值]]/MAX(INDIRECT("B21:B" &amp; ROW()))-1,E402)</f>
        <v>-6.4389617798060517E-2</v>
      </c>
      <c r="F403" s="62">
        <f>表2_36716262930381011[[#This Row],[累计净值]]-0.1652</f>
        <v>1.1955</v>
      </c>
      <c r="G403" s="20">
        <f t="shared" si="235"/>
        <v>8.3150000000000057E-2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8">
    <tabColor theme="1"/>
  </sheetPr>
  <dimension ref="A1:N438"/>
  <sheetViews>
    <sheetView workbookViewId="0">
      <pane xSplit="1" ySplit="20" topLeftCell="B425" activePane="bottomRight" state="frozen"/>
      <selection pane="topRight" activeCell="B1" sqref="B1"/>
      <selection pane="bottomLeft" activeCell="A21" sqref="A21"/>
      <selection pane="bottomRight" activeCell="N437" sqref="N437"/>
    </sheetView>
  </sheetViews>
  <sheetFormatPr baseColWidth="10" defaultColWidth="9" defaultRowHeight="15"/>
  <cols>
    <col min="1" max="1" width="11.6640625" style="1" bestFit="1" customWidth="1"/>
    <col min="2" max="2" width="13" style="1" customWidth="1"/>
    <col min="3" max="4" width="13.5" style="1" bestFit="1" customWidth="1"/>
    <col min="5" max="5" width="10.1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COUNT(表2_36716262930345[每日盈亏])</f>
        <v>418</v>
      </c>
      <c r="C2" s="27"/>
      <c r="D2" s="3" t="s">
        <v>1</v>
      </c>
      <c r="E2" s="28"/>
      <c r="F2" s="35" t="s">
        <v>2</v>
      </c>
      <c r="G2" s="400" t="s">
        <v>3</v>
      </c>
    </row>
    <row r="3" spans="1:7">
      <c r="A3" s="25" t="s">
        <v>4</v>
      </c>
      <c r="B3" s="26">
        <f>COUNTIF(表2_36716262930345[每日盈亏],"&gt;0")</f>
        <v>210</v>
      </c>
      <c r="C3" s="29"/>
      <c r="D3" s="30" t="s">
        <v>5</v>
      </c>
      <c r="E3" s="31">
        <f>245^0.5*(B10-0.025/365)/E10</f>
        <v>2.0361169453681414</v>
      </c>
      <c r="F3" s="35"/>
      <c r="G3" s="400"/>
    </row>
    <row r="4" spans="1:7">
      <c r="A4" s="25" t="s">
        <v>6</v>
      </c>
      <c r="B4" s="26">
        <f>COUNTIF(表2_36716262930345[每日盈亏],"&lt;0")</f>
        <v>187</v>
      </c>
      <c r="C4" s="29"/>
      <c r="D4" s="32" t="s">
        <v>7</v>
      </c>
      <c r="E4" s="31">
        <f ca="1">-B9/E8</f>
        <v>3.5337648855318675</v>
      </c>
      <c r="F4" s="35"/>
      <c r="G4" s="2">
        <f>LOOKUP(999^10,表2_36716262930345[累计净值])</f>
        <v>1.9610000000000001</v>
      </c>
    </row>
    <row r="5" spans="1:7">
      <c r="A5" s="25" t="s">
        <v>8</v>
      </c>
      <c r="B5" s="26">
        <f>B2-B3-B4</f>
        <v>21</v>
      </c>
      <c r="C5" s="29"/>
      <c r="D5" s="33" t="s">
        <v>9</v>
      </c>
      <c r="E5" s="4">
        <f>245^0.5*(B10-0.025/365)/E9</f>
        <v>3.2426154958564863</v>
      </c>
      <c r="F5" s="35"/>
    </row>
    <row r="6" spans="1:7" ht="16" thickBot="1">
      <c r="A6" s="34"/>
      <c r="B6" s="35"/>
      <c r="C6" s="35"/>
      <c r="D6" s="35"/>
      <c r="E6" s="36"/>
      <c r="F6" s="35"/>
    </row>
    <row r="7" spans="1:7" ht="16" thickBot="1">
      <c r="A7" s="5" t="s">
        <v>10</v>
      </c>
      <c r="B7" s="35"/>
      <c r="C7" s="35"/>
      <c r="D7" s="3" t="s">
        <v>11</v>
      </c>
      <c r="E7" s="37"/>
      <c r="F7" s="35"/>
    </row>
    <row r="8" spans="1:7">
      <c r="A8" s="38" t="s">
        <v>12</v>
      </c>
      <c r="B8" s="39">
        <f>LOOKUP(999^10,表2_36716262930345[累计净值])/$B$22-1</f>
        <v>0.66186440677966107</v>
      </c>
      <c r="C8" s="40"/>
      <c r="D8" s="30" t="s">
        <v>13</v>
      </c>
      <c r="E8" s="41">
        <f ca="1">MIN(表2_36716262930345[最大回撤])</f>
        <v>-0.10977948226270373</v>
      </c>
      <c r="F8" s="35"/>
    </row>
    <row r="9" spans="1:7">
      <c r="A9" s="25" t="s">
        <v>14</v>
      </c>
      <c r="B9" s="32">
        <f>B8*245/B2</f>
        <v>0.38793487957181094</v>
      </c>
      <c r="C9" s="40"/>
      <c r="D9" s="33" t="s">
        <v>15</v>
      </c>
      <c r="E9" s="6">
        <f>STDEV(表2_36716262930345[下跌幅度])</f>
        <v>8.607620989270726E-3</v>
      </c>
      <c r="F9" s="35"/>
    </row>
    <row r="10" spans="1:7">
      <c r="A10" s="42" t="s">
        <v>16</v>
      </c>
      <c r="B10" s="43">
        <f>AVERAGE(表2_36716262930345[每日盈亏])</f>
        <v>1.8516746411483254E-3</v>
      </c>
      <c r="C10" s="44"/>
      <c r="D10" s="33" t="s">
        <v>17</v>
      </c>
      <c r="E10" s="6">
        <f>STDEV(表2_36716262930345[每日盈亏])</f>
        <v>1.3708056045485291E-2</v>
      </c>
      <c r="F10" s="35"/>
    </row>
    <row r="11" spans="1:7">
      <c r="A11" s="7" t="s">
        <v>18</v>
      </c>
      <c r="B11" s="32">
        <f>B3/B2</f>
        <v>0.50239234449760761</v>
      </c>
      <c r="C11" s="40"/>
      <c r="D11" s="32" t="s">
        <v>19</v>
      </c>
      <c r="E11" s="41">
        <f>245^0.5*E10</f>
        <v>0.21456501609957443</v>
      </c>
      <c r="F11" s="35"/>
    </row>
    <row r="12" spans="1:7" ht="16" thickBot="1">
      <c r="A12" s="45" t="s">
        <v>20</v>
      </c>
      <c r="B12" s="46">
        <f>-(SUMIF(表2_36716262930345[每日盈亏],"&gt;=0")/B3)/(SUMIF(表2_36716262930345[每日盈亏],"&lt;0")/B4)</f>
        <v>1.2992713099474666</v>
      </c>
      <c r="C12" s="47"/>
      <c r="D12" s="48"/>
      <c r="E12" s="49"/>
      <c r="F12" s="35"/>
    </row>
    <row r="13" spans="1:7">
      <c r="A13" s="35"/>
      <c r="B13" s="35"/>
      <c r="C13" s="35"/>
      <c r="D13" s="35"/>
      <c r="E13" s="35"/>
      <c r="F13" s="35"/>
    </row>
    <row r="14" spans="1:7" ht="32">
      <c r="A14" s="50" t="s">
        <v>21</v>
      </c>
      <c r="B14" s="50" t="s">
        <v>14</v>
      </c>
      <c r="C14" s="51" t="s">
        <v>19</v>
      </c>
      <c r="D14" s="51" t="s">
        <v>13</v>
      </c>
      <c r="E14" s="51" t="s">
        <v>5</v>
      </c>
      <c r="F14" s="51" t="s">
        <v>7</v>
      </c>
    </row>
    <row r="15" spans="1:7">
      <c r="A15" s="52">
        <f>B2</f>
        <v>418</v>
      </c>
      <c r="B15" s="53">
        <f>B9</f>
        <v>0.38793487957181094</v>
      </c>
      <c r="C15" s="53">
        <f>E11</f>
        <v>0.21456501609957443</v>
      </c>
      <c r="D15" s="53">
        <f ca="1">E8</f>
        <v>-0.10977948226270373</v>
      </c>
      <c r="E15" s="54">
        <f>E3</f>
        <v>2.0361169453681414</v>
      </c>
      <c r="F15" s="54">
        <f ca="1">E4</f>
        <v>3.5337648855318675</v>
      </c>
    </row>
    <row r="19" spans="1:7">
      <c r="A19" s="8"/>
      <c r="B19" s="1" t="s">
        <v>22</v>
      </c>
    </row>
    <row r="20" spans="1:7" ht="16">
      <c r="A20" s="22" t="s">
        <v>23</v>
      </c>
      <c r="B20" s="22" t="s">
        <v>24</v>
      </c>
      <c r="C20" s="22" t="s">
        <v>25</v>
      </c>
      <c r="D20" s="22" t="s">
        <v>26</v>
      </c>
      <c r="E20" s="22" t="s">
        <v>27</v>
      </c>
      <c r="F20" s="22" t="s">
        <v>28</v>
      </c>
      <c r="G20" s="22" t="s">
        <v>29</v>
      </c>
    </row>
    <row r="21" spans="1:7">
      <c r="A21" s="55">
        <v>43698</v>
      </c>
      <c r="B21" s="56">
        <v>1.1870000000000001</v>
      </c>
      <c r="C21" s="57">
        <f t="shared" ref="C21:C28" si="0">IFERROR(B21-B20,0)</f>
        <v>0</v>
      </c>
      <c r="D21" s="58" t="str">
        <f t="shared" ref="D21:D30" si="1">IF(C21&lt;0,C21,"/")</f>
        <v>/</v>
      </c>
      <c r="E21" s="58">
        <f ca="1">IF(表2_36716262930345[[#This Row],[累计净值]]/MAX(INDIRECT("B21:B" &amp; ROW()))-1&lt;E20,表2_36716262930345[[#This Row],[累计净值]]/MAX(INDIRECT("B21:B" &amp; ROW()))-1,E20)</f>
        <v>0</v>
      </c>
      <c r="F21" s="21">
        <f>表2_36716262930345[[#This Row],[累计净值]]</f>
        <v>1.1870000000000001</v>
      </c>
      <c r="G21" s="59"/>
    </row>
    <row r="22" spans="1:7">
      <c r="A22" s="9">
        <v>43699</v>
      </c>
      <c r="B22" s="10">
        <v>1.18</v>
      </c>
      <c r="C22" s="11">
        <f t="shared" si="0"/>
        <v>-7.0000000000001172E-3</v>
      </c>
      <c r="D22" s="12">
        <f t="shared" si="1"/>
        <v>-7.0000000000001172E-3</v>
      </c>
      <c r="E22" s="12">
        <f ca="1">IF(表2_36716262930345[[#This Row],[累计净值]]/MAX(INDIRECT("B21:B" &amp; ROW()))-1&lt;E21,表2_36716262930345[[#This Row],[累计净值]]/MAX(INDIRECT("B21:B" &amp; ROW()))-1,E21)</f>
        <v>-5.8972198820557153E-3</v>
      </c>
      <c r="F22" s="13">
        <f>表2_36716262930345[[#This Row],[累计净值]]</f>
        <v>1.18</v>
      </c>
      <c r="G22" s="14" t="s">
        <v>30</v>
      </c>
    </row>
    <row r="23" spans="1:7">
      <c r="A23" s="15">
        <v>43700</v>
      </c>
      <c r="B23" s="16">
        <v>1.1719999999999999</v>
      </c>
      <c r="C23" s="17">
        <f t="shared" si="0"/>
        <v>-8.0000000000000071E-3</v>
      </c>
      <c r="D23" s="18">
        <f t="shared" si="1"/>
        <v>-8.0000000000000071E-3</v>
      </c>
      <c r="E23" s="18">
        <f ca="1">IF(表2_36716262930345[[#This Row],[累计净值]]/MAX(INDIRECT("B21:B" &amp; ROW()))-1&lt;E22,表2_36716262930345[[#This Row],[累计净值]]/MAX(INDIRECT("B21:B" &amp; ROW()))-1,E22)</f>
        <v>-1.263689974726212E-2</v>
      </c>
      <c r="F23" s="19">
        <f>表2_36716262930345[[#This Row],[累计净值]]</f>
        <v>1.1719999999999999</v>
      </c>
      <c r="G23" s="20">
        <f>表2_36716262930345[[#This Row],[累计净值]]/$B$22-1</f>
        <v>-6.7796610169491567E-3</v>
      </c>
    </row>
    <row r="24" spans="1:7">
      <c r="A24" s="15">
        <v>43703</v>
      </c>
      <c r="B24" s="16">
        <v>1.1719999999999999</v>
      </c>
      <c r="C24" s="17">
        <f t="shared" si="0"/>
        <v>0</v>
      </c>
      <c r="D24" s="18" t="str">
        <f t="shared" si="1"/>
        <v>/</v>
      </c>
      <c r="E24" s="18">
        <f ca="1">IF(表2_36716262930345[[#This Row],[累计净值]]/MAX(INDIRECT("B21:B" &amp; ROW()))-1&lt;E23,表2_36716262930345[[#This Row],[累计净值]]/MAX(INDIRECT("B21:B" &amp; ROW()))-1,E23)</f>
        <v>-1.263689974726212E-2</v>
      </c>
      <c r="F24" s="19">
        <f>表2_36716262930345[[#This Row],[累计净值]]</f>
        <v>1.1719999999999999</v>
      </c>
      <c r="G24" s="20">
        <f>表2_36716262930345[[#This Row],[累计净值]]/$B$22-1</f>
        <v>-6.7796610169491567E-3</v>
      </c>
    </row>
    <row r="25" spans="1:7">
      <c r="A25" s="15">
        <v>43704</v>
      </c>
      <c r="B25" s="16">
        <v>1.173</v>
      </c>
      <c r="C25" s="17">
        <f t="shared" si="0"/>
        <v>1.0000000000001119E-3</v>
      </c>
      <c r="D25" s="18" t="str">
        <f t="shared" si="1"/>
        <v>/</v>
      </c>
      <c r="E25" s="18">
        <f ca="1">IF(表2_36716262930345[[#This Row],[累计净值]]/MAX(INDIRECT("B21:B" &amp; ROW()))-1&lt;E24,表2_36716262930345[[#This Row],[累计净值]]/MAX(INDIRECT("B21:B" &amp; ROW()))-1,E24)</f>
        <v>-1.263689974726212E-2</v>
      </c>
      <c r="F25" s="19">
        <f>表2_36716262930345[[#This Row],[累计净值]]</f>
        <v>1.173</v>
      </c>
      <c r="G25" s="20">
        <f>表2_36716262930345[[#This Row],[累计净值]]/$B$22-1</f>
        <v>-5.9322033898304705E-3</v>
      </c>
    </row>
    <row r="26" spans="1:7">
      <c r="A26" s="15">
        <v>43705</v>
      </c>
      <c r="B26" s="16">
        <v>1.1659999999999999</v>
      </c>
      <c r="C26" s="17">
        <f t="shared" si="0"/>
        <v>-7.0000000000001172E-3</v>
      </c>
      <c r="D26" s="18">
        <f t="shared" si="1"/>
        <v>-7.0000000000001172E-3</v>
      </c>
      <c r="E26" s="18">
        <f ca="1">IF(表2_36716262930345[[#This Row],[累计净值]]/MAX(INDIRECT("B21:B" &amp; ROW()))-1&lt;E25,表2_36716262930345[[#This Row],[累计净值]]/MAX(INDIRECT("B21:B" &amp; ROW()))-1,E25)</f>
        <v>-1.7691659646166924E-2</v>
      </c>
      <c r="F26" s="21">
        <f>表2_36716262930345[[#This Row],[累计净值]]</f>
        <v>1.1659999999999999</v>
      </c>
      <c r="G26" s="20">
        <f>表2_36716262930345[[#This Row],[累计净值]]/$B$22-1</f>
        <v>-1.1864406779661052E-2</v>
      </c>
    </row>
    <row r="27" spans="1:7">
      <c r="A27" s="15">
        <v>43706</v>
      </c>
      <c r="B27" s="19">
        <v>1.1639999999999999</v>
      </c>
      <c r="C27" s="17">
        <f t="shared" si="0"/>
        <v>-2.0000000000000018E-3</v>
      </c>
      <c r="D27" s="18">
        <f t="shared" si="1"/>
        <v>-2.0000000000000018E-3</v>
      </c>
      <c r="E27" s="18">
        <f ca="1">IF(表2_36716262930345[[#This Row],[累计净值]]/MAX(INDIRECT("B21:B" &amp; ROW()))-1&lt;E26,表2_36716262930345[[#This Row],[累计净值]]/MAX(INDIRECT("B21:B" &amp; ROW()))-1,E26)</f>
        <v>-1.9376579612468525E-2</v>
      </c>
      <c r="F27" s="21">
        <f>表2_36716262930345[[#This Row],[累计净值]]</f>
        <v>1.1639999999999999</v>
      </c>
      <c r="G27" s="20">
        <f>表2_36716262930345[[#This Row],[累计净值]]/$B$22-1</f>
        <v>-1.3559322033898313E-2</v>
      </c>
    </row>
    <row r="28" spans="1:7">
      <c r="A28" s="15">
        <v>43707</v>
      </c>
      <c r="B28" s="16">
        <v>1.161</v>
      </c>
      <c r="C28" s="17">
        <f t="shared" si="0"/>
        <v>-2.9999999999998916E-3</v>
      </c>
      <c r="D28" s="18">
        <f t="shared" si="1"/>
        <v>-2.9999999999998916E-3</v>
      </c>
      <c r="E28" s="18">
        <f ca="1">IF(表2_36716262930345[[#This Row],[累计净值]]/MAX(INDIRECT("B21:B" &amp; ROW()))-1&lt;E27,表2_36716262930345[[#This Row],[累计净值]]/MAX(INDIRECT("B21:B" &amp; ROW()))-1,E27)</f>
        <v>-2.1903959561920816E-2</v>
      </c>
      <c r="F28" s="75">
        <f>表2_36716262930345[[#This Row],[累计净值]]</f>
        <v>1.161</v>
      </c>
      <c r="G28" s="20">
        <f>表2_36716262930345[[#This Row],[累计净值]]/$B$22-1</f>
        <v>-1.610169491525415E-2</v>
      </c>
    </row>
    <row r="29" spans="1:7">
      <c r="A29" s="15">
        <v>43710</v>
      </c>
      <c r="B29" s="16">
        <v>1.1579999999999999</v>
      </c>
      <c r="C29" s="73">
        <f>IFERROR(B29-B28,0)</f>
        <v>-3.0000000000001137E-3</v>
      </c>
      <c r="D29" s="18">
        <f t="shared" si="1"/>
        <v>-3.0000000000001137E-3</v>
      </c>
      <c r="E29" s="18">
        <f ca="1">IF(表2_36716262930345[[#This Row],[累计净值]]/MAX(INDIRECT("B21:B" &amp; ROW()))-1&lt;E28,表2_36716262930345[[#This Row],[累计净值]]/MAX(INDIRECT("B21:B" &amp; ROW()))-1,E28)</f>
        <v>-2.4431339511373329E-2</v>
      </c>
      <c r="F29" s="75">
        <f>表2_36716262930345[[#This Row],[累计净值]]</f>
        <v>1.1579999999999999</v>
      </c>
      <c r="G29" s="20">
        <f>表2_36716262930345[[#This Row],[累计净值]]/$B$22-1</f>
        <v>-1.8644067796610209E-2</v>
      </c>
    </row>
    <row r="30" spans="1:7">
      <c r="A30" s="15">
        <v>43711</v>
      </c>
      <c r="B30" s="63">
        <v>1.1559999999999999</v>
      </c>
      <c r="C30" s="64">
        <f>IFERROR(B30-B29,0)</f>
        <v>-2.0000000000000018E-3</v>
      </c>
      <c r="D30" s="65">
        <f t="shared" si="1"/>
        <v>-2.0000000000000018E-3</v>
      </c>
      <c r="E30" s="65">
        <f ca="1">IF(表2_36716262930345[[#This Row],[累计净值]]/MAX(INDIRECT("B21:B" &amp; ROW()))-1&lt;E29,表2_36716262930345[[#This Row],[累计净值]]/MAX(INDIRECT("B21:B" &amp; ROW()))-1,E29)</f>
        <v>-2.611625947767493E-2</v>
      </c>
      <c r="F30" s="75">
        <f>表2_36716262930345[[#This Row],[累计净值]]</f>
        <v>1.1559999999999999</v>
      </c>
      <c r="G30" s="20">
        <f>表2_36716262930345[[#This Row],[累计净值]]/$B$22-1</f>
        <v>-2.033898305084747E-2</v>
      </c>
    </row>
    <row r="31" spans="1:7">
      <c r="A31" s="15">
        <v>43712</v>
      </c>
      <c r="B31" s="16">
        <v>1.1559999999999999</v>
      </c>
      <c r="C31" s="73">
        <f t="shared" ref="C31:C36" si="2">IFERROR(B31-B30,0)</f>
        <v>0</v>
      </c>
      <c r="D31" s="18" t="str">
        <f t="shared" ref="D31:D36" si="3">IF(C31&lt;0,C31,"/")</f>
        <v>/</v>
      </c>
      <c r="E31" s="18">
        <f ca="1">IF(表2_36716262930345[[#This Row],[累计净值]]/MAX(INDIRECT("B21:B" &amp; ROW()))-1&lt;E30,表2_36716262930345[[#This Row],[累计净值]]/MAX(INDIRECT("B21:B" &amp; ROW()))-1,E30)</f>
        <v>-2.611625947767493E-2</v>
      </c>
      <c r="F31" s="75">
        <f>表2_36716262930345[[#This Row],[累计净值]]</f>
        <v>1.1559999999999999</v>
      </c>
      <c r="G31" s="20">
        <f>表2_36716262930345[[#This Row],[累计净值]]/$B$22-1</f>
        <v>-2.033898305084747E-2</v>
      </c>
    </row>
    <row r="32" spans="1:7">
      <c r="A32" s="15">
        <v>43713</v>
      </c>
      <c r="B32" s="16">
        <v>1.159</v>
      </c>
      <c r="C32" s="73">
        <f t="shared" si="2"/>
        <v>3.0000000000001137E-3</v>
      </c>
      <c r="D32" s="18" t="str">
        <f t="shared" si="3"/>
        <v>/</v>
      </c>
      <c r="E32" s="18">
        <f ca="1">IF(表2_36716262930345[[#This Row],[累计净值]]/MAX(INDIRECT("B21:B" &amp; ROW()))-1&lt;E31,表2_36716262930345[[#This Row],[累计净值]]/MAX(INDIRECT("B21:B" &amp; ROW()))-1,E31)</f>
        <v>-2.611625947767493E-2</v>
      </c>
      <c r="F32" s="75">
        <f>表2_36716262930345[[#This Row],[累计净值]]</f>
        <v>1.159</v>
      </c>
      <c r="G32" s="20">
        <f>表2_36716262930345[[#This Row],[累计净值]]/$B$22-1</f>
        <v>-1.7796610169491411E-2</v>
      </c>
    </row>
    <row r="33" spans="1:14">
      <c r="A33" s="15">
        <v>43714</v>
      </c>
      <c r="B33" s="16">
        <v>1.163</v>
      </c>
      <c r="C33" s="73">
        <f t="shared" si="2"/>
        <v>4.0000000000000036E-3</v>
      </c>
      <c r="D33" s="18" t="str">
        <f t="shared" si="3"/>
        <v>/</v>
      </c>
      <c r="E33" s="18">
        <f ca="1">IF(表2_36716262930345[[#This Row],[累计净值]]/MAX(INDIRECT("B21:B" &amp; ROW()))-1&lt;E32,表2_36716262930345[[#This Row],[累计净值]]/MAX(INDIRECT("B21:B" &amp; ROW()))-1,E32)</f>
        <v>-2.611625947767493E-2</v>
      </c>
      <c r="F33" s="75">
        <f>表2_36716262930345[[#This Row],[累计净值]]</f>
        <v>1.163</v>
      </c>
      <c r="G33" s="20">
        <f>表2_36716262930345[[#This Row],[累计净值]]/$B$22-1</f>
        <v>-1.4406779661016889E-2</v>
      </c>
    </row>
    <row r="34" spans="1:14">
      <c r="A34" s="15">
        <v>43717</v>
      </c>
      <c r="B34" s="16">
        <v>1.1579999999999999</v>
      </c>
      <c r="C34" s="73">
        <f t="shared" si="2"/>
        <v>-5.0000000000001155E-3</v>
      </c>
      <c r="D34" s="18">
        <f t="shared" si="3"/>
        <v>-5.0000000000001155E-3</v>
      </c>
      <c r="E34" s="18">
        <f ca="1">IF(表2_36716262930345[[#This Row],[累计净值]]/MAX(INDIRECT("B21:B" &amp; ROW()))-1&lt;E33,表2_36716262930345[[#This Row],[累计净值]]/MAX(INDIRECT("B21:B" &amp; ROW()))-1,E33)</f>
        <v>-2.611625947767493E-2</v>
      </c>
      <c r="F34" s="62">
        <f>表2_36716262930345[[#This Row],[累计净值]]</f>
        <v>1.1579999999999999</v>
      </c>
      <c r="G34" s="20">
        <f>表2_36716262930345[[#This Row],[累计净值]]/$B$22-1</f>
        <v>-1.8644067796610209E-2</v>
      </c>
    </row>
    <row r="35" spans="1:14">
      <c r="A35" s="15">
        <v>43718</v>
      </c>
      <c r="B35" s="16">
        <v>1.155</v>
      </c>
      <c r="C35" s="73">
        <f t="shared" si="2"/>
        <v>-2.9999999999998916E-3</v>
      </c>
      <c r="D35" s="18">
        <f t="shared" si="3"/>
        <v>-2.9999999999998916E-3</v>
      </c>
      <c r="E35" s="18">
        <f ca="1">IF(表2_36716262930345[[#This Row],[累计净值]]/MAX(INDIRECT("B21:B" &amp; ROW()))-1&lt;E34,表2_36716262930345[[#This Row],[累计净值]]/MAX(INDIRECT("B21:B" &amp; ROW()))-1,E34)</f>
        <v>-2.695871946082562E-2</v>
      </c>
      <c r="F35" s="62">
        <f>表2_36716262930345[[#This Row],[累计净值]]</f>
        <v>1.155</v>
      </c>
      <c r="G35" s="20">
        <f>表2_36716262930345[[#This Row],[累计净值]]/$B$22-1</f>
        <v>-2.1186440677966045E-2</v>
      </c>
    </row>
    <row r="36" spans="1:14">
      <c r="A36" s="15">
        <v>43719</v>
      </c>
      <c r="B36" s="16">
        <v>1.153</v>
      </c>
      <c r="C36" s="73">
        <f t="shared" si="2"/>
        <v>-2.0000000000000018E-3</v>
      </c>
      <c r="D36" s="18">
        <f t="shared" si="3"/>
        <v>-2.0000000000000018E-3</v>
      </c>
      <c r="E36" s="18">
        <f ca="1">IF(表2_36716262930345[[#This Row],[累计净值]]/MAX(INDIRECT("B21:B" &amp; ROW()))-1&lt;E35,表2_36716262930345[[#This Row],[累计净值]]/MAX(INDIRECT("B21:B" &amp; ROW()))-1,E35)</f>
        <v>-2.8643639427127221E-2</v>
      </c>
      <c r="F36" s="62">
        <f>表2_36716262930345[[#This Row],[累计净值]]</f>
        <v>1.153</v>
      </c>
      <c r="G36" s="20">
        <f>表2_36716262930345[[#This Row],[累计净值]]/$B$22-1</f>
        <v>-2.2881355932203307E-2</v>
      </c>
      <c r="J36" s="68"/>
      <c r="K36" s="67"/>
      <c r="L36" s="67"/>
      <c r="M36" s="67"/>
      <c r="N36" s="67"/>
    </row>
    <row r="37" spans="1:14">
      <c r="A37" s="15">
        <v>43720</v>
      </c>
      <c r="B37" s="16">
        <v>1.169</v>
      </c>
      <c r="C37" s="73">
        <f t="shared" ref="C37:C42" si="4">IFERROR(B37-B36,0)</f>
        <v>1.6000000000000014E-2</v>
      </c>
      <c r="D37" s="18" t="str">
        <f t="shared" ref="D37:D42" si="5">IF(C37&lt;0,C37,"/")</f>
        <v>/</v>
      </c>
      <c r="E37" s="18">
        <f ca="1">IF(表2_36716262930345[[#This Row],[累计净值]]/MAX(INDIRECT("B21:B" &amp; ROW()))-1&lt;E36,表2_36716262930345[[#This Row],[累计净值]]/MAX(INDIRECT("B21:B" &amp; ROW()))-1,E36)</f>
        <v>-2.8643639427127221E-2</v>
      </c>
      <c r="F37" s="62">
        <f>表2_36716262930345[[#This Row],[累计净值]]</f>
        <v>1.169</v>
      </c>
      <c r="G37" s="20">
        <f>表2_36716262930345[[#This Row],[累计净值]]/$B$22-1</f>
        <v>-9.3220338983049933E-3</v>
      </c>
      <c r="K37" s="67"/>
      <c r="L37" s="67"/>
      <c r="M37" s="67"/>
      <c r="N37" s="67"/>
    </row>
    <row r="38" spans="1:14">
      <c r="A38" s="15">
        <v>43724</v>
      </c>
      <c r="B38" s="16">
        <v>1.1559999999999999</v>
      </c>
      <c r="C38" s="73">
        <f t="shared" si="4"/>
        <v>-1.3000000000000123E-2</v>
      </c>
      <c r="D38" s="18">
        <f t="shared" si="5"/>
        <v>-1.3000000000000123E-2</v>
      </c>
      <c r="E38" s="18">
        <f ca="1">IF(表2_36716262930345[[#This Row],[累计净值]]/MAX(INDIRECT("B21:B" &amp; ROW()))-1&lt;E37,表2_36716262930345[[#This Row],[累计净值]]/MAX(INDIRECT("B21:B" &amp; ROW()))-1,E37)</f>
        <v>-2.8643639427127221E-2</v>
      </c>
      <c r="F38" s="62">
        <f>表2_36716262930345[[#This Row],[累计净值]]</f>
        <v>1.1559999999999999</v>
      </c>
      <c r="G38" s="20">
        <f>表2_36716262930345[[#This Row],[累计净值]]/$B$22-1</f>
        <v>-2.033898305084747E-2</v>
      </c>
      <c r="J38" s="67"/>
      <c r="K38" s="67"/>
      <c r="L38" s="67"/>
      <c r="M38" s="67"/>
      <c r="N38" s="67"/>
    </row>
    <row r="39" spans="1:14">
      <c r="A39" s="15">
        <v>43725</v>
      </c>
      <c r="B39" s="16">
        <v>1.143</v>
      </c>
      <c r="C39" s="73">
        <f t="shared" si="4"/>
        <v>-1.2999999999999901E-2</v>
      </c>
      <c r="D39" s="18">
        <f t="shared" si="5"/>
        <v>-1.2999999999999901E-2</v>
      </c>
      <c r="E39" s="18">
        <f ca="1">IF(表2_36716262930345[[#This Row],[累计净值]]/MAX(INDIRECT("B21:B" &amp; ROW()))-1&lt;E38,表2_36716262930345[[#This Row],[累计净值]]/MAX(INDIRECT("B21:B" &amp; ROW()))-1,E38)</f>
        <v>-3.7068239258635227E-2</v>
      </c>
      <c r="F39" s="62">
        <f>表2_36716262930345[[#This Row],[累计净值]]</f>
        <v>1.143</v>
      </c>
      <c r="G39" s="20">
        <f>表2_36716262930345[[#This Row],[累计净值]]/$B$22-1</f>
        <v>-3.1355932203389725E-2</v>
      </c>
      <c r="J39" s="69"/>
      <c r="K39" s="70"/>
      <c r="L39" s="70"/>
      <c r="M39" s="70"/>
      <c r="N39" s="70"/>
    </row>
    <row r="40" spans="1:14">
      <c r="A40" s="15">
        <v>43726</v>
      </c>
      <c r="B40" s="16">
        <v>1.143</v>
      </c>
      <c r="C40" s="73">
        <f t="shared" si="4"/>
        <v>0</v>
      </c>
      <c r="D40" s="18" t="str">
        <f t="shared" si="5"/>
        <v>/</v>
      </c>
      <c r="E40" s="18">
        <f ca="1">IF(表2_36716262930345[[#This Row],[累计净值]]/MAX(INDIRECT("B21:B" &amp; ROW()))-1&lt;E39,表2_36716262930345[[#This Row],[累计净值]]/MAX(INDIRECT("B21:B" &amp; ROW()))-1,E39)</f>
        <v>-3.7068239258635227E-2</v>
      </c>
      <c r="F40" s="62">
        <f>表2_36716262930345[[#This Row],[累计净值]]</f>
        <v>1.143</v>
      </c>
      <c r="G40" s="20">
        <f>表2_36716262930345[[#This Row],[累计净值]]/$B$22-1</f>
        <v>-3.1355932203389725E-2</v>
      </c>
      <c r="J40" s="69"/>
      <c r="K40" s="70"/>
      <c r="L40" s="70"/>
      <c r="M40" s="70"/>
      <c r="N40" s="70"/>
    </row>
    <row r="41" spans="1:14">
      <c r="A41" s="15">
        <v>43727</v>
      </c>
      <c r="B41" s="16">
        <v>1.127</v>
      </c>
      <c r="C41" s="73">
        <f t="shared" si="4"/>
        <v>-1.6000000000000014E-2</v>
      </c>
      <c r="D41" s="18">
        <f t="shared" si="5"/>
        <v>-1.6000000000000014E-2</v>
      </c>
      <c r="E41" s="18">
        <f ca="1">IF(表2_36716262930345[[#This Row],[累计净值]]/MAX(INDIRECT("B21:B" &amp; ROW()))-1&lt;E40,表2_36716262930345[[#This Row],[累计净值]]/MAX(INDIRECT("B21:B" &amp; ROW()))-1,E40)</f>
        <v>-5.0547598989048037E-2</v>
      </c>
      <c r="F41" s="62">
        <f>表2_36716262930345[[#This Row],[累计净值]]</f>
        <v>1.127</v>
      </c>
      <c r="G41" s="20">
        <f>表2_36716262930345[[#This Row],[累计净值]]/$B$22-1</f>
        <v>-4.4915254237288038E-2</v>
      </c>
      <c r="J41" s="69"/>
      <c r="K41" s="70"/>
      <c r="L41" s="70"/>
      <c r="M41" s="70"/>
      <c r="N41" s="70"/>
    </row>
    <row r="42" spans="1:14">
      <c r="A42" s="15">
        <v>43728</v>
      </c>
      <c r="B42" s="16">
        <v>1.115</v>
      </c>
      <c r="C42" s="73">
        <f t="shared" si="4"/>
        <v>-1.2000000000000011E-2</v>
      </c>
      <c r="D42" s="18">
        <f t="shared" si="5"/>
        <v>-1.2000000000000011E-2</v>
      </c>
      <c r="E42" s="18">
        <f ca="1">IF(表2_36716262930345[[#This Row],[累计净值]]/MAX(INDIRECT("B21:B" &amp; ROW()))-1&lt;E41,表2_36716262930345[[#This Row],[累计净值]]/MAX(INDIRECT("B21:B" &amp; ROW()))-1,E41)</f>
        <v>-6.0657118786857644E-2</v>
      </c>
      <c r="F42" s="62">
        <f>表2_36716262930345[[#This Row],[累计净值]]</f>
        <v>1.115</v>
      </c>
      <c r="G42" s="20">
        <f>表2_36716262930345[[#This Row],[累计净值]]/$B$22-1</f>
        <v>-5.5084745762711829E-2</v>
      </c>
      <c r="J42" s="69"/>
      <c r="K42" s="70"/>
      <c r="L42" s="70"/>
      <c r="M42" s="70"/>
      <c r="N42" s="70"/>
    </row>
    <row r="43" spans="1:14">
      <c r="A43" s="15">
        <v>43731</v>
      </c>
      <c r="B43" s="16">
        <v>1.1060000000000001</v>
      </c>
      <c r="C43" s="73">
        <f t="shared" ref="C43:C48" si="6">IFERROR(B43-B42,0)</f>
        <v>-8.999999999999897E-3</v>
      </c>
      <c r="D43" s="18">
        <f t="shared" ref="D43:D48" si="7">IF(C43&lt;0,C43,"/")</f>
        <v>-8.999999999999897E-3</v>
      </c>
      <c r="E43" s="18">
        <f ca="1">IF(表2_36716262930345[[#This Row],[累计净值]]/MAX(INDIRECT("B21:B" &amp; ROW()))-1&lt;E42,表2_36716262930345[[#This Row],[累计净值]]/MAX(INDIRECT("B21:B" &amp; ROW()))-1,E42)</f>
        <v>-6.8239258635214739E-2</v>
      </c>
      <c r="F43" s="62">
        <f>表2_36716262930345[[#This Row],[累计净值]]</f>
        <v>1.1060000000000001</v>
      </c>
      <c r="G43" s="20">
        <f>表2_36716262930345[[#This Row],[累计净值]]/$B$22-1</f>
        <v>-6.2711864406779561E-2</v>
      </c>
      <c r="J43" s="69"/>
      <c r="K43" s="70"/>
      <c r="L43" s="70"/>
      <c r="M43" s="70"/>
      <c r="N43" s="70"/>
    </row>
    <row r="44" spans="1:14">
      <c r="A44" s="15">
        <v>43732</v>
      </c>
      <c r="B44" s="16">
        <v>1.1060000000000001</v>
      </c>
      <c r="C44" s="73">
        <f t="shared" si="6"/>
        <v>0</v>
      </c>
      <c r="D44" s="18" t="str">
        <f t="shared" si="7"/>
        <v>/</v>
      </c>
      <c r="E44" s="18">
        <f ca="1">IF(表2_36716262930345[[#This Row],[累计净值]]/MAX(INDIRECT("B21:B" &amp; ROW()))-1&lt;E43,表2_36716262930345[[#This Row],[累计净值]]/MAX(INDIRECT("B21:B" &amp; ROW()))-1,E43)</f>
        <v>-6.8239258635214739E-2</v>
      </c>
      <c r="F44" s="62">
        <f>表2_36716262930345[[#This Row],[累计净值]]</f>
        <v>1.1060000000000001</v>
      </c>
      <c r="G44" s="20">
        <f>表2_36716262930345[[#This Row],[累计净值]]/$B$22-1</f>
        <v>-6.2711864406779561E-2</v>
      </c>
      <c r="J44" s="69"/>
      <c r="K44" s="70"/>
      <c r="L44" s="70"/>
      <c r="M44" s="70"/>
      <c r="N44" s="70"/>
    </row>
    <row r="45" spans="1:14">
      <c r="A45" s="15">
        <v>43733</v>
      </c>
      <c r="B45" s="16">
        <v>1.0980000000000001</v>
      </c>
      <c r="C45" s="73">
        <f t="shared" si="6"/>
        <v>-8.0000000000000071E-3</v>
      </c>
      <c r="D45" s="18">
        <f t="shared" si="7"/>
        <v>-8.0000000000000071E-3</v>
      </c>
      <c r="E45" s="18">
        <f ca="1">IF(表2_36716262930345[[#This Row],[累计净值]]/MAX(INDIRECT("B21:B" &amp; ROW()))-1&lt;E44,表2_36716262930345[[#This Row],[累计净值]]/MAX(INDIRECT("B21:B" &amp; ROW()))-1,E44)</f>
        <v>-7.4978938500421255E-2</v>
      </c>
      <c r="F45" s="62">
        <f>表2_36716262930345[[#This Row],[累计净值]]</f>
        <v>1.0980000000000001</v>
      </c>
      <c r="G45" s="20">
        <f>表2_36716262930345[[#This Row],[累计净值]]/$B$22-1</f>
        <v>-6.9491525423728717E-2</v>
      </c>
      <c r="J45" s="69"/>
      <c r="K45" s="70"/>
      <c r="L45" s="70"/>
      <c r="M45" s="70"/>
      <c r="N45" s="70"/>
    </row>
    <row r="46" spans="1:14">
      <c r="A46" s="15">
        <v>43734</v>
      </c>
      <c r="B46" s="16">
        <v>1.0980000000000001</v>
      </c>
      <c r="C46" s="73">
        <f t="shared" si="6"/>
        <v>0</v>
      </c>
      <c r="D46" s="18" t="str">
        <f t="shared" si="7"/>
        <v>/</v>
      </c>
      <c r="E46" s="18">
        <f ca="1">IF(表2_36716262930345[[#This Row],[累计净值]]/MAX(INDIRECT("B21:B" &amp; ROW()))-1&lt;E45,表2_36716262930345[[#This Row],[累计净值]]/MAX(INDIRECT("B21:B" &amp; ROW()))-1,E45)</f>
        <v>-7.4978938500421255E-2</v>
      </c>
      <c r="F46" s="62">
        <f>表2_36716262930345[[#This Row],[累计净值]]</f>
        <v>1.0980000000000001</v>
      </c>
      <c r="G46" s="20">
        <f>表2_36716262930345[[#This Row],[累计净值]]/$B$22-1</f>
        <v>-6.9491525423728717E-2</v>
      </c>
      <c r="J46" s="69"/>
      <c r="K46" s="70"/>
      <c r="L46" s="70"/>
      <c r="M46" s="70"/>
      <c r="N46" s="70"/>
    </row>
    <row r="47" spans="1:14">
      <c r="A47" s="15">
        <v>43735</v>
      </c>
      <c r="B47" s="16">
        <v>1.105</v>
      </c>
      <c r="C47" s="73">
        <f t="shared" si="6"/>
        <v>6.9999999999998952E-3</v>
      </c>
      <c r="D47" s="18" t="str">
        <f t="shared" si="7"/>
        <v>/</v>
      </c>
      <c r="E47" s="18">
        <f ca="1">IF(表2_36716262930345[[#This Row],[累计净值]]/MAX(INDIRECT("B21:B" &amp; ROW()))-1&lt;E46,表2_36716262930345[[#This Row],[累计净值]]/MAX(INDIRECT("B21:B" &amp; ROW()))-1,E46)</f>
        <v>-7.4978938500421255E-2</v>
      </c>
      <c r="F47" s="62">
        <f>表2_36716262930345[[#This Row],[累计净值]]</f>
        <v>1.105</v>
      </c>
      <c r="G47" s="20">
        <f>表2_36716262930345[[#This Row],[累计净值]]/$B$22-1</f>
        <v>-6.3559322033898247E-2</v>
      </c>
      <c r="J47" s="69"/>
      <c r="K47" s="70"/>
      <c r="L47" s="70"/>
      <c r="M47" s="70"/>
      <c r="N47" s="70"/>
    </row>
    <row r="48" spans="1:14">
      <c r="A48" s="15">
        <v>43738</v>
      </c>
      <c r="B48" s="16">
        <v>1.1120000000000001</v>
      </c>
      <c r="C48" s="73">
        <f t="shared" si="6"/>
        <v>7.0000000000001172E-3</v>
      </c>
      <c r="D48" s="18" t="str">
        <f t="shared" si="7"/>
        <v>/</v>
      </c>
      <c r="E48" s="18">
        <f ca="1">IF(表2_36716262930345[[#This Row],[累计净值]]/MAX(INDIRECT("B21:B" &amp; ROW()))-1&lt;E47,表2_36716262930345[[#This Row],[累计净值]]/MAX(INDIRECT("B21:B" &amp; ROW()))-1,E47)</f>
        <v>-7.4978938500421255E-2</v>
      </c>
      <c r="F48" s="62">
        <f>表2_36716262930345[[#This Row],[累计净值]]</f>
        <v>1.1120000000000001</v>
      </c>
      <c r="G48" s="20">
        <f>表2_36716262930345[[#This Row],[累计净值]]/$B$22-1</f>
        <v>-5.7627118644067665E-2</v>
      </c>
      <c r="J48" s="69"/>
      <c r="K48" s="70"/>
      <c r="L48" s="70"/>
      <c r="M48" s="70"/>
      <c r="N48" s="70"/>
    </row>
    <row r="49" spans="1:14">
      <c r="A49" s="15">
        <v>43746</v>
      </c>
      <c r="B49" s="16">
        <v>1.1040000000000001</v>
      </c>
      <c r="C49" s="73">
        <f t="shared" ref="C49:C62" si="8">IFERROR(B49-B48,0)</f>
        <v>-8.0000000000000071E-3</v>
      </c>
      <c r="D49" s="18">
        <f t="shared" ref="D49:D62" si="9">IF(C49&lt;0,C49,"/")</f>
        <v>-8.0000000000000071E-3</v>
      </c>
      <c r="E49" s="18">
        <f ca="1">IF(表2_36716262930345[[#This Row],[累计净值]]/MAX(INDIRECT("B21:B" &amp; ROW()))-1&lt;E48,表2_36716262930345[[#This Row],[累计净值]]/MAX(INDIRECT("B21:B" &amp; ROW()))-1,E48)</f>
        <v>-7.4978938500421255E-2</v>
      </c>
      <c r="F49" s="62">
        <f>表2_36716262930345[[#This Row],[累计净值]]</f>
        <v>1.1040000000000001</v>
      </c>
      <c r="G49" s="20">
        <f>表2_36716262930345[[#This Row],[累计净值]]/$B$22-1</f>
        <v>-6.4406779661016822E-2</v>
      </c>
      <c r="J49" s="69"/>
      <c r="K49" s="70"/>
      <c r="L49" s="70"/>
      <c r="M49" s="70"/>
      <c r="N49" s="70"/>
    </row>
    <row r="50" spans="1:14">
      <c r="A50" s="15">
        <v>43747</v>
      </c>
      <c r="B50" s="16">
        <v>1.101</v>
      </c>
      <c r="C50" s="73">
        <f t="shared" si="8"/>
        <v>-3.0000000000001137E-3</v>
      </c>
      <c r="D50" s="18">
        <f t="shared" si="9"/>
        <v>-3.0000000000001137E-3</v>
      </c>
      <c r="E50" s="18">
        <f ca="1">IF(表2_36716262930345[[#This Row],[累计净值]]/MAX(INDIRECT("B21:B" &amp; ROW()))-1&lt;E49,表2_36716262930345[[#This Row],[累计净值]]/MAX(INDIRECT("B21:B" &amp; ROW()))-1,E49)</f>
        <v>-7.4978938500421255E-2</v>
      </c>
      <c r="F50" s="62">
        <f>表2_36716262930345[[#This Row],[累计净值]]</f>
        <v>1.101</v>
      </c>
      <c r="G50" s="20">
        <f>表2_36716262930345[[#This Row],[累计净值]]/$B$22-1</f>
        <v>-6.6949152542372881E-2</v>
      </c>
      <c r="J50" s="69"/>
      <c r="K50" s="70"/>
      <c r="L50" s="70"/>
      <c r="M50" s="70"/>
      <c r="N50" s="70"/>
    </row>
    <row r="51" spans="1:14">
      <c r="A51" s="15">
        <v>43748</v>
      </c>
      <c r="B51" s="16">
        <v>1.103</v>
      </c>
      <c r="C51" s="73">
        <f t="shared" si="8"/>
        <v>2.0000000000000018E-3</v>
      </c>
      <c r="D51" s="18" t="str">
        <f t="shared" si="9"/>
        <v>/</v>
      </c>
      <c r="E51" s="18">
        <f ca="1">IF(表2_36716262930345[[#This Row],[累计净值]]/MAX(INDIRECT("B21:B" &amp; ROW()))-1&lt;E50,表2_36716262930345[[#This Row],[累计净值]]/MAX(INDIRECT("B21:B" &amp; ROW()))-1,E50)</f>
        <v>-7.4978938500421255E-2</v>
      </c>
      <c r="F51" s="62">
        <f>表2_36716262930345[[#This Row],[累计净值]]</f>
        <v>1.103</v>
      </c>
      <c r="G51" s="20">
        <f>表2_36716262930345[[#This Row],[累计净值]]/$B$22-1</f>
        <v>-6.5254237288135508E-2</v>
      </c>
      <c r="J51" s="69"/>
      <c r="K51" s="70"/>
      <c r="L51" s="70"/>
      <c r="M51" s="70"/>
      <c r="N51" s="70"/>
    </row>
    <row r="52" spans="1:14">
      <c r="A52" s="15">
        <v>43749</v>
      </c>
      <c r="B52" s="16">
        <v>1.107</v>
      </c>
      <c r="C52" s="73">
        <f t="shared" si="8"/>
        <v>4.0000000000000036E-3</v>
      </c>
      <c r="D52" s="18" t="str">
        <f t="shared" si="9"/>
        <v>/</v>
      </c>
      <c r="E52" s="18">
        <f ca="1">IF(表2_36716262930345[[#This Row],[累计净值]]/MAX(INDIRECT("B21:B" &amp; ROW()))-1&lt;E51,表2_36716262930345[[#This Row],[累计净值]]/MAX(INDIRECT("B21:B" &amp; ROW()))-1,E51)</f>
        <v>-7.4978938500421255E-2</v>
      </c>
      <c r="F52" s="62">
        <f>表2_36716262930345[[#This Row],[累计净值]]</f>
        <v>1.107</v>
      </c>
      <c r="G52" s="20">
        <f>表2_36716262930345[[#This Row],[累计净值]]/$B$22-1</f>
        <v>-6.1864406779660985E-2</v>
      </c>
      <c r="J52" s="69"/>
      <c r="K52" s="70"/>
      <c r="L52" s="70"/>
      <c r="M52" s="70"/>
      <c r="N52" s="70"/>
    </row>
    <row r="53" spans="1:14">
      <c r="A53" s="15">
        <v>43752</v>
      </c>
      <c r="B53" s="16">
        <v>1.1120000000000001</v>
      </c>
      <c r="C53" s="73">
        <f t="shared" si="8"/>
        <v>5.0000000000001155E-3</v>
      </c>
      <c r="D53" s="18" t="str">
        <f t="shared" si="9"/>
        <v>/</v>
      </c>
      <c r="E53" s="18">
        <f ca="1">IF(表2_36716262930345[[#This Row],[累计净值]]/MAX(INDIRECT("B21:B" &amp; ROW()))-1&lt;E52,表2_36716262930345[[#This Row],[累计净值]]/MAX(INDIRECT("B21:B" &amp; ROW()))-1,E52)</f>
        <v>-7.4978938500421255E-2</v>
      </c>
      <c r="F53" s="62">
        <f>表2_36716262930345[[#This Row],[累计净值]]</f>
        <v>1.1120000000000001</v>
      </c>
      <c r="G53" s="20">
        <f>表2_36716262930345[[#This Row],[累计净值]]/$B$22-1</f>
        <v>-5.7627118644067665E-2</v>
      </c>
      <c r="J53" s="69"/>
      <c r="K53" s="70"/>
      <c r="L53" s="70"/>
      <c r="M53" s="70"/>
      <c r="N53" s="70"/>
    </row>
    <row r="54" spans="1:14">
      <c r="A54" s="15">
        <v>43753</v>
      </c>
      <c r="B54" s="16">
        <v>1.1160000000000001</v>
      </c>
      <c r="C54" s="73">
        <f t="shared" si="8"/>
        <v>4.0000000000000036E-3</v>
      </c>
      <c r="D54" s="18" t="str">
        <f t="shared" si="9"/>
        <v>/</v>
      </c>
      <c r="E54" s="18">
        <f ca="1">IF(表2_36716262930345[[#This Row],[累计净值]]/MAX(INDIRECT("B21:B" &amp; ROW()))-1&lt;E53,表2_36716262930345[[#This Row],[累计净值]]/MAX(INDIRECT("B21:B" &amp; ROW()))-1,E53)</f>
        <v>-7.4978938500421255E-2</v>
      </c>
      <c r="F54" s="62">
        <f>表2_36716262930345[[#This Row],[累计净值]]</f>
        <v>1.1160000000000001</v>
      </c>
      <c r="G54" s="20">
        <f>表2_36716262930345[[#This Row],[累计净值]]/$B$22-1</f>
        <v>-5.4237288135593031E-2</v>
      </c>
      <c r="J54" s="69"/>
      <c r="K54" s="70"/>
      <c r="L54" s="70"/>
      <c r="M54" s="70"/>
      <c r="N54" s="70"/>
    </row>
    <row r="55" spans="1:14">
      <c r="A55" s="15">
        <v>43754</v>
      </c>
      <c r="B55" s="16">
        <v>1.1160000000000001</v>
      </c>
      <c r="C55" s="73">
        <f t="shared" si="8"/>
        <v>0</v>
      </c>
      <c r="D55" s="18" t="str">
        <f t="shared" si="9"/>
        <v>/</v>
      </c>
      <c r="E55" s="18">
        <f ca="1">IF(表2_36716262930345[[#This Row],[累计净值]]/MAX(INDIRECT("B21:B" &amp; ROW()))-1&lt;E54,表2_36716262930345[[#This Row],[累计净值]]/MAX(INDIRECT("B21:B" &amp; ROW()))-1,E54)</f>
        <v>-7.4978938500421255E-2</v>
      </c>
      <c r="F55" s="62">
        <f>表2_36716262930345[[#This Row],[累计净值]]</f>
        <v>1.1160000000000001</v>
      </c>
      <c r="G55" s="20">
        <f>表2_36716262930345[[#This Row],[累计净值]]/$B$22-1</f>
        <v>-5.4237288135593031E-2</v>
      </c>
      <c r="J55" s="69"/>
      <c r="K55" s="70"/>
      <c r="L55" s="70"/>
      <c r="M55" s="70"/>
      <c r="N55" s="70"/>
    </row>
    <row r="56" spans="1:14">
      <c r="A56" s="15">
        <v>43755</v>
      </c>
      <c r="B56" s="16">
        <v>1.111</v>
      </c>
      <c r="C56" s="73">
        <f t="shared" si="8"/>
        <v>-5.0000000000001155E-3</v>
      </c>
      <c r="D56" s="18">
        <f t="shared" si="9"/>
        <v>-5.0000000000001155E-3</v>
      </c>
      <c r="E56" s="18">
        <f ca="1">IF(表2_36716262930345[[#This Row],[累计净值]]/MAX(INDIRECT("B21:B" &amp; ROW()))-1&lt;E55,表2_36716262930345[[#This Row],[累计净值]]/MAX(INDIRECT("B21:B" &amp; ROW()))-1,E55)</f>
        <v>-7.4978938500421255E-2</v>
      </c>
      <c r="F56" s="62">
        <f>表2_36716262930345[[#This Row],[累计净值]]</f>
        <v>1.111</v>
      </c>
      <c r="G56" s="20">
        <f>表2_36716262930345[[#This Row],[累计净值]]/$B$22-1</f>
        <v>-5.8474576271186351E-2</v>
      </c>
      <c r="J56" s="69"/>
      <c r="K56" s="70"/>
      <c r="L56" s="70"/>
      <c r="M56" s="70"/>
      <c r="N56" s="70"/>
    </row>
    <row r="57" spans="1:14">
      <c r="A57" s="15">
        <v>43756</v>
      </c>
      <c r="B57" s="16">
        <v>1.1080000000000001</v>
      </c>
      <c r="C57" s="73">
        <f t="shared" si="8"/>
        <v>-2.9999999999998916E-3</v>
      </c>
      <c r="D57" s="18">
        <f t="shared" si="9"/>
        <v>-2.9999999999998916E-3</v>
      </c>
      <c r="E57" s="18">
        <f ca="1">IF(表2_36716262930345[[#This Row],[累计净值]]/MAX(INDIRECT("B21:B" &amp; ROW()))-1&lt;E56,表2_36716262930345[[#This Row],[累计净值]]/MAX(INDIRECT("B21:B" &amp; ROW()))-1,E56)</f>
        <v>-7.4978938500421255E-2</v>
      </c>
      <c r="F57" s="62">
        <f>表2_36716262930345[[#This Row],[累计净值]]</f>
        <v>1.1080000000000001</v>
      </c>
      <c r="G57" s="20">
        <f>表2_36716262930345[[#This Row],[累计净值]]/$B$22-1</f>
        <v>-6.1016949152542188E-2</v>
      </c>
      <c r="J57" s="69"/>
      <c r="K57" s="70"/>
      <c r="L57" s="70"/>
      <c r="M57" s="70"/>
      <c r="N57" s="70"/>
    </row>
    <row r="58" spans="1:14">
      <c r="A58" s="15">
        <v>43759</v>
      </c>
      <c r="B58" s="16">
        <v>1.1100000000000001</v>
      </c>
      <c r="C58" s="73">
        <f t="shared" si="8"/>
        <v>2.0000000000000018E-3</v>
      </c>
      <c r="D58" s="18" t="str">
        <f t="shared" si="9"/>
        <v>/</v>
      </c>
      <c r="E58" s="18">
        <f ca="1">IF(表2_36716262930345[[#This Row],[累计净值]]/MAX(INDIRECT("B21:B" &amp; ROW()))-1&lt;E57,表2_36716262930345[[#This Row],[累计净值]]/MAX(INDIRECT("B21:B" &amp; ROW()))-1,E57)</f>
        <v>-7.4978938500421255E-2</v>
      </c>
      <c r="F58" s="62">
        <f>表2_36716262930345[[#This Row],[累计净值]]</f>
        <v>1.1100000000000001</v>
      </c>
      <c r="G58" s="20">
        <f>表2_36716262930345[[#This Row],[累计净值]]/$B$22-1</f>
        <v>-5.9322033898304927E-2</v>
      </c>
      <c r="J58" s="69"/>
      <c r="K58" s="70"/>
      <c r="L58" s="70"/>
      <c r="M58" s="70"/>
      <c r="N58" s="70"/>
    </row>
    <row r="59" spans="1:14">
      <c r="A59" s="15">
        <v>43760</v>
      </c>
      <c r="B59" s="16">
        <v>1.107</v>
      </c>
      <c r="C59" s="73">
        <f t="shared" si="8"/>
        <v>-3.0000000000001137E-3</v>
      </c>
      <c r="D59" s="18">
        <f t="shared" si="9"/>
        <v>-3.0000000000001137E-3</v>
      </c>
      <c r="E59" s="18">
        <f ca="1">IF(表2_36716262930345[[#This Row],[累计净值]]/MAX(INDIRECT("B21:B" &amp; ROW()))-1&lt;E58,表2_36716262930345[[#This Row],[累计净值]]/MAX(INDIRECT("B21:B" &amp; ROW()))-1,E58)</f>
        <v>-7.4978938500421255E-2</v>
      </c>
      <c r="F59" s="62">
        <f>表2_36716262930345[[#This Row],[累计净值]]</f>
        <v>1.107</v>
      </c>
      <c r="G59" s="20">
        <f>表2_36716262930345[[#This Row],[累计净值]]/$B$22-1</f>
        <v>-6.1864406779660985E-2</v>
      </c>
      <c r="J59" s="69"/>
      <c r="K59" s="70"/>
      <c r="L59" s="70"/>
      <c r="M59" s="70"/>
      <c r="N59" s="70"/>
    </row>
    <row r="60" spans="1:14">
      <c r="A60" s="15">
        <v>43761</v>
      </c>
      <c r="B60" s="16">
        <v>1.1080000000000001</v>
      </c>
      <c r="C60" s="73">
        <f t="shared" si="8"/>
        <v>1.0000000000001119E-3</v>
      </c>
      <c r="D60" s="18" t="str">
        <f t="shared" si="9"/>
        <v>/</v>
      </c>
      <c r="E60" s="18">
        <f ca="1">IF(表2_36716262930345[[#This Row],[累计净值]]/MAX(INDIRECT("B21:B" &amp; ROW()))-1&lt;E59,表2_36716262930345[[#This Row],[累计净值]]/MAX(INDIRECT("B21:B" &amp; ROW()))-1,E59)</f>
        <v>-7.4978938500421255E-2</v>
      </c>
      <c r="F60" s="62">
        <f>表2_36716262930345[[#This Row],[累计净值]]</f>
        <v>1.1080000000000001</v>
      </c>
      <c r="G60" s="20">
        <f>表2_36716262930345[[#This Row],[累计净值]]/$B$22-1</f>
        <v>-6.1016949152542188E-2</v>
      </c>
      <c r="J60" s="69"/>
      <c r="K60" s="70"/>
      <c r="L60" s="70"/>
      <c r="M60" s="70"/>
      <c r="N60" s="70"/>
    </row>
    <row r="61" spans="1:14">
      <c r="A61" s="15">
        <v>43762</v>
      </c>
      <c r="B61" s="16">
        <v>1.1120000000000001</v>
      </c>
      <c r="C61" s="73">
        <f t="shared" si="8"/>
        <v>4.0000000000000036E-3</v>
      </c>
      <c r="D61" s="18" t="str">
        <f t="shared" si="9"/>
        <v>/</v>
      </c>
      <c r="E61" s="18">
        <f ca="1">IF(表2_36716262930345[[#This Row],[累计净值]]/MAX(INDIRECT("B21:B" &amp; ROW()))-1&lt;E60,表2_36716262930345[[#This Row],[累计净值]]/MAX(INDIRECT("B21:B" &amp; ROW()))-1,E60)</f>
        <v>-7.4978938500421255E-2</v>
      </c>
      <c r="F61" s="62">
        <f>表2_36716262930345[[#This Row],[累计净值]]</f>
        <v>1.1120000000000001</v>
      </c>
      <c r="G61" s="20">
        <f>表2_36716262930345[[#This Row],[累计净值]]/$B$22-1</f>
        <v>-5.7627118644067665E-2</v>
      </c>
      <c r="J61" s="69"/>
      <c r="K61" s="70"/>
      <c r="L61" s="70"/>
      <c r="M61" s="70"/>
      <c r="N61" s="70"/>
    </row>
    <row r="62" spans="1:14">
      <c r="A62" s="15">
        <v>43763</v>
      </c>
      <c r="B62" s="16">
        <v>1.1140000000000001</v>
      </c>
      <c r="C62" s="73">
        <f t="shared" si="8"/>
        <v>2.0000000000000018E-3</v>
      </c>
      <c r="D62" s="18" t="str">
        <f t="shared" si="9"/>
        <v>/</v>
      </c>
      <c r="E62" s="18">
        <f ca="1">IF(表2_36716262930345[[#This Row],[累计净值]]/MAX(INDIRECT("B21:B" &amp; ROW()))-1&lt;E61,表2_36716262930345[[#This Row],[累计净值]]/MAX(INDIRECT("B21:B" &amp; ROW()))-1,E61)</f>
        <v>-7.4978938500421255E-2</v>
      </c>
      <c r="F62" s="62">
        <f>表2_36716262930345[[#This Row],[累计净值]]</f>
        <v>1.1140000000000001</v>
      </c>
      <c r="G62" s="20">
        <f>表2_36716262930345[[#This Row],[累计净值]]/$B$22-1</f>
        <v>-5.5932203389830404E-2</v>
      </c>
      <c r="J62" s="69"/>
      <c r="K62" s="70"/>
      <c r="L62" s="70"/>
      <c r="M62" s="70"/>
      <c r="N62" s="70"/>
    </row>
    <row r="63" spans="1:14">
      <c r="A63" s="15">
        <v>43766</v>
      </c>
      <c r="B63" s="16">
        <v>1.1120000000000001</v>
      </c>
      <c r="C63" s="73">
        <f t="shared" ref="C63:C73" si="10">IFERROR(B63-B62,0)</f>
        <v>-2.0000000000000018E-3</v>
      </c>
      <c r="D63" s="18">
        <f t="shared" ref="D63:D73" si="11">IF(C63&lt;0,C63,"/")</f>
        <v>-2.0000000000000018E-3</v>
      </c>
      <c r="E63" s="18">
        <f ca="1">IF(表2_36716262930345[[#This Row],[累计净值]]/MAX(INDIRECT("B21:B" &amp; ROW()))-1&lt;E62,表2_36716262930345[[#This Row],[累计净值]]/MAX(INDIRECT("B21:B" &amp; ROW()))-1,E62)</f>
        <v>-7.4978938500421255E-2</v>
      </c>
      <c r="F63" s="62">
        <f>表2_36716262930345[[#This Row],[累计净值]]</f>
        <v>1.1120000000000001</v>
      </c>
      <c r="G63" s="20">
        <f>表2_36716262930345[[#This Row],[累计净值]]/$B$22-1</f>
        <v>-5.7627118644067665E-2</v>
      </c>
      <c r="J63" s="69"/>
      <c r="K63" s="70"/>
      <c r="L63" s="70"/>
      <c r="M63" s="70"/>
      <c r="N63" s="70"/>
    </row>
    <row r="64" spans="1:14">
      <c r="A64" s="15">
        <v>43767</v>
      </c>
      <c r="B64" s="16">
        <v>1.1140000000000001</v>
      </c>
      <c r="C64" s="73">
        <f t="shared" si="10"/>
        <v>2.0000000000000018E-3</v>
      </c>
      <c r="D64" s="18" t="str">
        <f t="shared" si="11"/>
        <v>/</v>
      </c>
      <c r="E64" s="18">
        <f ca="1">IF(表2_36716262930345[[#This Row],[累计净值]]/MAX(INDIRECT("B21:B" &amp; ROW()))-1&lt;E63,表2_36716262930345[[#This Row],[累计净值]]/MAX(INDIRECT("B21:B" &amp; ROW()))-1,E63)</f>
        <v>-7.4978938500421255E-2</v>
      </c>
      <c r="F64" s="62">
        <f>表2_36716262930345[[#This Row],[累计净值]]</f>
        <v>1.1140000000000001</v>
      </c>
      <c r="G64" s="20">
        <f>表2_36716262930345[[#This Row],[累计净值]]/$B$22-1</f>
        <v>-5.5932203389830404E-2</v>
      </c>
      <c r="J64" s="69"/>
      <c r="K64" s="70"/>
      <c r="L64" s="70"/>
      <c r="M64" s="70"/>
      <c r="N64" s="70"/>
    </row>
    <row r="65" spans="1:14">
      <c r="A65" s="15">
        <v>43768</v>
      </c>
      <c r="B65" s="16">
        <v>1.111</v>
      </c>
      <c r="C65" s="73">
        <f t="shared" si="10"/>
        <v>-3.0000000000001137E-3</v>
      </c>
      <c r="D65" s="18">
        <f t="shared" si="11"/>
        <v>-3.0000000000001137E-3</v>
      </c>
      <c r="E65" s="18">
        <f ca="1">IF(表2_36716262930345[[#This Row],[累计净值]]/MAX(INDIRECT("B21:B" &amp; ROW()))-1&lt;E64,表2_36716262930345[[#This Row],[累计净值]]/MAX(INDIRECT("B21:B" &amp; ROW()))-1,E64)</f>
        <v>-7.4978938500421255E-2</v>
      </c>
      <c r="F65" s="62">
        <f>表2_36716262930345[[#This Row],[累计净值]]</f>
        <v>1.111</v>
      </c>
      <c r="G65" s="20">
        <f>表2_36716262930345[[#This Row],[累计净值]]/$B$22-1</f>
        <v>-5.8474576271186351E-2</v>
      </c>
      <c r="J65" s="69"/>
      <c r="K65" s="70"/>
      <c r="L65" s="70"/>
      <c r="M65" s="70"/>
      <c r="N65" s="70"/>
    </row>
    <row r="66" spans="1:14">
      <c r="A66" s="15">
        <v>43769</v>
      </c>
      <c r="B66" s="16">
        <v>1.113</v>
      </c>
      <c r="C66" s="73">
        <f t="shared" si="10"/>
        <v>2.0000000000000018E-3</v>
      </c>
      <c r="D66" s="18" t="str">
        <f t="shared" si="11"/>
        <v>/</v>
      </c>
      <c r="E66" s="18">
        <f ca="1">IF(表2_36716262930345[[#This Row],[累计净值]]/MAX(INDIRECT("B21:B" &amp; ROW()))-1&lt;E65,表2_36716262930345[[#This Row],[累计净值]]/MAX(INDIRECT("B21:B" &amp; ROW()))-1,E65)</f>
        <v>-7.4978938500421255E-2</v>
      </c>
      <c r="F66" s="62">
        <f>表2_36716262930345[[#This Row],[累计净值]]</f>
        <v>1.113</v>
      </c>
      <c r="G66" s="20">
        <f>表2_36716262930345[[#This Row],[累计净值]]/$B$22-1</f>
        <v>-5.677966101694909E-2</v>
      </c>
      <c r="J66" s="69"/>
      <c r="K66" s="70"/>
      <c r="L66" s="70"/>
      <c r="M66" s="70"/>
      <c r="N66" s="70"/>
    </row>
    <row r="67" spans="1:14">
      <c r="A67" s="15">
        <v>43770</v>
      </c>
      <c r="B67" s="16">
        <v>1.115</v>
      </c>
      <c r="C67" s="73">
        <f t="shared" si="10"/>
        <v>2.0000000000000018E-3</v>
      </c>
      <c r="D67" s="18" t="str">
        <f t="shared" si="11"/>
        <v>/</v>
      </c>
      <c r="E67" s="18">
        <f ca="1">IF(表2_36716262930345[[#This Row],[累计净值]]/MAX(INDIRECT("B21:B" &amp; ROW()))-1&lt;E66,表2_36716262930345[[#This Row],[累计净值]]/MAX(INDIRECT("B21:B" &amp; ROW()))-1,E66)</f>
        <v>-7.4978938500421255E-2</v>
      </c>
      <c r="F67" s="62">
        <f>表2_36716262930345[[#This Row],[累计净值]]</f>
        <v>1.115</v>
      </c>
      <c r="G67" s="20">
        <f>表2_36716262930345[[#This Row],[累计净值]]/$B$22-1</f>
        <v>-5.5084745762711829E-2</v>
      </c>
      <c r="J67" s="69"/>
      <c r="K67" s="70"/>
      <c r="L67" s="70"/>
      <c r="M67" s="70"/>
      <c r="N67" s="70"/>
    </row>
    <row r="68" spans="1:14">
      <c r="A68" s="15">
        <v>43773</v>
      </c>
      <c r="B68" s="16">
        <v>1.119</v>
      </c>
      <c r="C68" s="73">
        <f t="shared" si="10"/>
        <v>4.0000000000000036E-3</v>
      </c>
      <c r="D68" s="18" t="str">
        <f t="shared" si="11"/>
        <v>/</v>
      </c>
      <c r="E68" s="18">
        <f ca="1">IF(表2_36716262930345[[#This Row],[累计净值]]/MAX(INDIRECT("B21:B" &amp; ROW()))-1&lt;E67,表2_36716262930345[[#This Row],[累计净值]]/MAX(INDIRECT("B21:B" &amp; ROW()))-1,E67)</f>
        <v>-7.4978938500421255E-2</v>
      </c>
      <c r="F68" s="62">
        <f>表2_36716262930345[[#This Row],[累计净值]]</f>
        <v>1.119</v>
      </c>
      <c r="G68" s="20">
        <f>表2_36716262930345[[#This Row],[累计净值]]/$B$22-1</f>
        <v>-5.1694915254237195E-2</v>
      </c>
      <c r="J68" s="69"/>
      <c r="K68" s="70"/>
      <c r="L68" s="70"/>
      <c r="M68" s="70"/>
      <c r="N68" s="70"/>
    </row>
    <row r="69" spans="1:14">
      <c r="A69" s="15">
        <v>43774</v>
      </c>
      <c r="B69" s="16">
        <v>1.1140000000000001</v>
      </c>
      <c r="C69" s="73">
        <f t="shared" si="10"/>
        <v>-4.9999999999998934E-3</v>
      </c>
      <c r="D69" s="18">
        <f t="shared" si="11"/>
        <v>-4.9999999999998934E-3</v>
      </c>
      <c r="E69" s="18">
        <f ca="1">IF(表2_36716262930345[[#This Row],[累计净值]]/MAX(INDIRECT("B21:B" &amp; ROW()))-1&lt;E68,表2_36716262930345[[#This Row],[累计净值]]/MAX(INDIRECT("B21:B" &amp; ROW()))-1,E68)</f>
        <v>-7.4978938500421255E-2</v>
      </c>
      <c r="F69" s="62">
        <f>表2_36716262930345[[#This Row],[累计净值]]</f>
        <v>1.1140000000000001</v>
      </c>
      <c r="G69" s="20">
        <f>表2_36716262930345[[#This Row],[累计净值]]/$B$22-1</f>
        <v>-5.5932203389830404E-2</v>
      </c>
      <c r="J69" s="69"/>
      <c r="K69" s="70"/>
      <c r="L69" s="70"/>
      <c r="M69" s="70"/>
      <c r="N69" s="70"/>
    </row>
    <row r="70" spans="1:14">
      <c r="A70" s="15">
        <v>43775</v>
      </c>
      <c r="B70" s="16">
        <v>1.119</v>
      </c>
      <c r="C70" s="73">
        <f t="shared" si="10"/>
        <v>4.9999999999998934E-3</v>
      </c>
      <c r="D70" s="18" t="str">
        <f t="shared" si="11"/>
        <v>/</v>
      </c>
      <c r="E70" s="18">
        <f ca="1">IF(表2_36716262930345[[#This Row],[累计净值]]/MAX(INDIRECT("B21:B" &amp; ROW()))-1&lt;E69,表2_36716262930345[[#This Row],[累计净值]]/MAX(INDIRECT("B21:B" &amp; ROW()))-1,E69)</f>
        <v>-7.4978938500421255E-2</v>
      </c>
      <c r="F70" s="62">
        <f>表2_36716262930345[[#This Row],[累计净值]]</f>
        <v>1.119</v>
      </c>
      <c r="G70" s="20">
        <f>表2_36716262930345[[#This Row],[累计净值]]/$B$22-1</f>
        <v>-5.1694915254237195E-2</v>
      </c>
      <c r="J70" s="69"/>
      <c r="K70" s="70"/>
      <c r="L70" s="70"/>
      <c r="M70" s="70"/>
      <c r="N70" s="70"/>
    </row>
    <row r="71" spans="1:14">
      <c r="A71" s="15">
        <v>43776</v>
      </c>
      <c r="B71" s="16">
        <v>1.1180000000000001</v>
      </c>
      <c r="C71" s="73">
        <f t="shared" si="10"/>
        <v>-9.9999999999988987E-4</v>
      </c>
      <c r="D71" s="18">
        <f t="shared" si="11"/>
        <v>-9.9999999999988987E-4</v>
      </c>
      <c r="E71" s="18">
        <f ca="1">IF(表2_36716262930345[[#This Row],[累计净值]]/MAX(INDIRECT("B21:B" &amp; ROW()))-1&lt;E70,表2_36716262930345[[#This Row],[累计净值]]/MAX(INDIRECT("B21:B" &amp; ROW()))-1,E70)</f>
        <v>-7.4978938500421255E-2</v>
      </c>
      <c r="F71" s="62">
        <f>表2_36716262930345[[#This Row],[累计净值]]</f>
        <v>1.1180000000000001</v>
      </c>
      <c r="G71" s="20">
        <f>表2_36716262930345[[#This Row],[累计净值]]/$B$22-1</f>
        <v>-5.254237288135577E-2</v>
      </c>
      <c r="J71" s="69"/>
      <c r="K71" s="70"/>
      <c r="L71" s="70"/>
      <c r="M71" s="70"/>
      <c r="N71" s="70"/>
    </row>
    <row r="72" spans="1:14">
      <c r="A72" s="15">
        <v>43777</v>
      </c>
      <c r="B72" s="16">
        <v>1.113</v>
      </c>
      <c r="C72" s="73">
        <f t="shared" si="10"/>
        <v>-5.0000000000001155E-3</v>
      </c>
      <c r="D72" s="18">
        <f t="shared" si="11"/>
        <v>-5.0000000000001155E-3</v>
      </c>
      <c r="E72" s="18">
        <f ca="1">IF(表2_36716262930345[[#This Row],[累计净值]]/MAX(INDIRECT("B21:B" &amp; ROW()))-1&lt;E71,表2_36716262930345[[#This Row],[累计净值]]/MAX(INDIRECT("B21:B" &amp; ROW()))-1,E71)</f>
        <v>-7.4978938500421255E-2</v>
      </c>
      <c r="F72" s="62">
        <f>表2_36716262930345[[#This Row],[累计净值]]</f>
        <v>1.113</v>
      </c>
      <c r="G72" s="20">
        <f>表2_36716262930345[[#This Row],[累计净值]]/$B$22-1</f>
        <v>-5.677966101694909E-2</v>
      </c>
      <c r="J72" s="69"/>
      <c r="K72" s="70"/>
      <c r="L72" s="70"/>
      <c r="M72" s="70"/>
      <c r="N72" s="70"/>
    </row>
    <row r="73" spans="1:14">
      <c r="A73" s="15">
        <v>43780</v>
      </c>
      <c r="B73" s="16">
        <v>1.1100000000000001</v>
      </c>
      <c r="C73" s="73">
        <f t="shared" si="10"/>
        <v>-2.9999999999998916E-3</v>
      </c>
      <c r="D73" s="18">
        <f t="shared" si="11"/>
        <v>-2.9999999999998916E-3</v>
      </c>
      <c r="E73" s="18">
        <f ca="1">IF(表2_36716262930345[[#This Row],[累计净值]]/MAX(INDIRECT("B21:B" &amp; ROW()))-1&lt;E72,表2_36716262930345[[#This Row],[累计净值]]/MAX(INDIRECT("B21:B" &amp; ROW()))-1,E72)</f>
        <v>-7.4978938500421255E-2</v>
      </c>
      <c r="F73" s="62">
        <f>表2_36716262930345[[#This Row],[累计净值]]</f>
        <v>1.1100000000000001</v>
      </c>
      <c r="G73" s="20">
        <f>表2_36716262930345[[#This Row],[累计净值]]/$B$22-1</f>
        <v>-5.9322033898304927E-2</v>
      </c>
      <c r="J73" s="69"/>
      <c r="K73" s="70"/>
      <c r="L73" s="70"/>
      <c r="M73" s="70"/>
      <c r="N73" s="70"/>
    </row>
    <row r="74" spans="1:14">
      <c r="A74" s="15">
        <v>43781</v>
      </c>
      <c r="B74" s="16">
        <v>1.1160000000000001</v>
      </c>
      <c r="C74" s="73">
        <f t="shared" ref="C74:C102" si="12">IFERROR(B74-B73,0)</f>
        <v>6.0000000000000053E-3</v>
      </c>
      <c r="D74" s="18" t="str">
        <f t="shared" ref="D74:D102" si="13">IF(C74&lt;0,C74,"/")</f>
        <v>/</v>
      </c>
      <c r="E74" s="18">
        <f ca="1">IF(表2_36716262930345[[#This Row],[累计净值]]/MAX(INDIRECT("B21:B" &amp; ROW()))-1&lt;E73,表2_36716262930345[[#This Row],[累计净值]]/MAX(INDIRECT("B21:B" &amp; ROW()))-1,E73)</f>
        <v>-7.4978938500421255E-2</v>
      </c>
      <c r="F74" s="62">
        <f>表2_36716262930345[[#This Row],[累计净值]]</f>
        <v>1.1160000000000001</v>
      </c>
      <c r="G74" s="20">
        <f>表2_36716262930345[[#This Row],[累计净值]]/$B$22-1</f>
        <v>-5.4237288135593031E-2</v>
      </c>
      <c r="J74" s="69"/>
      <c r="K74" s="70"/>
      <c r="L74" s="70"/>
      <c r="M74" s="70"/>
      <c r="N74" s="70"/>
    </row>
    <row r="75" spans="1:14">
      <c r="A75" s="15">
        <v>43782</v>
      </c>
      <c r="B75" s="16">
        <v>1.113</v>
      </c>
      <c r="C75" s="73">
        <f t="shared" si="12"/>
        <v>-3.0000000000001137E-3</v>
      </c>
      <c r="D75" s="18">
        <f t="shared" si="13"/>
        <v>-3.0000000000001137E-3</v>
      </c>
      <c r="E75" s="18">
        <f ca="1">IF(表2_36716262930345[[#This Row],[累计净值]]/MAX(INDIRECT("B21:B" &amp; ROW()))-1&lt;E74,表2_36716262930345[[#This Row],[累计净值]]/MAX(INDIRECT("B21:B" &amp; ROW()))-1,E74)</f>
        <v>-7.4978938500421255E-2</v>
      </c>
      <c r="F75" s="62">
        <f>表2_36716262930345[[#This Row],[累计净值]]</f>
        <v>1.113</v>
      </c>
      <c r="G75" s="20">
        <f>表2_36716262930345[[#This Row],[累计净值]]/$B$22-1</f>
        <v>-5.677966101694909E-2</v>
      </c>
      <c r="J75" s="69"/>
      <c r="K75" s="70"/>
      <c r="L75" s="70"/>
      <c r="M75" s="70"/>
      <c r="N75" s="70"/>
    </row>
    <row r="76" spans="1:14">
      <c r="A76" s="15">
        <v>43783</v>
      </c>
      <c r="B76" s="16">
        <v>1.115</v>
      </c>
      <c r="C76" s="73">
        <f t="shared" si="12"/>
        <v>2.0000000000000018E-3</v>
      </c>
      <c r="D76" s="18" t="str">
        <f t="shared" si="13"/>
        <v>/</v>
      </c>
      <c r="E76" s="18">
        <f ca="1">IF(表2_36716262930345[[#This Row],[累计净值]]/MAX(INDIRECT("B21:B" &amp; ROW()))-1&lt;E75,表2_36716262930345[[#This Row],[累计净值]]/MAX(INDIRECT("B21:B" &amp; ROW()))-1,E75)</f>
        <v>-7.4978938500421255E-2</v>
      </c>
      <c r="F76" s="62">
        <f>表2_36716262930345[[#This Row],[累计净值]]</f>
        <v>1.115</v>
      </c>
      <c r="G76" s="20">
        <f>表2_36716262930345[[#This Row],[累计净值]]/$B$22-1</f>
        <v>-5.5084745762711829E-2</v>
      </c>
      <c r="J76" s="69"/>
      <c r="K76" s="70"/>
      <c r="L76" s="70"/>
      <c r="M76" s="70"/>
      <c r="N76" s="70"/>
    </row>
    <row r="77" spans="1:14">
      <c r="A77" s="15">
        <v>43784</v>
      </c>
      <c r="B77" s="16">
        <v>1.123</v>
      </c>
      <c r="C77" s="73">
        <f t="shared" si="12"/>
        <v>8.0000000000000071E-3</v>
      </c>
      <c r="D77" s="18" t="str">
        <f t="shared" si="13"/>
        <v>/</v>
      </c>
      <c r="E77" s="18">
        <f ca="1">IF(表2_36716262930345[[#This Row],[累计净值]]/MAX(INDIRECT("B21:B" &amp; ROW()))-1&lt;E76,表2_36716262930345[[#This Row],[累计净值]]/MAX(INDIRECT("B21:B" &amp; ROW()))-1,E76)</f>
        <v>-7.4978938500421255E-2</v>
      </c>
      <c r="F77" s="62">
        <f>表2_36716262930345[[#This Row],[累计净值]]</f>
        <v>1.123</v>
      </c>
      <c r="G77" s="20">
        <f>表2_36716262930345[[#This Row],[累计净值]]/$B$22-1</f>
        <v>-4.8305084745762672E-2</v>
      </c>
      <c r="J77" s="69"/>
      <c r="K77" s="70"/>
      <c r="L77" s="70"/>
      <c r="M77" s="70"/>
      <c r="N77" s="70"/>
    </row>
    <row r="78" spans="1:14">
      <c r="A78" s="15">
        <v>43787</v>
      </c>
      <c r="B78" s="16">
        <v>1.123</v>
      </c>
      <c r="C78" s="73">
        <f t="shared" si="12"/>
        <v>0</v>
      </c>
      <c r="D78" s="18" t="str">
        <f t="shared" si="13"/>
        <v>/</v>
      </c>
      <c r="E78" s="18">
        <f ca="1">IF(表2_36716262930345[[#This Row],[累计净值]]/MAX(INDIRECT("B21:B" &amp; ROW()))-1&lt;E77,表2_36716262930345[[#This Row],[累计净值]]/MAX(INDIRECT("B21:B" &amp; ROW()))-1,E77)</f>
        <v>-7.4978938500421255E-2</v>
      </c>
      <c r="F78" s="62">
        <f>表2_36716262930345[[#This Row],[累计净值]]</f>
        <v>1.123</v>
      </c>
      <c r="G78" s="20">
        <f>表2_36716262930345[[#This Row],[累计净值]]/$B$22-1</f>
        <v>-4.8305084745762672E-2</v>
      </c>
      <c r="J78" s="69"/>
      <c r="K78" s="70"/>
      <c r="L78" s="70"/>
      <c r="M78" s="70"/>
      <c r="N78" s="70"/>
    </row>
    <row r="79" spans="1:14">
      <c r="A79" s="15">
        <v>43788</v>
      </c>
      <c r="B79" s="16">
        <v>1.1240000000000001</v>
      </c>
      <c r="C79" s="73">
        <f t="shared" si="12"/>
        <v>1.0000000000001119E-3</v>
      </c>
      <c r="D79" s="18" t="str">
        <f t="shared" si="13"/>
        <v>/</v>
      </c>
      <c r="E79" s="18">
        <f ca="1">IF(表2_36716262930345[[#This Row],[累计净值]]/MAX(INDIRECT("B21:B" &amp; ROW()))-1&lt;E78,表2_36716262930345[[#This Row],[累计净值]]/MAX(INDIRECT("B21:B" &amp; ROW()))-1,E78)</f>
        <v>-7.4978938500421255E-2</v>
      </c>
      <c r="F79" s="62">
        <f>表2_36716262930345[[#This Row],[累计净值]]</f>
        <v>1.1240000000000001</v>
      </c>
      <c r="G79" s="20">
        <f>表2_36716262930345[[#This Row],[累计净值]]/$B$22-1</f>
        <v>-4.7457627118643875E-2</v>
      </c>
      <c r="J79" s="69"/>
      <c r="K79" s="70"/>
      <c r="L79" s="70"/>
      <c r="M79" s="70"/>
      <c r="N79" s="70"/>
    </row>
    <row r="80" spans="1:14">
      <c r="A80" s="15">
        <v>43789</v>
      </c>
      <c r="B80" s="16">
        <v>1.127</v>
      </c>
      <c r="C80" s="73">
        <f t="shared" si="12"/>
        <v>2.9999999999998916E-3</v>
      </c>
      <c r="D80" s="18" t="str">
        <f t="shared" si="13"/>
        <v>/</v>
      </c>
      <c r="E80" s="18">
        <f ca="1">IF(表2_36716262930345[[#This Row],[累计净值]]/MAX(INDIRECT("B21:B" &amp; ROW()))-1&lt;E79,表2_36716262930345[[#This Row],[累计净值]]/MAX(INDIRECT("B21:B" &amp; ROW()))-1,E79)</f>
        <v>-7.4978938500421255E-2</v>
      </c>
      <c r="F80" s="62">
        <f>表2_36716262930345[[#This Row],[累计净值]]</f>
        <v>1.127</v>
      </c>
      <c r="G80" s="20">
        <f>表2_36716262930345[[#This Row],[累计净值]]/$B$22-1</f>
        <v>-4.4915254237288038E-2</v>
      </c>
      <c r="J80" s="69"/>
      <c r="K80" s="70"/>
      <c r="L80" s="70"/>
      <c r="M80" s="70"/>
      <c r="N80" s="70"/>
    </row>
    <row r="81" spans="1:14">
      <c r="A81" s="15">
        <v>43790</v>
      </c>
      <c r="B81" s="16">
        <v>1.113</v>
      </c>
      <c r="C81" s="73">
        <f t="shared" si="12"/>
        <v>-1.4000000000000012E-2</v>
      </c>
      <c r="D81" s="18">
        <f t="shared" si="13"/>
        <v>-1.4000000000000012E-2</v>
      </c>
      <c r="E81" s="18">
        <f ca="1">IF(表2_36716262930345[[#This Row],[累计净值]]/MAX(INDIRECT("B21:B" &amp; ROW()))-1&lt;E80,表2_36716262930345[[#This Row],[累计净值]]/MAX(INDIRECT("B21:B" &amp; ROW()))-1,E80)</f>
        <v>-7.4978938500421255E-2</v>
      </c>
      <c r="F81" s="62">
        <f>表2_36716262930345[[#This Row],[累计净值]]</f>
        <v>1.113</v>
      </c>
      <c r="G81" s="20">
        <f>表2_36716262930345[[#This Row],[累计净值]]/$B$22-1</f>
        <v>-5.677966101694909E-2</v>
      </c>
      <c r="J81" s="69"/>
      <c r="K81" s="70"/>
      <c r="L81" s="70"/>
      <c r="M81" s="70"/>
      <c r="N81" s="70"/>
    </row>
    <row r="82" spans="1:14">
      <c r="A82" s="15">
        <v>43791</v>
      </c>
      <c r="B82" s="16">
        <v>1.1080000000000001</v>
      </c>
      <c r="C82" s="73">
        <f t="shared" si="12"/>
        <v>-4.9999999999998934E-3</v>
      </c>
      <c r="D82" s="18">
        <f t="shared" si="13"/>
        <v>-4.9999999999998934E-3</v>
      </c>
      <c r="E82" s="18">
        <f ca="1">IF(表2_36716262930345[[#This Row],[累计净值]]/MAX(INDIRECT("B21:B" &amp; ROW()))-1&lt;E81,表2_36716262930345[[#This Row],[累计净值]]/MAX(INDIRECT("B21:B" &amp; ROW()))-1,E81)</f>
        <v>-7.4978938500421255E-2</v>
      </c>
      <c r="F82" s="62">
        <f>表2_36716262930345[[#This Row],[累计净值]]</f>
        <v>1.1080000000000001</v>
      </c>
      <c r="G82" s="20">
        <f>表2_36716262930345[[#This Row],[累计净值]]/$B$22-1</f>
        <v>-6.1016949152542188E-2</v>
      </c>
      <c r="J82" s="69"/>
      <c r="K82" s="70"/>
      <c r="L82" s="70"/>
      <c r="M82" s="70"/>
      <c r="N82" s="70"/>
    </row>
    <row r="83" spans="1:14">
      <c r="A83" s="15">
        <v>43794</v>
      </c>
      <c r="B83" s="16">
        <v>1.1140000000000001</v>
      </c>
      <c r="C83" s="73">
        <f t="shared" si="12"/>
        <v>6.0000000000000053E-3</v>
      </c>
      <c r="D83" s="18" t="str">
        <f t="shared" si="13"/>
        <v>/</v>
      </c>
      <c r="E83" s="18">
        <f ca="1">IF(表2_36716262930345[[#This Row],[累计净值]]/MAX(INDIRECT("B21:B" &amp; ROW()))-1&lt;E82,表2_36716262930345[[#This Row],[累计净值]]/MAX(INDIRECT("B21:B" &amp; ROW()))-1,E82)</f>
        <v>-7.4978938500421255E-2</v>
      </c>
      <c r="F83" s="62">
        <f>表2_36716262930345[[#This Row],[累计净值]]</f>
        <v>1.1140000000000001</v>
      </c>
      <c r="G83" s="20">
        <f>表2_36716262930345[[#This Row],[累计净值]]/$B$22-1</f>
        <v>-5.5932203389830404E-2</v>
      </c>
      <c r="J83" s="69"/>
      <c r="K83" s="70"/>
      <c r="L83" s="70"/>
      <c r="M83" s="70"/>
      <c r="N83" s="70"/>
    </row>
    <row r="84" spans="1:14">
      <c r="A84" s="15">
        <v>43795</v>
      </c>
      <c r="B84" s="16">
        <v>1.113</v>
      </c>
      <c r="C84" s="73">
        <f t="shared" si="12"/>
        <v>-1.0000000000001119E-3</v>
      </c>
      <c r="D84" s="18">
        <f t="shared" si="13"/>
        <v>-1.0000000000001119E-3</v>
      </c>
      <c r="E84" s="18">
        <f ca="1">IF(表2_36716262930345[[#This Row],[累计净值]]/MAX(INDIRECT("B21:B" &amp; ROW()))-1&lt;E83,表2_36716262930345[[#This Row],[累计净值]]/MAX(INDIRECT("B21:B" &amp; ROW()))-1,E83)</f>
        <v>-7.4978938500421255E-2</v>
      </c>
      <c r="F84" s="62">
        <f>表2_36716262930345[[#This Row],[累计净值]]</f>
        <v>1.113</v>
      </c>
      <c r="G84" s="20">
        <f>表2_36716262930345[[#This Row],[累计净值]]/$B$22-1</f>
        <v>-5.677966101694909E-2</v>
      </c>
      <c r="I84" s="1" t="s">
        <v>31</v>
      </c>
      <c r="J84" s="69"/>
      <c r="K84" s="70"/>
      <c r="L84" s="70"/>
      <c r="M84" s="70"/>
      <c r="N84" s="70"/>
    </row>
    <row r="85" spans="1:14">
      <c r="A85" s="15">
        <v>43796</v>
      </c>
      <c r="B85" s="16">
        <v>1.113</v>
      </c>
      <c r="C85" s="73">
        <f t="shared" si="12"/>
        <v>0</v>
      </c>
      <c r="D85" s="18" t="str">
        <f t="shared" si="13"/>
        <v>/</v>
      </c>
      <c r="E85" s="18">
        <f ca="1">IF(表2_36716262930345[[#This Row],[累计净值]]/MAX(INDIRECT("B21:B" &amp; ROW()))-1&lt;E84,表2_36716262930345[[#This Row],[累计净值]]/MAX(INDIRECT("B21:B" &amp; ROW()))-1,E84)</f>
        <v>-7.4978938500421255E-2</v>
      </c>
      <c r="F85" s="62">
        <f>表2_36716262930345[[#This Row],[累计净值]]</f>
        <v>1.113</v>
      </c>
      <c r="G85" s="20">
        <f>表2_36716262930345[[#This Row],[累计净值]]/$B$22-1</f>
        <v>-5.677966101694909E-2</v>
      </c>
      <c r="J85" s="69"/>
      <c r="K85" s="70"/>
      <c r="L85" s="70"/>
      <c r="M85" s="70"/>
      <c r="N85" s="70"/>
    </row>
    <row r="86" spans="1:14">
      <c r="A86" s="15">
        <v>43797</v>
      </c>
      <c r="B86" s="16">
        <v>1.1160000000000001</v>
      </c>
      <c r="C86" s="73">
        <f t="shared" si="12"/>
        <v>3.0000000000001137E-3</v>
      </c>
      <c r="D86" s="18" t="str">
        <f t="shared" si="13"/>
        <v>/</v>
      </c>
      <c r="E86" s="18">
        <f ca="1">IF(表2_36716262930345[[#This Row],[累计净值]]/MAX(INDIRECT("B21:B" &amp; ROW()))-1&lt;E85,表2_36716262930345[[#This Row],[累计净值]]/MAX(INDIRECT("B21:B" &amp; ROW()))-1,E85)</f>
        <v>-7.4978938500421255E-2</v>
      </c>
      <c r="F86" s="62">
        <f>表2_36716262930345[[#This Row],[累计净值]]</f>
        <v>1.1160000000000001</v>
      </c>
      <c r="G86" s="20">
        <f>表2_36716262930345[[#This Row],[累计净值]]/$B$22-1</f>
        <v>-5.4237288135593031E-2</v>
      </c>
      <c r="J86" s="69"/>
      <c r="K86" s="70"/>
      <c r="L86" s="70"/>
      <c r="M86" s="70"/>
      <c r="N86" s="70"/>
    </row>
    <row r="87" spans="1:14">
      <c r="A87" s="15">
        <v>43798</v>
      </c>
      <c r="B87" s="16">
        <v>1.119</v>
      </c>
      <c r="C87" s="73">
        <f t="shared" si="12"/>
        <v>2.9999999999998916E-3</v>
      </c>
      <c r="D87" s="18" t="str">
        <f t="shared" si="13"/>
        <v>/</v>
      </c>
      <c r="E87" s="18">
        <f ca="1">IF(表2_36716262930345[[#This Row],[累计净值]]/MAX(INDIRECT("B21:B" &amp; ROW()))-1&lt;E86,表2_36716262930345[[#This Row],[累计净值]]/MAX(INDIRECT("B21:B" &amp; ROW()))-1,E86)</f>
        <v>-7.4978938500421255E-2</v>
      </c>
      <c r="F87" s="62">
        <f>表2_36716262930345[[#This Row],[累计净值]]</f>
        <v>1.119</v>
      </c>
      <c r="G87" s="20">
        <f>表2_36716262930345[[#This Row],[累计净值]]/$B$22-1</f>
        <v>-5.1694915254237195E-2</v>
      </c>
      <c r="J87" s="69"/>
      <c r="K87" s="70"/>
      <c r="L87" s="70"/>
      <c r="M87" s="70"/>
      <c r="N87" s="70"/>
    </row>
    <row r="88" spans="1:14">
      <c r="A88" s="15">
        <v>43801</v>
      </c>
      <c r="B88" s="16">
        <v>1.123</v>
      </c>
      <c r="C88" s="73">
        <f t="shared" si="12"/>
        <v>4.0000000000000036E-3</v>
      </c>
      <c r="D88" s="18" t="str">
        <f t="shared" si="13"/>
        <v>/</v>
      </c>
      <c r="E88" s="18">
        <f ca="1">IF(表2_36716262930345[[#This Row],[累计净值]]/MAX(INDIRECT("B21:B" &amp; ROW()))-1&lt;E87,表2_36716262930345[[#This Row],[累计净值]]/MAX(INDIRECT("B21:B" &amp; ROW()))-1,E87)</f>
        <v>-7.4978938500421255E-2</v>
      </c>
      <c r="F88" s="62">
        <f>表2_36716262930345[[#This Row],[累计净值]]</f>
        <v>1.123</v>
      </c>
      <c r="G88" s="20">
        <f>表2_36716262930345[[#This Row],[累计净值]]/$B$22-1</f>
        <v>-4.8305084745762672E-2</v>
      </c>
      <c r="J88" s="69"/>
      <c r="K88" s="70"/>
      <c r="L88" s="70"/>
      <c r="M88" s="70"/>
      <c r="N88" s="70"/>
    </row>
    <row r="89" spans="1:14">
      <c r="A89" s="15">
        <v>43802</v>
      </c>
      <c r="B89" s="16">
        <v>1.129</v>
      </c>
      <c r="C89" s="73">
        <f t="shared" si="12"/>
        <v>6.0000000000000053E-3</v>
      </c>
      <c r="D89" s="18" t="str">
        <f t="shared" si="13"/>
        <v>/</v>
      </c>
      <c r="E89" s="18">
        <f ca="1">IF(表2_36716262930345[[#This Row],[累计净值]]/MAX(INDIRECT("B21:B" &amp; ROW()))-1&lt;E88,表2_36716262930345[[#This Row],[累计净值]]/MAX(INDIRECT("B21:B" &amp; ROW()))-1,E88)</f>
        <v>-7.4978938500421255E-2</v>
      </c>
      <c r="F89" s="62">
        <f>表2_36716262930345[[#This Row],[累计净值]]</f>
        <v>1.129</v>
      </c>
      <c r="G89" s="20">
        <f>表2_36716262930345[[#This Row],[累计净值]]/$B$22-1</f>
        <v>-4.3220338983050777E-2</v>
      </c>
      <c r="J89" s="69"/>
      <c r="K89" s="70"/>
      <c r="L89" s="70"/>
      <c r="M89" s="70"/>
      <c r="N89" s="70"/>
    </row>
    <row r="90" spans="1:14">
      <c r="A90" s="15">
        <v>43803</v>
      </c>
      <c r="B90" s="16">
        <v>1.1240000000000001</v>
      </c>
      <c r="C90" s="73">
        <f t="shared" si="12"/>
        <v>-4.9999999999998934E-3</v>
      </c>
      <c r="D90" s="18">
        <f t="shared" si="13"/>
        <v>-4.9999999999998934E-3</v>
      </c>
      <c r="E90" s="18">
        <f ca="1">IF(表2_36716262930345[[#This Row],[累计净值]]/MAX(INDIRECT("B21:B" &amp; ROW()))-1&lt;E89,表2_36716262930345[[#This Row],[累计净值]]/MAX(INDIRECT("B21:B" &amp; ROW()))-1,E89)</f>
        <v>-7.4978938500421255E-2</v>
      </c>
      <c r="F90" s="62">
        <f>表2_36716262930345[[#This Row],[累计净值]]</f>
        <v>1.1240000000000001</v>
      </c>
      <c r="G90" s="20">
        <f>表2_36716262930345[[#This Row],[累计净值]]/$B$22-1</f>
        <v>-4.7457627118643875E-2</v>
      </c>
      <c r="J90" s="69"/>
      <c r="K90" s="70"/>
      <c r="L90" s="70"/>
      <c r="M90" s="70"/>
      <c r="N90" s="70"/>
    </row>
    <row r="91" spans="1:14">
      <c r="A91" s="15">
        <v>43804</v>
      </c>
      <c r="B91" s="16">
        <v>1.121</v>
      </c>
      <c r="C91" s="73">
        <f t="shared" si="12"/>
        <v>-3.0000000000001137E-3</v>
      </c>
      <c r="D91" s="18">
        <f t="shared" si="13"/>
        <v>-3.0000000000001137E-3</v>
      </c>
      <c r="E91" s="18">
        <f ca="1">IF(表2_36716262930345[[#This Row],[累计净值]]/MAX(INDIRECT("B21:B" &amp; ROW()))-1&lt;E90,表2_36716262930345[[#This Row],[累计净值]]/MAX(INDIRECT("B21:B" &amp; ROW()))-1,E90)</f>
        <v>-7.4978938500421255E-2</v>
      </c>
      <c r="F91" s="62">
        <f>表2_36716262930345[[#This Row],[累计净值]]</f>
        <v>1.121</v>
      </c>
      <c r="G91" s="20">
        <f>表2_36716262930345[[#This Row],[累计净值]]/$B$22-1</f>
        <v>-4.9999999999999933E-2</v>
      </c>
      <c r="J91" s="69"/>
      <c r="K91" s="70"/>
      <c r="L91" s="70"/>
      <c r="M91" s="70"/>
      <c r="N91" s="70"/>
    </row>
    <row r="92" spans="1:14">
      <c r="A92" s="15">
        <v>43805</v>
      </c>
      <c r="B92" s="16">
        <v>1.115</v>
      </c>
      <c r="C92" s="73">
        <f t="shared" si="12"/>
        <v>-6.0000000000000053E-3</v>
      </c>
      <c r="D92" s="18">
        <f t="shared" si="13"/>
        <v>-6.0000000000000053E-3</v>
      </c>
      <c r="E92" s="18">
        <f ca="1">IF(表2_36716262930345[[#This Row],[累计净值]]/MAX(INDIRECT("B21:B" &amp; ROW()))-1&lt;E91,表2_36716262930345[[#This Row],[累计净值]]/MAX(INDIRECT("B21:B" &amp; ROW()))-1,E91)</f>
        <v>-7.4978938500421255E-2</v>
      </c>
      <c r="F92" s="62">
        <f>表2_36716262930345[[#This Row],[累计净值]]</f>
        <v>1.115</v>
      </c>
      <c r="G92" s="20">
        <f>表2_36716262930345[[#This Row],[累计净值]]/$B$22-1</f>
        <v>-5.5084745762711829E-2</v>
      </c>
      <c r="J92" s="69"/>
      <c r="K92" s="70"/>
      <c r="L92" s="70"/>
      <c r="M92" s="70"/>
      <c r="N92" s="70"/>
    </row>
    <row r="93" spans="1:14">
      <c r="A93" s="15">
        <v>43808</v>
      </c>
      <c r="B93" s="16">
        <v>1.1299999999999999</v>
      </c>
      <c r="C93" s="73">
        <f t="shared" si="12"/>
        <v>1.4999999999999902E-2</v>
      </c>
      <c r="D93" s="18" t="str">
        <f t="shared" si="13"/>
        <v>/</v>
      </c>
      <c r="E93" s="18">
        <f ca="1">IF(表2_36716262930345[[#This Row],[累计净值]]/MAX(INDIRECT("B21:B" &amp; ROW()))-1&lt;E92,表2_36716262930345[[#This Row],[累计净值]]/MAX(INDIRECT("B21:B" &amp; ROW()))-1,E92)</f>
        <v>-7.4978938500421255E-2</v>
      </c>
      <c r="F93" s="62">
        <f>表2_36716262930345[[#This Row],[累计净值]]</f>
        <v>1.1299999999999999</v>
      </c>
      <c r="G93" s="20">
        <f>表2_36716262930345[[#This Row],[累计净值]]/$B$22-1</f>
        <v>-4.2372881355932202E-2</v>
      </c>
      <c r="J93" s="69"/>
      <c r="K93" s="70"/>
      <c r="L93" s="70"/>
      <c r="M93" s="70"/>
      <c r="N93" s="70"/>
    </row>
    <row r="94" spans="1:14">
      <c r="A94" s="15">
        <v>43809</v>
      </c>
      <c r="B94" s="16">
        <v>1.1339999999999999</v>
      </c>
      <c r="C94" s="73">
        <f t="shared" si="12"/>
        <v>4.0000000000000036E-3</v>
      </c>
      <c r="D94" s="18" t="str">
        <f t="shared" si="13"/>
        <v>/</v>
      </c>
      <c r="E94" s="18">
        <f ca="1">IF(表2_36716262930345[[#This Row],[累计净值]]/MAX(INDIRECT("B21:B" &amp; ROW()))-1&lt;E93,表2_36716262930345[[#This Row],[累计净值]]/MAX(INDIRECT("B21:B" &amp; ROW()))-1,E93)</f>
        <v>-7.4978938500421255E-2</v>
      </c>
      <c r="F94" s="62">
        <f>表2_36716262930345[[#This Row],[累计净值]]</f>
        <v>1.1339999999999999</v>
      </c>
      <c r="G94" s="20">
        <f>表2_36716262930345[[#This Row],[累计净值]]/$B$22-1</f>
        <v>-3.8983050847457679E-2</v>
      </c>
      <c r="J94" s="69"/>
      <c r="K94" s="70"/>
      <c r="L94" s="70"/>
      <c r="M94" s="70"/>
      <c r="N94" s="70"/>
    </row>
    <row r="95" spans="1:14">
      <c r="A95" s="15">
        <v>43810</v>
      </c>
      <c r="B95" s="16">
        <v>1.1359999999999999</v>
      </c>
      <c r="C95" s="73">
        <f t="shared" si="12"/>
        <v>2.0000000000000018E-3</v>
      </c>
      <c r="D95" s="18" t="str">
        <f t="shared" si="13"/>
        <v>/</v>
      </c>
      <c r="E95" s="18">
        <f ca="1">IF(表2_36716262930345[[#This Row],[累计净值]]/MAX(INDIRECT("B21:B" &amp; ROW()))-1&lt;E94,表2_36716262930345[[#This Row],[累计净值]]/MAX(INDIRECT("B21:B" &amp; ROW()))-1,E94)</f>
        <v>-7.4978938500421255E-2</v>
      </c>
      <c r="F95" s="62">
        <f>表2_36716262930345[[#This Row],[累计净值]]</f>
        <v>1.1359999999999999</v>
      </c>
      <c r="G95" s="20">
        <f>表2_36716262930345[[#This Row],[累计净值]]/$B$22-1</f>
        <v>-3.7288135593220417E-2</v>
      </c>
      <c r="J95" s="69"/>
      <c r="K95" s="70"/>
      <c r="L95" s="70"/>
      <c r="M95" s="70"/>
      <c r="N95" s="70"/>
    </row>
    <row r="96" spans="1:14">
      <c r="A96" s="15">
        <v>43811</v>
      </c>
      <c r="B96" s="16">
        <v>1.133</v>
      </c>
      <c r="C96" s="73">
        <f t="shared" si="12"/>
        <v>-2.9999999999998916E-3</v>
      </c>
      <c r="D96" s="18">
        <f t="shared" si="13"/>
        <v>-2.9999999999998916E-3</v>
      </c>
      <c r="E96" s="18">
        <f ca="1">IF(表2_36716262930345[[#This Row],[累计净值]]/MAX(INDIRECT("B21:B" &amp; ROW()))-1&lt;E95,表2_36716262930345[[#This Row],[累计净值]]/MAX(INDIRECT("B21:B" &amp; ROW()))-1,E95)</f>
        <v>-7.4978938500421255E-2</v>
      </c>
      <c r="F96" s="62">
        <f>表2_36716262930345[[#This Row],[累计净值]]</f>
        <v>1.133</v>
      </c>
      <c r="G96" s="20">
        <f>表2_36716262930345[[#This Row],[累计净值]]/$B$22-1</f>
        <v>-3.9830508474576254E-2</v>
      </c>
      <c r="J96" s="69"/>
      <c r="K96" s="70"/>
      <c r="L96" s="70"/>
      <c r="M96" s="70"/>
      <c r="N96" s="70"/>
    </row>
    <row r="97" spans="1:14">
      <c r="A97" s="15">
        <v>43812</v>
      </c>
      <c r="B97" s="16">
        <v>1.1299999999999999</v>
      </c>
      <c r="C97" s="73">
        <f t="shared" si="12"/>
        <v>-3.0000000000001137E-3</v>
      </c>
      <c r="D97" s="18">
        <f t="shared" si="13"/>
        <v>-3.0000000000001137E-3</v>
      </c>
      <c r="E97" s="18">
        <f ca="1">IF(表2_36716262930345[[#This Row],[累计净值]]/MAX(INDIRECT("B21:B" &amp; ROW()))-1&lt;E96,表2_36716262930345[[#This Row],[累计净值]]/MAX(INDIRECT("B21:B" &amp; ROW()))-1,E96)</f>
        <v>-7.4978938500421255E-2</v>
      </c>
      <c r="F97" s="62">
        <f>表2_36716262930345[[#This Row],[累计净值]]</f>
        <v>1.1299999999999999</v>
      </c>
      <c r="G97" s="20">
        <f>表2_36716262930345[[#This Row],[累计净值]]/$B$22-1</f>
        <v>-4.2372881355932202E-2</v>
      </c>
      <c r="J97" s="69"/>
      <c r="K97" s="70"/>
      <c r="L97" s="70"/>
      <c r="M97" s="70"/>
      <c r="N97" s="70"/>
    </row>
    <row r="98" spans="1:14">
      <c r="A98" s="15">
        <v>43815</v>
      </c>
      <c r="B98" s="16">
        <v>1.1299999999999999</v>
      </c>
      <c r="C98" s="73">
        <f t="shared" si="12"/>
        <v>0</v>
      </c>
      <c r="D98" s="18" t="str">
        <f t="shared" si="13"/>
        <v>/</v>
      </c>
      <c r="E98" s="18">
        <f ca="1">IF(表2_36716262930345[[#This Row],[累计净值]]/MAX(INDIRECT("B21:B" &amp; ROW()))-1&lt;E97,表2_36716262930345[[#This Row],[累计净值]]/MAX(INDIRECT("B21:B" &amp; ROW()))-1,E97)</f>
        <v>-7.4978938500421255E-2</v>
      </c>
      <c r="F98" s="62">
        <f>表2_36716262930345[[#This Row],[累计净值]]</f>
        <v>1.1299999999999999</v>
      </c>
      <c r="G98" s="20">
        <f>表2_36716262930345[[#This Row],[累计净值]]/$B$22-1</f>
        <v>-4.2372881355932202E-2</v>
      </c>
      <c r="J98" s="69"/>
      <c r="K98" s="70"/>
      <c r="L98" s="70"/>
      <c r="M98" s="70"/>
      <c r="N98" s="70"/>
    </row>
    <row r="99" spans="1:14">
      <c r="A99" s="15">
        <v>43816</v>
      </c>
      <c r="B99" s="16">
        <v>1.123</v>
      </c>
      <c r="C99" s="73">
        <f t="shared" si="12"/>
        <v>-6.9999999999998952E-3</v>
      </c>
      <c r="D99" s="18">
        <f t="shared" si="13"/>
        <v>-6.9999999999998952E-3</v>
      </c>
      <c r="E99" s="18">
        <f ca="1">IF(表2_36716262930345[[#This Row],[累计净值]]/MAX(INDIRECT("B21:B" &amp; ROW()))-1&lt;E98,表2_36716262930345[[#This Row],[累计净值]]/MAX(INDIRECT("B21:B" &amp; ROW()))-1,E98)</f>
        <v>-7.4978938500421255E-2</v>
      </c>
      <c r="F99" s="62">
        <f>表2_36716262930345[[#This Row],[累计净值]]</f>
        <v>1.123</v>
      </c>
      <c r="G99" s="20">
        <f>表2_36716262930345[[#This Row],[累计净值]]/$B$22-1</f>
        <v>-4.8305084745762672E-2</v>
      </c>
      <c r="J99" s="69"/>
      <c r="K99" s="70"/>
      <c r="L99" s="70"/>
      <c r="M99" s="70"/>
      <c r="N99" s="70"/>
    </row>
    <row r="100" spans="1:14">
      <c r="A100" s="15">
        <v>43817</v>
      </c>
      <c r="B100" s="16">
        <v>1.121</v>
      </c>
      <c r="C100" s="73">
        <f t="shared" si="12"/>
        <v>-2.0000000000000018E-3</v>
      </c>
      <c r="D100" s="18">
        <f t="shared" si="13"/>
        <v>-2.0000000000000018E-3</v>
      </c>
      <c r="E100" s="18">
        <f ca="1">IF(表2_36716262930345[[#This Row],[累计净值]]/MAX(INDIRECT("B21:B" &amp; ROW()))-1&lt;E99,表2_36716262930345[[#This Row],[累计净值]]/MAX(INDIRECT("B21:B" &amp; ROW()))-1,E99)</f>
        <v>-7.4978938500421255E-2</v>
      </c>
      <c r="F100" s="62">
        <f>表2_36716262930345[[#This Row],[累计净值]]</f>
        <v>1.121</v>
      </c>
      <c r="G100" s="20">
        <f>表2_36716262930345[[#This Row],[累计净值]]/$B$22-1</f>
        <v>-4.9999999999999933E-2</v>
      </c>
      <c r="J100" s="69"/>
      <c r="K100" s="70"/>
      <c r="L100" s="70"/>
      <c r="M100" s="70"/>
      <c r="N100" s="70"/>
    </row>
    <row r="101" spans="1:14">
      <c r="A101" s="15">
        <v>43818</v>
      </c>
      <c r="B101" s="16">
        <v>1.1200000000000001</v>
      </c>
      <c r="C101" s="73">
        <f t="shared" si="12"/>
        <v>-9.9999999999988987E-4</v>
      </c>
      <c r="D101" s="18">
        <f t="shared" si="13"/>
        <v>-9.9999999999988987E-4</v>
      </c>
      <c r="E101" s="18">
        <f ca="1">IF(表2_36716262930345[[#This Row],[累计净值]]/MAX(INDIRECT("B21:B" &amp; ROW()))-1&lt;E100,表2_36716262930345[[#This Row],[累计净值]]/MAX(INDIRECT("B21:B" &amp; ROW()))-1,E100)</f>
        <v>-7.4978938500421255E-2</v>
      </c>
      <c r="F101" s="62">
        <f>表2_36716262930345[[#This Row],[累计净值]]</f>
        <v>1.1200000000000001</v>
      </c>
      <c r="G101" s="20">
        <f>表2_36716262930345[[#This Row],[累计净值]]/$B$22-1</f>
        <v>-5.0847457627118509E-2</v>
      </c>
      <c r="J101" s="69"/>
      <c r="K101" s="70"/>
      <c r="L101" s="70"/>
      <c r="M101" s="70"/>
      <c r="N101" s="70"/>
    </row>
    <row r="102" spans="1:14">
      <c r="A102" s="15">
        <v>43819</v>
      </c>
      <c r="B102" s="16">
        <v>1.1200000000000001</v>
      </c>
      <c r="C102" s="73">
        <f t="shared" si="12"/>
        <v>0</v>
      </c>
      <c r="D102" s="18" t="str">
        <f t="shared" si="13"/>
        <v>/</v>
      </c>
      <c r="E102" s="18">
        <f ca="1">IF(表2_36716262930345[[#This Row],[累计净值]]/MAX(INDIRECT("B21:B" &amp; ROW()))-1&lt;E101,表2_36716262930345[[#This Row],[累计净值]]/MAX(INDIRECT("B21:B" &amp; ROW()))-1,E101)</f>
        <v>-7.4978938500421255E-2</v>
      </c>
      <c r="F102" s="62">
        <f>表2_36716262930345[[#This Row],[累计净值]]</f>
        <v>1.1200000000000001</v>
      </c>
      <c r="G102" s="20">
        <f>表2_36716262930345[[#This Row],[累计净值]]/$B$22-1</f>
        <v>-5.0847457627118509E-2</v>
      </c>
      <c r="J102" s="69"/>
      <c r="K102" s="70"/>
      <c r="L102" s="70"/>
      <c r="M102" s="70"/>
      <c r="N102" s="70"/>
    </row>
    <row r="103" spans="1:14">
      <c r="A103" s="15">
        <v>43822</v>
      </c>
      <c r="B103" s="16">
        <v>1.115</v>
      </c>
      <c r="C103" s="73">
        <f t="shared" ref="C103:C108" si="14">IFERROR(B103-B102,0)</f>
        <v>-5.0000000000001155E-3</v>
      </c>
      <c r="D103" s="18">
        <f t="shared" ref="D103:D108" si="15">IF(C103&lt;0,C103,"/")</f>
        <v>-5.0000000000001155E-3</v>
      </c>
      <c r="E103" s="18">
        <f ca="1">IF(表2_36716262930345[[#This Row],[累计净值]]/MAX(INDIRECT("B21:B" &amp; ROW()))-1&lt;E102,表2_36716262930345[[#This Row],[累计净值]]/MAX(INDIRECT("B21:B" &amp; ROW()))-1,E102)</f>
        <v>-7.4978938500421255E-2</v>
      </c>
      <c r="F103" s="62">
        <f>表2_36716262930345[[#This Row],[累计净值]]</f>
        <v>1.115</v>
      </c>
      <c r="G103" s="20">
        <f>表2_36716262930345[[#This Row],[累计净值]]/$B$22-1</f>
        <v>-5.5084745762711829E-2</v>
      </c>
      <c r="J103" s="69"/>
      <c r="K103" s="70"/>
      <c r="L103" s="70"/>
      <c r="M103" s="70"/>
      <c r="N103" s="70"/>
    </row>
    <row r="104" spans="1:14">
      <c r="A104" s="15">
        <v>43823</v>
      </c>
      <c r="B104" s="16">
        <v>1.107</v>
      </c>
      <c r="C104" s="73">
        <f t="shared" si="14"/>
        <v>-8.0000000000000071E-3</v>
      </c>
      <c r="D104" s="18">
        <f t="shared" si="15"/>
        <v>-8.0000000000000071E-3</v>
      </c>
      <c r="E104" s="18">
        <f ca="1">IF(表2_36716262930345[[#This Row],[累计净值]]/MAX(INDIRECT("B21:B" &amp; ROW()))-1&lt;E103,表2_36716262930345[[#This Row],[累计净值]]/MAX(INDIRECT("B21:B" &amp; ROW()))-1,E103)</f>
        <v>-7.4978938500421255E-2</v>
      </c>
      <c r="F104" s="62">
        <f>表2_36716262930345[[#This Row],[累计净值]]</f>
        <v>1.107</v>
      </c>
      <c r="G104" s="20">
        <f>表2_36716262930345[[#This Row],[累计净值]]/$B$22-1</f>
        <v>-6.1864406779660985E-2</v>
      </c>
      <c r="J104" s="69"/>
      <c r="K104" s="70"/>
      <c r="L104" s="70"/>
      <c r="M104" s="70"/>
      <c r="N104" s="70"/>
    </row>
    <row r="105" spans="1:14">
      <c r="A105" s="15">
        <v>43824</v>
      </c>
      <c r="B105" s="16">
        <v>1.1040000000000001</v>
      </c>
      <c r="C105" s="73">
        <f t="shared" si="14"/>
        <v>-2.9999999999998916E-3</v>
      </c>
      <c r="D105" s="18">
        <f t="shared" si="15"/>
        <v>-2.9999999999998916E-3</v>
      </c>
      <c r="E105" s="18">
        <f ca="1">IF(表2_36716262930345[[#This Row],[累计净值]]/MAX(INDIRECT("B21:B" &amp; ROW()))-1&lt;E104,表2_36716262930345[[#This Row],[累计净值]]/MAX(INDIRECT("B21:B" &amp; ROW()))-1,E104)</f>
        <v>-7.4978938500421255E-2</v>
      </c>
      <c r="F105" s="62">
        <f>表2_36716262930345[[#This Row],[累计净值]]</f>
        <v>1.1040000000000001</v>
      </c>
      <c r="G105" s="20">
        <f>表2_36716262930345[[#This Row],[累计净值]]/$B$22-1</f>
        <v>-6.4406779661016822E-2</v>
      </c>
      <c r="J105" s="69"/>
      <c r="K105" s="70"/>
      <c r="L105" s="70"/>
      <c r="M105" s="70"/>
      <c r="N105" s="70"/>
    </row>
    <row r="106" spans="1:14">
      <c r="A106" s="15">
        <v>43825</v>
      </c>
      <c r="B106" s="16">
        <v>1.1020000000000001</v>
      </c>
      <c r="C106" s="73">
        <f t="shared" si="14"/>
        <v>-2.0000000000000018E-3</v>
      </c>
      <c r="D106" s="18">
        <f t="shared" si="15"/>
        <v>-2.0000000000000018E-3</v>
      </c>
      <c r="E106" s="18">
        <f ca="1">IF(表2_36716262930345[[#This Row],[累计净值]]/MAX(INDIRECT("B21:B" &amp; ROW()))-1&lt;E105,表2_36716262930345[[#This Row],[累计净值]]/MAX(INDIRECT("B21:B" &amp; ROW()))-1,E105)</f>
        <v>-7.4978938500421255E-2</v>
      </c>
      <c r="F106" s="62">
        <f>表2_36716262930345[[#This Row],[累计净值]]</f>
        <v>1.1020000000000001</v>
      </c>
      <c r="G106" s="20">
        <f>表2_36716262930345[[#This Row],[累计净值]]/$B$22-1</f>
        <v>-6.6101694915254083E-2</v>
      </c>
      <c r="J106" s="69"/>
      <c r="K106" s="70"/>
      <c r="L106" s="70"/>
      <c r="M106" s="70"/>
      <c r="N106" s="70"/>
    </row>
    <row r="107" spans="1:14">
      <c r="A107" s="15">
        <v>43826</v>
      </c>
      <c r="B107" s="16">
        <v>1.111</v>
      </c>
      <c r="C107" s="73">
        <f t="shared" si="14"/>
        <v>8.999999999999897E-3</v>
      </c>
      <c r="D107" s="18" t="str">
        <f t="shared" si="15"/>
        <v>/</v>
      </c>
      <c r="E107" s="18">
        <f ca="1">IF(表2_36716262930345[[#This Row],[累计净值]]/MAX(INDIRECT("B21:B" &amp; ROW()))-1&lt;E106,表2_36716262930345[[#This Row],[累计净值]]/MAX(INDIRECT("B21:B" &amp; ROW()))-1,E106)</f>
        <v>-7.4978938500421255E-2</v>
      </c>
      <c r="F107" s="62">
        <f>表2_36716262930345[[#This Row],[累计净值]]</f>
        <v>1.111</v>
      </c>
      <c r="G107" s="20">
        <f>表2_36716262930345[[#This Row],[累计净值]]/$B$22-1</f>
        <v>-5.8474576271186351E-2</v>
      </c>
      <c r="J107" s="69"/>
      <c r="K107" s="70"/>
      <c r="L107" s="70"/>
      <c r="M107" s="70"/>
      <c r="N107" s="70"/>
    </row>
    <row r="108" spans="1:14">
      <c r="A108" s="15">
        <v>43829</v>
      </c>
      <c r="B108" s="16">
        <v>1.119</v>
      </c>
      <c r="C108" s="73">
        <f t="shared" si="14"/>
        <v>8.0000000000000071E-3</v>
      </c>
      <c r="D108" s="18" t="str">
        <f t="shared" si="15"/>
        <v>/</v>
      </c>
      <c r="E108" s="18">
        <f ca="1">IF(表2_36716262930345[[#This Row],[累计净值]]/MAX(INDIRECT("B21:B" &amp; ROW()))-1&lt;E107,表2_36716262930345[[#This Row],[累计净值]]/MAX(INDIRECT("B21:B" &amp; ROW()))-1,E107)</f>
        <v>-7.4978938500421255E-2</v>
      </c>
      <c r="F108" s="62">
        <f>表2_36716262930345[[#This Row],[累计净值]]</f>
        <v>1.119</v>
      </c>
      <c r="G108" s="20">
        <f>表2_36716262930345[[#This Row],[累计净值]]/$B$22-1</f>
        <v>-5.1694915254237195E-2</v>
      </c>
      <c r="J108" s="69"/>
      <c r="K108" s="70"/>
      <c r="L108" s="70"/>
      <c r="M108" s="70"/>
      <c r="N108" s="70"/>
    </row>
    <row r="109" spans="1:14">
      <c r="A109" s="15">
        <v>43830</v>
      </c>
      <c r="B109" s="16">
        <v>1.123</v>
      </c>
      <c r="C109" s="73">
        <f t="shared" ref="C109:C114" si="16">IFERROR(B109-B108,0)</f>
        <v>4.0000000000000036E-3</v>
      </c>
      <c r="D109" s="18" t="str">
        <f t="shared" ref="D109:D114" si="17">IF(C109&lt;0,C109,"/")</f>
        <v>/</v>
      </c>
      <c r="E109" s="18">
        <f ca="1">IF(表2_36716262930345[[#This Row],[累计净值]]/MAX(INDIRECT("B21:B" &amp; ROW()))-1&lt;E108,表2_36716262930345[[#This Row],[累计净值]]/MAX(INDIRECT("B21:B" &amp; ROW()))-1,E108)</f>
        <v>-7.4978938500421255E-2</v>
      </c>
      <c r="F109" s="62">
        <f>表2_36716262930345[[#This Row],[累计净值]]</f>
        <v>1.123</v>
      </c>
      <c r="G109" s="20">
        <f>表2_36716262930345[[#This Row],[累计净值]]/$B$22-1</f>
        <v>-4.8305084745762672E-2</v>
      </c>
      <c r="J109" s="69"/>
      <c r="K109" s="70"/>
      <c r="L109" s="70"/>
      <c r="M109" s="70"/>
      <c r="N109" s="70"/>
    </row>
    <row r="110" spans="1:14">
      <c r="A110" s="15">
        <v>43832</v>
      </c>
      <c r="B110" s="16">
        <v>1.125</v>
      </c>
      <c r="C110" s="73">
        <f t="shared" si="16"/>
        <v>2.0000000000000018E-3</v>
      </c>
      <c r="D110" s="18" t="str">
        <f t="shared" si="17"/>
        <v>/</v>
      </c>
      <c r="E110" s="18">
        <f ca="1">IF(表2_36716262930345[[#This Row],[累计净值]]/MAX(INDIRECT("B21:B" &amp; ROW()))-1&lt;E109,表2_36716262930345[[#This Row],[累计净值]]/MAX(INDIRECT("B21:B" &amp; ROW()))-1,E109)</f>
        <v>-7.4978938500421255E-2</v>
      </c>
      <c r="F110" s="62">
        <f>表2_36716262930345[[#This Row],[累计净值]]</f>
        <v>1.125</v>
      </c>
      <c r="G110" s="20">
        <f>表2_36716262930345[[#This Row],[累计净值]]/$B$22-1</f>
        <v>-4.6610169491525411E-2</v>
      </c>
      <c r="J110" s="69"/>
      <c r="K110" s="70"/>
      <c r="L110" s="70"/>
      <c r="M110" s="70"/>
      <c r="N110" s="70"/>
    </row>
    <row r="111" spans="1:14">
      <c r="A111" s="15">
        <v>43833</v>
      </c>
      <c r="B111" s="16">
        <v>1.129</v>
      </c>
      <c r="C111" s="73">
        <f t="shared" si="16"/>
        <v>4.0000000000000036E-3</v>
      </c>
      <c r="D111" s="18" t="str">
        <f t="shared" si="17"/>
        <v>/</v>
      </c>
      <c r="E111" s="18">
        <f ca="1">IF(表2_36716262930345[[#This Row],[累计净值]]/MAX(INDIRECT("B21:B" &amp; ROW()))-1&lt;E110,表2_36716262930345[[#This Row],[累计净值]]/MAX(INDIRECT("B21:B" &amp; ROW()))-1,E110)</f>
        <v>-7.4978938500421255E-2</v>
      </c>
      <c r="F111" s="62">
        <f>表2_36716262930345[[#This Row],[累计净值]]</f>
        <v>1.129</v>
      </c>
      <c r="G111" s="20">
        <f>表2_36716262930345[[#This Row],[累计净值]]/$B$22-1</f>
        <v>-4.3220338983050777E-2</v>
      </c>
      <c r="J111" s="69"/>
      <c r="K111" s="70"/>
      <c r="L111" s="70"/>
      <c r="M111" s="70"/>
      <c r="N111" s="70"/>
    </row>
    <row r="112" spans="1:14">
      <c r="A112" s="15">
        <v>43836</v>
      </c>
      <c r="B112" s="16">
        <v>1.1459999999999999</v>
      </c>
      <c r="C112" s="73">
        <f t="shared" si="16"/>
        <v>1.6999999999999904E-2</v>
      </c>
      <c r="D112" s="18" t="str">
        <f t="shared" si="17"/>
        <v>/</v>
      </c>
      <c r="E112" s="18">
        <f ca="1">IF(表2_36716262930345[[#This Row],[累计净值]]/MAX(INDIRECT("B21:B" &amp; ROW()))-1&lt;E111,表2_36716262930345[[#This Row],[累计净值]]/MAX(INDIRECT("B21:B" &amp; ROW()))-1,E111)</f>
        <v>-7.4978938500421255E-2</v>
      </c>
      <c r="F112" s="62">
        <f>表2_36716262930345[[#This Row],[累计净值]]</f>
        <v>1.1459999999999999</v>
      </c>
      <c r="G112" s="20">
        <f>表2_36716262930345[[#This Row],[累计净值]]/$B$22-1</f>
        <v>-2.8813559322033888E-2</v>
      </c>
      <c r="J112" s="69"/>
      <c r="K112" s="70"/>
      <c r="L112" s="70"/>
      <c r="M112" s="70"/>
      <c r="N112" s="70"/>
    </row>
    <row r="113" spans="1:14">
      <c r="A113" s="15">
        <v>43837</v>
      </c>
      <c r="B113" s="16">
        <v>1.155</v>
      </c>
      <c r="C113" s="73">
        <f t="shared" si="16"/>
        <v>9.000000000000119E-3</v>
      </c>
      <c r="D113" s="18" t="str">
        <f t="shared" si="17"/>
        <v>/</v>
      </c>
      <c r="E113" s="18">
        <f ca="1">IF(表2_36716262930345[[#This Row],[累计净值]]/MAX(INDIRECT("B21:B" &amp; ROW()))-1&lt;E112,表2_36716262930345[[#This Row],[累计净值]]/MAX(INDIRECT("B21:B" &amp; ROW()))-1,E112)</f>
        <v>-7.4978938500421255E-2</v>
      </c>
      <c r="F113" s="62">
        <f>表2_36716262930345[[#This Row],[累计净值]]</f>
        <v>1.155</v>
      </c>
      <c r="G113" s="20">
        <f>表2_36716262930345[[#This Row],[累计净值]]/$B$22-1</f>
        <v>-2.1186440677966045E-2</v>
      </c>
      <c r="J113" s="69"/>
      <c r="K113" s="70"/>
      <c r="L113" s="70"/>
      <c r="M113" s="70"/>
      <c r="N113" s="70"/>
    </row>
    <row r="114" spans="1:14">
      <c r="A114" s="15">
        <v>43838</v>
      </c>
      <c r="B114" s="16">
        <v>1.1719999999999999</v>
      </c>
      <c r="C114" s="73">
        <f t="shared" si="16"/>
        <v>1.6999999999999904E-2</v>
      </c>
      <c r="D114" s="18" t="str">
        <f t="shared" si="17"/>
        <v>/</v>
      </c>
      <c r="E114" s="18">
        <f ca="1">IF(表2_36716262930345[[#This Row],[累计净值]]/MAX(INDIRECT("B21:B" &amp; ROW()))-1&lt;E113,表2_36716262930345[[#This Row],[累计净值]]/MAX(INDIRECT("B21:B" &amp; ROW()))-1,E113)</f>
        <v>-7.4978938500421255E-2</v>
      </c>
      <c r="F114" s="62">
        <f>表2_36716262930345[[#This Row],[累计净值]]</f>
        <v>1.1719999999999999</v>
      </c>
      <c r="G114" s="20">
        <f>表2_36716262930345[[#This Row],[累计净值]]/$B$22-1</f>
        <v>-6.7796610169491567E-3</v>
      </c>
      <c r="J114" s="69"/>
      <c r="K114" s="70"/>
      <c r="L114" s="70"/>
      <c r="M114" s="70"/>
      <c r="N114" s="70"/>
    </row>
    <row r="115" spans="1:14">
      <c r="A115" s="15">
        <v>43839</v>
      </c>
      <c r="B115" s="16">
        <v>1.1619999999999999</v>
      </c>
      <c r="C115" s="73">
        <f t="shared" ref="C115:C150" si="18">IFERROR(B115-B114,0)</f>
        <v>-1.0000000000000009E-2</v>
      </c>
      <c r="D115" s="18">
        <f t="shared" ref="D115:D150" si="19">IF(C115&lt;0,C115,"/")</f>
        <v>-1.0000000000000009E-2</v>
      </c>
      <c r="E115" s="18">
        <f ca="1">IF(表2_36716262930345[[#This Row],[累计净值]]/MAX(INDIRECT("B21:B" &amp; ROW()))-1&lt;E114,表2_36716262930345[[#This Row],[累计净值]]/MAX(INDIRECT("B21:B" &amp; ROW()))-1,E114)</f>
        <v>-7.4978938500421255E-2</v>
      </c>
      <c r="F115" s="62">
        <f>表2_36716262930345[[#This Row],[累计净值]]</f>
        <v>1.1619999999999999</v>
      </c>
      <c r="G115" s="20">
        <f>表2_36716262930345[[#This Row],[累计净值]]/$B$22-1</f>
        <v>-1.5254237288135575E-2</v>
      </c>
      <c r="J115" s="69"/>
      <c r="K115" s="70"/>
      <c r="L115" s="70"/>
      <c r="M115" s="70"/>
      <c r="N115" s="70"/>
    </row>
    <row r="116" spans="1:14">
      <c r="A116" s="15">
        <v>43840</v>
      </c>
      <c r="B116" s="16">
        <v>1.1519999999999999</v>
      </c>
      <c r="C116" s="73">
        <f t="shared" si="18"/>
        <v>-1.0000000000000009E-2</v>
      </c>
      <c r="D116" s="18">
        <f t="shared" si="19"/>
        <v>-1.0000000000000009E-2</v>
      </c>
      <c r="E116" s="18">
        <f ca="1">IF(表2_36716262930345[[#This Row],[累计净值]]/MAX(INDIRECT("B21:B" &amp; ROW()))-1&lt;E115,表2_36716262930345[[#This Row],[累计净值]]/MAX(INDIRECT("B21:B" &amp; ROW()))-1,E115)</f>
        <v>-7.4978938500421255E-2</v>
      </c>
      <c r="F116" s="62">
        <f>表2_36716262930345[[#This Row],[累计净值]]</f>
        <v>1.1519999999999999</v>
      </c>
      <c r="G116" s="20">
        <f>表2_36716262930345[[#This Row],[累计净值]]/$B$22-1</f>
        <v>-2.3728813559322104E-2</v>
      </c>
      <c r="J116" s="69"/>
      <c r="K116" s="70"/>
      <c r="L116" s="70"/>
      <c r="M116" s="70"/>
      <c r="N116" s="70"/>
    </row>
    <row r="117" spans="1:14">
      <c r="A117" s="15">
        <v>43843</v>
      </c>
      <c r="B117" s="16">
        <v>1.1579999999999999</v>
      </c>
      <c r="C117" s="73">
        <f t="shared" si="18"/>
        <v>6.0000000000000053E-3</v>
      </c>
      <c r="D117" s="18" t="str">
        <f t="shared" si="19"/>
        <v>/</v>
      </c>
      <c r="E117" s="18">
        <f ca="1">IF(表2_36716262930345[[#This Row],[累计净值]]/MAX(INDIRECT("B21:B" &amp; ROW()))-1&lt;E116,表2_36716262930345[[#This Row],[累计净值]]/MAX(INDIRECT("B21:B" &amp; ROW()))-1,E116)</f>
        <v>-7.4978938500421255E-2</v>
      </c>
      <c r="F117" s="62">
        <f>表2_36716262930345[[#This Row],[累计净值]]</f>
        <v>1.1579999999999999</v>
      </c>
      <c r="G117" s="20">
        <f>表2_36716262930345[[#This Row],[累计净值]]/$B$22-1</f>
        <v>-1.8644067796610209E-2</v>
      </c>
      <c r="J117" s="69"/>
      <c r="K117" s="70"/>
      <c r="L117" s="70"/>
      <c r="M117" s="70"/>
      <c r="N117" s="70"/>
    </row>
    <row r="118" spans="1:14">
      <c r="A118" s="15">
        <v>43844</v>
      </c>
      <c r="B118" s="16">
        <v>1.163</v>
      </c>
      <c r="C118" s="73">
        <f t="shared" si="18"/>
        <v>5.0000000000001155E-3</v>
      </c>
      <c r="D118" s="18" t="str">
        <f t="shared" si="19"/>
        <v>/</v>
      </c>
      <c r="E118" s="18">
        <f ca="1">IF(表2_36716262930345[[#This Row],[累计净值]]/MAX(INDIRECT("B21:B" &amp; ROW()))-1&lt;E117,表2_36716262930345[[#This Row],[累计净值]]/MAX(INDIRECT("B21:B" &amp; ROW()))-1,E117)</f>
        <v>-7.4978938500421255E-2</v>
      </c>
      <c r="F118" s="62">
        <f>表2_36716262930345[[#This Row],[累计净值]]</f>
        <v>1.163</v>
      </c>
      <c r="G118" s="20">
        <f>表2_36716262930345[[#This Row],[累计净值]]/$B$22-1</f>
        <v>-1.4406779661016889E-2</v>
      </c>
      <c r="J118" s="69"/>
      <c r="K118" s="70"/>
      <c r="L118" s="70"/>
      <c r="M118" s="70"/>
      <c r="N118" s="70"/>
    </row>
    <row r="119" spans="1:14">
      <c r="A119" s="15">
        <v>43845</v>
      </c>
      <c r="B119" s="16">
        <v>1.161</v>
      </c>
      <c r="C119" s="73">
        <f t="shared" si="18"/>
        <v>-2.0000000000000018E-3</v>
      </c>
      <c r="D119" s="18">
        <f t="shared" si="19"/>
        <v>-2.0000000000000018E-3</v>
      </c>
      <c r="E119" s="18">
        <f ca="1">IF(表2_36716262930345[[#This Row],[累计净值]]/MAX(INDIRECT("B21:B" &amp; ROW()))-1&lt;E118,表2_36716262930345[[#This Row],[累计净值]]/MAX(INDIRECT("B21:B" &amp; ROW()))-1,E118)</f>
        <v>-7.4978938500421255E-2</v>
      </c>
      <c r="F119" s="62">
        <f>表2_36716262930345[[#This Row],[累计净值]]</f>
        <v>1.161</v>
      </c>
      <c r="G119" s="20">
        <f>表2_36716262930345[[#This Row],[累计净值]]/$B$22-1</f>
        <v>-1.610169491525415E-2</v>
      </c>
      <c r="J119" s="69"/>
      <c r="K119" s="70"/>
      <c r="L119" s="70"/>
      <c r="M119" s="70"/>
      <c r="N119" s="70"/>
    </row>
    <row r="120" spans="1:14">
      <c r="A120" s="15">
        <v>43846</v>
      </c>
      <c r="B120" s="16">
        <v>1.1559999999999999</v>
      </c>
      <c r="C120" s="73">
        <f t="shared" si="18"/>
        <v>-5.0000000000001155E-3</v>
      </c>
      <c r="D120" s="18">
        <f t="shared" si="19"/>
        <v>-5.0000000000001155E-3</v>
      </c>
      <c r="E120" s="18">
        <f ca="1">IF(表2_36716262930345[[#This Row],[累计净值]]/MAX(INDIRECT("B21:B" &amp; ROW()))-1&lt;E119,表2_36716262930345[[#This Row],[累计净值]]/MAX(INDIRECT("B21:B" &amp; ROW()))-1,E119)</f>
        <v>-7.4978938500421255E-2</v>
      </c>
      <c r="F120" s="62">
        <f>表2_36716262930345[[#This Row],[累计净值]]</f>
        <v>1.1559999999999999</v>
      </c>
      <c r="G120" s="20">
        <f>表2_36716262930345[[#This Row],[累计净值]]/$B$22-1</f>
        <v>-2.033898305084747E-2</v>
      </c>
      <c r="J120" s="69"/>
      <c r="K120" s="70"/>
      <c r="L120" s="70"/>
      <c r="M120" s="70"/>
      <c r="N120" s="70"/>
    </row>
    <row r="121" spans="1:14">
      <c r="A121" s="15">
        <v>43847</v>
      </c>
      <c r="B121" s="16">
        <v>1.1619999999999999</v>
      </c>
      <c r="C121" s="73">
        <f t="shared" si="18"/>
        <v>6.0000000000000053E-3</v>
      </c>
      <c r="D121" s="18" t="str">
        <f t="shared" si="19"/>
        <v>/</v>
      </c>
      <c r="E121" s="18">
        <f ca="1">IF(表2_36716262930345[[#This Row],[累计净值]]/MAX(INDIRECT("B21:B" &amp; ROW()))-1&lt;E120,表2_36716262930345[[#This Row],[累计净值]]/MAX(INDIRECT("B21:B" &amp; ROW()))-1,E120)</f>
        <v>-7.4978938500421255E-2</v>
      </c>
      <c r="F121" s="62">
        <f>表2_36716262930345[[#This Row],[累计净值]]</f>
        <v>1.1619999999999999</v>
      </c>
      <c r="G121" s="20">
        <f>表2_36716262930345[[#This Row],[累计净值]]/$B$22-1</f>
        <v>-1.5254237288135575E-2</v>
      </c>
      <c r="J121" s="69"/>
      <c r="K121" s="70"/>
      <c r="L121" s="70"/>
      <c r="M121" s="70"/>
      <c r="N121" s="70"/>
    </row>
    <row r="122" spans="1:14">
      <c r="A122" s="15">
        <v>43850</v>
      </c>
      <c r="B122" s="16">
        <v>1.165</v>
      </c>
      <c r="C122" s="73">
        <f t="shared" si="18"/>
        <v>3.0000000000001137E-3</v>
      </c>
      <c r="D122" s="18" t="str">
        <f t="shared" si="19"/>
        <v>/</v>
      </c>
      <c r="E122" s="18">
        <f ca="1">IF(表2_36716262930345[[#This Row],[累计净值]]/MAX(INDIRECT("B21:B" &amp; ROW()))-1&lt;E121,表2_36716262930345[[#This Row],[累计净值]]/MAX(INDIRECT("B21:B" &amp; ROW()))-1,E121)</f>
        <v>-7.4978938500421255E-2</v>
      </c>
      <c r="F122" s="62">
        <f>表2_36716262930345[[#This Row],[累计净值]]</f>
        <v>1.165</v>
      </c>
      <c r="G122" s="20">
        <f>表2_36716262930345[[#This Row],[累计净值]]/$B$22-1</f>
        <v>-1.2711864406779627E-2</v>
      </c>
      <c r="J122" s="69"/>
      <c r="K122" s="70"/>
      <c r="L122" s="70"/>
      <c r="M122" s="70"/>
      <c r="N122" s="70"/>
    </row>
    <row r="123" spans="1:14">
      <c r="A123" s="15">
        <v>43851</v>
      </c>
      <c r="B123" s="16">
        <v>1.153</v>
      </c>
      <c r="C123" s="73">
        <f t="shared" si="18"/>
        <v>-1.2000000000000011E-2</v>
      </c>
      <c r="D123" s="18">
        <f t="shared" si="19"/>
        <v>-1.2000000000000011E-2</v>
      </c>
      <c r="E123" s="18">
        <f ca="1">IF(表2_36716262930345[[#This Row],[累计净值]]/MAX(INDIRECT("B21:B" &amp; ROW()))-1&lt;E122,表2_36716262930345[[#This Row],[累计净值]]/MAX(INDIRECT("B21:B" &amp; ROW()))-1,E122)</f>
        <v>-7.4978938500421255E-2</v>
      </c>
      <c r="F123" s="62">
        <f>表2_36716262930345[[#This Row],[累计净值]]</f>
        <v>1.153</v>
      </c>
      <c r="G123" s="20">
        <f>表2_36716262930345[[#This Row],[累计净值]]/$B$22-1</f>
        <v>-2.2881355932203307E-2</v>
      </c>
      <c r="J123" s="69"/>
      <c r="K123" s="70"/>
      <c r="L123" s="70"/>
      <c r="M123" s="70"/>
      <c r="N123" s="70"/>
    </row>
    <row r="124" spans="1:14">
      <c r="A124" s="15">
        <v>43852</v>
      </c>
      <c r="B124" s="16">
        <v>1.147</v>
      </c>
      <c r="C124" s="73">
        <f t="shared" si="18"/>
        <v>-6.0000000000000053E-3</v>
      </c>
      <c r="D124" s="18">
        <f t="shared" si="19"/>
        <v>-6.0000000000000053E-3</v>
      </c>
      <c r="E124" s="18">
        <f ca="1">IF(表2_36716262930345[[#This Row],[累计净值]]/MAX(INDIRECT("B21:B" &amp; ROW()))-1&lt;E123,表2_36716262930345[[#This Row],[累计净值]]/MAX(INDIRECT("B21:B" &amp; ROW()))-1,E123)</f>
        <v>-7.4978938500421255E-2</v>
      </c>
      <c r="F124" s="62">
        <f>表2_36716262930345[[#This Row],[累计净值]]</f>
        <v>1.147</v>
      </c>
      <c r="G124" s="20">
        <f>表2_36716262930345[[#This Row],[累计净值]]/$B$22-1</f>
        <v>-2.7966101694915202E-2</v>
      </c>
      <c r="J124" s="69"/>
      <c r="K124" s="70"/>
      <c r="L124" s="70"/>
      <c r="M124" s="70"/>
      <c r="N124" s="70"/>
    </row>
    <row r="125" spans="1:14">
      <c r="A125" s="15">
        <v>43853</v>
      </c>
      <c r="B125" s="16">
        <v>1.135</v>
      </c>
      <c r="C125" s="73">
        <f t="shared" si="18"/>
        <v>-1.2000000000000011E-2</v>
      </c>
      <c r="D125" s="18">
        <f t="shared" si="19"/>
        <v>-1.2000000000000011E-2</v>
      </c>
      <c r="E125" s="18">
        <f ca="1">IF(表2_36716262930345[[#This Row],[累计净值]]/MAX(INDIRECT("B21:B" &amp; ROW()))-1&lt;E124,表2_36716262930345[[#This Row],[累计净值]]/MAX(INDIRECT("B21:B" &amp; ROW()))-1,E124)</f>
        <v>-7.4978938500421255E-2</v>
      </c>
      <c r="F125" s="62">
        <f>表2_36716262930345[[#This Row],[累计净值]]</f>
        <v>1.135</v>
      </c>
      <c r="G125" s="20">
        <f>表2_36716262930345[[#This Row],[累计净值]]/$B$22-1</f>
        <v>-3.8135593220338881E-2</v>
      </c>
      <c r="J125" s="69"/>
      <c r="K125" s="70"/>
      <c r="L125" s="70"/>
      <c r="M125" s="70"/>
      <c r="N125" s="70"/>
    </row>
    <row r="126" spans="1:14">
      <c r="A126" s="15">
        <v>43864</v>
      </c>
      <c r="B126" s="16">
        <v>1.0940000000000001</v>
      </c>
      <c r="C126" s="73">
        <f t="shared" si="18"/>
        <v>-4.0999999999999925E-2</v>
      </c>
      <c r="D126" s="18">
        <f t="shared" si="19"/>
        <v>-4.0999999999999925E-2</v>
      </c>
      <c r="E126" s="18">
        <f ca="1">IF(表2_36716262930345[[#This Row],[累计净值]]/MAX(INDIRECT("B21:B" &amp; ROW()))-1&lt;E125,表2_36716262930345[[#This Row],[累计净值]]/MAX(INDIRECT("B21:B" &amp; ROW()))-1,E125)</f>
        <v>-7.8348778433024457E-2</v>
      </c>
      <c r="F126" s="62">
        <f>表2_36716262930345[[#This Row],[累计净值]]</f>
        <v>1.0940000000000001</v>
      </c>
      <c r="G126" s="20">
        <f>表2_36716262930345[[#This Row],[累计净值]]/$B$22-1</f>
        <v>-7.288135593220324E-2</v>
      </c>
      <c r="J126" s="69"/>
      <c r="K126" s="70"/>
      <c r="L126" s="70"/>
      <c r="M126" s="70"/>
      <c r="N126" s="70"/>
    </row>
    <row r="127" spans="1:14">
      <c r="A127" s="15">
        <v>43865</v>
      </c>
      <c r="B127" s="16">
        <v>1.091</v>
      </c>
      <c r="C127" s="73">
        <f t="shared" si="18"/>
        <v>-3.0000000000001137E-3</v>
      </c>
      <c r="D127" s="18">
        <f t="shared" si="19"/>
        <v>-3.0000000000001137E-3</v>
      </c>
      <c r="E127" s="18">
        <f ca="1">IF(表2_36716262930345[[#This Row],[累计净值]]/MAX(INDIRECT("B21:B" &amp; ROW()))-1&lt;E126,表2_36716262930345[[#This Row],[累计净值]]/MAX(INDIRECT("B21:B" &amp; ROW()))-1,E126)</f>
        <v>-8.0876158382476859E-2</v>
      </c>
      <c r="F127" s="62">
        <f>表2_36716262930345[[#This Row],[累计净值]]</f>
        <v>1.091</v>
      </c>
      <c r="G127" s="20">
        <f>表2_36716262930345[[#This Row],[累计净值]]/$B$22-1</f>
        <v>-7.5423728813559299E-2</v>
      </c>
      <c r="J127" s="69"/>
      <c r="K127" s="70"/>
      <c r="L127" s="70"/>
      <c r="M127" s="70"/>
      <c r="N127" s="70"/>
    </row>
    <row r="128" spans="1:14">
      <c r="A128" s="15">
        <v>43866</v>
      </c>
      <c r="B128" s="16">
        <v>1.091</v>
      </c>
      <c r="C128" s="73">
        <f t="shared" si="18"/>
        <v>0</v>
      </c>
      <c r="D128" s="18" t="str">
        <f t="shared" si="19"/>
        <v>/</v>
      </c>
      <c r="E128" s="18">
        <f ca="1">IF(表2_36716262930345[[#This Row],[累计净值]]/MAX(INDIRECT("B21:B" &amp; ROW()))-1&lt;E127,表2_36716262930345[[#This Row],[累计净值]]/MAX(INDIRECT("B21:B" &amp; ROW()))-1,E127)</f>
        <v>-8.0876158382476859E-2</v>
      </c>
      <c r="F128" s="62">
        <f>表2_36716262930345[[#This Row],[累计净值]]</f>
        <v>1.091</v>
      </c>
      <c r="G128" s="20">
        <f>表2_36716262930345[[#This Row],[累计净值]]/$B$22-1</f>
        <v>-7.5423728813559299E-2</v>
      </c>
      <c r="J128" s="69"/>
      <c r="K128" s="70"/>
      <c r="L128" s="70"/>
      <c r="M128" s="70"/>
      <c r="N128" s="70"/>
    </row>
    <row r="129" spans="1:14">
      <c r="A129" s="15">
        <v>43867</v>
      </c>
      <c r="B129" s="16">
        <v>1.1020000000000001</v>
      </c>
      <c r="C129" s="73">
        <f t="shared" si="18"/>
        <v>1.1000000000000121E-2</v>
      </c>
      <c r="D129" s="18" t="str">
        <f t="shared" si="19"/>
        <v>/</v>
      </c>
      <c r="E129" s="18">
        <f ca="1">IF(表2_36716262930345[[#This Row],[累计净值]]/MAX(INDIRECT("B21:B" &amp; ROW()))-1&lt;E128,表2_36716262930345[[#This Row],[累计净值]]/MAX(INDIRECT("B21:B" &amp; ROW()))-1,E128)</f>
        <v>-8.0876158382476859E-2</v>
      </c>
      <c r="F129" s="62">
        <f>表2_36716262930345[[#This Row],[累计净值]]</f>
        <v>1.1020000000000001</v>
      </c>
      <c r="G129" s="20">
        <f>表2_36716262930345[[#This Row],[累计净值]]/$B$22-1</f>
        <v>-6.6101694915254083E-2</v>
      </c>
      <c r="J129" s="69"/>
      <c r="K129" s="70"/>
      <c r="L129" s="70"/>
      <c r="M129" s="70"/>
      <c r="N129" s="70"/>
    </row>
    <row r="130" spans="1:14">
      <c r="A130" s="15">
        <v>43868</v>
      </c>
      <c r="B130" s="16">
        <v>1.105</v>
      </c>
      <c r="C130" s="73">
        <f t="shared" si="18"/>
        <v>2.9999999999998916E-3</v>
      </c>
      <c r="D130" s="18" t="str">
        <f t="shared" si="19"/>
        <v>/</v>
      </c>
      <c r="E130" s="18">
        <f ca="1">IF(表2_36716262930345[[#This Row],[累计净值]]/MAX(INDIRECT("B21:B" &amp; ROW()))-1&lt;E129,表2_36716262930345[[#This Row],[累计净值]]/MAX(INDIRECT("B21:B" &amp; ROW()))-1,E129)</f>
        <v>-8.0876158382476859E-2</v>
      </c>
      <c r="F130" s="62">
        <f>表2_36716262930345[[#This Row],[累计净值]]</f>
        <v>1.105</v>
      </c>
      <c r="G130" s="20">
        <f>表2_36716262930345[[#This Row],[累计净值]]/$B$22-1</f>
        <v>-6.3559322033898247E-2</v>
      </c>
      <c r="J130" s="69"/>
      <c r="K130" s="70"/>
      <c r="L130" s="70"/>
      <c r="M130" s="70"/>
      <c r="N130" s="70"/>
    </row>
    <row r="131" spans="1:14">
      <c r="A131" s="15">
        <v>43871</v>
      </c>
      <c r="B131" s="16">
        <v>1.1040000000000001</v>
      </c>
      <c r="C131" s="73">
        <f t="shared" si="18"/>
        <v>-9.9999999999988987E-4</v>
      </c>
      <c r="D131" s="18">
        <f t="shared" si="19"/>
        <v>-9.9999999999988987E-4</v>
      </c>
      <c r="E131" s="18">
        <f ca="1">IF(表2_36716262930345[[#This Row],[累计净值]]/MAX(INDIRECT("B21:B" &amp; ROW()))-1&lt;E130,表2_36716262930345[[#This Row],[累计净值]]/MAX(INDIRECT("B21:B" &amp; ROW()))-1,E130)</f>
        <v>-8.0876158382476859E-2</v>
      </c>
      <c r="F131" s="62">
        <f>表2_36716262930345[[#This Row],[累计净值]]</f>
        <v>1.1040000000000001</v>
      </c>
      <c r="G131" s="20">
        <f>表2_36716262930345[[#This Row],[累计净值]]/$B$22-1</f>
        <v>-6.4406779661016822E-2</v>
      </c>
      <c r="J131" s="69"/>
      <c r="K131" s="70"/>
      <c r="L131" s="70"/>
      <c r="M131" s="70"/>
      <c r="N131" s="70"/>
    </row>
    <row r="132" spans="1:14">
      <c r="A132" s="15">
        <v>43872</v>
      </c>
      <c r="B132" s="16">
        <v>1.1020000000000001</v>
      </c>
      <c r="C132" s="73">
        <f t="shared" si="18"/>
        <v>-2.0000000000000018E-3</v>
      </c>
      <c r="D132" s="18">
        <f t="shared" si="19"/>
        <v>-2.0000000000000018E-3</v>
      </c>
      <c r="E132" s="18">
        <f ca="1">IF(表2_36716262930345[[#This Row],[累计净值]]/MAX(INDIRECT("B21:B" &amp; ROW()))-1&lt;E131,表2_36716262930345[[#This Row],[累计净值]]/MAX(INDIRECT("B21:B" &amp; ROW()))-1,E131)</f>
        <v>-8.0876158382476859E-2</v>
      </c>
      <c r="F132" s="62">
        <f>表2_36716262930345[[#This Row],[累计净值]]</f>
        <v>1.1020000000000001</v>
      </c>
      <c r="G132" s="20">
        <f>表2_36716262930345[[#This Row],[累计净值]]/$B$22-1</f>
        <v>-6.6101694915254083E-2</v>
      </c>
      <c r="J132" s="69"/>
      <c r="K132" s="70"/>
      <c r="L132" s="70"/>
      <c r="M132" s="70"/>
      <c r="N132" s="70"/>
    </row>
    <row r="133" spans="1:14">
      <c r="A133" s="15">
        <v>43873</v>
      </c>
      <c r="B133" s="16">
        <v>1.107</v>
      </c>
      <c r="C133" s="73">
        <f t="shared" si="18"/>
        <v>4.9999999999998934E-3</v>
      </c>
      <c r="D133" s="18" t="str">
        <f t="shared" si="19"/>
        <v>/</v>
      </c>
      <c r="E133" s="18">
        <f ca="1">IF(表2_36716262930345[[#This Row],[累计净值]]/MAX(INDIRECT("B21:B" &amp; ROW()))-1&lt;E132,表2_36716262930345[[#This Row],[累计净值]]/MAX(INDIRECT("B21:B" &amp; ROW()))-1,E132)</f>
        <v>-8.0876158382476859E-2</v>
      </c>
      <c r="F133" s="62">
        <f>表2_36716262930345[[#This Row],[累计净值]]</f>
        <v>1.107</v>
      </c>
      <c r="G133" s="20">
        <f>表2_36716262930345[[#This Row],[累计净值]]/$B$22-1</f>
        <v>-6.1864406779660985E-2</v>
      </c>
      <c r="J133" s="69"/>
      <c r="K133" s="70"/>
      <c r="L133" s="70"/>
      <c r="M133" s="70"/>
      <c r="N133" s="70"/>
    </row>
    <row r="134" spans="1:14">
      <c r="A134" s="15">
        <v>43874</v>
      </c>
      <c r="B134" s="16">
        <v>1.1040000000000001</v>
      </c>
      <c r="C134" s="73">
        <f t="shared" si="18"/>
        <v>-2.9999999999998916E-3</v>
      </c>
      <c r="D134" s="18">
        <f t="shared" si="19"/>
        <v>-2.9999999999998916E-3</v>
      </c>
      <c r="E134" s="18">
        <f ca="1">IF(表2_36716262930345[[#This Row],[累计净值]]/MAX(INDIRECT("B21:B" &amp; ROW()))-1&lt;E133,表2_36716262930345[[#This Row],[累计净值]]/MAX(INDIRECT("B21:B" &amp; ROW()))-1,E133)</f>
        <v>-8.0876158382476859E-2</v>
      </c>
      <c r="F134" s="62">
        <f>表2_36716262930345[[#This Row],[累计净值]]</f>
        <v>1.1040000000000001</v>
      </c>
      <c r="G134" s="20">
        <f>表2_36716262930345[[#This Row],[累计净值]]/$B$22-1</f>
        <v>-6.4406779661016822E-2</v>
      </c>
      <c r="J134" s="69"/>
      <c r="K134" s="70"/>
      <c r="L134" s="70"/>
      <c r="M134" s="70"/>
      <c r="N134" s="70"/>
    </row>
    <row r="135" spans="1:14">
      <c r="A135" s="15">
        <v>43875</v>
      </c>
      <c r="B135" s="16">
        <v>1.1020000000000001</v>
      </c>
      <c r="C135" s="73">
        <f t="shared" si="18"/>
        <v>-2.0000000000000018E-3</v>
      </c>
      <c r="D135" s="18">
        <f t="shared" si="19"/>
        <v>-2.0000000000000018E-3</v>
      </c>
      <c r="E135" s="18">
        <f ca="1">IF(表2_36716262930345[[#This Row],[累计净值]]/MAX(INDIRECT("B21:B" &amp; ROW()))-1&lt;E134,表2_36716262930345[[#This Row],[累计净值]]/MAX(INDIRECT("B21:B" &amp; ROW()))-1,E134)</f>
        <v>-8.0876158382476859E-2</v>
      </c>
      <c r="F135" s="62">
        <f>表2_36716262930345[[#This Row],[累计净值]]</f>
        <v>1.1020000000000001</v>
      </c>
      <c r="G135" s="20">
        <f>表2_36716262930345[[#This Row],[累计净值]]/$B$22-1</f>
        <v>-6.6101694915254083E-2</v>
      </c>
      <c r="J135" s="69"/>
      <c r="K135" s="70"/>
      <c r="L135" s="70"/>
      <c r="M135" s="70"/>
      <c r="N135" s="70"/>
    </row>
    <row r="136" spans="1:14">
      <c r="A136" s="15">
        <v>43878</v>
      </c>
      <c r="B136" s="16">
        <v>1.1000000000000001</v>
      </c>
      <c r="C136" s="73">
        <f t="shared" si="18"/>
        <v>-2.0000000000000018E-3</v>
      </c>
      <c r="D136" s="18">
        <f t="shared" si="19"/>
        <v>-2.0000000000000018E-3</v>
      </c>
      <c r="E136" s="18">
        <f ca="1">IF(表2_36716262930345[[#This Row],[累计净值]]/MAX(INDIRECT("B21:B" &amp; ROW()))-1&lt;E135,表2_36716262930345[[#This Row],[累计净值]]/MAX(INDIRECT("B21:B" &amp; ROW()))-1,E135)</f>
        <v>-8.0876158382476859E-2</v>
      </c>
      <c r="F136" s="62">
        <f>表2_36716262930345[[#This Row],[累计净值]]</f>
        <v>1.1000000000000001</v>
      </c>
      <c r="G136" s="20">
        <f>表2_36716262930345[[#This Row],[累计净值]]/$B$22-1</f>
        <v>-6.7796610169491456E-2</v>
      </c>
      <c r="J136" s="69"/>
      <c r="K136" s="70"/>
      <c r="L136" s="70"/>
      <c r="M136" s="70"/>
      <c r="N136" s="70"/>
    </row>
    <row r="137" spans="1:14">
      <c r="A137" s="15">
        <v>43879</v>
      </c>
      <c r="B137" s="16">
        <v>1.1000000000000001</v>
      </c>
      <c r="C137" s="73">
        <f t="shared" si="18"/>
        <v>0</v>
      </c>
      <c r="D137" s="18" t="str">
        <f t="shared" si="19"/>
        <v>/</v>
      </c>
      <c r="E137" s="18">
        <f ca="1">IF(表2_36716262930345[[#This Row],[累计净值]]/MAX(INDIRECT("B21:B" &amp; ROW()))-1&lt;E136,表2_36716262930345[[#This Row],[累计净值]]/MAX(INDIRECT("B21:B" &amp; ROW()))-1,E136)</f>
        <v>-8.0876158382476859E-2</v>
      </c>
      <c r="F137" s="62">
        <f>表2_36716262930345[[#This Row],[累计净值]]</f>
        <v>1.1000000000000001</v>
      </c>
      <c r="G137" s="20">
        <f>表2_36716262930345[[#This Row],[累计净值]]/$B$22-1</f>
        <v>-6.7796610169491456E-2</v>
      </c>
      <c r="J137" s="69"/>
      <c r="K137" s="70"/>
      <c r="L137" s="70"/>
      <c r="M137" s="70"/>
      <c r="N137" s="70"/>
    </row>
    <row r="138" spans="1:14">
      <c r="A138" s="15">
        <v>43880</v>
      </c>
      <c r="B138" s="16">
        <v>1.1020000000000001</v>
      </c>
      <c r="C138" s="73">
        <f t="shared" si="18"/>
        <v>2.0000000000000018E-3</v>
      </c>
      <c r="D138" s="18" t="str">
        <f t="shared" si="19"/>
        <v>/</v>
      </c>
      <c r="E138" s="18">
        <f ca="1">IF(表2_36716262930345[[#This Row],[累计净值]]/MAX(INDIRECT("B21:B" &amp; ROW()))-1&lt;E137,表2_36716262930345[[#This Row],[累计净值]]/MAX(INDIRECT("B21:B" &amp; ROW()))-1,E137)</f>
        <v>-8.0876158382476859E-2</v>
      </c>
      <c r="F138" s="62">
        <f>表2_36716262930345[[#This Row],[累计净值]]</f>
        <v>1.1020000000000001</v>
      </c>
      <c r="G138" s="20">
        <f>表2_36716262930345[[#This Row],[累计净值]]/$B$22-1</f>
        <v>-6.6101694915254083E-2</v>
      </c>
      <c r="J138" s="69"/>
      <c r="K138" s="70"/>
      <c r="L138" s="70"/>
      <c r="M138" s="70"/>
      <c r="N138" s="70"/>
    </row>
    <row r="139" spans="1:14">
      <c r="A139" s="15">
        <v>43881</v>
      </c>
      <c r="B139" s="16">
        <v>1.097</v>
      </c>
      <c r="C139" s="73">
        <f t="shared" si="18"/>
        <v>-5.0000000000001155E-3</v>
      </c>
      <c r="D139" s="18">
        <f t="shared" si="19"/>
        <v>-5.0000000000001155E-3</v>
      </c>
      <c r="E139" s="18">
        <f ca="1">IF(表2_36716262930345[[#This Row],[累计净值]]/MAX(INDIRECT("B21:B" &amp; ROW()))-1&lt;E138,表2_36716262930345[[#This Row],[累计净值]]/MAX(INDIRECT("B21:B" &amp; ROW()))-1,E138)</f>
        <v>-8.0876158382476859E-2</v>
      </c>
      <c r="F139" s="62">
        <f>表2_36716262930345[[#This Row],[累计净值]]</f>
        <v>1.097</v>
      </c>
      <c r="G139" s="20">
        <f>表2_36716262930345[[#This Row],[累计净值]]/$B$22-1</f>
        <v>-7.0338983050847403E-2</v>
      </c>
      <c r="J139" s="69"/>
      <c r="K139" s="70"/>
      <c r="L139" s="70"/>
      <c r="M139" s="70"/>
      <c r="N139" s="70"/>
    </row>
    <row r="140" spans="1:14">
      <c r="A140" s="15">
        <v>43882</v>
      </c>
      <c r="B140" s="16">
        <v>1.0980000000000001</v>
      </c>
      <c r="C140" s="73">
        <f t="shared" si="18"/>
        <v>1.0000000000001119E-3</v>
      </c>
      <c r="D140" s="18" t="str">
        <f t="shared" si="19"/>
        <v>/</v>
      </c>
      <c r="E140" s="18">
        <f ca="1">IF(表2_36716262930345[[#This Row],[累计净值]]/MAX(INDIRECT("B21:B" &amp; ROW()))-1&lt;E139,表2_36716262930345[[#This Row],[累计净值]]/MAX(INDIRECT("B21:B" &amp; ROW()))-1,E139)</f>
        <v>-8.0876158382476859E-2</v>
      </c>
      <c r="F140" s="62">
        <f>表2_36716262930345[[#This Row],[累计净值]]</f>
        <v>1.0980000000000001</v>
      </c>
      <c r="G140" s="20">
        <f>表2_36716262930345[[#This Row],[累计净值]]/$B$22-1</f>
        <v>-6.9491525423728717E-2</v>
      </c>
      <c r="J140" s="69"/>
      <c r="K140" s="70"/>
      <c r="L140" s="70"/>
      <c r="M140" s="70"/>
      <c r="N140" s="70"/>
    </row>
    <row r="141" spans="1:14">
      <c r="A141" s="15">
        <v>43885</v>
      </c>
      <c r="B141" s="16">
        <v>1.107</v>
      </c>
      <c r="C141" s="73">
        <f t="shared" si="18"/>
        <v>8.999999999999897E-3</v>
      </c>
      <c r="D141" s="18" t="str">
        <f t="shared" si="19"/>
        <v>/</v>
      </c>
      <c r="E141" s="18">
        <f ca="1">IF(表2_36716262930345[[#This Row],[累计净值]]/MAX(INDIRECT("B21:B" &amp; ROW()))-1&lt;E140,表2_36716262930345[[#This Row],[累计净值]]/MAX(INDIRECT("B21:B" &amp; ROW()))-1,E140)</f>
        <v>-8.0876158382476859E-2</v>
      </c>
      <c r="F141" s="62">
        <f>表2_36716262930345[[#This Row],[累计净值]]</f>
        <v>1.107</v>
      </c>
      <c r="G141" s="20">
        <f>表2_36716262930345[[#This Row],[累计净值]]/$B$22-1</f>
        <v>-6.1864406779660985E-2</v>
      </c>
      <c r="J141" s="69"/>
      <c r="K141" s="70"/>
      <c r="L141" s="70"/>
      <c r="M141" s="70"/>
      <c r="N141" s="70"/>
    </row>
    <row r="142" spans="1:14">
      <c r="A142" s="15">
        <v>43886</v>
      </c>
      <c r="B142" s="16">
        <v>1.1100000000000001</v>
      </c>
      <c r="C142" s="73">
        <f t="shared" si="18"/>
        <v>3.0000000000001137E-3</v>
      </c>
      <c r="D142" s="18" t="str">
        <f t="shared" si="19"/>
        <v>/</v>
      </c>
      <c r="E142" s="18">
        <f ca="1">IF(表2_36716262930345[[#This Row],[累计净值]]/MAX(INDIRECT("B21:B" &amp; ROW()))-1&lt;E141,表2_36716262930345[[#This Row],[累计净值]]/MAX(INDIRECT("B21:B" &amp; ROW()))-1,E141)</f>
        <v>-8.0876158382476859E-2</v>
      </c>
      <c r="F142" s="62">
        <f>表2_36716262930345[[#This Row],[累计净值]]</f>
        <v>1.1100000000000001</v>
      </c>
      <c r="G142" s="20">
        <f>表2_36716262930345[[#This Row],[累计净值]]/$B$22-1</f>
        <v>-5.9322033898304927E-2</v>
      </c>
      <c r="J142" s="69"/>
      <c r="K142" s="70"/>
      <c r="L142" s="70"/>
      <c r="M142" s="70"/>
      <c r="N142" s="70"/>
    </row>
    <row r="143" spans="1:14">
      <c r="A143" s="15">
        <v>43887</v>
      </c>
      <c r="B143" s="16">
        <v>1.109</v>
      </c>
      <c r="C143" s="73">
        <f t="shared" si="18"/>
        <v>-1.0000000000001119E-3</v>
      </c>
      <c r="D143" s="18">
        <f t="shared" si="19"/>
        <v>-1.0000000000001119E-3</v>
      </c>
      <c r="E143" s="18">
        <f ca="1">IF(表2_36716262930345[[#This Row],[累计净值]]/MAX(INDIRECT("B21:B" &amp; ROW()))-1&lt;E142,表2_36716262930345[[#This Row],[累计净值]]/MAX(INDIRECT("B21:B" &amp; ROW()))-1,E142)</f>
        <v>-8.0876158382476859E-2</v>
      </c>
      <c r="F143" s="62">
        <f>表2_36716262930345[[#This Row],[累计净值]]</f>
        <v>1.109</v>
      </c>
      <c r="G143" s="20">
        <f>表2_36716262930345[[#This Row],[累计净值]]/$B$22-1</f>
        <v>-6.0169491525423724E-2</v>
      </c>
      <c r="J143" s="69"/>
      <c r="K143" s="70"/>
      <c r="L143" s="70"/>
      <c r="M143" s="70"/>
      <c r="N143" s="70"/>
    </row>
    <row r="144" spans="1:14">
      <c r="A144" s="15">
        <v>43888</v>
      </c>
      <c r="B144" s="16">
        <v>1.1160000000000001</v>
      </c>
      <c r="C144" s="73">
        <f t="shared" si="18"/>
        <v>7.0000000000001172E-3</v>
      </c>
      <c r="D144" s="18" t="str">
        <f t="shared" si="19"/>
        <v>/</v>
      </c>
      <c r="E144" s="18">
        <f ca="1">IF(表2_36716262930345[[#This Row],[累计净值]]/MAX(INDIRECT("B21:B" &amp; ROW()))-1&lt;E143,表2_36716262930345[[#This Row],[累计净值]]/MAX(INDIRECT("B21:B" &amp; ROW()))-1,E143)</f>
        <v>-8.0876158382476859E-2</v>
      </c>
      <c r="F144" s="62">
        <f>表2_36716262930345[[#This Row],[累计净值]]</f>
        <v>1.1160000000000001</v>
      </c>
      <c r="G144" s="20">
        <f>表2_36716262930345[[#This Row],[累计净值]]/$B$22-1</f>
        <v>-5.4237288135593031E-2</v>
      </c>
      <c r="J144" s="69"/>
      <c r="K144" s="70"/>
      <c r="L144" s="70"/>
      <c r="M144" s="70"/>
      <c r="N144" s="70"/>
    </row>
    <row r="145" spans="1:14">
      <c r="A145" s="15">
        <v>43889</v>
      </c>
      <c r="B145" s="16">
        <v>1.119</v>
      </c>
      <c r="C145" s="73">
        <f t="shared" si="18"/>
        <v>2.9999999999998916E-3</v>
      </c>
      <c r="D145" s="18" t="str">
        <f t="shared" si="19"/>
        <v>/</v>
      </c>
      <c r="E145" s="18">
        <f ca="1">IF(表2_36716262930345[[#This Row],[累计净值]]/MAX(INDIRECT("B21:B" &amp; ROW()))-1&lt;E144,表2_36716262930345[[#This Row],[累计净值]]/MAX(INDIRECT("B21:B" &amp; ROW()))-1,E144)</f>
        <v>-8.0876158382476859E-2</v>
      </c>
      <c r="F145" s="62">
        <f>表2_36716262930345[[#This Row],[累计净值]]</f>
        <v>1.119</v>
      </c>
      <c r="G145" s="20">
        <f>表2_36716262930345[[#This Row],[累计净值]]/$B$22-1</f>
        <v>-5.1694915254237195E-2</v>
      </c>
      <c r="J145" s="69"/>
      <c r="K145" s="70"/>
      <c r="L145" s="70"/>
      <c r="M145" s="70"/>
      <c r="N145" s="70"/>
    </row>
    <row r="146" spans="1:14">
      <c r="A146" s="15">
        <v>43892</v>
      </c>
      <c r="B146" s="16">
        <v>1.115</v>
      </c>
      <c r="C146" s="73">
        <f t="shared" si="18"/>
        <v>-4.0000000000000036E-3</v>
      </c>
      <c r="D146" s="18">
        <f t="shared" si="19"/>
        <v>-4.0000000000000036E-3</v>
      </c>
      <c r="E146" s="18">
        <f ca="1">IF(表2_36716262930345[[#This Row],[累计净值]]/MAX(INDIRECT("B21:B" &amp; ROW()))-1&lt;E145,表2_36716262930345[[#This Row],[累计净值]]/MAX(INDIRECT("B21:B" &amp; ROW()))-1,E145)</f>
        <v>-8.0876158382476859E-2</v>
      </c>
      <c r="F146" s="62">
        <f>表2_36716262930345[[#This Row],[累计净值]]</f>
        <v>1.115</v>
      </c>
      <c r="G146" s="20">
        <f>表2_36716262930345[[#This Row],[累计净值]]/$B$22-1</f>
        <v>-5.5084745762711829E-2</v>
      </c>
      <c r="J146" s="69"/>
      <c r="K146" s="70"/>
      <c r="L146" s="70"/>
      <c r="M146" s="70"/>
      <c r="N146" s="70"/>
    </row>
    <row r="147" spans="1:14">
      <c r="A147" s="15">
        <v>43893</v>
      </c>
      <c r="B147" s="16">
        <v>1.0980000000000001</v>
      </c>
      <c r="C147" s="73">
        <f t="shared" si="18"/>
        <v>-1.6999999999999904E-2</v>
      </c>
      <c r="D147" s="18">
        <f t="shared" si="19"/>
        <v>-1.6999999999999904E-2</v>
      </c>
      <c r="E147" s="18">
        <f ca="1">IF(表2_36716262930345[[#This Row],[累计净值]]/MAX(INDIRECT("B21:B" &amp; ROW()))-1&lt;E146,表2_36716262930345[[#This Row],[累计净值]]/MAX(INDIRECT("B21:B" &amp; ROW()))-1,E146)</f>
        <v>-8.0876158382476859E-2</v>
      </c>
      <c r="F147" s="62">
        <f>表2_36716262930345[[#This Row],[累计净值]]</f>
        <v>1.0980000000000001</v>
      </c>
      <c r="G147" s="20">
        <f>表2_36716262930345[[#This Row],[累计净值]]/$B$22-1</f>
        <v>-6.9491525423728717E-2</v>
      </c>
      <c r="J147" s="69"/>
      <c r="K147" s="70"/>
      <c r="L147" s="70"/>
      <c r="M147" s="70"/>
      <c r="N147" s="70"/>
    </row>
    <row r="148" spans="1:14">
      <c r="A148" s="15">
        <v>43894</v>
      </c>
      <c r="B148" s="16">
        <v>1.101</v>
      </c>
      <c r="C148" s="73">
        <f t="shared" si="18"/>
        <v>2.9999999999998916E-3</v>
      </c>
      <c r="D148" s="18" t="str">
        <f t="shared" si="19"/>
        <v>/</v>
      </c>
      <c r="E148" s="18">
        <f ca="1">IF(表2_36716262930345[[#This Row],[累计净值]]/MAX(INDIRECT("B21:B" &amp; ROW()))-1&lt;E147,表2_36716262930345[[#This Row],[累计净值]]/MAX(INDIRECT("B21:B" &amp; ROW()))-1,E147)</f>
        <v>-8.0876158382476859E-2</v>
      </c>
      <c r="F148" s="62">
        <f>表2_36716262930345[[#This Row],[累计净值]]</f>
        <v>1.101</v>
      </c>
      <c r="G148" s="20">
        <f>表2_36716262930345[[#This Row],[累计净值]]/$B$22-1</f>
        <v>-6.6949152542372881E-2</v>
      </c>
      <c r="J148" s="69"/>
      <c r="K148" s="70"/>
      <c r="L148" s="70"/>
      <c r="M148" s="70"/>
      <c r="N148" s="70"/>
    </row>
    <row r="149" spans="1:14">
      <c r="A149" s="15">
        <v>43895</v>
      </c>
      <c r="B149" s="16">
        <v>1.097</v>
      </c>
      <c r="C149" s="73">
        <f t="shared" si="18"/>
        <v>-4.0000000000000036E-3</v>
      </c>
      <c r="D149" s="18">
        <f t="shared" si="19"/>
        <v>-4.0000000000000036E-3</v>
      </c>
      <c r="E149" s="18">
        <f ca="1">IF(表2_36716262930345[[#This Row],[累计净值]]/MAX(INDIRECT("B21:B" &amp; ROW()))-1&lt;E148,表2_36716262930345[[#This Row],[累计净值]]/MAX(INDIRECT("B21:B" &amp; ROW()))-1,E148)</f>
        <v>-8.0876158382476859E-2</v>
      </c>
      <c r="F149" s="62">
        <f>表2_36716262930345[[#This Row],[累计净值]]</f>
        <v>1.097</v>
      </c>
      <c r="G149" s="20">
        <f>表2_36716262930345[[#This Row],[累计净值]]/$B$22-1</f>
        <v>-7.0338983050847403E-2</v>
      </c>
      <c r="J149" s="69"/>
      <c r="K149" s="70"/>
      <c r="L149" s="70"/>
      <c r="M149" s="70"/>
      <c r="N149" s="70"/>
    </row>
    <row r="150" spans="1:14">
      <c r="A150" s="15">
        <v>43896</v>
      </c>
      <c r="B150" s="16">
        <v>1.1020000000000001</v>
      </c>
      <c r="C150" s="73">
        <f t="shared" si="18"/>
        <v>5.0000000000001155E-3</v>
      </c>
      <c r="D150" s="18" t="str">
        <f t="shared" si="19"/>
        <v>/</v>
      </c>
      <c r="E150" s="18">
        <f ca="1">IF(表2_36716262930345[[#This Row],[累计净值]]/MAX(INDIRECT("B21:B" &amp; ROW()))-1&lt;E149,表2_36716262930345[[#This Row],[累计净值]]/MAX(INDIRECT("B21:B" &amp; ROW()))-1,E149)</f>
        <v>-8.0876158382476859E-2</v>
      </c>
      <c r="F150" s="62">
        <f>表2_36716262930345[[#This Row],[累计净值]]</f>
        <v>1.1020000000000001</v>
      </c>
      <c r="G150" s="20">
        <f>表2_36716262930345[[#This Row],[累计净值]]/$B$22-1</f>
        <v>-6.6101694915254083E-2</v>
      </c>
      <c r="J150" s="69"/>
      <c r="K150" s="70"/>
      <c r="L150" s="70"/>
      <c r="M150" s="70"/>
      <c r="N150" s="70"/>
    </row>
    <row r="151" spans="1:14">
      <c r="A151" s="15">
        <v>43899</v>
      </c>
      <c r="B151" s="16">
        <v>1.125</v>
      </c>
      <c r="C151" s="73">
        <f t="shared" ref="C151:C156" si="20">IFERROR(B151-B150,0)</f>
        <v>2.2999999999999909E-2</v>
      </c>
      <c r="D151" s="18" t="str">
        <f t="shared" ref="D151:D156" si="21">IF(C151&lt;0,C151,"/")</f>
        <v>/</v>
      </c>
      <c r="E151" s="18">
        <f ca="1">IF(表2_36716262930345[[#This Row],[累计净值]]/MAX(INDIRECT("B21:B" &amp; ROW()))-1&lt;E150,表2_36716262930345[[#This Row],[累计净值]]/MAX(INDIRECT("B21:B" &amp; ROW()))-1,E150)</f>
        <v>-8.0876158382476859E-2</v>
      </c>
      <c r="F151" s="62">
        <f>表2_36716262930345[[#This Row],[累计净值]]</f>
        <v>1.125</v>
      </c>
      <c r="G151" s="20">
        <f>表2_36716262930345[[#This Row],[累计净值]]/$B$22-1</f>
        <v>-4.6610169491525411E-2</v>
      </c>
      <c r="J151" s="69"/>
      <c r="K151" s="70"/>
      <c r="L151" s="70"/>
      <c r="M151" s="70"/>
      <c r="N151" s="70"/>
    </row>
    <row r="152" spans="1:14">
      <c r="A152" s="15">
        <v>43900</v>
      </c>
      <c r="B152" s="16">
        <v>1.135</v>
      </c>
      <c r="C152" s="73">
        <f t="shared" si="20"/>
        <v>1.0000000000000009E-2</v>
      </c>
      <c r="D152" s="18" t="str">
        <f t="shared" si="21"/>
        <v>/</v>
      </c>
      <c r="E152" s="18">
        <f ca="1">IF(表2_36716262930345[[#This Row],[累计净值]]/MAX(INDIRECT("B21:B" &amp; ROW()))-1&lt;E151,表2_36716262930345[[#This Row],[累计净值]]/MAX(INDIRECT("B21:B" &amp; ROW()))-1,E151)</f>
        <v>-8.0876158382476859E-2</v>
      </c>
      <c r="F152" s="62">
        <f>表2_36716262930345[[#This Row],[累计净值]]</f>
        <v>1.135</v>
      </c>
      <c r="G152" s="20">
        <f>表2_36716262930345[[#This Row],[累计净值]]/$B$22-1</f>
        <v>-3.8135593220338881E-2</v>
      </c>
      <c r="J152" s="69"/>
      <c r="K152" s="70"/>
      <c r="L152" s="70"/>
      <c r="M152" s="70"/>
      <c r="N152" s="70"/>
    </row>
    <row r="153" spans="1:14">
      <c r="A153" s="15">
        <v>43901</v>
      </c>
      <c r="B153" s="16">
        <v>1.1319999999999999</v>
      </c>
      <c r="C153" s="73">
        <f t="shared" si="20"/>
        <v>-3.0000000000001137E-3</v>
      </c>
      <c r="D153" s="18">
        <f t="shared" si="21"/>
        <v>-3.0000000000001137E-3</v>
      </c>
      <c r="E153" s="18">
        <f ca="1">IF(表2_36716262930345[[#This Row],[累计净值]]/MAX(INDIRECT("B21:B" &amp; ROW()))-1&lt;E152,表2_36716262930345[[#This Row],[累计净值]]/MAX(INDIRECT("B21:B" &amp; ROW()))-1,E152)</f>
        <v>-8.0876158382476859E-2</v>
      </c>
      <c r="F153" s="62">
        <f>表2_36716262930345[[#This Row],[累计净值]]</f>
        <v>1.1319999999999999</v>
      </c>
      <c r="G153" s="20">
        <f>表2_36716262930345[[#This Row],[累计净值]]/$B$22-1</f>
        <v>-4.067796610169494E-2</v>
      </c>
      <c r="J153" s="69"/>
      <c r="K153" s="70"/>
      <c r="L153" s="70"/>
      <c r="M153" s="70"/>
      <c r="N153" s="70"/>
    </row>
    <row r="154" spans="1:14">
      <c r="A154" s="15">
        <v>43902</v>
      </c>
      <c r="B154" s="16">
        <v>1.147</v>
      </c>
      <c r="C154" s="73">
        <f t="shared" si="20"/>
        <v>1.5000000000000124E-2</v>
      </c>
      <c r="D154" s="18" t="str">
        <f t="shared" si="21"/>
        <v>/</v>
      </c>
      <c r="E154" s="18">
        <f ca="1">IF(表2_36716262930345[[#This Row],[累计净值]]/MAX(INDIRECT("B21:B" &amp; ROW()))-1&lt;E153,表2_36716262930345[[#This Row],[累计净值]]/MAX(INDIRECT("B21:B" &amp; ROW()))-1,E153)</f>
        <v>-8.0876158382476859E-2</v>
      </c>
      <c r="F154" s="62">
        <f>表2_36716262930345[[#This Row],[累计净值]]</f>
        <v>1.147</v>
      </c>
      <c r="G154" s="20">
        <f>表2_36716262930345[[#This Row],[累计净值]]/$B$22-1</f>
        <v>-2.7966101694915202E-2</v>
      </c>
      <c r="J154" s="69"/>
      <c r="K154" s="70"/>
      <c r="L154" s="70"/>
      <c r="M154" s="70"/>
      <c r="N154" s="70"/>
    </row>
    <row r="155" spans="1:14">
      <c r="A155" s="15">
        <v>43903</v>
      </c>
      <c r="B155" s="16">
        <v>1.151</v>
      </c>
      <c r="C155" s="73">
        <f t="shared" si="20"/>
        <v>4.0000000000000036E-3</v>
      </c>
      <c r="D155" s="18" t="str">
        <f t="shared" si="21"/>
        <v>/</v>
      </c>
      <c r="E155" s="18">
        <f ca="1">IF(表2_36716262930345[[#This Row],[累计净值]]/MAX(INDIRECT("B21:B" &amp; ROW()))-1&lt;E154,表2_36716262930345[[#This Row],[累计净值]]/MAX(INDIRECT("B21:B" &amp; ROW()))-1,E154)</f>
        <v>-8.0876158382476859E-2</v>
      </c>
      <c r="F155" s="62">
        <f>表2_36716262930345[[#This Row],[累计净值]]</f>
        <v>1.151</v>
      </c>
      <c r="G155" s="20">
        <f>表2_36716262930345[[#This Row],[累计净值]]/$B$22-1</f>
        <v>-2.4576271186440568E-2</v>
      </c>
      <c r="J155" s="69"/>
      <c r="K155" s="70"/>
      <c r="L155" s="70"/>
      <c r="M155" s="70"/>
      <c r="N155" s="70"/>
    </row>
    <row r="156" spans="1:14">
      <c r="A156" s="15">
        <v>43906</v>
      </c>
      <c r="B156" s="16">
        <v>1.147</v>
      </c>
      <c r="C156" s="73">
        <f t="shared" si="20"/>
        <v>-4.0000000000000036E-3</v>
      </c>
      <c r="D156" s="18">
        <f t="shared" si="21"/>
        <v>-4.0000000000000036E-3</v>
      </c>
      <c r="E156" s="18">
        <f ca="1">IF(表2_36716262930345[[#This Row],[累计净值]]/MAX(INDIRECT("B21:B" &amp; ROW()))-1&lt;E155,表2_36716262930345[[#This Row],[累计净值]]/MAX(INDIRECT("B21:B" &amp; ROW()))-1,E155)</f>
        <v>-8.0876158382476859E-2</v>
      </c>
      <c r="F156" s="62">
        <f>表2_36716262930345[[#This Row],[累计净值]]</f>
        <v>1.147</v>
      </c>
      <c r="G156" s="20">
        <f>表2_36716262930345[[#This Row],[累计净值]]/$B$22-1</f>
        <v>-2.7966101694915202E-2</v>
      </c>
      <c r="J156" s="69"/>
      <c r="K156" s="70"/>
      <c r="L156" s="70"/>
      <c r="M156" s="70"/>
      <c r="N156" s="70"/>
    </row>
    <row r="157" spans="1:14">
      <c r="A157" s="15">
        <v>43907</v>
      </c>
      <c r="B157" s="16">
        <v>1.151</v>
      </c>
      <c r="C157" s="73">
        <f>IFERROR(B157-B156,0)</f>
        <v>4.0000000000000036E-3</v>
      </c>
      <c r="D157" s="18" t="str">
        <f>IF(C157&lt;0,C157,"/")</f>
        <v>/</v>
      </c>
      <c r="E157" s="18">
        <f ca="1">IF(表2_36716262930345[[#This Row],[累计净值]]/MAX(INDIRECT("B21:B" &amp; ROW()))-1&lt;E156,表2_36716262930345[[#This Row],[累计净值]]/MAX(INDIRECT("B21:B" &amp; ROW()))-1,E156)</f>
        <v>-8.0876158382476859E-2</v>
      </c>
      <c r="F157" s="62">
        <f>表2_36716262930345[[#This Row],[累计净值]]</f>
        <v>1.151</v>
      </c>
      <c r="G157" s="20">
        <f>表2_36716262930345[[#This Row],[累计净值]]/$B$22-1</f>
        <v>-2.4576271186440568E-2</v>
      </c>
      <c r="J157" s="69"/>
      <c r="K157" s="70"/>
      <c r="L157" s="70"/>
      <c r="M157" s="70"/>
      <c r="N157" s="70"/>
    </row>
    <row r="158" spans="1:14">
      <c r="A158" s="15">
        <v>43908</v>
      </c>
      <c r="B158" s="16">
        <v>1.1679999999999999</v>
      </c>
      <c r="C158" s="73">
        <f>IFERROR(B158-B157,0)</f>
        <v>1.6999999999999904E-2</v>
      </c>
      <c r="D158" s="18" t="str">
        <f>IF(C158&lt;0,C158,"/")</f>
        <v>/</v>
      </c>
      <c r="E158" s="18">
        <f ca="1">IF(表2_36716262930345[[#This Row],[累计净值]]/MAX(INDIRECT("B21:B" &amp; ROW()))-1&lt;E157,表2_36716262930345[[#This Row],[累计净值]]/MAX(INDIRECT("B21:B" &amp; ROW()))-1,E157)</f>
        <v>-8.0876158382476859E-2</v>
      </c>
      <c r="F158" s="62">
        <f>表2_36716262930345[[#This Row],[累计净值]]</f>
        <v>1.1679999999999999</v>
      </c>
      <c r="G158" s="20">
        <f>表2_36716262930345[[#This Row],[累计净值]]/$B$22-1</f>
        <v>-1.0169491525423791E-2</v>
      </c>
      <c r="J158" s="69"/>
      <c r="K158" s="70"/>
      <c r="L158" s="70"/>
      <c r="M158" s="70"/>
      <c r="N158" s="70"/>
    </row>
    <row r="159" spans="1:14">
      <c r="A159" s="15">
        <v>43909</v>
      </c>
      <c r="B159" s="16">
        <v>1.1859999999999999</v>
      </c>
      <c r="C159" s="73">
        <f>IFERROR(B159-B158,0)</f>
        <v>1.8000000000000016E-2</v>
      </c>
      <c r="D159" s="18" t="str">
        <f>IF(C159&lt;0,C159,"/")</f>
        <v>/</v>
      </c>
      <c r="E159" s="18">
        <f ca="1">IF(表2_36716262930345[[#This Row],[累计净值]]/MAX(INDIRECT("B21:B" &amp; ROW()))-1&lt;E158,表2_36716262930345[[#This Row],[累计净值]]/MAX(INDIRECT("B21:B" &amp; ROW()))-1,E158)</f>
        <v>-8.0876158382476859E-2</v>
      </c>
      <c r="F159" s="62">
        <f>表2_36716262930345[[#This Row],[累计净值]]</f>
        <v>1.1859999999999999</v>
      </c>
      <c r="G159" s="20">
        <f>表2_36716262930345[[#This Row],[累计净值]]/$B$22-1</f>
        <v>5.0847457627118953E-3</v>
      </c>
      <c r="J159" s="69"/>
      <c r="K159" s="70"/>
      <c r="L159" s="70"/>
      <c r="M159" s="70"/>
      <c r="N159" s="70"/>
    </row>
    <row r="160" spans="1:14">
      <c r="A160" s="15">
        <v>43910</v>
      </c>
      <c r="B160" s="16">
        <v>1.1739999999999999</v>
      </c>
      <c r="C160" s="73">
        <f t="shared" ref="C160:C165" si="22">IFERROR(B160-B159,0)</f>
        <v>-1.2000000000000011E-2</v>
      </c>
      <c r="D160" s="18">
        <f t="shared" ref="D160:D165" si="23">IF(C160&lt;0,C160,"/")</f>
        <v>-1.2000000000000011E-2</v>
      </c>
      <c r="E160" s="18">
        <f ca="1">IF(表2_36716262930345[[#This Row],[累计净值]]/MAX(INDIRECT("B21:B" &amp; ROW()))-1&lt;E159,表2_36716262930345[[#This Row],[累计净值]]/MAX(INDIRECT("B21:B" &amp; ROW()))-1,E159)</f>
        <v>-8.0876158382476859E-2</v>
      </c>
      <c r="F160" s="62">
        <f>表2_36716262930345[[#This Row],[累计净值]]</f>
        <v>1.1739999999999999</v>
      </c>
      <c r="G160" s="20">
        <f>表2_36716262930345[[#This Row],[累计净值]]/$B$22-1</f>
        <v>-5.0847457627118953E-3</v>
      </c>
      <c r="J160" s="69"/>
      <c r="K160" s="70"/>
      <c r="L160" s="70"/>
      <c r="M160" s="70"/>
      <c r="N160" s="70"/>
    </row>
    <row r="161" spans="1:14">
      <c r="A161" s="15">
        <v>43913</v>
      </c>
      <c r="B161" s="16">
        <v>1.1910000000000001</v>
      </c>
      <c r="C161" s="73">
        <f t="shared" si="22"/>
        <v>1.7000000000000126E-2</v>
      </c>
      <c r="D161" s="18" t="str">
        <f t="shared" si="23"/>
        <v>/</v>
      </c>
      <c r="E161" s="18">
        <f ca="1">IF(表2_36716262930345[[#This Row],[累计净值]]/MAX(INDIRECT("B21:B" &amp; ROW()))-1&lt;E160,表2_36716262930345[[#This Row],[累计净值]]/MAX(INDIRECT("B21:B" &amp; ROW()))-1,E160)</f>
        <v>-8.0876158382476859E-2</v>
      </c>
      <c r="F161" s="62">
        <f>表2_36716262930345[[#This Row],[累计净值]]</f>
        <v>1.1910000000000001</v>
      </c>
      <c r="G161" s="20">
        <f>表2_36716262930345[[#This Row],[累计净值]]/$B$22-1</f>
        <v>9.3220338983051043E-3</v>
      </c>
      <c r="J161" s="69"/>
      <c r="K161" s="70"/>
      <c r="L161" s="70"/>
      <c r="M161" s="70"/>
      <c r="N161" s="70"/>
    </row>
    <row r="162" spans="1:14">
      <c r="A162" s="15">
        <v>43914</v>
      </c>
      <c r="B162" s="16">
        <v>1.1910000000000001</v>
      </c>
      <c r="C162" s="73">
        <f t="shared" si="22"/>
        <v>0</v>
      </c>
      <c r="D162" s="18" t="str">
        <f t="shared" si="23"/>
        <v>/</v>
      </c>
      <c r="E162" s="18">
        <f ca="1">IF(表2_36716262930345[[#This Row],[累计净值]]/MAX(INDIRECT("B21:B" &amp; ROW()))-1&lt;E161,表2_36716262930345[[#This Row],[累计净值]]/MAX(INDIRECT("B21:B" &amp; ROW()))-1,E161)</f>
        <v>-8.0876158382476859E-2</v>
      </c>
      <c r="F162" s="62">
        <f>表2_36716262930345[[#This Row],[累计净值]]</f>
        <v>1.1910000000000001</v>
      </c>
      <c r="G162" s="20">
        <f>表2_36716262930345[[#This Row],[累计净值]]/$B$22-1</f>
        <v>9.3220338983051043E-3</v>
      </c>
      <c r="J162" s="69"/>
      <c r="K162" s="70"/>
      <c r="L162" s="70"/>
      <c r="M162" s="70"/>
      <c r="N162" s="70"/>
    </row>
    <row r="163" spans="1:14">
      <c r="A163" s="15">
        <v>43915</v>
      </c>
      <c r="B163" s="16">
        <v>1.1950000000000001</v>
      </c>
      <c r="C163" s="73">
        <f t="shared" si="22"/>
        <v>4.0000000000000036E-3</v>
      </c>
      <c r="D163" s="18" t="str">
        <f t="shared" si="23"/>
        <v>/</v>
      </c>
      <c r="E163" s="18">
        <f ca="1">IF(表2_36716262930345[[#This Row],[累计净值]]/MAX(INDIRECT("B21:B" &amp; ROW()))-1&lt;E162,表2_36716262930345[[#This Row],[累计净值]]/MAX(INDIRECT("B21:B" &amp; ROW()))-1,E162)</f>
        <v>-8.0876158382476859E-2</v>
      </c>
      <c r="F163" s="62">
        <f>表2_36716262930345[[#This Row],[累计净值]]</f>
        <v>1.1950000000000001</v>
      </c>
      <c r="G163" s="20">
        <f>表2_36716262930345[[#This Row],[累计净值]]/$B$22-1</f>
        <v>1.2711864406779849E-2</v>
      </c>
      <c r="J163" s="69"/>
      <c r="K163" s="70"/>
      <c r="L163" s="70"/>
      <c r="M163" s="70"/>
      <c r="N163" s="70"/>
    </row>
    <row r="164" spans="1:14">
      <c r="A164" s="15">
        <v>43916</v>
      </c>
      <c r="B164" s="16">
        <v>1.198</v>
      </c>
      <c r="C164" s="73">
        <f t="shared" si="22"/>
        <v>2.9999999999998916E-3</v>
      </c>
      <c r="D164" s="18" t="str">
        <f t="shared" si="23"/>
        <v>/</v>
      </c>
      <c r="E164" s="18">
        <f ca="1">IF(表2_36716262930345[[#This Row],[累计净值]]/MAX(INDIRECT("B21:B" &amp; ROW()))-1&lt;E163,表2_36716262930345[[#This Row],[累计净值]]/MAX(INDIRECT("B21:B" &amp; ROW()))-1,E163)</f>
        <v>-8.0876158382476859E-2</v>
      </c>
      <c r="F164" s="62">
        <f>表2_36716262930345[[#This Row],[累计净值]]</f>
        <v>1.198</v>
      </c>
      <c r="G164" s="20">
        <f>表2_36716262930345[[#This Row],[累计净值]]/$B$22-1</f>
        <v>1.5254237288135686E-2</v>
      </c>
      <c r="J164" s="69"/>
      <c r="K164" s="70"/>
      <c r="L164" s="70"/>
      <c r="M164" s="70"/>
      <c r="N164" s="70"/>
    </row>
    <row r="165" spans="1:14">
      <c r="A165" s="15">
        <v>43917</v>
      </c>
      <c r="B165" s="16">
        <v>1.1950000000000001</v>
      </c>
      <c r="C165" s="73">
        <f t="shared" si="22"/>
        <v>-2.9999999999998916E-3</v>
      </c>
      <c r="D165" s="18">
        <f t="shared" si="23"/>
        <v>-2.9999999999998916E-3</v>
      </c>
      <c r="E165" s="18">
        <f ca="1">IF(表2_36716262930345[[#This Row],[累计净值]]/MAX(INDIRECT("B21:B" &amp; ROW()))-1&lt;E164,表2_36716262930345[[#This Row],[累计净值]]/MAX(INDIRECT("B21:B" &amp; ROW()))-1,E164)</f>
        <v>-8.0876158382476859E-2</v>
      </c>
      <c r="F165" s="62">
        <f>表2_36716262930345[[#This Row],[累计净值]]</f>
        <v>1.1950000000000001</v>
      </c>
      <c r="G165" s="20">
        <f>表2_36716262930345[[#This Row],[累计净值]]/$B$22-1</f>
        <v>1.2711864406779849E-2</v>
      </c>
      <c r="J165" s="69"/>
      <c r="K165" s="70"/>
      <c r="L165" s="70"/>
      <c r="M165" s="70"/>
      <c r="N165" s="70"/>
    </row>
    <row r="166" spans="1:14">
      <c r="A166" s="15">
        <v>43920</v>
      </c>
      <c r="B166" s="16">
        <v>1.214</v>
      </c>
      <c r="C166" s="73">
        <f t="shared" ref="C166:C171" si="24">IFERROR(B166-B165,0)</f>
        <v>1.8999999999999906E-2</v>
      </c>
      <c r="D166" s="18" t="str">
        <f t="shared" ref="D166:D171" si="25">IF(C166&lt;0,C166,"/")</f>
        <v>/</v>
      </c>
      <c r="E166" s="18">
        <f ca="1">IF(表2_36716262930345[[#This Row],[累计净值]]/MAX(INDIRECT("B21:B" &amp; ROW()))-1&lt;E165,表2_36716262930345[[#This Row],[累计净值]]/MAX(INDIRECT("B21:B" &amp; ROW()))-1,E165)</f>
        <v>-8.0876158382476859E-2</v>
      </c>
      <c r="F166" s="62">
        <f>表2_36716262930345[[#This Row],[累计净值]]</f>
        <v>1.214</v>
      </c>
      <c r="G166" s="20">
        <f>表2_36716262930345[[#This Row],[累计净值]]/$B$22-1</f>
        <v>2.8813559322033999E-2</v>
      </c>
      <c r="J166" s="69"/>
      <c r="K166" s="70"/>
      <c r="L166" s="70"/>
      <c r="M166" s="70"/>
      <c r="N166" s="70"/>
    </row>
    <row r="167" spans="1:14">
      <c r="A167" s="15">
        <v>43921</v>
      </c>
      <c r="B167" s="16">
        <v>1.208</v>
      </c>
      <c r="C167" s="73">
        <f t="shared" si="24"/>
        <v>-6.0000000000000053E-3</v>
      </c>
      <c r="D167" s="18">
        <f t="shared" si="25"/>
        <v>-6.0000000000000053E-3</v>
      </c>
      <c r="E167" s="18">
        <f ca="1">IF(表2_36716262930345[[#This Row],[累计净值]]/MAX(INDIRECT("B21:B" &amp; ROW()))-1&lt;E166,表2_36716262930345[[#This Row],[累计净值]]/MAX(INDIRECT("B21:B" &amp; ROW()))-1,E166)</f>
        <v>-8.0876158382476859E-2</v>
      </c>
      <c r="F167" s="62">
        <f>表2_36716262930345[[#This Row],[累计净值]]</f>
        <v>1.208</v>
      </c>
      <c r="G167" s="20">
        <f>表2_36716262930345[[#This Row],[累计净值]]/$B$22-1</f>
        <v>2.3728813559322104E-2</v>
      </c>
      <c r="J167" s="69"/>
      <c r="K167" s="70"/>
      <c r="L167" s="70"/>
      <c r="M167" s="70"/>
      <c r="N167" s="70"/>
    </row>
    <row r="168" spans="1:14">
      <c r="A168" s="15">
        <v>43922</v>
      </c>
      <c r="B168" s="16">
        <v>1.226</v>
      </c>
      <c r="C168" s="73">
        <f t="shared" si="24"/>
        <v>1.8000000000000016E-2</v>
      </c>
      <c r="D168" s="18" t="str">
        <f t="shared" si="25"/>
        <v>/</v>
      </c>
      <c r="E168" s="18">
        <f ca="1">IF(表2_36716262930345[[#This Row],[累计净值]]/MAX(INDIRECT("B21:B" &amp; ROW()))-1&lt;E167,表2_36716262930345[[#This Row],[累计净值]]/MAX(INDIRECT("B21:B" &amp; ROW()))-1,E167)</f>
        <v>-8.0876158382476859E-2</v>
      </c>
      <c r="F168" s="62">
        <f>表2_36716262930345[[#This Row],[累计净值]]</f>
        <v>1.226</v>
      </c>
      <c r="G168" s="20">
        <f>表2_36716262930345[[#This Row],[累计净值]]/$B$22-1</f>
        <v>3.8983050847457568E-2</v>
      </c>
      <c r="J168" s="69"/>
      <c r="K168" s="70"/>
      <c r="L168" s="70"/>
      <c r="M168" s="70"/>
      <c r="N168" s="70"/>
    </row>
    <row r="169" spans="1:14">
      <c r="A169" s="15">
        <v>43923</v>
      </c>
      <c r="B169" s="16">
        <v>1.212</v>
      </c>
      <c r="C169" s="73">
        <f t="shared" si="24"/>
        <v>-1.4000000000000012E-2</v>
      </c>
      <c r="D169" s="18">
        <f t="shared" si="25"/>
        <v>-1.4000000000000012E-2</v>
      </c>
      <c r="E169" s="18">
        <f ca="1">IF(表2_36716262930345[[#This Row],[累计净值]]/MAX(INDIRECT("B21:B" &amp; ROW()))-1&lt;E168,表2_36716262930345[[#This Row],[累计净值]]/MAX(INDIRECT("B21:B" &amp; ROW()))-1,E168)</f>
        <v>-8.0876158382476859E-2</v>
      </c>
      <c r="F169" s="62">
        <f>表2_36716262930345[[#This Row],[累计净值]]</f>
        <v>1.212</v>
      </c>
      <c r="G169" s="20">
        <f>表2_36716262930345[[#This Row],[累计净值]]/$B$22-1</f>
        <v>2.7118644067796627E-2</v>
      </c>
      <c r="J169" s="69"/>
      <c r="K169" s="70"/>
      <c r="L169" s="70"/>
      <c r="M169" s="70"/>
      <c r="N169" s="70"/>
    </row>
    <row r="170" spans="1:14">
      <c r="A170" s="15">
        <v>43924</v>
      </c>
      <c r="B170" s="16">
        <v>1.1990000000000001</v>
      </c>
      <c r="C170" s="73">
        <f t="shared" si="24"/>
        <v>-1.2999999999999901E-2</v>
      </c>
      <c r="D170" s="18">
        <f t="shared" si="25"/>
        <v>-1.2999999999999901E-2</v>
      </c>
      <c r="E170" s="18">
        <f ca="1">IF(表2_36716262930345[[#This Row],[累计净值]]/MAX(INDIRECT("B21:B" &amp; ROW()))-1&lt;E169,表2_36716262930345[[#This Row],[累计净值]]/MAX(INDIRECT("B21:B" &amp; ROW()))-1,E169)</f>
        <v>-8.0876158382476859E-2</v>
      </c>
      <c r="F170" s="62">
        <f>表2_36716262930345[[#This Row],[累计净值]]</f>
        <v>1.1990000000000001</v>
      </c>
      <c r="G170" s="20">
        <f>表2_36716262930345[[#This Row],[累计净值]]/$B$22-1</f>
        <v>1.6101694915254372E-2</v>
      </c>
      <c r="J170" s="69"/>
      <c r="K170" s="70"/>
      <c r="L170" s="70"/>
      <c r="M170" s="70"/>
      <c r="N170" s="70"/>
    </row>
    <row r="171" spans="1:14">
      <c r="A171" s="15">
        <v>43928</v>
      </c>
      <c r="B171" s="16">
        <v>1.202</v>
      </c>
      <c r="C171" s="73">
        <f t="shared" si="24"/>
        <v>2.9999999999998916E-3</v>
      </c>
      <c r="D171" s="18" t="str">
        <f t="shared" si="25"/>
        <v>/</v>
      </c>
      <c r="E171" s="18">
        <f ca="1">IF(表2_36716262930345[[#This Row],[累计净值]]/MAX(INDIRECT("B21:B" &amp; ROW()))-1&lt;E170,表2_36716262930345[[#This Row],[累计净值]]/MAX(INDIRECT("B21:B" &amp; ROW()))-1,E170)</f>
        <v>-8.0876158382476859E-2</v>
      </c>
      <c r="F171" s="62">
        <f>表2_36716262930345[[#This Row],[累计净值]]</f>
        <v>1.202</v>
      </c>
      <c r="G171" s="20">
        <f>表2_36716262930345[[#This Row],[累计净值]]/$B$22-1</f>
        <v>1.8644067796610209E-2</v>
      </c>
      <c r="J171" s="69"/>
      <c r="K171" s="70"/>
      <c r="L171" s="70"/>
      <c r="M171" s="70"/>
      <c r="N171" s="70"/>
    </row>
    <row r="172" spans="1:14">
      <c r="A172" s="15">
        <v>43929</v>
      </c>
      <c r="B172" s="16">
        <v>1.2090000000000001</v>
      </c>
      <c r="C172" s="73">
        <f t="shared" ref="C172:C177" si="26">IFERROR(B172-B171,0)</f>
        <v>7.0000000000001172E-3</v>
      </c>
      <c r="D172" s="18" t="str">
        <f t="shared" ref="D172:D177" si="27">IF(C172&lt;0,C172,"/")</f>
        <v>/</v>
      </c>
      <c r="E172" s="18">
        <f ca="1">IF(表2_36716262930345[[#This Row],[累计净值]]/MAX(INDIRECT("B21:B" &amp; ROW()))-1&lt;E171,表2_36716262930345[[#This Row],[累计净值]]/MAX(INDIRECT("B21:B" &amp; ROW()))-1,E171)</f>
        <v>-8.0876158382476859E-2</v>
      </c>
      <c r="F172" s="62">
        <f>表2_36716262930345[[#This Row],[累计净值]]</f>
        <v>1.2090000000000001</v>
      </c>
      <c r="G172" s="20">
        <f>表2_36716262930345[[#This Row],[累计净值]]/$B$22-1</f>
        <v>2.457627118644079E-2</v>
      </c>
      <c r="J172" s="69"/>
      <c r="K172" s="70"/>
      <c r="L172" s="70"/>
      <c r="M172" s="70"/>
      <c r="N172" s="70"/>
    </row>
    <row r="173" spans="1:14">
      <c r="A173" s="15">
        <v>43930</v>
      </c>
      <c r="B173" s="16">
        <v>1.204</v>
      </c>
      <c r="C173" s="73">
        <f t="shared" si="26"/>
        <v>-5.0000000000001155E-3</v>
      </c>
      <c r="D173" s="18">
        <f t="shared" si="27"/>
        <v>-5.0000000000001155E-3</v>
      </c>
      <c r="E173" s="18">
        <f ca="1">IF(表2_36716262930345[[#This Row],[累计净值]]/MAX(INDIRECT("B21:B" &amp; ROW()))-1&lt;E172,表2_36716262930345[[#This Row],[累计净值]]/MAX(INDIRECT("B21:B" &amp; ROW()))-1,E172)</f>
        <v>-8.0876158382476859E-2</v>
      </c>
      <c r="F173" s="62">
        <f>表2_36716262930345[[#This Row],[累计净值]]</f>
        <v>1.204</v>
      </c>
      <c r="G173" s="20">
        <f>表2_36716262930345[[#This Row],[累计净值]]/$B$22-1</f>
        <v>2.0338983050847581E-2</v>
      </c>
      <c r="J173" s="69"/>
      <c r="K173" s="70"/>
      <c r="L173" s="70"/>
      <c r="M173" s="70"/>
      <c r="N173" s="70"/>
    </row>
    <row r="174" spans="1:14">
      <c r="A174" s="15">
        <v>43931</v>
      </c>
      <c r="B174" s="16">
        <v>1.2110000000000001</v>
      </c>
      <c r="C174" s="73">
        <f t="shared" si="26"/>
        <v>7.0000000000001172E-3</v>
      </c>
      <c r="D174" s="18" t="str">
        <f t="shared" si="27"/>
        <v>/</v>
      </c>
      <c r="E174" s="18">
        <f ca="1">IF(表2_36716262930345[[#This Row],[累计净值]]/MAX(INDIRECT("B21:B" &amp; ROW()))-1&lt;E173,表2_36716262930345[[#This Row],[累计净值]]/MAX(INDIRECT("B21:B" &amp; ROW()))-1,E173)</f>
        <v>-8.0876158382476859E-2</v>
      </c>
      <c r="F174" s="62">
        <f>表2_36716262930345[[#This Row],[累计净值]]</f>
        <v>1.2110000000000001</v>
      </c>
      <c r="G174" s="20">
        <f>表2_36716262930345[[#This Row],[累计净值]]/$B$22-1</f>
        <v>2.6271186440678163E-2</v>
      </c>
      <c r="J174" s="69"/>
      <c r="K174" s="70"/>
      <c r="L174" s="70"/>
      <c r="M174" s="70"/>
      <c r="N174" s="70"/>
    </row>
    <row r="175" spans="1:14">
      <c r="A175" s="15">
        <v>43934</v>
      </c>
      <c r="B175" s="16">
        <v>1.224</v>
      </c>
      <c r="C175" s="73">
        <f t="shared" si="26"/>
        <v>1.2999999999999901E-2</v>
      </c>
      <c r="D175" s="18" t="str">
        <f t="shared" si="27"/>
        <v>/</v>
      </c>
      <c r="E175" s="18">
        <f ca="1">IF(表2_36716262930345[[#This Row],[累计净值]]/MAX(INDIRECT("B21:B" &amp; ROW()))-1&lt;E174,表2_36716262930345[[#This Row],[累计净值]]/MAX(INDIRECT("B21:B" &amp; ROW()))-1,E174)</f>
        <v>-8.0876158382476859E-2</v>
      </c>
      <c r="F175" s="62">
        <f>表2_36716262930345[[#This Row],[累计净值]]</f>
        <v>1.224</v>
      </c>
      <c r="G175" s="20">
        <f>表2_36716262930345[[#This Row],[累计净值]]/$B$22-1</f>
        <v>3.7288135593220417E-2</v>
      </c>
      <c r="J175" s="69"/>
      <c r="K175" s="70"/>
      <c r="L175" s="70"/>
      <c r="M175" s="70"/>
      <c r="N175" s="70"/>
    </row>
    <row r="176" spans="1:14">
      <c r="A176" s="15">
        <v>43935</v>
      </c>
      <c r="B176" s="16">
        <v>1.232</v>
      </c>
      <c r="C176" s="73">
        <f t="shared" si="26"/>
        <v>8.0000000000000071E-3</v>
      </c>
      <c r="D176" s="18" t="str">
        <f t="shared" si="27"/>
        <v>/</v>
      </c>
      <c r="E176" s="18">
        <f ca="1">IF(表2_36716262930345[[#This Row],[累计净值]]/MAX(INDIRECT("B21:B" &amp; ROW()))-1&lt;E175,表2_36716262930345[[#This Row],[累计净值]]/MAX(INDIRECT("B21:B" &amp; ROW()))-1,E175)</f>
        <v>-8.0876158382476859E-2</v>
      </c>
      <c r="F176" s="62">
        <f>表2_36716262930345[[#This Row],[累计净值]]</f>
        <v>1.232</v>
      </c>
      <c r="G176" s="20">
        <f>表2_36716262930345[[#This Row],[累计净值]]/$B$22-1</f>
        <v>4.4067796610169463E-2</v>
      </c>
      <c r="J176" s="69"/>
      <c r="K176" s="70"/>
      <c r="L176" s="70"/>
      <c r="M176" s="70"/>
      <c r="N176" s="70"/>
    </row>
    <row r="177" spans="1:14">
      <c r="A177" s="15">
        <v>43936</v>
      </c>
      <c r="B177" s="96">
        <v>1.218</v>
      </c>
      <c r="C177" s="94">
        <f t="shared" si="26"/>
        <v>-1.4000000000000012E-2</v>
      </c>
      <c r="D177" s="95">
        <f t="shared" si="27"/>
        <v>-1.4000000000000012E-2</v>
      </c>
      <c r="E177" s="95">
        <f ca="1">IF(表2_36716262930345[[#This Row],[累计净值]]/MAX(INDIRECT("B21:B" &amp; ROW()))-1&lt;E176,表2_36716262930345[[#This Row],[累计净值]]/MAX(INDIRECT("B21:B" &amp; ROW()))-1,E176)</f>
        <v>-8.0876158382476859E-2</v>
      </c>
      <c r="F177" s="97">
        <f>表2_36716262930345[[#This Row],[累计净值]]</f>
        <v>1.218</v>
      </c>
      <c r="G177" s="20">
        <f>表2_36716262930345[[#This Row],[累计净值]]/$B$22-1</f>
        <v>3.2203389830508522E-2</v>
      </c>
      <c r="J177" s="69"/>
      <c r="K177" s="70"/>
      <c r="L177" s="70"/>
      <c r="M177" s="70"/>
      <c r="N177" s="70"/>
    </row>
    <row r="178" spans="1:14">
      <c r="A178" s="15">
        <v>43937</v>
      </c>
      <c r="B178" s="96">
        <v>1.22</v>
      </c>
      <c r="C178" s="94">
        <f t="shared" ref="C178:C183" si="28">IFERROR(B178-B177,0)</f>
        <v>2.0000000000000018E-3</v>
      </c>
      <c r="D178" s="95" t="str">
        <f t="shared" ref="D178:D183" si="29">IF(C178&lt;0,C178,"/")</f>
        <v>/</v>
      </c>
      <c r="E178" s="95">
        <f ca="1">IF(表2_36716262930345[[#This Row],[累计净值]]/MAX(INDIRECT("B21:B" &amp; ROW()))-1&lt;E177,表2_36716262930345[[#This Row],[累计净值]]/MAX(INDIRECT("B21:B" &amp; ROW()))-1,E177)</f>
        <v>-8.0876158382476859E-2</v>
      </c>
      <c r="F178" s="97">
        <f>表2_36716262930345[[#This Row],[累计净值]]</f>
        <v>1.22</v>
      </c>
      <c r="G178" s="20">
        <f>表2_36716262930345[[#This Row],[累计净值]]/$B$22-1</f>
        <v>3.3898305084745894E-2</v>
      </c>
      <c r="J178" s="69"/>
      <c r="K178" s="70"/>
      <c r="L178" s="70"/>
      <c r="M178" s="70"/>
      <c r="N178" s="70"/>
    </row>
    <row r="179" spans="1:14">
      <c r="A179" s="15">
        <v>43938</v>
      </c>
      <c r="B179" s="96">
        <v>1.2150000000000001</v>
      </c>
      <c r="C179" s="94">
        <f t="shared" si="28"/>
        <v>-4.9999999999998934E-3</v>
      </c>
      <c r="D179" s="95">
        <f t="shared" si="29"/>
        <v>-4.9999999999998934E-3</v>
      </c>
      <c r="E179" s="95">
        <f ca="1">IF(表2_36716262930345[[#This Row],[累计净值]]/MAX(INDIRECT("B21:B" &amp; ROW()))-1&lt;E178,表2_36716262930345[[#This Row],[累计净值]]/MAX(INDIRECT("B21:B" &amp; ROW()))-1,E178)</f>
        <v>-8.0876158382476859E-2</v>
      </c>
      <c r="F179" s="97">
        <f>表2_36716262930345[[#This Row],[累计净值]]</f>
        <v>1.2150000000000001</v>
      </c>
      <c r="G179" s="20">
        <f>表2_36716262930345[[#This Row],[累计净值]]/$B$22-1</f>
        <v>2.9661016949152685E-2</v>
      </c>
      <c r="J179" s="69"/>
      <c r="K179" s="70"/>
      <c r="L179" s="70"/>
      <c r="M179" s="70"/>
      <c r="N179" s="70"/>
    </row>
    <row r="180" spans="1:14">
      <c r="A180" s="15">
        <v>43941</v>
      </c>
      <c r="B180" s="96">
        <v>1.216</v>
      </c>
      <c r="C180" s="94">
        <f t="shared" si="28"/>
        <v>9.9999999999988987E-4</v>
      </c>
      <c r="D180" s="95" t="str">
        <f t="shared" si="29"/>
        <v>/</v>
      </c>
      <c r="E180" s="95">
        <f ca="1">IF(表2_36716262930345[[#This Row],[累计净值]]/MAX(INDIRECT("B21:B" &amp; ROW()))-1&lt;E179,表2_36716262930345[[#This Row],[累计净值]]/MAX(INDIRECT("B21:B" &amp; ROW()))-1,E179)</f>
        <v>-8.0876158382476859E-2</v>
      </c>
      <c r="F180" s="97">
        <f>表2_36716262930345[[#This Row],[累计净值]]</f>
        <v>1.216</v>
      </c>
      <c r="G180" s="20">
        <f>表2_36716262930345[[#This Row],[累计净值]]/$B$22-1</f>
        <v>3.050847457627115E-2</v>
      </c>
      <c r="J180" s="69"/>
      <c r="K180" s="70"/>
      <c r="L180" s="70"/>
      <c r="M180" s="70"/>
      <c r="N180" s="70"/>
    </row>
    <row r="181" spans="1:14">
      <c r="A181" s="15">
        <v>43942</v>
      </c>
      <c r="B181" s="96">
        <v>1.2250000000000001</v>
      </c>
      <c r="C181" s="94">
        <f t="shared" si="28"/>
        <v>9.000000000000119E-3</v>
      </c>
      <c r="D181" s="95" t="str">
        <f t="shared" si="29"/>
        <v>/</v>
      </c>
      <c r="E181" s="95">
        <f ca="1">IF(表2_36716262930345[[#This Row],[累计净值]]/MAX(INDIRECT("B21:B" &amp; ROW()))-1&lt;E180,表2_36716262930345[[#This Row],[累计净值]]/MAX(INDIRECT("B21:B" &amp; ROW()))-1,E180)</f>
        <v>-8.0876158382476859E-2</v>
      </c>
      <c r="F181" s="97">
        <f>表2_36716262930345[[#This Row],[累计净值]]</f>
        <v>1.2250000000000001</v>
      </c>
      <c r="G181" s="20">
        <f>表2_36716262930345[[#This Row],[累计净值]]/$B$22-1</f>
        <v>3.8135593220339103E-2</v>
      </c>
      <c r="J181" s="69"/>
      <c r="K181" s="70"/>
      <c r="L181" s="70"/>
      <c r="M181" s="70"/>
      <c r="N181" s="70"/>
    </row>
    <row r="182" spans="1:14">
      <c r="A182" s="15">
        <v>43943</v>
      </c>
      <c r="B182" s="96">
        <v>1.248</v>
      </c>
      <c r="C182" s="94">
        <f t="shared" si="28"/>
        <v>2.2999999999999909E-2</v>
      </c>
      <c r="D182" s="95" t="str">
        <f t="shared" si="29"/>
        <v>/</v>
      </c>
      <c r="E182" s="95">
        <f ca="1">IF(表2_36716262930345[[#This Row],[累计净值]]/MAX(INDIRECT("B21:B" &amp; ROW()))-1&lt;E181,表2_36716262930345[[#This Row],[累计净值]]/MAX(INDIRECT("B21:B" &amp; ROW()))-1,E181)</f>
        <v>-8.0876158382476859E-2</v>
      </c>
      <c r="F182" s="97">
        <f>表2_36716262930345[[#This Row],[累计净值]]</f>
        <v>1.248</v>
      </c>
      <c r="G182" s="20">
        <f>表2_36716262930345[[#This Row],[累计净值]]/$B$22-1</f>
        <v>5.7627118644067776E-2</v>
      </c>
      <c r="J182" s="69"/>
      <c r="K182" s="70"/>
      <c r="L182" s="70"/>
      <c r="M182" s="70"/>
      <c r="N182" s="70"/>
    </row>
    <row r="183" spans="1:14">
      <c r="A183" s="15">
        <v>43944</v>
      </c>
      <c r="B183" s="96">
        <v>1.258</v>
      </c>
      <c r="C183" s="94">
        <f t="shared" si="28"/>
        <v>1.0000000000000009E-2</v>
      </c>
      <c r="D183" s="95" t="str">
        <f t="shared" si="29"/>
        <v>/</v>
      </c>
      <c r="E183" s="95">
        <f ca="1">IF(表2_36716262930345[[#This Row],[累计净值]]/MAX(INDIRECT("B21:B" &amp; ROW()))-1&lt;E182,表2_36716262930345[[#This Row],[累计净值]]/MAX(INDIRECT("B21:B" &amp; ROW()))-1,E182)</f>
        <v>-8.0876158382476859E-2</v>
      </c>
      <c r="F183" s="97">
        <f>表2_36716262930345[[#This Row],[累计净值]]</f>
        <v>1.258</v>
      </c>
      <c r="G183" s="20">
        <f>表2_36716262930345[[#This Row],[累计净值]]/$B$22-1</f>
        <v>6.6101694915254194E-2</v>
      </c>
      <c r="J183" s="69"/>
      <c r="K183" s="70"/>
      <c r="L183" s="70"/>
      <c r="M183" s="70"/>
      <c r="N183" s="70"/>
    </row>
    <row r="184" spans="1:14">
      <c r="A184" s="15">
        <v>43945</v>
      </c>
      <c r="B184" s="96">
        <v>1.2450000000000001</v>
      </c>
      <c r="C184" s="94">
        <f t="shared" ref="C184:C189" si="30">IFERROR(B184-B183,0)</f>
        <v>-1.2999999999999901E-2</v>
      </c>
      <c r="D184" s="95">
        <f t="shared" ref="D184:D189" si="31">IF(C184&lt;0,C184,"/")</f>
        <v>-1.2999999999999901E-2</v>
      </c>
      <c r="E184" s="95">
        <f ca="1">IF(表2_36716262930345[[#This Row],[累计净值]]/MAX(INDIRECT("B21:B" &amp; ROW()))-1&lt;E183,表2_36716262930345[[#This Row],[累计净值]]/MAX(INDIRECT("B21:B" &amp; ROW()))-1,E183)</f>
        <v>-8.0876158382476859E-2</v>
      </c>
      <c r="F184" s="97">
        <f>表2_36716262930345[[#This Row],[累计净值]]</f>
        <v>1.2450000000000001</v>
      </c>
      <c r="G184" s="20">
        <f>表2_36716262930345[[#This Row],[累计净值]]/$B$22-1</f>
        <v>5.508474576271194E-2</v>
      </c>
      <c r="J184" s="69"/>
      <c r="K184" s="70"/>
      <c r="L184" s="70"/>
      <c r="M184" s="70"/>
      <c r="N184" s="70"/>
    </row>
    <row r="185" spans="1:14">
      <c r="A185" s="15">
        <v>43948</v>
      </c>
      <c r="B185" s="96">
        <v>1.262</v>
      </c>
      <c r="C185" s="94">
        <f t="shared" si="30"/>
        <v>1.6999999999999904E-2</v>
      </c>
      <c r="D185" s="95" t="str">
        <f t="shared" si="31"/>
        <v>/</v>
      </c>
      <c r="E185" s="95">
        <f ca="1">IF(表2_36716262930345[[#This Row],[累计净值]]/MAX(INDIRECT("B21:B" &amp; ROW()))-1&lt;E184,表2_36716262930345[[#This Row],[累计净值]]/MAX(INDIRECT("B21:B" &amp; ROW()))-1,E184)</f>
        <v>-8.0876158382476859E-2</v>
      </c>
      <c r="F185" s="97">
        <f>表2_36716262930345[[#This Row],[累计净值]]</f>
        <v>1.262</v>
      </c>
      <c r="G185" s="20">
        <f>表2_36716262930345[[#This Row],[累计净值]]/$B$22-1</f>
        <v>6.9491525423728939E-2</v>
      </c>
      <c r="J185" s="69"/>
      <c r="K185" s="70"/>
      <c r="L185" s="70"/>
      <c r="M185" s="70"/>
      <c r="N185" s="70"/>
    </row>
    <row r="186" spans="1:14">
      <c r="A186" s="15">
        <v>43949</v>
      </c>
      <c r="B186" s="96">
        <v>1.2609999999999999</v>
      </c>
      <c r="C186" s="94">
        <f t="shared" si="30"/>
        <v>-1.0000000000001119E-3</v>
      </c>
      <c r="D186" s="95">
        <f t="shared" si="31"/>
        <v>-1.0000000000001119E-3</v>
      </c>
      <c r="E186" s="95">
        <f ca="1">IF(表2_36716262930345[[#This Row],[累计净值]]/MAX(INDIRECT("B21:B" &amp; ROW()))-1&lt;E185,表2_36716262930345[[#This Row],[累计净值]]/MAX(INDIRECT("B21:B" &amp; ROW()))-1,E185)</f>
        <v>-8.0876158382476859E-2</v>
      </c>
      <c r="F186" s="97">
        <f>表2_36716262930345[[#This Row],[累计净值]]</f>
        <v>1.2609999999999999</v>
      </c>
      <c r="G186" s="20">
        <f>表2_36716262930345[[#This Row],[累计净值]]/$B$22-1</f>
        <v>6.8644067796610031E-2</v>
      </c>
      <c r="J186" s="69"/>
      <c r="K186" s="70"/>
      <c r="L186" s="70"/>
      <c r="M186" s="70"/>
      <c r="N186" s="70"/>
    </row>
    <row r="187" spans="1:14">
      <c r="A187" s="15">
        <v>43950</v>
      </c>
      <c r="B187" s="96">
        <v>1.2430000000000001</v>
      </c>
      <c r="C187" s="94">
        <f t="shared" si="30"/>
        <v>-1.7999999999999794E-2</v>
      </c>
      <c r="D187" s="95">
        <f t="shared" si="31"/>
        <v>-1.7999999999999794E-2</v>
      </c>
      <c r="E187" s="95">
        <f ca="1">IF(表2_36716262930345[[#This Row],[累计净值]]/MAX(INDIRECT("B21:B" &amp; ROW()))-1&lt;E186,表2_36716262930345[[#This Row],[累计净值]]/MAX(INDIRECT("B21:B" &amp; ROW()))-1,E186)</f>
        <v>-8.0876158382476859E-2</v>
      </c>
      <c r="F187" s="97">
        <f>表2_36716262930345[[#This Row],[累计净值]]</f>
        <v>1.2430000000000001</v>
      </c>
      <c r="G187" s="20">
        <f>表2_36716262930345[[#This Row],[累计净值]]/$B$22-1</f>
        <v>5.3389830508474789E-2</v>
      </c>
      <c r="J187" s="69"/>
      <c r="K187" s="70"/>
      <c r="L187" s="70"/>
      <c r="M187" s="70"/>
      <c r="N187" s="70"/>
    </row>
    <row r="188" spans="1:14">
      <c r="A188" s="15">
        <v>43951</v>
      </c>
      <c r="B188" s="96">
        <v>1.232</v>
      </c>
      <c r="C188" s="94">
        <f t="shared" si="30"/>
        <v>-1.1000000000000121E-2</v>
      </c>
      <c r="D188" s="95">
        <f t="shared" si="31"/>
        <v>-1.1000000000000121E-2</v>
      </c>
      <c r="E188" s="95">
        <f ca="1">IF(表2_36716262930345[[#This Row],[累计净值]]/MAX(INDIRECT("B21:B" &amp; ROW()))-1&lt;E187,表2_36716262930345[[#This Row],[累计净值]]/MAX(INDIRECT("B21:B" &amp; ROW()))-1,E187)</f>
        <v>-8.0876158382476859E-2</v>
      </c>
      <c r="F188" s="97">
        <f>表2_36716262930345[[#This Row],[累计净值]]</f>
        <v>1.232</v>
      </c>
      <c r="G188" s="20">
        <f>表2_36716262930345[[#This Row],[累计净值]]/$B$22-1</f>
        <v>4.4067796610169463E-2</v>
      </c>
      <c r="J188" s="69"/>
      <c r="K188" s="70"/>
      <c r="L188" s="70"/>
      <c r="M188" s="70"/>
      <c r="N188" s="70"/>
    </row>
    <row r="189" spans="1:14">
      <c r="A189" s="15">
        <v>43957</v>
      </c>
      <c r="B189" s="104">
        <v>1.2290000000000001</v>
      </c>
      <c r="C189" s="101">
        <f t="shared" si="30"/>
        <v>-2.9999999999998916E-3</v>
      </c>
      <c r="D189" s="102">
        <f t="shared" si="31"/>
        <v>-2.9999999999998916E-3</v>
      </c>
      <c r="E189" s="102">
        <f ca="1">IF(表2_36716262930345[[#This Row],[累计净值]]/MAX(INDIRECT("B21:B" &amp; ROW()))-1&lt;E188,表2_36716262930345[[#This Row],[累计净值]]/MAX(INDIRECT("B21:B" &amp; ROW()))-1,E188)</f>
        <v>-8.0876158382476859E-2</v>
      </c>
      <c r="F189" s="97">
        <f>表2_36716262930345[[#This Row],[累计净值]]</f>
        <v>1.2290000000000001</v>
      </c>
      <c r="G189" s="20">
        <f>表2_36716262930345[[#This Row],[累计净值]]/$B$22-1</f>
        <v>4.1525423728813626E-2</v>
      </c>
      <c r="J189" s="69"/>
      <c r="K189" s="70"/>
      <c r="L189" s="70"/>
      <c r="M189" s="70"/>
      <c r="N189" s="70"/>
    </row>
    <row r="190" spans="1:14">
      <c r="A190" s="15">
        <v>43958</v>
      </c>
      <c r="B190" s="104">
        <v>1.238</v>
      </c>
      <c r="C190" s="101">
        <f t="shared" ref="C190:C195" si="32">IFERROR(B190-B189,0)</f>
        <v>8.999999999999897E-3</v>
      </c>
      <c r="D190" s="102" t="str">
        <f t="shared" ref="D190:D195" si="33">IF(C190&lt;0,C190,"/")</f>
        <v>/</v>
      </c>
      <c r="E190" s="102">
        <f ca="1">IF(表2_36716262930345[[#This Row],[累计净值]]/MAX(INDIRECT("B21:B" &amp; ROW()))-1&lt;E189,表2_36716262930345[[#This Row],[累计净值]]/MAX(INDIRECT("B21:B" &amp; ROW()))-1,E189)</f>
        <v>-8.0876158382476859E-2</v>
      </c>
      <c r="F190" s="103">
        <f>表2_36716262930345[[#This Row],[累计净值]]</f>
        <v>1.238</v>
      </c>
      <c r="G190" s="20">
        <f>表2_36716262930345[[#This Row],[累计净值]]/$B$22-1</f>
        <v>4.9152542372881358E-2</v>
      </c>
      <c r="J190" s="69"/>
      <c r="K190" s="70"/>
      <c r="L190" s="70"/>
      <c r="M190" s="70"/>
      <c r="N190" s="70"/>
    </row>
    <row r="191" spans="1:14">
      <c r="A191" s="15">
        <v>43959</v>
      </c>
      <c r="B191" s="104">
        <v>1.2470000000000001</v>
      </c>
      <c r="C191" s="101">
        <f t="shared" si="32"/>
        <v>9.000000000000119E-3</v>
      </c>
      <c r="D191" s="102" t="str">
        <f t="shared" si="33"/>
        <v>/</v>
      </c>
      <c r="E191" s="102">
        <f ca="1">IF(表2_36716262930345[[#This Row],[累计净值]]/MAX(INDIRECT("B21:B" &amp; ROW()))-1&lt;E190,表2_36716262930345[[#This Row],[累计净值]]/MAX(INDIRECT("B21:B" &amp; ROW()))-1,E190)</f>
        <v>-8.0876158382476859E-2</v>
      </c>
      <c r="F191" s="103">
        <f>表2_36716262930345[[#This Row],[累计净值]]</f>
        <v>1.2470000000000001</v>
      </c>
      <c r="G191" s="20">
        <f>表2_36716262930345[[#This Row],[累计净值]]/$B$22-1</f>
        <v>5.6779661016949312E-2</v>
      </c>
      <c r="J191" s="69"/>
      <c r="K191" s="70"/>
      <c r="L191" s="70"/>
      <c r="M191" s="70"/>
      <c r="N191" s="70"/>
    </row>
    <row r="192" spans="1:14">
      <c r="A192" s="15">
        <v>43962</v>
      </c>
      <c r="B192" s="104">
        <v>1.2370000000000001</v>
      </c>
      <c r="C192" s="101">
        <f t="shared" si="32"/>
        <v>-1.0000000000000009E-2</v>
      </c>
      <c r="D192" s="102">
        <f t="shared" si="33"/>
        <v>-1.0000000000000009E-2</v>
      </c>
      <c r="E192" s="102">
        <f ca="1">IF(表2_36716262930345[[#This Row],[累计净值]]/MAX(INDIRECT("B21:B" &amp; ROW()))-1&lt;E191,表2_36716262930345[[#This Row],[累计净值]]/MAX(INDIRECT("B21:B" &amp; ROW()))-1,E191)</f>
        <v>-8.0876158382476859E-2</v>
      </c>
      <c r="F192" s="103">
        <f>表2_36716262930345[[#This Row],[累计净值]]</f>
        <v>1.2370000000000001</v>
      </c>
      <c r="G192" s="20">
        <f>表2_36716262930345[[#This Row],[累计净值]]/$B$22-1</f>
        <v>4.8305084745762894E-2</v>
      </c>
      <c r="J192" s="69"/>
      <c r="K192" s="70"/>
      <c r="L192" s="70"/>
      <c r="M192" s="70"/>
      <c r="N192" s="70"/>
    </row>
    <row r="193" spans="1:14">
      <c r="A193" s="15">
        <v>43963</v>
      </c>
      <c r="B193" s="104">
        <v>1.25</v>
      </c>
      <c r="C193" s="101">
        <f t="shared" si="32"/>
        <v>1.2999999999999901E-2</v>
      </c>
      <c r="D193" s="102" t="str">
        <f t="shared" si="33"/>
        <v>/</v>
      </c>
      <c r="E193" s="102">
        <f ca="1">IF(表2_36716262930345[[#This Row],[累计净值]]/MAX(INDIRECT("B21:B" &amp; ROW()))-1&lt;E192,表2_36716262930345[[#This Row],[累计净值]]/MAX(INDIRECT("B21:B" &amp; ROW()))-1,E192)</f>
        <v>-8.0876158382476859E-2</v>
      </c>
      <c r="F193" s="103">
        <f>表2_36716262930345[[#This Row],[累计净值]]</f>
        <v>1.25</v>
      </c>
      <c r="G193" s="20">
        <f>表2_36716262930345[[#This Row],[累计净值]]/$B$22-1</f>
        <v>5.9322033898305149E-2</v>
      </c>
      <c r="J193" s="69"/>
      <c r="K193" s="70"/>
      <c r="L193" s="70"/>
      <c r="M193" s="70"/>
      <c r="N193" s="70"/>
    </row>
    <row r="194" spans="1:14">
      <c r="A194" s="15">
        <v>43964</v>
      </c>
      <c r="B194" s="104">
        <v>1.266</v>
      </c>
      <c r="C194" s="101">
        <f t="shared" si="32"/>
        <v>1.6000000000000014E-2</v>
      </c>
      <c r="D194" s="102" t="str">
        <f t="shared" si="33"/>
        <v>/</v>
      </c>
      <c r="E194" s="102">
        <f ca="1">IF(表2_36716262930345[[#This Row],[累计净值]]/MAX(INDIRECT("B21:B" &amp; ROW()))-1&lt;E193,表2_36716262930345[[#This Row],[累计净值]]/MAX(INDIRECT("B21:B" &amp; ROW()))-1,E193)</f>
        <v>-8.0876158382476859E-2</v>
      </c>
      <c r="F194" s="103">
        <f>表2_36716262930345[[#This Row],[累计净值]]</f>
        <v>1.266</v>
      </c>
      <c r="G194" s="20">
        <f>表2_36716262930345[[#This Row],[累计净值]]/$B$22-1</f>
        <v>7.2881355932203462E-2</v>
      </c>
      <c r="J194" s="69"/>
      <c r="K194" s="70"/>
      <c r="L194" s="70"/>
      <c r="M194" s="70"/>
      <c r="N194" s="70"/>
    </row>
    <row r="195" spans="1:14">
      <c r="A195" s="15">
        <v>43965</v>
      </c>
      <c r="B195" s="104">
        <v>1.262</v>
      </c>
      <c r="C195" s="101">
        <f t="shared" si="32"/>
        <v>-4.0000000000000036E-3</v>
      </c>
      <c r="D195" s="102">
        <f t="shared" si="33"/>
        <v>-4.0000000000000036E-3</v>
      </c>
      <c r="E195" s="102">
        <f ca="1">IF(表2_36716262930345[[#This Row],[累计净值]]/MAX(INDIRECT("B21:B" &amp; ROW()))-1&lt;E194,表2_36716262930345[[#This Row],[累计净值]]/MAX(INDIRECT("B21:B" &amp; ROW()))-1,E194)</f>
        <v>-8.0876158382476859E-2</v>
      </c>
      <c r="F195" s="103">
        <f>表2_36716262930345[[#This Row],[累计净值]]</f>
        <v>1.262</v>
      </c>
      <c r="G195" s="20">
        <f>表2_36716262930345[[#This Row],[累计净值]]/$B$22-1</f>
        <v>6.9491525423728939E-2</v>
      </c>
      <c r="J195" s="69"/>
      <c r="K195" s="70"/>
      <c r="L195" s="70"/>
      <c r="M195" s="70"/>
      <c r="N195" s="70"/>
    </row>
    <row r="196" spans="1:14">
      <c r="A196" s="15">
        <v>43966</v>
      </c>
      <c r="B196" s="104">
        <v>1.2569999999999999</v>
      </c>
      <c r="C196" s="101">
        <f t="shared" ref="C196:C201" si="34">IFERROR(B196-B195,0)</f>
        <v>-5.0000000000001155E-3</v>
      </c>
      <c r="D196" s="102">
        <f t="shared" ref="D196:D201" si="35">IF(C196&lt;0,C196,"/")</f>
        <v>-5.0000000000001155E-3</v>
      </c>
      <c r="E196" s="102">
        <f ca="1">IF(表2_36716262930345[[#This Row],[累计净值]]/MAX(INDIRECT("B21:B" &amp; ROW()))-1&lt;E195,表2_36716262930345[[#This Row],[累计净值]]/MAX(INDIRECT("B21:B" &amp; ROW()))-1,E195)</f>
        <v>-8.0876158382476859E-2</v>
      </c>
      <c r="F196" s="103">
        <f>表2_36716262930345[[#This Row],[累计净值]]</f>
        <v>1.2569999999999999</v>
      </c>
      <c r="G196" s="20">
        <f>表2_36716262930345[[#This Row],[累计净值]]/$B$22-1</f>
        <v>6.5254237288135508E-2</v>
      </c>
      <c r="J196" s="69"/>
      <c r="K196" s="70"/>
      <c r="L196" s="70"/>
      <c r="M196" s="70"/>
      <c r="N196" s="70"/>
    </row>
    <row r="197" spans="1:14">
      <c r="A197" s="15">
        <v>43969</v>
      </c>
      <c r="B197" s="104">
        <v>1.286</v>
      </c>
      <c r="C197" s="101">
        <f t="shared" si="34"/>
        <v>2.9000000000000137E-2</v>
      </c>
      <c r="D197" s="102" t="str">
        <f t="shared" si="35"/>
        <v>/</v>
      </c>
      <c r="E197" s="102">
        <f ca="1">IF(表2_36716262930345[[#This Row],[累计净值]]/MAX(INDIRECT("B21:B" &amp; ROW()))-1&lt;E196,表2_36716262930345[[#This Row],[累计净值]]/MAX(INDIRECT("B21:B" &amp; ROW()))-1,E196)</f>
        <v>-8.0876158382476859E-2</v>
      </c>
      <c r="F197" s="103">
        <f>表2_36716262930345[[#This Row],[累计净值]]</f>
        <v>1.286</v>
      </c>
      <c r="G197" s="20">
        <f>表2_36716262930345[[#This Row],[累计净值]]/$B$22-1</f>
        <v>8.9830508474576298E-2</v>
      </c>
      <c r="J197" s="69"/>
      <c r="K197" s="70"/>
      <c r="L197" s="70"/>
      <c r="M197" s="70"/>
      <c r="N197" s="70"/>
    </row>
    <row r="198" spans="1:14">
      <c r="A198" s="15">
        <v>43970</v>
      </c>
      <c r="B198" s="104">
        <v>1.31</v>
      </c>
      <c r="C198" s="101">
        <f t="shared" si="34"/>
        <v>2.4000000000000021E-2</v>
      </c>
      <c r="D198" s="102" t="str">
        <f t="shared" si="35"/>
        <v>/</v>
      </c>
      <c r="E198" s="102">
        <f ca="1">IF(表2_36716262930345[[#This Row],[累计净值]]/MAX(INDIRECT("B21:B" &amp; ROW()))-1&lt;E197,表2_36716262930345[[#This Row],[累计净值]]/MAX(INDIRECT("B21:B" &amp; ROW()))-1,E197)</f>
        <v>-8.0876158382476859E-2</v>
      </c>
      <c r="F198" s="103">
        <f>表2_36716262930345[[#This Row],[累计净值]]</f>
        <v>1.31</v>
      </c>
      <c r="G198" s="20">
        <f>表2_36716262930345[[#This Row],[累计净值]]/$B$22-1</f>
        <v>0.11016949152542388</v>
      </c>
      <c r="J198" s="69"/>
      <c r="K198" s="70"/>
      <c r="L198" s="70"/>
      <c r="M198" s="70"/>
      <c r="N198" s="70"/>
    </row>
    <row r="199" spans="1:14">
      <c r="A199" s="15">
        <v>43971</v>
      </c>
      <c r="B199" s="104">
        <v>1.3149999999999999</v>
      </c>
      <c r="C199" s="101">
        <f t="shared" si="34"/>
        <v>4.9999999999998934E-3</v>
      </c>
      <c r="D199" s="102" t="str">
        <f t="shared" si="35"/>
        <v>/</v>
      </c>
      <c r="E199" s="102">
        <f ca="1">IF(表2_36716262930345[[#This Row],[累计净值]]/MAX(INDIRECT("B21:B" &amp; ROW()))-1&lt;E198,表2_36716262930345[[#This Row],[累计净值]]/MAX(INDIRECT("B21:B" &amp; ROW()))-1,E198)</f>
        <v>-8.0876158382476859E-2</v>
      </c>
      <c r="F199" s="103">
        <f>表2_36716262930345[[#This Row],[累计净值]]</f>
        <v>1.3149999999999999</v>
      </c>
      <c r="G199" s="20">
        <f>表2_36716262930345[[#This Row],[累计净值]]/$B$22-1</f>
        <v>0.11440677966101687</v>
      </c>
      <c r="J199" s="69"/>
      <c r="K199" s="70"/>
      <c r="L199" s="70"/>
      <c r="M199" s="70"/>
      <c r="N199" s="70"/>
    </row>
    <row r="200" spans="1:14">
      <c r="A200" s="15">
        <v>43972</v>
      </c>
      <c r="B200" s="112">
        <v>1.302</v>
      </c>
      <c r="C200" s="108">
        <f t="shared" si="34"/>
        <v>-1.2999999999999901E-2</v>
      </c>
      <c r="D200" s="109">
        <f t="shared" si="35"/>
        <v>-1.2999999999999901E-2</v>
      </c>
      <c r="E200" s="109">
        <f ca="1">IF(表2_36716262930345[[#This Row],[累计净值]]/MAX(INDIRECT("B21:B" &amp; ROW()))-1&lt;E199,表2_36716262930345[[#This Row],[累计净值]]/MAX(INDIRECT("B21:B" &amp; ROW()))-1,E199)</f>
        <v>-8.0876158382476859E-2</v>
      </c>
      <c r="F200" s="103">
        <f>表2_36716262930345[[#This Row],[累计净值]]</f>
        <v>1.302</v>
      </c>
      <c r="G200" s="20">
        <f>表2_36716262930345[[#This Row],[累计净值]]/$B$22-1</f>
        <v>0.10338983050847461</v>
      </c>
      <c r="J200" s="69"/>
      <c r="K200" s="70"/>
      <c r="L200" s="70"/>
      <c r="M200" s="70"/>
      <c r="N200" s="70"/>
    </row>
    <row r="201" spans="1:14">
      <c r="A201" s="15">
        <v>43973</v>
      </c>
      <c r="B201" s="112">
        <v>1.2969999999999999</v>
      </c>
      <c r="C201" s="108">
        <f t="shared" si="34"/>
        <v>-5.0000000000001155E-3</v>
      </c>
      <c r="D201" s="109">
        <f t="shared" si="35"/>
        <v>-5.0000000000001155E-3</v>
      </c>
      <c r="E201" s="109">
        <f ca="1">IF(表2_36716262930345[[#This Row],[累计净值]]/MAX(INDIRECT("B21:B" &amp; ROW()))-1&lt;E200,表2_36716262930345[[#This Row],[累计净值]]/MAX(INDIRECT("B21:B" &amp; ROW()))-1,E200)</f>
        <v>-8.0876158382476859E-2</v>
      </c>
      <c r="F201" s="110">
        <f>表2_36716262930345[[#This Row],[累计净值]]</f>
        <v>1.2969999999999999</v>
      </c>
      <c r="G201" s="20">
        <f>表2_36716262930345[[#This Row],[累计净值]]/$B$22-1</f>
        <v>9.9152542372881403E-2</v>
      </c>
      <c r="J201" s="69"/>
      <c r="K201" s="70"/>
      <c r="L201" s="70"/>
      <c r="M201" s="70"/>
      <c r="N201" s="70"/>
    </row>
    <row r="202" spans="1:14">
      <c r="A202" s="15">
        <v>43976</v>
      </c>
      <c r="B202" s="112">
        <v>1.288</v>
      </c>
      <c r="C202" s="108">
        <f t="shared" ref="C202:C207" si="36">IFERROR(B202-B201,0)</f>
        <v>-8.999999999999897E-3</v>
      </c>
      <c r="D202" s="109">
        <f t="shared" ref="D202:D207" si="37">IF(C202&lt;0,C202,"/")</f>
        <v>-8.999999999999897E-3</v>
      </c>
      <c r="E202" s="109">
        <f ca="1">IF(表2_36716262930345[[#This Row],[累计净值]]/MAX(INDIRECT("B21:B" &amp; ROW()))-1&lt;E201,表2_36716262930345[[#This Row],[累计净值]]/MAX(INDIRECT("B21:B" &amp; ROW()))-1,E201)</f>
        <v>-8.0876158382476859E-2</v>
      </c>
      <c r="F202" s="110">
        <f>表2_36716262930345[[#This Row],[累计净值]]</f>
        <v>1.288</v>
      </c>
      <c r="G202" s="20">
        <f>表2_36716262930345[[#This Row],[累计净值]]/$B$22-1</f>
        <v>9.1525423728813671E-2</v>
      </c>
      <c r="J202" s="69"/>
      <c r="K202" s="70"/>
      <c r="L202" s="70"/>
      <c r="M202" s="70"/>
      <c r="N202" s="70"/>
    </row>
    <row r="203" spans="1:14">
      <c r="A203" s="15">
        <v>43977</v>
      </c>
      <c r="B203" s="112">
        <v>1.274</v>
      </c>
      <c r="C203" s="108">
        <f t="shared" si="36"/>
        <v>-1.4000000000000012E-2</v>
      </c>
      <c r="D203" s="109">
        <f t="shared" si="37"/>
        <v>-1.4000000000000012E-2</v>
      </c>
      <c r="E203" s="109">
        <f ca="1">IF(表2_36716262930345[[#This Row],[累计净值]]/MAX(INDIRECT("B21:B" &amp; ROW()))-1&lt;E202,表2_36716262930345[[#This Row],[累计净值]]/MAX(INDIRECT("B21:B" &amp; ROW()))-1,E202)</f>
        <v>-8.0876158382476859E-2</v>
      </c>
      <c r="F203" s="110">
        <f>表2_36716262930345[[#This Row],[累计净值]]</f>
        <v>1.274</v>
      </c>
      <c r="G203" s="20">
        <f>表2_36716262930345[[#This Row],[累计净值]]/$B$22-1</f>
        <v>7.9661016949152508E-2</v>
      </c>
    </row>
    <row r="204" spans="1:14">
      <c r="A204" s="15">
        <v>43978</v>
      </c>
      <c r="B204" s="112">
        <v>1.2589999999999999</v>
      </c>
      <c r="C204" s="108">
        <f t="shared" si="36"/>
        <v>-1.5000000000000124E-2</v>
      </c>
      <c r="D204" s="109">
        <f t="shared" si="37"/>
        <v>-1.5000000000000124E-2</v>
      </c>
      <c r="E204" s="109">
        <f ca="1">IF(表2_36716262930345[[#This Row],[累计净值]]/MAX(INDIRECT("B21:B" &amp; ROW()))-1&lt;E203,表2_36716262930345[[#This Row],[累计净值]]/MAX(INDIRECT("B21:B" &amp; ROW()))-1,E203)</f>
        <v>-8.0876158382476859E-2</v>
      </c>
      <c r="F204" s="110">
        <f>表2_36716262930345[[#This Row],[累计净值]]</f>
        <v>1.2589999999999999</v>
      </c>
      <c r="G204" s="20">
        <f>表2_36716262930345[[#This Row],[累计净值]]/$B$22-1</f>
        <v>6.6949152542372881E-2</v>
      </c>
    </row>
    <row r="205" spans="1:14">
      <c r="A205" s="15">
        <v>43979</v>
      </c>
      <c r="B205" s="112">
        <v>1.276</v>
      </c>
      <c r="C205" s="108">
        <f t="shared" si="36"/>
        <v>1.7000000000000126E-2</v>
      </c>
      <c r="D205" s="109" t="str">
        <f t="shared" si="37"/>
        <v>/</v>
      </c>
      <c r="E205" s="109">
        <f ca="1">IF(表2_36716262930345[[#This Row],[累计净值]]/MAX(INDIRECT("B21:B" &amp; ROW()))-1&lt;E204,表2_36716262930345[[#This Row],[累计净值]]/MAX(INDIRECT("B21:B" &amp; ROW()))-1,E204)</f>
        <v>-8.0876158382476859E-2</v>
      </c>
      <c r="F205" s="110">
        <f>表2_36716262930345[[#This Row],[累计净值]]</f>
        <v>1.276</v>
      </c>
      <c r="G205" s="20">
        <f>表2_36716262930345[[#This Row],[累计净值]]/$B$22-1</f>
        <v>8.135593220338988E-2</v>
      </c>
    </row>
    <row r="206" spans="1:14">
      <c r="A206" s="15">
        <v>43980</v>
      </c>
      <c r="B206" s="112">
        <v>1.2929999999999999</v>
      </c>
      <c r="C206" s="108">
        <f t="shared" si="36"/>
        <v>1.6999999999999904E-2</v>
      </c>
      <c r="D206" s="109" t="str">
        <f t="shared" si="37"/>
        <v>/</v>
      </c>
      <c r="E206" s="109">
        <f ca="1">IF(表2_36716262930345[[#This Row],[累计净值]]/MAX(INDIRECT("B21:B" &amp; ROW()))-1&lt;E205,表2_36716262930345[[#This Row],[累计净值]]/MAX(INDIRECT("B21:B" &amp; ROW()))-1,E205)</f>
        <v>-8.0876158382476859E-2</v>
      </c>
      <c r="F206" s="110">
        <f>表2_36716262930345[[#This Row],[累计净值]]</f>
        <v>1.2929999999999999</v>
      </c>
      <c r="G206" s="20">
        <f>表2_36716262930345[[#This Row],[累计净值]]/$B$22-1</f>
        <v>9.576271186440688E-2</v>
      </c>
    </row>
    <row r="207" spans="1:14">
      <c r="A207" s="15">
        <v>43983</v>
      </c>
      <c r="B207" s="112">
        <v>1.33</v>
      </c>
      <c r="C207" s="108">
        <f t="shared" si="36"/>
        <v>3.7000000000000144E-2</v>
      </c>
      <c r="D207" s="109" t="str">
        <f t="shared" si="37"/>
        <v>/</v>
      </c>
      <c r="E207" s="109">
        <f ca="1">IF(表2_36716262930345[[#This Row],[累计净值]]/MAX(INDIRECT("B21:B" &amp; ROW()))-1&lt;E206,表2_36716262930345[[#This Row],[累计净值]]/MAX(INDIRECT("B21:B" &amp; ROW()))-1,E206)</f>
        <v>-8.0876158382476859E-2</v>
      </c>
      <c r="F207" s="110">
        <f>表2_36716262930345[[#This Row],[累计净值]]</f>
        <v>1.33</v>
      </c>
      <c r="G207" s="20">
        <f>表2_36716262930345[[#This Row],[累计净值]]/$B$22-1</f>
        <v>0.12711864406779672</v>
      </c>
    </row>
    <row r="208" spans="1:14">
      <c r="A208" s="15">
        <v>43984</v>
      </c>
      <c r="B208" s="112">
        <v>1.331</v>
      </c>
      <c r="C208" s="108">
        <f t="shared" ref="C208:C214" si="38">IFERROR(B208-B207,0)</f>
        <v>9.9999999999988987E-4</v>
      </c>
      <c r="D208" s="109" t="str">
        <f t="shared" ref="D208:D214" si="39">IF(C208&lt;0,C208,"/")</f>
        <v>/</v>
      </c>
      <c r="E208" s="109">
        <f ca="1">IF(表2_36716262930345[[#This Row],[累计净值]]/MAX(INDIRECT("B21:B" &amp; ROW()))-1&lt;E207,表2_36716262930345[[#This Row],[累计净值]]/MAX(INDIRECT("B21:B" &amp; ROW()))-1,E207)</f>
        <v>-8.0876158382476859E-2</v>
      </c>
      <c r="F208" s="110">
        <f>表2_36716262930345[[#This Row],[累计净值]]</f>
        <v>1.331</v>
      </c>
      <c r="G208" s="20">
        <f>表2_36716262930345[[#This Row],[累计净值]]/$B$22-1</f>
        <v>0.12796610169491518</v>
      </c>
    </row>
    <row r="209" spans="1:7">
      <c r="A209" s="15">
        <v>43985</v>
      </c>
      <c r="B209" s="112">
        <v>1.33</v>
      </c>
      <c r="C209" s="108">
        <f t="shared" si="38"/>
        <v>-9.9999999999988987E-4</v>
      </c>
      <c r="D209" s="109">
        <f t="shared" si="39"/>
        <v>-9.9999999999988987E-4</v>
      </c>
      <c r="E209" s="109">
        <f ca="1">IF(表2_36716262930345[[#This Row],[累计净值]]/MAX(INDIRECT("B21:B" &amp; ROW()))-1&lt;E208,表2_36716262930345[[#This Row],[累计净值]]/MAX(INDIRECT("B21:B" &amp; ROW()))-1,E208)</f>
        <v>-8.0876158382476859E-2</v>
      </c>
      <c r="F209" s="110">
        <f>表2_36716262930345[[#This Row],[累计净值]]</f>
        <v>1.33</v>
      </c>
      <c r="G209" s="20">
        <f>表2_36716262930345[[#This Row],[累计净值]]/$B$22-1</f>
        <v>0.12711864406779672</v>
      </c>
    </row>
    <row r="210" spans="1:7">
      <c r="A210" s="15">
        <v>43986</v>
      </c>
      <c r="B210" s="112">
        <v>1.3169999999999999</v>
      </c>
      <c r="C210" s="108">
        <f t="shared" si="38"/>
        <v>-1.3000000000000123E-2</v>
      </c>
      <c r="D210" s="109">
        <f t="shared" si="39"/>
        <v>-1.3000000000000123E-2</v>
      </c>
      <c r="E210" s="109">
        <f ca="1">IF(表2_36716262930345[[#This Row],[累计净值]]/MAX(INDIRECT("B21:B" &amp; ROW()))-1&lt;E209,表2_36716262930345[[#This Row],[累计净值]]/MAX(INDIRECT("B21:B" &amp; ROW()))-1,E209)</f>
        <v>-8.0876158382476859E-2</v>
      </c>
      <c r="F210" s="110">
        <f>表2_36716262930345[[#This Row],[累计净值]]</f>
        <v>1.3169999999999999</v>
      </c>
      <c r="G210" s="20">
        <f>表2_36716262930345[[#This Row],[累计净值]]/$B$22-1</f>
        <v>0.11610169491525424</v>
      </c>
    </row>
    <row r="211" spans="1:7">
      <c r="A211" s="15">
        <v>43987</v>
      </c>
      <c r="B211" s="112">
        <v>1.3109999999999999</v>
      </c>
      <c r="C211" s="108">
        <f t="shared" si="38"/>
        <v>-6.0000000000000053E-3</v>
      </c>
      <c r="D211" s="109">
        <f t="shared" si="39"/>
        <v>-6.0000000000000053E-3</v>
      </c>
      <c r="E211" s="109">
        <f ca="1">IF(表2_36716262930345[[#This Row],[累计净值]]/MAX(INDIRECT("B21:B" &amp; ROW()))-1&lt;E210,表2_36716262930345[[#This Row],[累计净值]]/MAX(INDIRECT("B21:B" &amp; ROW()))-1,E210)</f>
        <v>-8.0876158382476859E-2</v>
      </c>
      <c r="F211" s="110">
        <f>表2_36716262930345[[#This Row],[累计净值]]</f>
        <v>1.3109999999999999</v>
      </c>
      <c r="G211" s="20">
        <f>表2_36716262930345[[#This Row],[累计净值]]/$B$22-1</f>
        <v>0.11101694915254234</v>
      </c>
    </row>
    <row r="212" spans="1:7">
      <c r="A212" s="15">
        <v>43990</v>
      </c>
      <c r="B212" s="112">
        <v>1.3260000000000001</v>
      </c>
      <c r="C212" s="108">
        <f t="shared" si="38"/>
        <v>1.5000000000000124E-2</v>
      </c>
      <c r="D212" s="109" t="str">
        <f t="shared" si="39"/>
        <v>/</v>
      </c>
      <c r="E212" s="109">
        <f ca="1">IF(表2_36716262930345[[#This Row],[累计净值]]/MAX(INDIRECT("B21:B" &amp; ROW()))-1&lt;E211,表2_36716262930345[[#This Row],[累计净值]]/MAX(INDIRECT("B21:B" &amp; ROW()))-1,E211)</f>
        <v>-8.0876158382476859E-2</v>
      </c>
      <c r="F212" s="110">
        <f>表2_36716262930345[[#This Row],[累计净值]]</f>
        <v>1.3260000000000001</v>
      </c>
      <c r="G212" s="20">
        <f>表2_36716262930345[[#This Row],[累计净值]]/$B$22-1</f>
        <v>0.12372881355932219</v>
      </c>
    </row>
    <row r="213" spans="1:7">
      <c r="A213" s="15">
        <v>43991</v>
      </c>
      <c r="B213" s="112">
        <v>1.341</v>
      </c>
      <c r="C213" s="108">
        <f t="shared" si="38"/>
        <v>1.4999999999999902E-2</v>
      </c>
      <c r="D213" s="109" t="str">
        <f t="shared" si="39"/>
        <v>/</v>
      </c>
      <c r="E213" s="109">
        <f ca="1">IF(表2_36716262930345[[#This Row],[累计净值]]/MAX(INDIRECT("B21:B" &amp; ROW()))-1&lt;E212,表2_36716262930345[[#This Row],[累计净值]]/MAX(INDIRECT("B21:B" &amp; ROW()))-1,E212)</f>
        <v>-8.0876158382476859E-2</v>
      </c>
      <c r="F213" s="110">
        <f>表2_36716262930345[[#This Row],[累计净值]]</f>
        <v>1.341</v>
      </c>
      <c r="G213" s="20">
        <f>表2_36716262930345[[#This Row],[累计净值]]/$B$22-1</f>
        <v>0.13644067796610182</v>
      </c>
    </row>
    <row r="214" spans="1:7">
      <c r="A214" s="15">
        <v>43992</v>
      </c>
      <c r="B214" s="112">
        <v>1.357</v>
      </c>
      <c r="C214" s="108">
        <f t="shared" si="38"/>
        <v>1.6000000000000014E-2</v>
      </c>
      <c r="D214" s="109" t="str">
        <f t="shared" si="39"/>
        <v>/</v>
      </c>
      <c r="E214" s="109">
        <f ca="1">IF(表2_36716262930345[[#This Row],[累计净值]]/MAX(INDIRECT("B21:B" &amp; ROW()))-1&lt;E213,表2_36716262930345[[#This Row],[累计净值]]/MAX(INDIRECT("B21:B" &amp; ROW()))-1,E213)</f>
        <v>-8.0876158382476859E-2</v>
      </c>
      <c r="F214" s="110">
        <f>表2_36716262930345[[#This Row],[累计净值]]</f>
        <v>1.357</v>
      </c>
      <c r="G214" s="20">
        <f>表2_36716262930345[[#This Row],[累计净值]]/$B$22-1</f>
        <v>0.15000000000000013</v>
      </c>
    </row>
    <row r="215" spans="1:7">
      <c r="A215" s="15">
        <v>43993</v>
      </c>
      <c r="B215" s="112">
        <v>1.355</v>
      </c>
      <c r="C215" s="108">
        <f t="shared" ref="C215:C220" si="40">IFERROR(B215-B214,0)</f>
        <v>-2.0000000000000018E-3</v>
      </c>
      <c r="D215" s="109">
        <f t="shared" ref="D215:D220" si="41">IF(C215&lt;0,C215,"/")</f>
        <v>-2.0000000000000018E-3</v>
      </c>
      <c r="E215" s="109">
        <f ca="1">IF(表2_36716262930345[[#This Row],[累计净值]]/MAX(INDIRECT("B21:B" &amp; ROW()))-1&lt;E214,表2_36716262930345[[#This Row],[累计净值]]/MAX(INDIRECT("B21:B" &amp; ROW()))-1,E214)</f>
        <v>-8.0876158382476859E-2</v>
      </c>
      <c r="F215" s="110">
        <f>表2_36716262930345[[#This Row],[累计净值]]</f>
        <v>1.355</v>
      </c>
      <c r="G215" s="20">
        <f>表2_36716262930345[[#This Row],[累计净值]]/$B$22-1</f>
        <v>0.14830508474576276</v>
      </c>
    </row>
    <row r="216" spans="1:7">
      <c r="A216" s="15">
        <v>43994</v>
      </c>
      <c r="B216" s="112">
        <v>1.36</v>
      </c>
      <c r="C216" s="108">
        <f t="shared" si="40"/>
        <v>5.0000000000001155E-3</v>
      </c>
      <c r="D216" s="109" t="str">
        <f t="shared" si="41"/>
        <v>/</v>
      </c>
      <c r="E216" s="109">
        <f ca="1">IF(表2_36716262930345[[#This Row],[累计净值]]/MAX(INDIRECT("B21:B" &amp; ROW()))-1&lt;E215,表2_36716262930345[[#This Row],[累计净值]]/MAX(INDIRECT("B21:B" &amp; ROW()))-1,E215)</f>
        <v>-8.0876158382476859E-2</v>
      </c>
      <c r="F216" s="110">
        <f>表2_36716262930345[[#This Row],[累计净值]]</f>
        <v>1.36</v>
      </c>
      <c r="G216" s="20">
        <f>表2_36716262930345[[#This Row],[累计净值]]/$B$22-1</f>
        <v>0.15254237288135597</v>
      </c>
    </row>
    <row r="217" spans="1:7">
      <c r="A217" s="15">
        <v>43997</v>
      </c>
      <c r="B217" s="112">
        <v>1.359</v>
      </c>
      <c r="C217" s="108">
        <f t="shared" si="40"/>
        <v>-1.0000000000001119E-3</v>
      </c>
      <c r="D217" s="109">
        <f t="shared" si="41"/>
        <v>-1.0000000000001119E-3</v>
      </c>
      <c r="E217" s="109">
        <f ca="1">IF(表2_36716262930345[[#This Row],[累计净值]]/MAX(INDIRECT("B21:B" &amp; ROW()))-1&lt;E216,表2_36716262930345[[#This Row],[累计净值]]/MAX(INDIRECT("B21:B" &amp; ROW()))-1,E216)</f>
        <v>-8.0876158382476859E-2</v>
      </c>
      <c r="F217" s="110">
        <f>表2_36716262930345[[#This Row],[累计净值]]</f>
        <v>1.359</v>
      </c>
      <c r="G217" s="20">
        <f>表2_36716262930345[[#This Row],[累计净值]]/$B$22-1</f>
        <v>0.15169491525423728</v>
      </c>
    </row>
    <row r="218" spans="1:7">
      <c r="A218" s="15">
        <v>43998</v>
      </c>
      <c r="B218" s="112">
        <v>1.3560000000000001</v>
      </c>
      <c r="C218" s="108">
        <f t="shared" si="40"/>
        <v>-2.9999999999998916E-3</v>
      </c>
      <c r="D218" s="109">
        <f t="shared" si="41"/>
        <v>-2.9999999999998916E-3</v>
      </c>
      <c r="E218" s="109">
        <f ca="1">IF(表2_36716262930345[[#This Row],[累计净值]]/MAX(INDIRECT("B21:B" &amp; ROW()))-1&lt;E217,表2_36716262930345[[#This Row],[累计净值]]/MAX(INDIRECT("B21:B" &amp; ROW()))-1,E217)</f>
        <v>-8.0876158382476859E-2</v>
      </c>
      <c r="F218" s="110">
        <f>表2_36716262930345[[#This Row],[累计净值]]</f>
        <v>1.3560000000000001</v>
      </c>
      <c r="G218" s="20">
        <f>表2_36716262930345[[#This Row],[累计净值]]/$B$22-1</f>
        <v>0.14915254237288145</v>
      </c>
    </row>
    <row r="219" spans="1:7">
      <c r="A219" s="15">
        <v>43999</v>
      </c>
      <c r="B219" s="112">
        <v>1.3580000000000001</v>
      </c>
      <c r="C219" s="108">
        <f t="shared" si="40"/>
        <v>2.0000000000000018E-3</v>
      </c>
      <c r="D219" s="109" t="str">
        <f t="shared" si="41"/>
        <v>/</v>
      </c>
      <c r="E219" s="109">
        <f ca="1">IF(表2_36716262930345[[#This Row],[累计净值]]/MAX(INDIRECT("B21:B" &amp; ROW()))-1&lt;E218,表2_36716262930345[[#This Row],[累计净值]]/MAX(INDIRECT("B21:B" &amp; ROW()))-1,E218)</f>
        <v>-8.0876158382476859E-2</v>
      </c>
      <c r="F219" s="110">
        <f>表2_36716262930345[[#This Row],[累计净值]]</f>
        <v>1.3580000000000001</v>
      </c>
      <c r="G219" s="20">
        <f>表2_36716262930345[[#This Row],[累计净值]]/$B$22-1</f>
        <v>0.15084745762711882</v>
      </c>
    </row>
    <row r="220" spans="1:7">
      <c r="A220" s="15">
        <v>44000</v>
      </c>
      <c r="B220" s="112">
        <v>1.3660000000000001</v>
      </c>
      <c r="C220" s="108">
        <f t="shared" si="40"/>
        <v>8.0000000000000071E-3</v>
      </c>
      <c r="D220" s="109" t="str">
        <f t="shared" si="41"/>
        <v>/</v>
      </c>
      <c r="E220" s="109">
        <f ca="1">IF(表2_36716262930345[[#This Row],[累计净值]]/MAX(INDIRECT("B21:B" &amp; ROW()))-1&lt;E219,表2_36716262930345[[#This Row],[累计净值]]/MAX(INDIRECT("B21:B" &amp; ROW()))-1,E219)</f>
        <v>-8.0876158382476859E-2</v>
      </c>
      <c r="F220" s="110">
        <f>表2_36716262930345[[#This Row],[累计净值]]</f>
        <v>1.3660000000000001</v>
      </c>
      <c r="G220" s="20">
        <f>表2_36716262930345[[#This Row],[累计净值]]/$B$22-1</f>
        <v>0.15762711864406787</v>
      </c>
    </row>
    <row r="221" spans="1:7">
      <c r="A221" s="15">
        <v>44001</v>
      </c>
      <c r="B221" s="112">
        <v>1.371</v>
      </c>
      <c r="C221" s="108">
        <f t="shared" ref="C221:C226" si="42">IFERROR(B221-B220,0)</f>
        <v>4.9999999999998934E-3</v>
      </c>
      <c r="D221" s="109" t="str">
        <f t="shared" ref="D221:D226" si="43">IF(C221&lt;0,C221,"/")</f>
        <v>/</v>
      </c>
      <c r="E221" s="109">
        <f ca="1">IF(表2_36716262930345[[#This Row],[累计净值]]/MAX(INDIRECT("B21:B" &amp; ROW()))-1&lt;E220,表2_36716262930345[[#This Row],[累计净值]]/MAX(INDIRECT("B21:B" &amp; ROW()))-1,E220)</f>
        <v>-8.0876158382476859E-2</v>
      </c>
      <c r="F221" s="110">
        <f>表2_36716262930345[[#This Row],[累计净值]]</f>
        <v>1.371</v>
      </c>
      <c r="G221" s="20">
        <f>表2_36716262930345[[#This Row],[累计净值]]/$B$22-1</f>
        <v>0.16186440677966107</v>
      </c>
    </row>
    <row r="222" spans="1:7">
      <c r="A222" s="15">
        <v>44004</v>
      </c>
      <c r="B222" s="112">
        <v>1.3740000000000001</v>
      </c>
      <c r="C222" s="108">
        <f t="shared" si="42"/>
        <v>3.0000000000001137E-3</v>
      </c>
      <c r="D222" s="109" t="str">
        <f t="shared" si="43"/>
        <v>/</v>
      </c>
      <c r="E222" s="109">
        <f ca="1">IF(表2_36716262930345[[#This Row],[累计净值]]/MAX(INDIRECT("B21:B" &amp; ROW()))-1&lt;E221,表2_36716262930345[[#This Row],[累计净值]]/MAX(INDIRECT("B21:B" &amp; ROW()))-1,E221)</f>
        <v>-8.0876158382476859E-2</v>
      </c>
      <c r="F222" s="110">
        <f>表2_36716262930345[[#This Row],[累计净值]]</f>
        <v>1.3740000000000001</v>
      </c>
      <c r="G222" s="20">
        <f>表2_36716262930345[[#This Row],[累计净值]]/$B$22-1</f>
        <v>0.16440677966101713</v>
      </c>
    </row>
    <row r="223" spans="1:7">
      <c r="A223" s="15">
        <v>44005</v>
      </c>
      <c r="B223" s="112">
        <v>1.3680000000000001</v>
      </c>
      <c r="C223" s="108">
        <f t="shared" si="42"/>
        <v>-6.0000000000000053E-3</v>
      </c>
      <c r="D223" s="109">
        <f t="shared" si="43"/>
        <v>-6.0000000000000053E-3</v>
      </c>
      <c r="E223" s="109">
        <f ca="1">IF(表2_36716262930345[[#This Row],[累计净值]]/MAX(INDIRECT("B21:B" &amp; ROW()))-1&lt;E222,表2_36716262930345[[#This Row],[累计净值]]/MAX(INDIRECT("B21:B" &amp; ROW()))-1,E222)</f>
        <v>-8.0876158382476859E-2</v>
      </c>
      <c r="F223" s="110">
        <f>表2_36716262930345[[#This Row],[累计净值]]</f>
        <v>1.3680000000000001</v>
      </c>
      <c r="G223" s="20">
        <f>表2_36716262930345[[#This Row],[累计净值]]/$B$22-1</f>
        <v>0.15932203389830524</v>
      </c>
    </row>
    <row r="224" spans="1:7">
      <c r="A224" s="15">
        <v>44006</v>
      </c>
      <c r="B224" s="112">
        <v>1.3779999999999999</v>
      </c>
      <c r="C224" s="108">
        <f t="shared" si="42"/>
        <v>9.9999999999997868E-3</v>
      </c>
      <c r="D224" s="109" t="str">
        <f t="shared" si="43"/>
        <v>/</v>
      </c>
      <c r="E224" s="109">
        <f ca="1">IF(表2_36716262930345[[#This Row],[累计净值]]/MAX(INDIRECT("B21:B" &amp; ROW()))-1&lt;E223,表2_36716262930345[[#This Row],[累计净值]]/MAX(INDIRECT("B21:B" &amp; ROW()))-1,E223)</f>
        <v>-8.0876158382476859E-2</v>
      </c>
      <c r="F224" s="110">
        <f>表2_36716262930345[[#This Row],[累计净值]]</f>
        <v>1.3779999999999999</v>
      </c>
      <c r="G224" s="20">
        <f>表2_36716262930345[[#This Row],[累计净值]]/$B$22-1</f>
        <v>0.16779661016949143</v>
      </c>
    </row>
    <row r="225" spans="1:7">
      <c r="A225" s="15">
        <v>44011</v>
      </c>
      <c r="B225" s="112">
        <v>1.3680000000000001</v>
      </c>
      <c r="C225" s="108">
        <f t="shared" si="42"/>
        <v>-9.9999999999997868E-3</v>
      </c>
      <c r="D225" s="109">
        <f t="shared" si="43"/>
        <v>-9.9999999999997868E-3</v>
      </c>
      <c r="E225" s="109">
        <f ca="1">IF(表2_36716262930345[[#This Row],[累计净值]]/MAX(INDIRECT("B21:B" &amp; ROW()))-1&lt;E224,表2_36716262930345[[#This Row],[累计净值]]/MAX(INDIRECT("B21:B" &amp; ROW()))-1,E224)</f>
        <v>-8.0876158382476859E-2</v>
      </c>
      <c r="F225" s="110">
        <f>表2_36716262930345[[#This Row],[累计净值]]</f>
        <v>1.3680000000000001</v>
      </c>
      <c r="G225" s="20">
        <f>表2_36716262930345[[#This Row],[累计净值]]/$B$22-1</f>
        <v>0.15932203389830524</v>
      </c>
    </row>
    <row r="226" spans="1:7">
      <c r="A226" s="15">
        <v>44012</v>
      </c>
      <c r="B226" s="112">
        <v>1.38</v>
      </c>
      <c r="C226" s="108">
        <f t="shared" si="42"/>
        <v>1.1999999999999789E-2</v>
      </c>
      <c r="D226" s="109" t="str">
        <f t="shared" si="43"/>
        <v>/</v>
      </c>
      <c r="E226" s="109">
        <f ca="1">IF(表2_36716262930345[[#This Row],[累计净值]]/MAX(INDIRECT("B21:B" &amp; ROW()))-1&lt;E225,表2_36716262930345[[#This Row],[累计净值]]/MAX(INDIRECT("B21:B" &amp; ROW()))-1,E225)</f>
        <v>-8.0876158382476859E-2</v>
      </c>
      <c r="F226" s="110">
        <f>表2_36716262930345[[#This Row],[累计净值]]</f>
        <v>1.38</v>
      </c>
      <c r="G226" s="20">
        <f>表2_36716262930345[[#This Row],[累计净值]]/$B$22-1</f>
        <v>0.16949152542372881</v>
      </c>
    </row>
    <row r="227" spans="1:7">
      <c r="A227" s="15">
        <v>44013</v>
      </c>
      <c r="B227" s="112">
        <v>1.395</v>
      </c>
      <c r="C227" s="108">
        <f t="shared" ref="C227:C233" si="44">IFERROR(B227-B226,0)</f>
        <v>1.5000000000000124E-2</v>
      </c>
      <c r="D227" s="109" t="str">
        <f t="shared" ref="D227:D233" si="45">IF(C227&lt;0,C227,"/")</f>
        <v>/</v>
      </c>
      <c r="E227" s="109">
        <f ca="1">IF(表2_36716262930345[[#This Row],[累计净值]]/MAX(INDIRECT("B21:B" &amp; ROW()))-1&lt;E226,表2_36716262930345[[#This Row],[累计净值]]/MAX(INDIRECT("B21:B" &amp; ROW()))-1,E226)</f>
        <v>-8.0876158382476859E-2</v>
      </c>
      <c r="F227" s="110">
        <f>表2_36716262930345[[#This Row],[累计净值]]</f>
        <v>1.395</v>
      </c>
      <c r="G227" s="20">
        <f>表2_36716262930345[[#This Row],[累计净值]]/$B$22-1</f>
        <v>0.18220338983050866</v>
      </c>
    </row>
    <row r="228" spans="1:7">
      <c r="A228" s="15">
        <v>44014</v>
      </c>
      <c r="B228" s="112">
        <v>1.41</v>
      </c>
      <c r="C228" s="108">
        <f t="shared" si="44"/>
        <v>1.4999999999999902E-2</v>
      </c>
      <c r="D228" s="109" t="str">
        <f t="shared" si="45"/>
        <v>/</v>
      </c>
      <c r="E228" s="109">
        <f ca="1">IF(表2_36716262930345[[#This Row],[累计净值]]/MAX(INDIRECT("B21:B" &amp; ROW()))-1&lt;E227,表2_36716262930345[[#This Row],[累计净值]]/MAX(INDIRECT("B21:B" &amp; ROW()))-1,E227)</f>
        <v>-8.0876158382476859E-2</v>
      </c>
      <c r="F228" s="110">
        <f>表2_36716262930345[[#This Row],[累计净值]]</f>
        <v>1.41</v>
      </c>
      <c r="G228" s="20">
        <f>表2_36716262930345[[#This Row],[累计净值]]/$B$22-1</f>
        <v>0.19491525423728806</v>
      </c>
    </row>
    <row r="229" spans="1:7">
      <c r="A229" s="15">
        <v>44015</v>
      </c>
      <c r="B229" s="112">
        <v>1.431</v>
      </c>
      <c r="C229" s="108">
        <f t="shared" si="44"/>
        <v>2.100000000000013E-2</v>
      </c>
      <c r="D229" s="109" t="str">
        <f t="shared" si="45"/>
        <v>/</v>
      </c>
      <c r="E229" s="109">
        <f ca="1">IF(表2_36716262930345[[#This Row],[累计净值]]/MAX(INDIRECT("B21:B" &amp; ROW()))-1&lt;E228,表2_36716262930345[[#This Row],[累计净值]]/MAX(INDIRECT("B21:B" &amp; ROW()))-1,E228)</f>
        <v>-8.0876158382476859E-2</v>
      </c>
      <c r="F229" s="110">
        <f>表2_36716262930345[[#This Row],[累计净值]]</f>
        <v>1.431</v>
      </c>
      <c r="G229" s="20">
        <f>表2_36716262930345[[#This Row],[累计净值]]/$B$22-1</f>
        <v>0.2127118644067798</v>
      </c>
    </row>
    <row r="230" spans="1:7">
      <c r="A230" s="15">
        <v>44018</v>
      </c>
      <c r="B230" s="112">
        <v>1.4910000000000001</v>
      </c>
      <c r="C230" s="108">
        <f t="shared" si="44"/>
        <v>6.0000000000000053E-2</v>
      </c>
      <c r="D230" s="109" t="str">
        <f t="shared" si="45"/>
        <v>/</v>
      </c>
      <c r="E230" s="109">
        <f ca="1">IF(表2_36716262930345[[#This Row],[累计净值]]/MAX(INDIRECT("B21:B" &amp; ROW()))-1&lt;E229,表2_36716262930345[[#This Row],[累计净值]]/MAX(INDIRECT("B21:B" &amp; ROW()))-1,E229)</f>
        <v>-8.0876158382476859E-2</v>
      </c>
      <c r="F230" s="110">
        <f>表2_36716262930345[[#This Row],[累计净值]]</f>
        <v>1.4910000000000001</v>
      </c>
      <c r="G230" s="20">
        <f>表2_36716262930345[[#This Row],[累计净值]]/$B$22-1</f>
        <v>0.26355932203389854</v>
      </c>
    </row>
    <row r="231" spans="1:7">
      <c r="A231" s="15">
        <v>44019</v>
      </c>
      <c r="B231" s="112">
        <v>1.524</v>
      </c>
      <c r="C231" s="108">
        <f t="shared" si="44"/>
        <v>3.2999999999999918E-2</v>
      </c>
      <c r="D231" s="109" t="str">
        <f t="shared" si="45"/>
        <v>/</v>
      </c>
      <c r="E231" s="109">
        <f ca="1">IF(表2_36716262930345[[#This Row],[累计净值]]/MAX(INDIRECT("B21:B" &amp; ROW()))-1&lt;E230,表2_36716262930345[[#This Row],[累计净值]]/MAX(INDIRECT("B21:B" &amp; ROW()))-1,E230)</f>
        <v>-8.0876158382476859E-2</v>
      </c>
      <c r="F231" s="110">
        <f>表2_36716262930345[[#This Row],[累计净值]]</f>
        <v>1.524</v>
      </c>
      <c r="G231" s="20">
        <f>表2_36716262930345[[#This Row],[累计净值]]/$B$22-1</f>
        <v>0.29152542372881363</v>
      </c>
    </row>
    <row r="232" spans="1:7">
      <c r="A232" s="15">
        <v>44020</v>
      </c>
      <c r="B232" s="112">
        <v>1.5469999999999999</v>
      </c>
      <c r="C232" s="108">
        <f t="shared" si="44"/>
        <v>2.2999999999999909E-2</v>
      </c>
      <c r="D232" s="109" t="str">
        <f t="shared" si="45"/>
        <v>/</v>
      </c>
      <c r="E232" s="109">
        <f ca="1">IF(表2_36716262930345[[#This Row],[累计净值]]/MAX(INDIRECT("B21:B" &amp; ROW()))-1&lt;E231,表2_36716262930345[[#This Row],[累计净值]]/MAX(INDIRECT("B21:B" &amp; ROW()))-1,E231)</f>
        <v>-8.0876158382476859E-2</v>
      </c>
      <c r="F232" s="110">
        <f>表2_36716262930345[[#This Row],[累计净值]]</f>
        <v>1.5469999999999999</v>
      </c>
      <c r="G232" s="20">
        <f>表2_36716262930345[[#This Row],[累计净值]]/$B$22-1</f>
        <v>0.3110169491525423</v>
      </c>
    </row>
    <row r="233" spans="1:7">
      <c r="A233" s="15">
        <v>44021</v>
      </c>
      <c r="B233" s="112">
        <v>1.577</v>
      </c>
      <c r="C233" s="108">
        <f t="shared" si="44"/>
        <v>3.0000000000000027E-2</v>
      </c>
      <c r="D233" s="109" t="str">
        <f t="shared" si="45"/>
        <v>/</v>
      </c>
      <c r="E233" s="109">
        <f ca="1">IF(表2_36716262930345[[#This Row],[累计净值]]/MAX(INDIRECT("B21:B" &amp; ROW()))-1&lt;E232,表2_36716262930345[[#This Row],[累计净值]]/MAX(INDIRECT("B21:B" &amp; ROW()))-1,E232)</f>
        <v>-8.0876158382476859E-2</v>
      </c>
      <c r="F233" s="110">
        <f>表2_36716262930345[[#This Row],[累计净值]]</f>
        <v>1.577</v>
      </c>
      <c r="G233" s="20">
        <f>表2_36716262930345[[#This Row],[累计净值]]/$B$22-1</f>
        <v>0.33644067796610178</v>
      </c>
    </row>
    <row r="234" spans="1:7">
      <c r="A234" s="15">
        <v>44022</v>
      </c>
      <c r="B234" s="112">
        <v>1.56</v>
      </c>
      <c r="C234" s="108">
        <f t="shared" ref="C234:C239" si="46">IFERROR(B234-B233,0)</f>
        <v>-1.6999999999999904E-2</v>
      </c>
      <c r="D234" s="109">
        <f t="shared" ref="D234:D239" si="47">IF(C234&lt;0,C234,"/")</f>
        <v>-1.6999999999999904E-2</v>
      </c>
      <c r="E234" s="109">
        <f ca="1">IF(表2_36716262930345[[#This Row],[累计净值]]/MAX(INDIRECT("B21:B" &amp; ROW()))-1&lt;E233,表2_36716262930345[[#This Row],[累计净值]]/MAX(INDIRECT("B21:B" &amp; ROW()))-1,E233)</f>
        <v>-8.0876158382476859E-2</v>
      </c>
      <c r="F234" s="110">
        <f>表2_36716262930345[[#This Row],[累计净值]]</f>
        <v>1.56</v>
      </c>
      <c r="G234" s="20">
        <f>表2_36716262930345[[#This Row],[累计净值]]/$B$22-1</f>
        <v>0.32203389830508478</v>
      </c>
    </row>
    <row r="235" spans="1:7">
      <c r="A235" s="15">
        <v>44025</v>
      </c>
      <c r="B235" s="112">
        <v>1.62</v>
      </c>
      <c r="C235" s="108">
        <f t="shared" si="46"/>
        <v>6.0000000000000053E-2</v>
      </c>
      <c r="D235" s="109" t="str">
        <f t="shared" si="47"/>
        <v>/</v>
      </c>
      <c r="E235" s="109">
        <f ca="1">IF(表2_36716262930345[[#This Row],[累计净值]]/MAX(INDIRECT("B21:B" &amp; ROW()))-1&lt;E234,表2_36716262930345[[#This Row],[累计净值]]/MAX(INDIRECT("B21:B" &amp; ROW()))-1,E234)</f>
        <v>-8.0876158382476859E-2</v>
      </c>
      <c r="F235" s="110">
        <f>表2_36716262930345[[#This Row],[累计净值]]</f>
        <v>1.62</v>
      </c>
      <c r="G235" s="20">
        <f>表2_36716262930345[[#This Row],[累计净值]]/$B$22-1</f>
        <v>0.37288135593220351</v>
      </c>
    </row>
    <row r="236" spans="1:7">
      <c r="A236" s="15">
        <v>44026</v>
      </c>
      <c r="B236" s="112">
        <v>1.6279999999999999</v>
      </c>
      <c r="C236" s="108">
        <f t="shared" si="46"/>
        <v>7.9999999999997851E-3</v>
      </c>
      <c r="D236" s="109" t="str">
        <f t="shared" si="47"/>
        <v>/</v>
      </c>
      <c r="E236" s="109">
        <f ca="1">IF(表2_36716262930345[[#This Row],[累计净值]]/MAX(INDIRECT("B21:B" &amp; ROW()))-1&lt;E235,表2_36716262930345[[#This Row],[累计净值]]/MAX(INDIRECT("B21:B" &amp; ROW()))-1,E235)</f>
        <v>-8.0876158382476859E-2</v>
      </c>
      <c r="F236" s="110">
        <f>表2_36716262930345[[#This Row],[累计净值]]</f>
        <v>1.6279999999999999</v>
      </c>
      <c r="G236" s="20">
        <f>表2_36716262930345[[#This Row],[累计净值]]/$B$22-1</f>
        <v>0.37966101694915255</v>
      </c>
    </row>
    <row r="237" spans="1:7">
      <c r="A237" s="15">
        <v>44027</v>
      </c>
      <c r="B237" s="112">
        <v>1.6140000000000001</v>
      </c>
      <c r="C237" s="108">
        <f t="shared" si="46"/>
        <v>-1.399999999999979E-2</v>
      </c>
      <c r="D237" s="109">
        <f t="shared" si="47"/>
        <v>-1.399999999999979E-2</v>
      </c>
      <c r="E237" s="109">
        <f ca="1">IF(表2_36716262930345[[#This Row],[累计净值]]/MAX(INDIRECT("B21:B" &amp; ROW()))-1&lt;E236,表2_36716262930345[[#This Row],[累计净值]]/MAX(INDIRECT("B21:B" &amp; ROW()))-1,E236)</f>
        <v>-8.0876158382476859E-2</v>
      </c>
      <c r="F237" s="110">
        <f>表2_36716262930345[[#This Row],[累计净值]]</f>
        <v>1.6140000000000001</v>
      </c>
      <c r="G237" s="20">
        <f>表2_36716262930345[[#This Row],[累计净值]]/$B$22-1</f>
        <v>0.36779661016949161</v>
      </c>
    </row>
    <row r="238" spans="1:7">
      <c r="A238" s="15">
        <v>44028</v>
      </c>
      <c r="B238" s="112">
        <v>1.5860000000000001</v>
      </c>
      <c r="C238" s="108">
        <f t="shared" si="46"/>
        <v>-2.8000000000000025E-2</v>
      </c>
      <c r="D238" s="109">
        <f t="shared" si="47"/>
        <v>-2.8000000000000025E-2</v>
      </c>
      <c r="E238" s="109">
        <f ca="1">IF(表2_36716262930345[[#This Row],[累计净值]]/MAX(INDIRECT("B21:B" &amp; ROW()))-1&lt;E237,表2_36716262930345[[#This Row],[累计净值]]/MAX(INDIRECT("B21:B" &amp; ROW()))-1,E237)</f>
        <v>-8.0876158382476859E-2</v>
      </c>
      <c r="F238" s="110">
        <f>表2_36716262930345[[#This Row],[累计净值]]</f>
        <v>1.5860000000000001</v>
      </c>
      <c r="G238" s="20">
        <f>表2_36716262930345[[#This Row],[累计净值]]/$B$22-1</f>
        <v>0.34406779661016973</v>
      </c>
    </row>
    <row r="239" spans="1:7">
      <c r="A239" s="15">
        <v>44029</v>
      </c>
      <c r="B239" s="112">
        <v>1.593</v>
      </c>
      <c r="C239" s="108">
        <f t="shared" si="46"/>
        <v>6.9999999999998952E-3</v>
      </c>
      <c r="D239" s="109" t="str">
        <f t="shared" si="47"/>
        <v>/</v>
      </c>
      <c r="E239" s="109">
        <f ca="1">IF(表2_36716262930345[[#This Row],[累计净值]]/MAX(INDIRECT("B21:B" &amp; ROW()))-1&lt;E238,表2_36716262930345[[#This Row],[累计净值]]/MAX(INDIRECT("B21:B" &amp; ROW()))-1,E238)</f>
        <v>-8.0876158382476859E-2</v>
      </c>
      <c r="F239" s="110">
        <f>表2_36716262930345[[#This Row],[累计净值]]</f>
        <v>1.593</v>
      </c>
      <c r="G239" s="20">
        <f>表2_36716262930345[[#This Row],[累计净值]]/$B$22-1</f>
        <v>0.35000000000000009</v>
      </c>
    </row>
    <row r="240" spans="1:7">
      <c r="A240" s="15">
        <v>44032</v>
      </c>
      <c r="B240" s="112">
        <v>1.609</v>
      </c>
      <c r="C240" s="108">
        <f t="shared" ref="C240:C248" si="48">IFERROR(B240-B239,0)</f>
        <v>1.6000000000000014E-2</v>
      </c>
      <c r="D240" s="109" t="str">
        <f t="shared" ref="D240:D248" si="49">IF(C240&lt;0,C240,"/")</f>
        <v>/</v>
      </c>
      <c r="E240" s="109">
        <f ca="1">IF(表2_36716262930345[[#This Row],[累计净值]]/MAX(INDIRECT("B21:B" &amp; ROW()))-1&lt;E239,表2_36716262930345[[#This Row],[累计净值]]/MAX(INDIRECT("B21:B" &amp; ROW()))-1,E239)</f>
        <v>-8.0876158382476859E-2</v>
      </c>
      <c r="F240" s="110">
        <f>表2_36716262930345[[#This Row],[累计净值]]</f>
        <v>1.609</v>
      </c>
      <c r="G240" s="20">
        <f>表2_36716262930345[[#This Row],[累计净值]]/$B$22-1</f>
        <v>0.3635593220338984</v>
      </c>
    </row>
    <row r="241" spans="1:7">
      <c r="A241" s="15">
        <v>44033</v>
      </c>
      <c r="B241" s="112">
        <v>1.62</v>
      </c>
      <c r="C241" s="108">
        <f t="shared" si="48"/>
        <v>1.1000000000000121E-2</v>
      </c>
      <c r="D241" s="109" t="str">
        <f t="shared" si="49"/>
        <v>/</v>
      </c>
      <c r="E241" s="109">
        <f ca="1">IF(表2_36716262930345[[#This Row],[累计净值]]/MAX(INDIRECT("B21:B" &amp; ROW()))-1&lt;E240,表2_36716262930345[[#This Row],[累计净值]]/MAX(INDIRECT("B21:B" &amp; ROW()))-1,E240)</f>
        <v>-8.0876158382476859E-2</v>
      </c>
      <c r="F241" s="110">
        <f>表2_36716262930345[[#This Row],[累计净值]]</f>
        <v>1.62</v>
      </c>
      <c r="G241" s="20">
        <f>表2_36716262930345[[#This Row],[累计净值]]/$B$22-1</f>
        <v>0.37288135593220351</v>
      </c>
    </row>
    <row r="242" spans="1:7">
      <c r="A242" s="15">
        <v>44034</v>
      </c>
      <c r="B242" s="112">
        <v>1.6459999999999999</v>
      </c>
      <c r="C242" s="108">
        <f t="shared" si="48"/>
        <v>2.5999999999999801E-2</v>
      </c>
      <c r="D242" s="109" t="str">
        <f t="shared" si="49"/>
        <v>/</v>
      </c>
      <c r="E242" s="109">
        <f ca="1">IF(表2_36716262930345[[#This Row],[累计净值]]/MAX(INDIRECT("B21:B" &amp; ROW()))-1&lt;E241,表2_36716262930345[[#This Row],[累计净值]]/MAX(INDIRECT("B21:B" &amp; ROW()))-1,E241)</f>
        <v>-8.0876158382476859E-2</v>
      </c>
      <c r="F242" s="110">
        <f>表2_36716262930345[[#This Row],[累计净值]]</f>
        <v>1.6459999999999999</v>
      </c>
      <c r="G242" s="20">
        <f>表2_36716262930345[[#This Row],[累计净值]]/$B$22-1</f>
        <v>0.39491525423728824</v>
      </c>
    </row>
    <row r="243" spans="1:7">
      <c r="A243" s="15">
        <v>44035</v>
      </c>
      <c r="B243" s="112">
        <v>1.627</v>
      </c>
      <c r="C243" s="108">
        <f t="shared" si="48"/>
        <v>-1.8999999999999906E-2</v>
      </c>
      <c r="D243" s="109">
        <f t="shared" si="49"/>
        <v>-1.8999999999999906E-2</v>
      </c>
      <c r="E243" s="109">
        <f ca="1">IF(表2_36716262930345[[#This Row],[累计净值]]/MAX(INDIRECT("B21:B" &amp; ROW()))-1&lt;E242,表2_36716262930345[[#This Row],[累计净值]]/MAX(INDIRECT("B21:B" &amp; ROW()))-1,E242)</f>
        <v>-8.0876158382476859E-2</v>
      </c>
      <c r="F243" s="110">
        <f>表2_36716262930345[[#This Row],[累计净值]]</f>
        <v>1.627</v>
      </c>
      <c r="G243" s="20">
        <f>表2_36716262930345[[#This Row],[累计净值]]/$B$22-1</f>
        <v>0.37881355932203387</v>
      </c>
    </row>
    <row r="244" spans="1:7">
      <c r="A244" s="15">
        <v>44036</v>
      </c>
      <c r="B244" s="112">
        <v>1.615</v>
      </c>
      <c r="C244" s="108">
        <f t="shared" si="48"/>
        <v>-1.2000000000000011E-2</v>
      </c>
      <c r="D244" s="109">
        <f t="shared" si="49"/>
        <v>-1.2000000000000011E-2</v>
      </c>
      <c r="E244" s="109">
        <f ca="1">IF(表2_36716262930345[[#This Row],[累计净值]]/MAX(INDIRECT("B21:B" &amp; ROW()))-1&lt;E243,表2_36716262930345[[#This Row],[累计净值]]/MAX(INDIRECT("B21:B" &amp; ROW()))-1,E243)</f>
        <v>-8.0876158382476859E-2</v>
      </c>
      <c r="F244" s="110">
        <f>表2_36716262930345[[#This Row],[累计净值]]</f>
        <v>1.615</v>
      </c>
      <c r="G244" s="20">
        <f>表2_36716262930345[[#This Row],[累计净值]]/$B$22-1</f>
        <v>0.3686440677966103</v>
      </c>
    </row>
    <row r="245" spans="1:7">
      <c r="A245" s="15">
        <v>44039</v>
      </c>
      <c r="B245" s="112">
        <v>1.625</v>
      </c>
      <c r="C245" s="108">
        <f t="shared" si="48"/>
        <v>1.0000000000000009E-2</v>
      </c>
      <c r="D245" s="109" t="str">
        <f t="shared" si="49"/>
        <v>/</v>
      </c>
      <c r="E245" s="109">
        <f ca="1">IF(表2_36716262930345[[#This Row],[累计净值]]/MAX(INDIRECT("B21:B" &amp; ROW()))-1&lt;E244,表2_36716262930345[[#This Row],[累计净值]]/MAX(INDIRECT("B21:B" &amp; ROW()))-1,E244)</f>
        <v>-8.0876158382476859E-2</v>
      </c>
      <c r="F245" s="110">
        <f>表2_36716262930345[[#This Row],[累计净值]]</f>
        <v>1.625</v>
      </c>
      <c r="G245" s="20">
        <f>表2_36716262930345[[#This Row],[累计净值]]/$B$22-1</f>
        <v>0.37711864406779672</v>
      </c>
    </row>
    <row r="246" spans="1:7">
      <c r="A246" s="15">
        <v>44040</v>
      </c>
      <c r="B246" s="112">
        <v>1.6319999999999999</v>
      </c>
      <c r="C246" s="108">
        <f t="shared" si="48"/>
        <v>6.9999999999998952E-3</v>
      </c>
      <c r="D246" s="109" t="str">
        <f t="shared" si="49"/>
        <v>/</v>
      </c>
      <c r="E246" s="109">
        <f ca="1">IF(表2_36716262930345[[#This Row],[累计净值]]/MAX(INDIRECT("B21:B" &amp; ROW()))-1&lt;E245,表2_36716262930345[[#This Row],[累计净值]]/MAX(INDIRECT("B21:B" &amp; ROW()))-1,E245)</f>
        <v>-8.0876158382476859E-2</v>
      </c>
      <c r="F246" s="110">
        <f>表2_36716262930345[[#This Row],[累计净值]]</f>
        <v>1.6319999999999999</v>
      </c>
      <c r="G246" s="20">
        <f>表2_36716262930345[[#This Row],[累计净值]]/$B$22-1</f>
        <v>0.38305084745762707</v>
      </c>
    </row>
    <row r="247" spans="1:7">
      <c r="A247" s="15">
        <v>44041</v>
      </c>
      <c r="B247" s="112">
        <v>1.635</v>
      </c>
      <c r="C247" s="108">
        <f t="shared" si="48"/>
        <v>3.0000000000001137E-3</v>
      </c>
      <c r="D247" s="109" t="str">
        <f t="shared" si="49"/>
        <v>/</v>
      </c>
      <c r="E247" s="109">
        <f ca="1">IF(表2_36716262930345[[#This Row],[累计净值]]/MAX(INDIRECT("B21:B" &amp; ROW()))-1&lt;E246,表2_36716262930345[[#This Row],[累计净值]]/MAX(INDIRECT("B21:B" &amp; ROW()))-1,E246)</f>
        <v>-8.0876158382476859E-2</v>
      </c>
      <c r="F247" s="110">
        <f>表2_36716262930345[[#This Row],[累计净值]]</f>
        <v>1.635</v>
      </c>
      <c r="G247" s="20">
        <f>表2_36716262930345[[#This Row],[累计净值]]/$B$22-1</f>
        <v>0.38559322033898313</v>
      </c>
    </row>
    <row r="248" spans="1:7">
      <c r="A248" s="15">
        <v>44042</v>
      </c>
      <c r="B248" s="112">
        <v>1.643</v>
      </c>
      <c r="C248" s="108">
        <f t="shared" si="48"/>
        <v>8.0000000000000071E-3</v>
      </c>
      <c r="D248" s="109" t="str">
        <f t="shared" si="49"/>
        <v>/</v>
      </c>
      <c r="E248" s="109">
        <f ca="1">IF(表2_36716262930345[[#This Row],[累计净值]]/MAX(INDIRECT("B21:B" &amp; ROW()))-1&lt;E247,表2_36716262930345[[#This Row],[累计净值]]/MAX(INDIRECT("B21:B" &amp; ROW()))-1,E247)</f>
        <v>-8.0876158382476859E-2</v>
      </c>
      <c r="F248" s="110">
        <f>表2_36716262930345[[#This Row],[累计净值]]</f>
        <v>1.643</v>
      </c>
      <c r="G248" s="20">
        <f>表2_36716262930345[[#This Row],[累计净值]]/$B$22-1</f>
        <v>0.39237288135593218</v>
      </c>
    </row>
    <row r="249" spans="1:7">
      <c r="A249" s="15">
        <v>44043</v>
      </c>
      <c r="B249" s="112">
        <v>1.655</v>
      </c>
      <c r="C249" s="108">
        <f t="shared" ref="C249:C254" si="50">IFERROR(B249-B248,0)</f>
        <v>1.2000000000000011E-2</v>
      </c>
      <c r="D249" s="109" t="str">
        <f t="shared" ref="D249:D254" si="51">IF(C249&lt;0,C249,"/")</f>
        <v>/</v>
      </c>
      <c r="E249" s="109">
        <f ca="1">IF(表2_36716262930345[[#This Row],[累计净值]]/MAX(INDIRECT("B21:B" &amp; ROW()))-1&lt;E248,表2_36716262930345[[#This Row],[累计净值]]/MAX(INDIRECT("B21:B" &amp; ROW()))-1,E248)</f>
        <v>-8.0876158382476859E-2</v>
      </c>
      <c r="F249" s="110">
        <f>表2_36716262930345[[#This Row],[累计净值]]</f>
        <v>1.655</v>
      </c>
      <c r="G249" s="20">
        <f>表2_36716262930345[[#This Row],[累计净值]]/$B$22-1</f>
        <v>0.40254237288135597</v>
      </c>
    </row>
    <row r="250" spans="1:7">
      <c r="A250" s="15">
        <v>44046</v>
      </c>
      <c r="B250" s="112">
        <v>1.694</v>
      </c>
      <c r="C250" s="108">
        <f t="shared" si="50"/>
        <v>3.8999999999999924E-2</v>
      </c>
      <c r="D250" s="109" t="str">
        <f t="shared" si="51"/>
        <v>/</v>
      </c>
      <c r="E250" s="109">
        <f ca="1">IF(表2_36716262930345[[#This Row],[累计净值]]/MAX(INDIRECT("B21:B" &amp; ROW()))-1&lt;E249,表2_36716262930345[[#This Row],[累计净值]]/MAX(INDIRECT("B21:B" &amp; ROW()))-1,E249)</f>
        <v>-8.0876158382476859E-2</v>
      </c>
      <c r="F250" s="110">
        <f>表2_36716262930345[[#This Row],[累计净值]]</f>
        <v>1.694</v>
      </c>
      <c r="G250" s="20">
        <f>表2_36716262930345[[#This Row],[累计净值]]/$B$22-1</f>
        <v>0.43559322033898318</v>
      </c>
    </row>
    <row r="251" spans="1:7">
      <c r="A251" s="15">
        <v>44047</v>
      </c>
      <c r="B251" s="112">
        <v>1.71</v>
      </c>
      <c r="C251" s="108">
        <f t="shared" si="50"/>
        <v>1.6000000000000014E-2</v>
      </c>
      <c r="D251" s="109" t="str">
        <f t="shared" si="51"/>
        <v>/</v>
      </c>
      <c r="E251" s="109">
        <f ca="1">IF(表2_36716262930345[[#This Row],[累计净值]]/MAX(INDIRECT("B21:B" &amp; ROW()))-1&lt;E250,表2_36716262930345[[#This Row],[累计净值]]/MAX(INDIRECT("B21:B" &amp; ROW()))-1,E250)</f>
        <v>-8.0876158382476859E-2</v>
      </c>
      <c r="F251" s="110">
        <f>表2_36716262930345[[#This Row],[累计净值]]</f>
        <v>1.71</v>
      </c>
      <c r="G251" s="20">
        <f>表2_36716262930345[[#This Row],[累计净值]]/$B$22-1</f>
        <v>0.44915254237288149</v>
      </c>
    </row>
    <row r="252" spans="1:7">
      <c r="A252" s="15">
        <v>44048</v>
      </c>
      <c r="B252" s="112">
        <v>1.7210000000000001</v>
      </c>
      <c r="C252" s="108">
        <f t="shared" si="50"/>
        <v>1.1000000000000121E-2</v>
      </c>
      <c r="D252" s="109" t="str">
        <f t="shared" si="51"/>
        <v>/</v>
      </c>
      <c r="E252" s="109">
        <f ca="1">IF(表2_36716262930345[[#This Row],[累计净值]]/MAX(INDIRECT("B21:B" &amp; ROW()))-1&lt;E251,表2_36716262930345[[#This Row],[累计净值]]/MAX(INDIRECT("B21:B" &amp; ROW()))-1,E251)</f>
        <v>-8.0876158382476859E-2</v>
      </c>
      <c r="F252" s="110">
        <f>表2_36716262930345[[#This Row],[累计净值]]</f>
        <v>1.7210000000000001</v>
      </c>
      <c r="G252" s="20">
        <f>表2_36716262930345[[#This Row],[累计净值]]/$B$22-1</f>
        <v>0.4584745762711866</v>
      </c>
    </row>
    <row r="253" spans="1:7">
      <c r="A253" s="15">
        <v>44049</v>
      </c>
      <c r="B253" s="112">
        <v>1.7130000000000001</v>
      </c>
      <c r="C253" s="108">
        <f t="shared" si="50"/>
        <v>-8.0000000000000071E-3</v>
      </c>
      <c r="D253" s="109">
        <f t="shared" si="51"/>
        <v>-8.0000000000000071E-3</v>
      </c>
      <c r="E253" s="109">
        <f ca="1">IF(表2_36716262930345[[#This Row],[累计净值]]/MAX(INDIRECT("B21:B" &amp; ROW()))-1&lt;E252,表2_36716262930345[[#This Row],[累计净值]]/MAX(INDIRECT("B21:B" &amp; ROW()))-1,E252)</f>
        <v>-8.0876158382476859E-2</v>
      </c>
      <c r="F253" s="110">
        <f>表2_36716262930345[[#This Row],[累计净值]]</f>
        <v>1.7130000000000001</v>
      </c>
      <c r="G253" s="20">
        <f>表2_36716262930345[[#This Row],[累计净值]]/$B$22-1</f>
        <v>0.45169491525423733</v>
      </c>
    </row>
    <row r="254" spans="1:7">
      <c r="A254" s="15">
        <v>44050</v>
      </c>
      <c r="B254" s="112">
        <v>1.71</v>
      </c>
      <c r="C254" s="108">
        <f t="shared" si="50"/>
        <v>-3.0000000000001137E-3</v>
      </c>
      <c r="D254" s="109">
        <f t="shared" si="51"/>
        <v>-3.0000000000001137E-3</v>
      </c>
      <c r="E254" s="109">
        <f ca="1">IF(表2_36716262930345[[#This Row],[累计净值]]/MAX(INDIRECT("B21:B" &amp; ROW()))-1&lt;E253,表2_36716262930345[[#This Row],[累计净值]]/MAX(INDIRECT("B21:B" &amp; ROW()))-1,E253)</f>
        <v>-8.0876158382476859E-2</v>
      </c>
      <c r="F254" s="110">
        <f>表2_36716262930345[[#This Row],[累计净值]]</f>
        <v>1.71</v>
      </c>
      <c r="G254" s="20">
        <f>表2_36716262930345[[#This Row],[累计净值]]/$B$22-1</f>
        <v>0.44915254237288149</v>
      </c>
    </row>
    <row r="255" spans="1:7">
      <c r="A255" s="15">
        <v>44053</v>
      </c>
      <c r="B255" s="112">
        <v>1.681</v>
      </c>
      <c r="C255" s="108">
        <f t="shared" ref="C255:C260" si="52">IFERROR(B255-B254,0)</f>
        <v>-2.8999999999999915E-2</v>
      </c>
      <c r="D255" s="109">
        <f t="shared" ref="D255:D260" si="53">IF(C255&lt;0,C255,"/")</f>
        <v>-2.8999999999999915E-2</v>
      </c>
      <c r="E255" s="109">
        <f ca="1">IF(表2_36716262930345[[#This Row],[累计净值]]/MAX(INDIRECT("B21:B" &amp; ROW()))-1&lt;E254,表2_36716262930345[[#This Row],[累计净值]]/MAX(INDIRECT("B21:B" &amp; ROW()))-1,E254)</f>
        <v>-8.0876158382476859E-2</v>
      </c>
      <c r="F255" s="110">
        <f>表2_36716262930345[[#This Row],[累计净值]]</f>
        <v>1.681</v>
      </c>
      <c r="G255" s="20">
        <f>表2_36716262930345[[#This Row],[累计净值]]/$B$22-1</f>
        <v>0.4245762711864407</v>
      </c>
    </row>
    <row r="256" spans="1:7">
      <c r="A256" s="15">
        <v>44054</v>
      </c>
      <c r="B256" s="112">
        <v>1.659</v>
      </c>
      <c r="C256" s="108">
        <f t="shared" si="52"/>
        <v>-2.200000000000002E-2</v>
      </c>
      <c r="D256" s="109">
        <f t="shared" si="53"/>
        <v>-2.200000000000002E-2</v>
      </c>
      <c r="E256" s="109">
        <f ca="1">IF(表2_36716262930345[[#This Row],[累计净值]]/MAX(INDIRECT("B21:B" &amp; ROW()))-1&lt;E255,表2_36716262930345[[#This Row],[累计净值]]/MAX(INDIRECT("B21:B" &amp; ROW()))-1,E255)</f>
        <v>-8.0876158382476859E-2</v>
      </c>
      <c r="F256" s="110">
        <f>表2_36716262930345[[#This Row],[累计净值]]</f>
        <v>1.659</v>
      </c>
      <c r="G256" s="20">
        <f>表2_36716262930345[[#This Row],[累计净值]]/$B$22-1</f>
        <v>0.40593220338983071</v>
      </c>
    </row>
    <row r="257" spans="1:7">
      <c r="A257" s="15">
        <v>44055</v>
      </c>
      <c r="B257" s="112">
        <v>1.625</v>
      </c>
      <c r="C257" s="108">
        <f t="shared" si="52"/>
        <v>-3.400000000000003E-2</v>
      </c>
      <c r="D257" s="109">
        <f t="shared" si="53"/>
        <v>-3.400000000000003E-2</v>
      </c>
      <c r="E257" s="109">
        <f ca="1">IF(表2_36716262930345[[#This Row],[累计净值]]/MAX(INDIRECT("B21:B" &amp; ROW()))-1&lt;E256,表2_36716262930345[[#This Row],[累计净值]]/MAX(INDIRECT("B21:B" &amp; ROW()))-1,E256)</f>
        <v>-8.0876158382476859E-2</v>
      </c>
      <c r="F257" s="110">
        <f>表2_36716262930345[[#This Row],[累计净值]]</f>
        <v>1.625</v>
      </c>
      <c r="G257" s="20">
        <f>表2_36716262930345[[#This Row],[累计净值]]/$B$22-1</f>
        <v>0.37711864406779672</v>
      </c>
    </row>
    <row r="258" spans="1:7">
      <c r="A258" s="15">
        <v>44056</v>
      </c>
      <c r="B258" s="112">
        <v>1.631</v>
      </c>
      <c r="C258" s="108">
        <f t="shared" si="52"/>
        <v>6.0000000000000053E-3</v>
      </c>
      <c r="D258" s="109" t="str">
        <f t="shared" si="53"/>
        <v>/</v>
      </c>
      <c r="E258" s="109">
        <f ca="1">IF(表2_36716262930345[[#This Row],[累计净值]]/MAX(INDIRECT("B21:B" &amp; ROW()))-1&lt;E257,表2_36716262930345[[#This Row],[累计净值]]/MAX(INDIRECT("B21:B" &amp; ROW()))-1,E257)</f>
        <v>-8.0876158382476859E-2</v>
      </c>
      <c r="F258" s="110">
        <f>表2_36716262930345[[#This Row],[累计净值]]</f>
        <v>1.631</v>
      </c>
      <c r="G258" s="20">
        <f>表2_36716262930345[[#This Row],[累计净值]]/$B$22-1</f>
        <v>0.38220338983050861</v>
      </c>
    </row>
    <row r="259" spans="1:7">
      <c r="A259" s="15">
        <v>44057</v>
      </c>
      <c r="B259" s="112">
        <v>1.65</v>
      </c>
      <c r="C259" s="108">
        <f t="shared" si="52"/>
        <v>1.8999999999999906E-2</v>
      </c>
      <c r="D259" s="109" t="str">
        <f t="shared" si="53"/>
        <v>/</v>
      </c>
      <c r="E259" s="109">
        <f ca="1">IF(表2_36716262930345[[#This Row],[累计净值]]/MAX(INDIRECT("B21:B" &amp; ROW()))-1&lt;E258,表2_36716262930345[[#This Row],[累计净值]]/MAX(INDIRECT("B21:B" &amp; ROW()))-1,E258)</f>
        <v>-8.0876158382476859E-2</v>
      </c>
      <c r="F259" s="110">
        <f>表2_36716262930345[[#This Row],[累计净值]]</f>
        <v>1.65</v>
      </c>
      <c r="G259" s="20">
        <f>表2_36716262930345[[#This Row],[累计净值]]/$B$22-1</f>
        <v>0.39830508474576276</v>
      </c>
    </row>
    <row r="260" spans="1:7">
      <c r="A260" s="15">
        <v>44060</v>
      </c>
      <c r="B260" s="112">
        <v>1.6739999999999999</v>
      </c>
      <c r="C260" s="108">
        <f t="shared" si="52"/>
        <v>2.4000000000000021E-2</v>
      </c>
      <c r="D260" s="109" t="str">
        <f t="shared" si="53"/>
        <v>/</v>
      </c>
      <c r="E260" s="109">
        <f ca="1">IF(表2_36716262930345[[#This Row],[累计净值]]/MAX(INDIRECT("B21:B" &amp; ROW()))-1&lt;E259,表2_36716262930345[[#This Row],[累计净值]]/MAX(INDIRECT("B21:B" &amp; ROW()))-1,E259)</f>
        <v>-8.0876158382476859E-2</v>
      </c>
      <c r="F260" s="110">
        <f>表2_36716262930345[[#This Row],[累计净值]]</f>
        <v>1.6739999999999999</v>
      </c>
      <c r="G260" s="20">
        <f>表2_36716262930345[[#This Row],[累计净值]]/$B$22-1</f>
        <v>0.41864406779661012</v>
      </c>
    </row>
    <row r="261" spans="1:7">
      <c r="A261" s="15">
        <v>44061</v>
      </c>
      <c r="B261" s="112">
        <v>1.696</v>
      </c>
      <c r="C261" s="108">
        <f t="shared" ref="C261:C266" si="54">IFERROR(B261-B260,0)</f>
        <v>2.200000000000002E-2</v>
      </c>
      <c r="D261" s="109" t="str">
        <f t="shared" ref="D261:D266" si="55">IF(C261&lt;0,C261,"/")</f>
        <v>/</v>
      </c>
      <c r="E261" s="109">
        <f ca="1">IF(表2_36716262930345[[#This Row],[累计净值]]/MAX(INDIRECT("B21:B" &amp; ROW()))-1&lt;E260,表2_36716262930345[[#This Row],[累计净值]]/MAX(INDIRECT("B21:B" &amp; ROW()))-1,E260)</f>
        <v>-8.0876158382476859E-2</v>
      </c>
      <c r="F261" s="110">
        <f>表2_36716262930345[[#This Row],[累计净值]]</f>
        <v>1.696</v>
      </c>
      <c r="G261" s="20">
        <f>表2_36716262930345[[#This Row],[累计净值]]/$B$22-1</f>
        <v>0.43728813559322033</v>
      </c>
    </row>
    <row r="262" spans="1:7">
      <c r="A262" s="15">
        <v>44062</v>
      </c>
      <c r="B262" s="112">
        <v>1.71</v>
      </c>
      <c r="C262" s="108">
        <f t="shared" si="54"/>
        <v>1.4000000000000012E-2</v>
      </c>
      <c r="D262" s="109" t="str">
        <f t="shared" si="55"/>
        <v>/</v>
      </c>
      <c r="E262" s="109">
        <f ca="1">IF(表2_36716262930345[[#This Row],[累计净值]]/MAX(INDIRECT("B21:B" &amp; ROW()))-1&lt;E261,表2_36716262930345[[#This Row],[累计净值]]/MAX(INDIRECT("B21:B" &amp; ROW()))-1,E261)</f>
        <v>-8.0876158382476859E-2</v>
      </c>
      <c r="F262" s="110">
        <f>表2_36716262930345[[#This Row],[累计净值]]</f>
        <v>1.71</v>
      </c>
      <c r="G262" s="20">
        <f>表2_36716262930345[[#This Row],[累计净值]]/$B$22-1</f>
        <v>0.44915254237288149</v>
      </c>
    </row>
    <row r="263" spans="1:7">
      <c r="A263" s="15">
        <v>44063</v>
      </c>
      <c r="B263" s="112">
        <v>1.704</v>
      </c>
      <c r="C263" s="108">
        <f t="shared" si="54"/>
        <v>-6.0000000000000053E-3</v>
      </c>
      <c r="D263" s="109">
        <f t="shared" si="55"/>
        <v>-6.0000000000000053E-3</v>
      </c>
      <c r="E263" s="109">
        <f ca="1">IF(表2_36716262930345[[#This Row],[累计净值]]/MAX(INDIRECT("B21:B" &amp; ROW()))-1&lt;E262,表2_36716262930345[[#This Row],[累计净值]]/MAX(INDIRECT("B21:B" &amp; ROW()))-1,E262)</f>
        <v>-8.0876158382476859E-2</v>
      </c>
      <c r="F263" s="110">
        <f>表2_36716262930345[[#This Row],[累计净值]]</f>
        <v>1.704</v>
      </c>
      <c r="G263" s="20">
        <f>表2_36716262930345[[#This Row],[累计净值]]/$B$22-1</f>
        <v>0.4440677966101696</v>
      </c>
    </row>
    <row r="264" spans="1:7">
      <c r="A264" s="15">
        <v>44064</v>
      </c>
      <c r="B264" s="112">
        <v>1.6870000000000001</v>
      </c>
      <c r="C264" s="108">
        <f t="shared" si="54"/>
        <v>-1.6999999999999904E-2</v>
      </c>
      <c r="D264" s="109">
        <f t="shared" si="55"/>
        <v>-1.6999999999999904E-2</v>
      </c>
      <c r="E264" s="109">
        <f ca="1">IF(表2_36716262930345[[#This Row],[累计净值]]/MAX(INDIRECT("B21:B" &amp; ROW()))-1&lt;E263,表2_36716262930345[[#This Row],[累计净值]]/MAX(INDIRECT("B21:B" &amp; ROW()))-1,E263)</f>
        <v>-8.0876158382476859E-2</v>
      </c>
      <c r="F264" s="110">
        <f>表2_36716262930345[[#This Row],[累计净值]]</f>
        <v>1.6870000000000001</v>
      </c>
      <c r="G264" s="20">
        <f>表2_36716262930345[[#This Row],[累计净值]]/$B$22-1</f>
        <v>0.4296610169491526</v>
      </c>
    </row>
    <row r="265" spans="1:7">
      <c r="A265" s="15">
        <v>44067</v>
      </c>
      <c r="B265" s="112">
        <v>1.655</v>
      </c>
      <c r="C265" s="108">
        <f t="shared" si="54"/>
        <v>-3.2000000000000028E-2</v>
      </c>
      <c r="D265" s="109">
        <f t="shared" si="55"/>
        <v>-3.2000000000000028E-2</v>
      </c>
      <c r="E265" s="109">
        <f ca="1">IF(表2_36716262930345[[#This Row],[累计净值]]/MAX(INDIRECT("B21:B" &amp; ROW()))-1&lt;E264,表2_36716262930345[[#This Row],[累计净值]]/MAX(INDIRECT("B21:B" &amp; ROW()))-1,E264)</f>
        <v>-8.0876158382476859E-2</v>
      </c>
      <c r="F265" s="110">
        <f>表2_36716262930345[[#This Row],[累计净值]]</f>
        <v>1.655</v>
      </c>
      <c r="G265" s="20">
        <f>表2_36716262930345[[#This Row],[累计净值]]/$B$22-1</f>
        <v>0.40254237288135597</v>
      </c>
    </row>
    <row r="266" spans="1:7">
      <c r="A266" s="15">
        <v>44068</v>
      </c>
      <c r="B266" s="112">
        <v>1.637</v>
      </c>
      <c r="C266" s="108">
        <f t="shared" si="54"/>
        <v>-1.8000000000000016E-2</v>
      </c>
      <c r="D266" s="109">
        <f t="shared" si="55"/>
        <v>-1.8000000000000016E-2</v>
      </c>
      <c r="E266" s="109">
        <f ca="1">IF(表2_36716262930345[[#This Row],[累计净值]]/MAX(INDIRECT("B21:B" &amp; ROW()))-1&lt;E265,表2_36716262930345[[#This Row],[累计净值]]/MAX(INDIRECT("B21:B" &amp; ROW()))-1,E265)</f>
        <v>-8.0876158382476859E-2</v>
      </c>
      <c r="F266" s="110">
        <f>表2_36716262930345[[#This Row],[累计净值]]</f>
        <v>1.637</v>
      </c>
      <c r="G266" s="20">
        <f>表2_36716262930345[[#This Row],[累计净值]]/$B$22-1</f>
        <v>0.38728813559322051</v>
      </c>
    </row>
    <row r="267" spans="1:7">
      <c r="A267" s="15">
        <v>44069</v>
      </c>
      <c r="B267" s="112">
        <v>1.623</v>
      </c>
      <c r="C267" s="108">
        <f t="shared" ref="C267:C273" si="56">IFERROR(B267-B266,0)</f>
        <v>-1.4000000000000012E-2</v>
      </c>
      <c r="D267" s="109">
        <f t="shared" ref="D267:D273" si="57">IF(C267&lt;0,C267,"/")</f>
        <v>-1.4000000000000012E-2</v>
      </c>
      <c r="E267" s="109">
        <f ca="1">IF(表2_36716262930345[[#This Row],[累计净值]]/MAX(INDIRECT("B21:B" &amp; ROW()))-1&lt;E266,表2_36716262930345[[#This Row],[累计净值]]/MAX(INDIRECT("B21:B" &amp; ROW()))-1,E266)</f>
        <v>-8.0876158382476859E-2</v>
      </c>
      <c r="F267" s="110">
        <f>表2_36716262930345[[#This Row],[累计净值]]</f>
        <v>1.623</v>
      </c>
      <c r="G267" s="20">
        <f>表2_36716262930345[[#This Row],[累计净值]]/$B$22-1</f>
        <v>0.37542372881355934</v>
      </c>
    </row>
    <row r="268" spans="1:7">
      <c r="A268" s="15">
        <v>44070</v>
      </c>
      <c r="B268" s="112">
        <v>1.633</v>
      </c>
      <c r="C268" s="108">
        <f t="shared" si="56"/>
        <v>1.0000000000000009E-2</v>
      </c>
      <c r="D268" s="109" t="str">
        <f t="shared" si="57"/>
        <v>/</v>
      </c>
      <c r="E268" s="109">
        <f ca="1">IF(表2_36716262930345[[#This Row],[累计净值]]/MAX(INDIRECT("B21:B" &amp; ROW()))-1&lt;E267,表2_36716262930345[[#This Row],[累计净值]]/MAX(INDIRECT("B21:B" &amp; ROW()))-1,E267)</f>
        <v>-8.0876158382476859E-2</v>
      </c>
      <c r="F268" s="110">
        <f>表2_36716262930345[[#This Row],[累计净值]]</f>
        <v>1.633</v>
      </c>
      <c r="G268" s="20">
        <f>表2_36716262930345[[#This Row],[累计净值]]/$B$22-1</f>
        <v>0.38389830508474576</v>
      </c>
    </row>
    <row r="269" spans="1:7">
      <c r="A269" s="15">
        <v>44071</v>
      </c>
      <c r="B269" s="112">
        <v>1.6459999999999999</v>
      </c>
      <c r="C269" s="108">
        <f t="shared" si="56"/>
        <v>1.2999999999999901E-2</v>
      </c>
      <c r="D269" s="109" t="str">
        <f t="shared" si="57"/>
        <v>/</v>
      </c>
      <c r="E269" s="109">
        <f ca="1">IF(表2_36716262930345[[#This Row],[累计净值]]/MAX(INDIRECT("B21:B" &amp; ROW()))-1&lt;E268,表2_36716262930345[[#This Row],[累计净值]]/MAX(INDIRECT("B21:B" &amp; ROW()))-1,E268)</f>
        <v>-8.0876158382476859E-2</v>
      </c>
      <c r="F269" s="110">
        <f>表2_36716262930345[[#This Row],[累计净值]]</f>
        <v>1.6459999999999999</v>
      </c>
      <c r="G269" s="20">
        <f>表2_36716262930345[[#This Row],[累计净值]]/$B$22-1</f>
        <v>0.39491525423728824</v>
      </c>
    </row>
    <row r="270" spans="1:7">
      <c r="A270" s="15">
        <v>44074</v>
      </c>
      <c r="B270" s="112">
        <v>1.661</v>
      </c>
      <c r="C270" s="108">
        <f t="shared" si="56"/>
        <v>1.5000000000000124E-2</v>
      </c>
      <c r="D270" s="109" t="str">
        <f t="shared" si="57"/>
        <v>/</v>
      </c>
      <c r="E270" s="109">
        <f ca="1">IF(表2_36716262930345[[#This Row],[累计净值]]/MAX(INDIRECT("B21:B" &amp; ROW()))-1&lt;E269,表2_36716262930345[[#This Row],[累计净值]]/MAX(INDIRECT("B21:B" &amp; ROW()))-1,E269)</f>
        <v>-8.0876158382476859E-2</v>
      </c>
      <c r="F270" s="110">
        <f>表2_36716262930345[[#This Row],[累计净值]]</f>
        <v>1.661</v>
      </c>
      <c r="G270" s="20">
        <f>表2_36716262930345[[#This Row],[累计净值]]/$B$22-1</f>
        <v>0.40762711864406787</v>
      </c>
    </row>
    <row r="271" spans="1:7">
      <c r="A271" s="15">
        <v>44075</v>
      </c>
      <c r="B271" s="112">
        <v>1.669</v>
      </c>
      <c r="C271" s="108">
        <f t="shared" si="56"/>
        <v>8.0000000000000071E-3</v>
      </c>
      <c r="D271" s="109" t="str">
        <f t="shared" si="57"/>
        <v>/</v>
      </c>
      <c r="E271" s="109">
        <f ca="1">IF(表2_36716262930345[[#This Row],[累计净值]]/MAX(INDIRECT("B21:B" &amp; ROW()))-1&lt;E270,表2_36716262930345[[#This Row],[累计净值]]/MAX(INDIRECT("B21:B" &amp; ROW()))-1,E270)</f>
        <v>-8.0876158382476859E-2</v>
      </c>
      <c r="F271" s="110">
        <f>表2_36716262930345[[#This Row],[累计净值]]</f>
        <v>1.669</v>
      </c>
      <c r="G271" s="20">
        <f>表2_36716262930345[[#This Row],[累计净值]]/$B$22-1</f>
        <v>0.41440677966101713</v>
      </c>
    </row>
    <row r="272" spans="1:7">
      <c r="A272" s="15">
        <v>44076</v>
      </c>
      <c r="B272" s="112">
        <v>1.6739999999999999</v>
      </c>
      <c r="C272" s="108">
        <f t="shared" si="56"/>
        <v>4.9999999999998934E-3</v>
      </c>
      <c r="D272" s="109" t="str">
        <f t="shared" si="57"/>
        <v>/</v>
      </c>
      <c r="E272" s="109">
        <f ca="1">IF(表2_36716262930345[[#This Row],[累计净值]]/MAX(INDIRECT("B21:B" &amp; ROW()))-1&lt;E271,表2_36716262930345[[#This Row],[累计净值]]/MAX(INDIRECT("B21:B" &amp; ROW()))-1,E271)</f>
        <v>-8.0876158382476859E-2</v>
      </c>
      <c r="F272" s="110">
        <f>表2_36716262930345[[#This Row],[累计净值]]</f>
        <v>1.6739999999999999</v>
      </c>
      <c r="G272" s="20">
        <f>表2_36716262930345[[#This Row],[累计净值]]/$B$22-1</f>
        <v>0.41864406779661012</v>
      </c>
    </row>
    <row r="273" spans="1:7">
      <c r="A273" s="15">
        <v>44077</v>
      </c>
      <c r="B273" s="112">
        <v>1.6839999999999999</v>
      </c>
      <c r="C273" s="108">
        <f t="shared" si="56"/>
        <v>1.0000000000000009E-2</v>
      </c>
      <c r="D273" s="109" t="str">
        <f t="shared" si="57"/>
        <v>/</v>
      </c>
      <c r="E273" s="109">
        <f ca="1">IF(表2_36716262930345[[#This Row],[累计净值]]/MAX(INDIRECT("B21:B" &amp; ROW()))-1&lt;E272,表2_36716262930345[[#This Row],[累计净值]]/MAX(INDIRECT("B21:B" &amp; ROW()))-1,E272)</f>
        <v>-8.0876158382476859E-2</v>
      </c>
      <c r="F273" s="110">
        <f>表2_36716262930345[[#This Row],[累计净值]]</f>
        <v>1.6839999999999999</v>
      </c>
      <c r="G273" s="20">
        <f>表2_36716262930345[[#This Row],[累计净值]]/$B$22-1</f>
        <v>0.42711864406779654</v>
      </c>
    </row>
    <row r="274" spans="1:7">
      <c r="A274" s="15">
        <v>44078</v>
      </c>
      <c r="B274" s="112">
        <v>1.6830000000000001</v>
      </c>
      <c r="C274" s="108">
        <f t="shared" ref="C274:C279" si="58">IFERROR(B274-B273,0)</f>
        <v>-9.9999999999988987E-4</v>
      </c>
      <c r="D274" s="109">
        <f t="shared" ref="D274:D279" si="59">IF(C274&lt;0,C274,"/")</f>
        <v>-9.9999999999988987E-4</v>
      </c>
      <c r="E274" s="109">
        <f ca="1">IF(表2_36716262930345[[#This Row],[累计净值]]/MAX(INDIRECT("B21:B" &amp; ROW()))-1&lt;E273,表2_36716262930345[[#This Row],[累计净值]]/MAX(INDIRECT("B21:B" &amp; ROW()))-1,E273)</f>
        <v>-8.0876158382476859E-2</v>
      </c>
      <c r="F274" s="110">
        <f>表2_36716262930345[[#This Row],[累计净值]]</f>
        <v>1.6830000000000001</v>
      </c>
      <c r="G274" s="20">
        <f>表2_36716262930345[[#This Row],[累计净值]]/$B$22-1</f>
        <v>0.42627118644067807</v>
      </c>
    </row>
    <row r="275" spans="1:7">
      <c r="A275" s="15">
        <v>44081</v>
      </c>
      <c r="B275" s="112">
        <v>1.7050000000000001</v>
      </c>
      <c r="C275" s="108">
        <f t="shared" si="58"/>
        <v>2.200000000000002E-2</v>
      </c>
      <c r="D275" s="109" t="str">
        <f t="shared" si="59"/>
        <v>/</v>
      </c>
      <c r="E275" s="109">
        <f ca="1">IF(表2_36716262930345[[#This Row],[累计净值]]/MAX(INDIRECT("B21:B" &amp; ROW()))-1&lt;E274,表2_36716262930345[[#This Row],[累计净值]]/MAX(INDIRECT("B21:B" &amp; ROW()))-1,E274)</f>
        <v>-8.0876158382476859E-2</v>
      </c>
      <c r="F275" s="110">
        <f>表2_36716262930345[[#This Row],[累计净值]]</f>
        <v>1.7050000000000001</v>
      </c>
      <c r="G275" s="20">
        <f>表2_36716262930345[[#This Row],[累计净值]]/$B$22-1</f>
        <v>0.44491525423728828</v>
      </c>
    </row>
    <row r="276" spans="1:7">
      <c r="A276" s="15">
        <v>44082</v>
      </c>
      <c r="B276" s="112">
        <v>1.7010000000000001</v>
      </c>
      <c r="C276" s="108">
        <f t="shared" si="58"/>
        <v>-4.0000000000000036E-3</v>
      </c>
      <c r="D276" s="109">
        <f t="shared" si="59"/>
        <v>-4.0000000000000036E-3</v>
      </c>
      <c r="E276" s="109">
        <f ca="1">IF(表2_36716262930345[[#This Row],[累计净值]]/MAX(INDIRECT("B21:B" &amp; ROW()))-1&lt;E275,表2_36716262930345[[#This Row],[累计净值]]/MAX(INDIRECT("B21:B" &amp; ROW()))-1,E275)</f>
        <v>-8.0876158382476859E-2</v>
      </c>
      <c r="F276" s="110">
        <f>表2_36716262930345[[#This Row],[累计净值]]</f>
        <v>1.7010000000000001</v>
      </c>
      <c r="G276" s="20">
        <f>表2_36716262930345[[#This Row],[累计净值]]/$B$22-1</f>
        <v>0.44152542372881376</v>
      </c>
    </row>
    <row r="277" spans="1:7">
      <c r="A277" s="15">
        <v>44083</v>
      </c>
      <c r="B277" s="112">
        <v>1.7130000000000001</v>
      </c>
      <c r="C277" s="108">
        <f t="shared" si="58"/>
        <v>1.2000000000000011E-2</v>
      </c>
      <c r="D277" s="109" t="str">
        <f t="shared" si="59"/>
        <v>/</v>
      </c>
      <c r="E277" s="109">
        <f ca="1">IF(表2_36716262930345[[#This Row],[累计净值]]/MAX(INDIRECT("B21:B" &amp; ROW()))-1&lt;E276,表2_36716262930345[[#This Row],[累计净值]]/MAX(INDIRECT("B21:B" &amp; ROW()))-1,E276)</f>
        <v>-8.0876158382476859E-2</v>
      </c>
      <c r="F277" s="110">
        <f>表2_36716262930345[[#This Row],[累计净值]]</f>
        <v>1.7130000000000001</v>
      </c>
      <c r="G277" s="20">
        <f>表2_36716262930345[[#This Row],[累计净值]]/$B$22-1</f>
        <v>0.45169491525423733</v>
      </c>
    </row>
    <row r="278" spans="1:7">
      <c r="A278" s="15">
        <v>44084</v>
      </c>
      <c r="B278" s="112">
        <v>1.7150000000000001</v>
      </c>
      <c r="C278" s="108">
        <f t="shared" si="58"/>
        <v>2.0000000000000018E-3</v>
      </c>
      <c r="D278" s="109" t="str">
        <f t="shared" si="59"/>
        <v>/</v>
      </c>
      <c r="E278" s="109">
        <f ca="1">IF(表2_36716262930345[[#This Row],[累计净值]]/MAX(INDIRECT("B21:B" &amp; ROW()))-1&lt;E277,表2_36716262930345[[#This Row],[累计净值]]/MAX(INDIRECT("B21:B" &amp; ROW()))-1,E277)</f>
        <v>-8.0876158382476859E-2</v>
      </c>
      <c r="F278" s="110">
        <f>表2_36716262930345[[#This Row],[累计净值]]</f>
        <v>1.7150000000000001</v>
      </c>
      <c r="G278" s="20">
        <f>表2_36716262930345[[#This Row],[累计净值]]/$B$22-1</f>
        <v>0.4533898305084747</v>
      </c>
    </row>
    <row r="279" spans="1:7">
      <c r="A279" s="15">
        <v>44085</v>
      </c>
      <c r="B279" s="112">
        <v>1.722</v>
      </c>
      <c r="C279" s="108">
        <f t="shared" si="58"/>
        <v>6.9999999999998952E-3</v>
      </c>
      <c r="D279" s="109" t="str">
        <f t="shared" si="59"/>
        <v>/</v>
      </c>
      <c r="E279" s="109">
        <f ca="1">IF(表2_36716262930345[[#This Row],[累计净值]]/MAX(INDIRECT("B21:B" &amp; ROW()))-1&lt;E278,表2_36716262930345[[#This Row],[累计净值]]/MAX(INDIRECT("B21:B" &amp; ROW()))-1,E278)</f>
        <v>-8.0876158382476859E-2</v>
      </c>
      <c r="F279" s="110">
        <f>表2_36716262930345[[#This Row],[累计净值]]</f>
        <v>1.722</v>
      </c>
      <c r="G279" s="20">
        <f>表2_36716262930345[[#This Row],[累计净值]]/$B$22-1</f>
        <v>0.45932203389830506</v>
      </c>
    </row>
    <row r="280" spans="1:7">
      <c r="A280" s="15">
        <v>44088</v>
      </c>
      <c r="B280" s="112">
        <v>1.7310000000000001</v>
      </c>
      <c r="C280" s="108">
        <f t="shared" ref="C280:C285" si="60">IFERROR(B280-B279,0)</f>
        <v>9.000000000000119E-3</v>
      </c>
      <c r="D280" s="109" t="str">
        <f t="shared" ref="D280:D285" si="61">IF(C280&lt;0,C280,"/")</f>
        <v>/</v>
      </c>
      <c r="E280" s="109">
        <f ca="1">IF(表2_36716262930345[[#This Row],[累计净值]]/MAX(INDIRECT("B21:B" &amp; ROW()))-1&lt;E279,表2_36716262930345[[#This Row],[累计净值]]/MAX(INDIRECT("B21:B" &amp; ROW()))-1,E279)</f>
        <v>-8.0876158382476859E-2</v>
      </c>
      <c r="F280" s="110">
        <f>表2_36716262930345[[#This Row],[累计净值]]</f>
        <v>1.7310000000000001</v>
      </c>
      <c r="G280" s="20">
        <f>表2_36716262930345[[#This Row],[累计净值]]/$B$22-1</f>
        <v>0.46694915254237301</v>
      </c>
    </row>
    <row r="281" spans="1:7">
      <c r="A281" s="15">
        <v>44089</v>
      </c>
      <c r="B281" s="112">
        <v>1.732</v>
      </c>
      <c r="C281" s="108">
        <f t="shared" si="60"/>
        <v>9.9999999999988987E-4</v>
      </c>
      <c r="D281" s="109" t="str">
        <f t="shared" si="61"/>
        <v>/</v>
      </c>
      <c r="E281" s="109">
        <f ca="1">IF(表2_36716262930345[[#This Row],[累计净值]]/MAX(INDIRECT("B21:B" &amp; ROW()))-1&lt;E280,表2_36716262930345[[#This Row],[累计净值]]/MAX(INDIRECT("B21:B" &amp; ROW()))-1,E280)</f>
        <v>-8.0876158382476859E-2</v>
      </c>
      <c r="F281" s="110">
        <f>表2_36716262930345[[#This Row],[累计净值]]</f>
        <v>1.732</v>
      </c>
      <c r="G281" s="20">
        <f>表2_36716262930345[[#This Row],[累计净值]]/$B$22-1</f>
        <v>0.4677966101694917</v>
      </c>
    </row>
    <row r="282" spans="1:7">
      <c r="A282" s="15">
        <v>44090</v>
      </c>
      <c r="B282" s="112">
        <v>1.716</v>
      </c>
      <c r="C282" s="108">
        <f t="shared" si="60"/>
        <v>-1.6000000000000014E-2</v>
      </c>
      <c r="D282" s="109">
        <f t="shared" si="61"/>
        <v>-1.6000000000000014E-2</v>
      </c>
      <c r="E282" s="109">
        <f ca="1">IF(表2_36716262930345[[#This Row],[累计净值]]/MAX(INDIRECT("B21:B" &amp; ROW()))-1&lt;E281,表2_36716262930345[[#This Row],[累计净值]]/MAX(INDIRECT("B21:B" &amp; ROW()))-1,E281)</f>
        <v>-8.0876158382476859E-2</v>
      </c>
      <c r="F282" s="110">
        <f>表2_36716262930345[[#This Row],[累计净值]]</f>
        <v>1.716</v>
      </c>
      <c r="G282" s="20">
        <f>表2_36716262930345[[#This Row],[累计净值]]/$B$22-1</f>
        <v>0.45423728813559316</v>
      </c>
    </row>
    <row r="283" spans="1:7">
      <c r="A283" s="15">
        <v>44091</v>
      </c>
      <c r="B283" s="112">
        <v>1.7150000000000001</v>
      </c>
      <c r="C283" s="108">
        <f t="shared" si="60"/>
        <v>-9.9999999999988987E-4</v>
      </c>
      <c r="D283" s="109">
        <f t="shared" si="61"/>
        <v>-9.9999999999988987E-4</v>
      </c>
      <c r="E283" s="109">
        <f ca="1">IF(表2_36716262930345[[#This Row],[累计净值]]/MAX(INDIRECT("B21:B" &amp; ROW()))-1&lt;E282,表2_36716262930345[[#This Row],[累计净值]]/MAX(INDIRECT("B21:B" &amp; ROW()))-1,E282)</f>
        <v>-8.0876158382476859E-2</v>
      </c>
      <c r="F283" s="110">
        <f>表2_36716262930345[[#This Row],[累计净值]]</f>
        <v>1.7150000000000001</v>
      </c>
      <c r="G283" s="20">
        <f>表2_36716262930345[[#This Row],[累计净值]]/$B$22-1</f>
        <v>0.4533898305084747</v>
      </c>
    </row>
    <row r="284" spans="1:7">
      <c r="A284" s="15">
        <v>44092</v>
      </c>
      <c r="B284" s="63">
        <v>1.726</v>
      </c>
      <c r="C284" s="64">
        <f t="shared" si="60"/>
        <v>1.0999999999999899E-2</v>
      </c>
      <c r="D284" s="65" t="str">
        <f t="shared" si="61"/>
        <v>/</v>
      </c>
      <c r="E284" s="65">
        <f ca="1">IF(表2_36716262930345[[#This Row],[累计净值]]/MAX(INDIRECT("B21:B" &amp; ROW()))-1&lt;E283,表2_36716262930345[[#This Row],[累计净值]]/MAX(INDIRECT("B21:B" &amp; ROW()))-1,E283)</f>
        <v>-8.0876158382476859E-2</v>
      </c>
      <c r="F284" s="66">
        <f>表2_36716262930345[[#This Row],[累计净值]]</f>
        <v>1.726</v>
      </c>
      <c r="G284" s="20">
        <f>表2_36716262930345[[#This Row],[累计净值]]/$B$22-1</f>
        <v>0.4627118644067798</v>
      </c>
    </row>
    <row r="285" spans="1:7">
      <c r="A285" s="15">
        <v>44095</v>
      </c>
      <c r="B285" s="112">
        <v>1.7330000000000001</v>
      </c>
      <c r="C285" s="108">
        <f t="shared" si="60"/>
        <v>7.0000000000001172E-3</v>
      </c>
      <c r="D285" s="109" t="str">
        <f t="shared" si="61"/>
        <v>/</v>
      </c>
      <c r="E285" s="109">
        <f ca="1">IF(表2_36716262930345[[#This Row],[累计净值]]/MAX(INDIRECT("B21:B" &amp; ROW()))-1&lt;E284,表2_36716262930345[[#This Row],[累计净值]]/MAX(INDIRECT("B21:B" &amp; ROW()))-1,E284)</f>
        <v>-8.0876158382476859E-2</v>
      </c>
      <c r="F285" s="110">
        <f>表2_36716262930345[[#This Row],[累计净值]]</f>
        <v>1.7330000000000001</v>
      </c>
      <c r="G285" s="20">
        <f>表2_36716262930345[[#This Row],[累计净值]]/$B$22-1</f>
        <v>0.46864406779661039</v>
      </c>
    </row>
    <row r="286" spans="1:7">
      <c r="A286" s="15">
        <v>44096</v>
      </c>
      <c r="B286" s="112">
        <v>1.7450000000000001</v>
      </c>
      <c r="C286" s="108">
        <f t="shared" ref="C286:C291" si="62">IFERROR(B286-B285,0)</f>
        <v>1.2000000000000011E-2</v>
      </c>
      <c r="D286" s="109" t="str">
        <f t="shared" ref="D286:D291" si="63">IF(C286&lt;0,C286,"/")</f>
        <v>/</v>
      </c>
      <c r="E286" s="109">
        <f ca="1">IF(表2_36716262930345[[#This Row],[累计净值]]/MAX(INDIRECT("B21:B" &amp; ROW()))-1&lt;E285,表2_36716262930345[[#This Row],[累计净值]]/MAX(INDIRECT("B21:B" &amp; ROW()))-1,E285)</f>
        <v>-8.0876158382476859E-2</v>
      </c>
      <c r="F286" s="110">
        <f>表2_36716262930345[[#This Row],[累计净值]]</f>
        <v>1.7450000000000001</v>
      </c>
      <c r="G286" s="20">
        <f>表2_36716262930345[[#This Row],[累计净值]]/$B$22-1</f>
        <v>0.47881355932203418</v>
      </c>
    </row>
    <row r="287" spans="1:7">
      <c r="A287" s="15">
        <v>44097</v>
      </c>
      <c r="B287" s="112">
        <v>1.7390000000000001</v>
      </c>
      <c r="C287" s="108">
        <f t="shared" si="62"/>
        <v>-6.0000000000000053E-3</v>
      </c>
      <c r="D287" s="109">
        <f t="shared" si="63"/>
        <v>-6.0000000000000053E-3</v>
      </c>
      <c r="E287" s="109">
        <f ca="1">IF(表2_36716262930345[[#This Row],[累计净值]]/MAX(INDIRECT("B21:B" &amp; ROW()))-1&lt;E286,表2_36716262930345[[#This Row],[累计净值]]/MAX(INDIRECT("B21:B" &amp; ROW()))-1,E286)</f>
        <v>-8.0876158382476859E-2</v>
      </c>
      <c r="F287" s="110">
        <f>表2_36716262930345[[#This Row],[累计净值]]</f>
        <v>1.7390000000000001</v>
      </c>
      <c r="G287" s="20">
        <f>表2_36716262930345[[#This Row],[累计净值]]/$B$22-1</f>
        <v>0.47372881355932228</v>
      </c>
    </row>
    <row r="288" spans="1:7">
      <c r="A288" s="15">
        <v>44098</v>
      </c>
      <c r="B288" s="112">
        <v>1.712</v>
      </c>
      <c r="C288" s="108">
        <f t="shared" si="62"/>
        <v>-2.7000000000000135E-2</v>
      </c>
      <c r="D288" s="109">
        <f t="shared" si="63"/>
        <v>-2.7000000000000135E-2</v>
      </c>
      <c r="E288" s="109">
        <f ca="1">IF(表2_36716262930345[[#This Row],[累计净值]]/MAX(INDIRECT("B21:B" &amp; ROW()))-1&lt;E287,表2_36716262930345[[#This Row],[累计净值]]/MAX(INDIRECT("B21:B" &amp; ROW()))-1,E287)</f>
        <v>-8.0876158382476859E-2</v>
      </c>
      <c r="F288" s="110">
        <f>表2_36716262930345[[#This Row],[累计净值]]</f>
        <v>1.712</v>
      </c>
      <c r="G288" s="20">
        <f>表2_36716262930345[[#This Row],[累计净值]]/$B$22-1</f>
        <v>0.45084745762711864</v>
      </c>
    </row>
    <row r="289" spans="1:7">
      <c r="A289" s="15">
        <v>44099</v>
      </c>
      <c r="B289" s="112">
        <v>1.704</v>
      </c>
      <c r="C289" s="108">
        <f t="shared" si="62"/>
        <v>-8.0000000000000071E-3</v>
      </c>
      <c r="D289" s="109">
        <f t="shared" si="63"/>
        <v>-8.0000000000000071E-3</v>
      </c>
      <c r="E289" s="109">
        <f ca="1">IF(表2_36716262930345[[#This Row],[累计净值]]/MAX(INDIRECT("B21:B" &amp; ROW()))-1&lt;E288,表2_36716262930345[[#This Row],[累计净值]]/MAX(INDIRECT("B21:B" &amp; ROW()))-1,E288)</f>
        <v>-8.0876158382476859E-2</v>
      </c>
      <c r="F289" s="110">
        <f>表2_36716262930345[[#This Row],[累计净值]]</f>
        <v>1.704</v>
      </c>
      <c r="G289" s="20">
        <f>表2_36716262930345[[#This Row],[累计净值]]/$B$22-1</f>
        <v>0.4440677966101696</v>
      </c>
    </row>
    <row r="290" spans="1:7">
      <c r="A290" s="15">
        <v>44102</v>
      </c>
      <c r="B290" s="112">
        <v>1.732</v>
      </c>
      <c r="C290" s="108">
        <f t="shared" si="62"/>
        <v>2.8000000000000025E-2</v>
      </c>
      <c r="D290" s="109" t="str">
        <f t="shared" si="63"/>
        <v>/</v>
      </c>
      <c r="E290" s="109">
        <f ca="1">IF(表2_36716262930345[[#This Row],[累计净值]]/MAX(INDIRECT("B21:B" &amp; ROW()))-1&lt;E289,表2_36716262930345[[#This Row],[累计净值]]/MAX(INDIRECT("B21:B" &amp; ROW()))-1,E289)</f>
        <v>-8.0876158382476859E-2</v>
      </c>
      <c r="F290" s="110">
        <f>表2_36716262930345[[#This Row],[累计净值]]</f>
        <v>1.732</v>
      </c>
      <c r="G290" s="20">
        <f>表2_36716262930345[[#This Row],[累计净值]]/$B$22-1</f>
        <v>0.4677966101694917</v>
      </c>
    </row>
    <row r="291" spans="1:7">
      <c r="A291" s="15">
        <v>44103</v>
      </c>
      <c r="B291" s="112">
        <v>1.746</v>
      </c>
      <c r="C291" s="108">
        <f t="shared" si="62"/>
        <v>1.4000000000000012E-2</v>
      </c>
      <c r="D291" s="109" t="str">
        <f t="shared" si="63"/>
        <v>/</v>
      </c>
      <c r="E291" s="109">
        <f ca="1">IF(表2_36716262930345[[#This Row],[累计净值]]/MAX(INDIRECT("B21:B" &amp; ROW()))-1&lt;E290,表2_36716262930345[[#This Row],[累计净值]]/MAX(INDIRECT("B21:B" &amp; ROW()))-1,E290)</f>
        <v>-8.0876158382476859E-2</v>
      </c>
      <c r="F291" s="110">
        <f>表2_36716262930345[[#This Row],[累计净值]]</f>
        <v>1.746</v>
      </c>
      <c r="G291" s="20">
        <f>表2_36716262930345[[#This Row],[累计净值]]/$B$22-1</f>
        <v>0.47966101694915264</v>
      </c>
    </row>
    <row r="292" spans="1:7">
      <c r="A292" s="15">
        <v>44104</v>
      </c>
      <c r="B292" s="112">
        <v>1.746</v>
      </c>
      <c r="C292" s="108">
        <f t="shared" ref="C292:C293" si="64">IFERROR(B292-B291,0)</f>
        <v>0</v>
      </c>
      <c r="D292" s="109" t="str">
        <f t="shared" ref="D292:D293" si="65">IF(C292&lt;0,C292,"/")</f>
        <v>/</v>
      </c>
      <c r="E292" s="109">
        <f ca="1">IF(表2_36716262930345[[#This Row],[累计净值]]/MAX(INDIRECT("B21:B" &amp; ROW()))-1&lt;E291,表2_36716262930345[[#This Row],[累计净值]]/MAX(INDIRECT("B21:B" &amp; ROW()))-1,E291)</f>
        <v>-8.0876158382476859E-2</v>
      </c>
      <c r="F292" s="110">
        <f>表2_36716262930345[[#This Row],[累计净值]]</f>
        <v>1.746</v>
      </c>
      <c r="G292" s="20">
        <f>表2_36716262930345[[#This Row],[累计净值]]/$B$22-1</f>
        <v>0.47966101694915264</v>
      </c>
    </row>
    <row r="293" spans="1:7">
      <c r="A293" s="15">
        <v>44113</v>
      </c>
      <c r="B293" s="112">
        <v>1.7370000000000001</v>
      </c>
      <c r="C293" s="108">
        <f t="shared" si="64"/>
        <v>-8.999999999999897E-3</v>
      </c>
      <c r="D293" s="109">
        <f t="shared" si="65"/>
        <v>-8.999999999999897E-3</v>
      </c>
      <c r="E293" s="109">
        <f ca="1">IF(表2_36716262930345[[#This Row],[累计净值]]/MAX(INDIRECT("B21:B" &amp; ROW()))-1&lt;E292,表2_36716262930345[[#This Row],[累计净值]]/MAX(INDIRECT("B21:B" &amp; ROW()))-1,E292)</f>
        <v>-8.0876158382476859E-2</v>
      </c>
      <c r="F293" s="110">
        <f>表2_36716262930345[[#This Row],[累计净值]]</f>
        <v>1.7370000000000001</v>
      </c>
      <c r="G293" s="20">
        <f>表2_36716262930345[[#This Row],[累计净值]]/$B$22-1</f>
        <v>0.47203389830508491</v>
      </c>
    </row>
    <row r="294" spans="1:7">
      <c r="A294" s="15">
        <v>44116</v>
      </c>
      <c r="B294" s="112">
        <v>1.7509999999999999</v>
      </c>
      <c r="C294" s="108">
        <f t="shared" ref="C294:C295" si="66">IFERROR(B294-B293,0)</f>
        <v>1.399999999999979E-2</v>
      </c>
      <c r="D294" s="109" t="str">
        <f t="shared" ref="D294:D295" si="67">IF(C294&lt;0,C294,"/")</f>
        <v>/</v>
      </c>
      <c r="E294" s="109">
        <f ca="1">IF(表2_36716262930345[[#This Row],[累计净值]]/MAX(INDIRECT("B21:B" &amp; ROW()))-1&lt;E293,表2_36716262930345[[#This Row],[累计净值]]/MAX(INDIRECT("B21:B" &amp; ROW()))-1,E293)</f>
        <v>-8.0876158382476859E-2</v>
      </c>
      <c r="F294" s="110">
        <f>表2_36716262930345[[#This Row],[累计净值]]</f>
        <v>1.7509999999999999</v>
      </c>
      <c r="G294" s="20">
        <f>表2_36716262930345[[#This Row],[累计净值]]/$B$22-1</f>
        <v>0.48389830508474585</v>
      </c>
    </row>
    <row r="295" spans="1:7">
      <c r="A295" s="15">
        <v>44117</v>
      </c>
      <c r="B295" s="112">
        <v>1.7589999999999999</v>
      </c>
      <c r="C295" s="108">
        <f t="shared" si="66"/>
        <v>8.0000000000000071E-3</v>
      </c>
      <c r="D295" s="109" t="str">
        <f t="shared" si="67"/>
        <v>/</v>
      </c>
      <c r="E295" s="109">
        <f ca="1">IF(表2_36716262930345[[#This Row],[累计净值]]/MAX(INDIRECT("B21:B" &amp; ROW()))-1&lt;E294,表2_36716262930345[[#This Row],[累计净值]]/MAX(INDIRECT("B21:B" &amp; ROW()))-1,E294)</f>
        <v>-8.0876158382476859E-2</v>
      </c>
      <c r="F295" s="110">
        <f>表2_36716262930345[[#This Row],[累计净值]]</f>
        <v>1.7589999999999999</v>
      </c>
      <c r="G295" s="20">
        <f>表2_36716262930345[[#This Row],[累计净值]]/$B$22-1</f>
        <v>0.4906779661016949</v>
      </c>
    </row>
    <row r="296" spans="1:7">
      <c r="A296" s="15">
        <v>44118</v>
      </c>
      <c r="B296" s="112">
        <v>1.7310000000000001</v>
      </c>
      <c r="C296" s="108">
        <f t="shared" ref="C296:C301" si="68">IFERROR(B296-B295,0)</f>
        <v>-2.7999999999999803E-2</v>
      </c>
      <c r="D296" s="109">
        <f t="shared" ref="D296:D301" si="69">IF(C296&lt;0,C296,"/")</f>
        <v>-2.7999999999999803E-2</v>
      </c>
      <c r="E296" s="109">
        <f ca="1">IF(表2_36716262930345[[#This Row],[累计净值]]/MAX(INDIRECT("B21:B" &amp; ROW()))-1&lt;E295,表2_36716262930345[[#This Row],[累计净值]]/MAX(INDIRECT("B21:B" &amp; ROW()))-1,E295)</f>
        <v>-8.0876158382476859E-2</v>
      </c>
      <c r="F296" s="110">
        <f>表2_36716262930345[[#This Row],[累计净值]]</f>
        <v>1.7310000000000001</v>
      </c>
      <c r="G296" s="20">
        <f>表2_36716262930345[[#This Row],[累计净值]]/$B$22-1</f>
        <v>0.46694915254237301</v>
      </c>
    </row>
    <row r="297" spans="1:7">
      <c r="A297" s="15">
        <v>44119</v>
      </c>
      <c r="B297" s="112">
        <v>1.71</v>
      </c>
      <c r="C297" s="108">
        <f t="shared" si="68"/>
        <v>-2.100000000000013E-2</v>
      </c>
      <c r="D297" s="109">
        <f t="shared" si="69"/>
        <v>-2.100000000000013E-2</v>
      </c>
      <c r="E297" s="109">
        <f ca="1">IF(表2_36716262930345[[#This Row],[累计净值]]/MAX(INDIRECT("B21:B" &amp; ROW()))-1&lt;E296,表2_36716262930345[[#This Row],[累计净值]]/MAX(INDIRECT("B21:B" &amp; ROW()))-1,E296)</f>
        <v>-8.0876158382476859E-2</v>
      </c>
      <c r="F297" s="110">
        <f>表2_36716262930345[[#This Row],[累计净值]]</f>
        <v>1.71</v>
      </c>
      <c r="G297" s="20">
        <f>表2_36716262930345[[#This Row],[累计净值]]/$B$22-1</f>
        <v>0.44915254237288149</v>
      </c>
    </row>
    <row r="298" spans="1:7">
      <c r="A298" s="15">
        <v>44120</v>
      </c>
      <c r="B298" s="112">
        <v>1.6950000000000001</v>
      </c>
      <c r="C298" s="108">
        <f t="shared" si="68"/>
        <v>-1.4999999999999902E-2</v>
      </c>
      <c r="D298" s="109">
        <f t="shared" si="69"/>
        <v>-1.4999999999999902E-2</v>
      </c>
      <c r="E298" s="109">
        <f ca="1">IF(表2_36716262930345[[#This Row],[累计净值]]/MAX(INDIRECT("B21:B" &amp; ROW()))-1&lt;E297,表2_36716262930345[[#This Row],[累计净值]]/MAX(INDIRECT("B21:B" &amp; ROW()))-1,E297)</f>
        <v>-8.0876158382476859E-2</v>
      </c>
      <c r="F298" s="110">
        <f>表2_36716262930345[[#This Row],[累计净值]]</f>
        <v>1.6950000000000001</v>
      </c>
      <c r="G298" s="20">
        <f>表2_36716262930345[[#This Row],[累计净值]]/$B$22-1</f>
        <v>0.43644067796610186</v>
      </c>
    </row>
    <row r="299" spans="1:7">
      <c r="A299" s="15">
        <v>44123</v>
      </c>
      <c r="B299" s="112">
        <v>1.6850000000000001</v>
      </c>
      <c r="C299" s="108">
        <f t="shared" si="68"/>
        <v>-1.0000000000000009E-2</v>
      </c>
      <c r="D299" s="109">
        <f t="shared" si="69"/>
        <v>-1.0000000000000009E-2</v>
      </c>
      <c r="E299" s="109">
        <f ca="1">IF(表2_36716262930345[[#This Row],[累计净值]]/MAX(INDIRECT("B21:B" &amp; ROW()))-1&lt;E298,表2_36716262930345[[#This Row],[累计净值]]/MAX(INDIRECT("B21:B" &amp; ROW()))-1,E298)</f>
        <v>-8.0876158382476859E-2</v>
      </c>
      <c r="F299" s="110">
        <f>表2_36716262930345[[#This Row],[累计净值]]</f>
        <v>1.6850000000000001</v>
      </c>
      <c r="G299" s="20">
        <f>表2_36716262930345[[#This Row],[累计净值]]/$B$22-1</f>
        <v>0.42796610169491545</v>
      </c>
    </row>
    <row r="300" spans="1:7">
      <c r="A300" s="15">
        <v>44124</v>
      </c>
      <c r="B300" s="112">
        <v>1.679</v>
      </c>
      <c r="C300" s="108">
        <f t="shared" si="68"/>
        <v>-6.0000000000000053E-3</v>
      </c>
      <c r="D300" s="109">
        <f t="shared" si="69"/>
        <v>-6.0000000000000053E-3</v>
      </c>
      <c r="E300" s="109">
        <f ca="1">IF(表2_36716262930345[[#This Row],[累计净值]]/MAX(INDIRECT("B21:B" &amp; ROW()))-1&lt;E299,表2_36716262930345[[#This Row],[累计净值]]/MAX(INDIRECT("B21:B" &amp; ROW()))-1,E299)</f>
        <v>-8.0876158382476859E-2</v>
      </c>
      <c r="F300" s="110">
        <f>表2_36716262930345[[#This Row],[累计净值]]</f>
        <v>1.679</v>
      </c>
      <c r="G300" s="20">
        <f>表2_36716262930345[[#This Row],[累计净值]]/$B$22-1</f>
        <v>0.42288135593220355</v>
      </c>
    </row>
    <row r="301" spans="1:7">
      <c r="A301" s="15">
        <v>44125</v>
      </c>
      <c r="B301" s="112">
        <v>1.6719999999999999</v>
      </c>
      <c r="C301" s="108">
        <f t="shared" si="68"/>
        <v>-7.0000000000001172E-3</v>
      </c>
      <c r="D301" s="109">
        <f t="shared" si="69"/>
        <v>-7.0000000000001172E-3</v>
      </c>
      <c r="E301" s="109">
        <f ca="1">IF(表2_36716262930345[[#This Row],[累计净值]]/MAX(INDIRECT("B21:B" &amp; ROW()))-1&lt;E300,表2_36716262930345[[#This Row],[累计净值]]/MAX(INDIRECT("B21:B" &amp; ROW()))-1,E300)</f>
        <v>-8.0876158382476859E-2</v>
      </c>
      <c r="F301" s="110">
        <f>表2_36716262930345[[#This Row],[累计净值]]</f>
        <v>1.6719999999999999</v>
      </c>
      <c r="G301" s="20">
        <f>表2_36716262930345[[#This Row],[累计净值]]/$B$22-1</f>
        <v>0.41694915254237297</v>
      </c>
    </row>
    <row r="302" spans="1:7">
      <c r="A302" s="15">
        <v>44126</v>
      </c>
      <c r="B302" s="112">
        <v>1.681</v>
      </c>
      <c r="C302" s="108">
        <f t="shared" ref="C302:C310" si="70">IFERROR(B302-B301,0)</f>
        <v>9.000000000000119E-3</v>
      </c>
      <c r="D302" s="109" t="str">
        <f t="shared" ref="D302:D310" si="71">IF(C302&lt;0,C302,"/")</f>
        <v>/</v>
      </c>
      <c r="E302" s="109">
        <f ca="1">IF(表2_36716262930345[[#This Row],[累计净值]]/MAX(INDIRECT("B21:B" &amp; ROW()))-1&lt;E301,表2_36716262930345[[#This Row],[累计净值]]/MAX(INDIRECT("B21:B" &amp; ROW()))-1,E301)</f>
        <v>-8.0876158382476859E-2</v>
      </c>
      <c r="F302" s="110">
        <f>表2_36716262930345[[#This Row],[累计净值]]</f>
        <v>1.681</v>
      </c>
      <c r="G302" s="20">
        <f>表2_36716262930345[[#This Row],[累计净值]]/$B$22-1</f>
        <v>0.4245762711864407</v>
      </c>
    </row>
    <row r="303" spans="1:7">
      <c r="A303" s="15">
        <v>44127</v>
      </c>
      <c r="B303" s="112">
        <v>1.6779999999999999</v>
      </c>
      <c r="C303" s="108">
        <f t="shared" si="70"/>
        <v>-3.0000000000001137E-3</v>
      </c>
      <c r="D303" s="109">
        <f t="shared" si="71"/>
        <v>-3.0000000000001137E-3</v>
      </c>
      <c r="E303" s="109">
        <f ca="1">IF(表2_36716262930345[[#This Row],[累计净值]]/MAX(INDIRECT("B21:B" &amp; ROW()))-1&lt;E302,表2_36716262930345[[#This Row],[累计净值]]/MAX(INDIRECT("B21:B" &amp; ROW()))-1,E302)</f>
        <v>-8.0876158382476859E-2</v>
      </c>
      <c r="F303" s="110">
        <f>表2_36716262930345[[#This Row],[累计净值]]</f>
        <v>1.6779999999999999</v>
      </c>
      <c r="G303" s="20">
        <f>表2_36716262930345[[#This Row],[累计净值]]/$B$22-1</f>
        <v>0.42203389830508486</v>
      </c>
    </row>
    <row r="304" spans="1:7">
      <c r="A304" s="15">
        <v>44130</v>
      </c>
      <c r="B304" s="112">
        <v>1.6890000000000001</v>
      </c>
      <c r="C304" s="108">
        <f t="shared" si="70"/>
        <v>1.1000000000000121E-2</v>
      </c>
      <c r="D304" s="109" t="str">
        <f t="shared" si="71"/>
        <v>/</v>
      </c>
      <c r="E304" s="109">
        <f ca="1">IF(表2_36716262930345[[#This Row],[累计净值]]/MAX(INDIRECT("B21:B" &amp; ROW()))-1&lt;E303,表2_36716262930345[[#This Row],[累计净值]]/MAX(INDIRECT("B21:B" &amp; ROW()))-1,E303)</f>
        <v>-8.0876158382476859E-2</v>
      </c>
      <c r="F304" s="110">
        <f>表2_36716262930345[[#This Row],[累计净值]]</f>
        <v>1.6890000000000001</v>
      </c>
      <c r="G304" s="20">
        <f>表2_36716262930345[[#This Row],[累计净值]]/$B$22-1</f>
        <v>0.43135593220338997</v>
      </c>
    </row>
    <row r="305" spans="1:7">
      <c r="A305" s="15">
        <v>44131</v>
      </c>
      <c r="B305" s="112">
        <v>1.7190000000000001</v>
      </c>
      <c r="C305" s="108">
        <f t="shared" si="70"/>
        <v>3.0000000000000027E-2</v>
      </c>
      <c r="D305" s="109" t="str">
        <f t="shared" si="71"/>
        <v>/</v>
      </c>
      <c r="E305" s="109">
        <f ca="1">IF(表2_36716262930345[[#This Row],[累计净值]]/MAX(INDIRECT("B21:B" &amp; ROW()))-1&lt;E304,表2_36716262930345[[#This Row],[累计净值]]/MAX(INDIRECT("B21:B" &amp; ROW()))-1,E304)</f>
        <v>-8.0876158382476859E-2</v>
      </c>
      <c r="F305" s="110">
        <f>表2_36716262930345[[#This Row],[累计净值]]</f>
        <v>1.7190000000000001</v>
      </c>
      <c r="G305" s="20">
        <f>表2_36716262930345[[#This Row],[累计净值]]/$B$22-1</f>
        <v>0.45677966101694922</v>
      </c>
    </row>
    <row r="306" spans="1:7">
      <c r="A306" s="15">
        <v>44132</v>
      </c>
      <c r="B306" s="112">
        <v>1.7310000000000001</v>
      </c>
      <c r="C306" s="108">
        <f t="shared" si="70"/>
        <v>1.2000000000000011E-2</v>
      </c>
      <c r="D306" s="109" t="str">
        <f t="shared" si="71"/>
        <v>/</v>
      </c>
      <c r="E306" s="109">
        <f ca="1">IF(表2_36716262930345[[#This Row],[累计净值]]/MAX(INDIRECT("B21:B" &amp; ROW()))-1&lt;E305,表2_36716262930345[[#This Row],[累计净值]]/MAX(INDIRECT("B21:B" &amp; ROW()))-1,E305)</f>
        <v>-8.0876158382476859E-2</v>
      </c>
      <c r="F306" s="110">
        <f>表2_36716262930345[[#This Row],[累计净值]]</f>
        <v>1.7310000000000001</v>
      </c>
      <c r="G306" s="20">
        <f>表2_36716262930345[[#This Row],[累计净值]]/$B$22-1</f>
        <v>0.46694915254237301</v>
      </c>
    </row>
    <row r="307" spans="1:7">
      <c r="A307" s="15">
        <v>44133</v>
      </c>
      <c r="B307" s="112">
        <v>1.75</v>
      </c>
      <c r="C307" s="108">
        <f t="shared" si="70"/>
        <v>1.8999999999999906E-2</v>
      </c>
      <c r="D307" s="109" t="str">
        <f t="shared" si="71"/>
        <v>/</v>
      </c>
      <c r="E307" s="109">
        <f ca="1">IF(表2_36716262930345[[#This Row],[累计净值]]/MAX(INDIRECT("B21:B" &amp; ROW()))-1&lt;E306,表2_36716262930345[[#This Row],[累计净值]]/MAX(INDIRECT("B21:B" &amp; ROW()))-1,E306)</f>
        <v>-8.0876158382476859E-2</v>
      </c>
      <c r="F307" s="110">
        <f>表2_36716262930345[[#This Row],[累计净值]]</f>
        <v>1.75</v>
      </c>
      <c r="G307" s="20">
        <f>表2_36716262930345[[#This Row],[累计净值]]/$B$22-1</f>
        <v>0.48305084745762716</v>
      </c>
    </row>
    <row r="308" spans="1:7">
      <c r="A308" s="15">
        <v>44134</v>
      </c>
      <c r="B308" s="112">
        <v>1.778</v>
      </c>
      <c r="C308" s="108">
        <f t="shared" si="70"/>
        <v>2.8000000000000025E-2</v>
      </c>
      <c r="D308" s="109" t="str">
        <f t="shared" si="71"/>
        <v>/</v>
      </c>
      <c r="E308" s="109">
        <f ca="1">IF(表2_36716262930345[[#This Row],[累计净值]]/MAX(INDIRECT("B21:B" &amp; ROW()))-1&lt;E307,表2_36716262930345[[#This Row],[累计净值]]/MAX(INDIRECT("B21:B" &amp; ROW()))-1,E307)</f>
        <v>-8.0876158382476859E-2</v>
      </c>
      <c r="F308" s="110">
        <f>表2_36716262930345[[#This Row],[累计净值]]</f>
        <v>1.778</v>
      </c>
      <c r="G308" s="20">
        <f>表2_36716262930345[[#This Row],[累计净值]]/$B$22-1</f>
        <v>0.50677966101694927</v>
      </c>
    </row>
    <row r="309" spans="1:7">
      <c r="A309" s="15">
        <v>44137</v>
      </c>
      <c r="B309" s="112">
        <v>1.8260000000000001</v>
      </c>
      <c r="C309" s="108">
        <f t="shared" si="70"/>
        <v>4.8000000000000043E-2</v>
      </c>
      <c r="D309" s="109" t="str">
        <f t="shared" si="71"/>
        <v>/</v>
      </c>
      <c r="E309" s="109">
        <f ca="1">IF(表2_36716262930345[[#This Row],[累计净值]]/MAX(INDIRECT("B21:B" &amp; ROW()))-1&lt;E308,表2_36716262930345[[#This Row],[累计净值]]/MAX(INDIRECT("B21:B" &amp; ROW()))-1,E308)</f>
        <v>-8.0876158382476859E-2</v>
      </c>
      <c r="F309" s="110">
        <f>表2_36716262930345[[#This Row],[累计净值]]</f>
        <v>1.8260000000000001</v>
      </c>
      <c r="G309" s="20">
        <f>表2_36716262930345[[#This Row],[累计净值]]/$B$22-1</f>
        <v>0.54745762711864421</v>
      </c>
    </row>
    <row r="310" spans="1:7">
      <c r="A310" s="15">
        <v>44138</v>
      </c>
      <c r="B310" s="112">
        <v>1.825</v>
      </c>
      <c r="C310" s="108">
        <f t="shared" si="70"/>
        <v>-1.0000000000001119E-3</v>
      </c>
      <c r="D310" s="109">
        <f t="shared" si="71"/>
        <v>-1.0000000000001119E-3</v>
      </c>
      <c r="E310" s="109">
        <f ca="1">IF(表2_36716262930345[[#This Row],[累计净值]]/MAX(INDIRECT("B21:B" &amp; ROW()))-1&lt;E309,表2_36716262930345[[#This Row],[累计净值]]/MAX(INDIRECT("B21:B" &amp; ROW()))-1,E309)</f>
        <v>-8.0876158382476859E-2</v>
      </c>
      <c r="F310" s="110">
        <f>表2_36716262930345[[#This Row],[累计净值]]</f>
        <v>1.825</v>
      </c>
      <c r="G310" s="20">
        <f>表2_36716262930345[[#This Row],[累计净值]]/$B$22-1</f>
        <v>0.54661016949152552</v>
      </c>
    </row>
    <row r="311" spans="1:7">
      <c r="A311" s="15">
        <v>44139</v>
      </c>
      <c r="B311" s="112">
        <v>1.825</v>
      </c>
      <c r="C311" s="108">
        <f t="shared" ref="C311:C316" si="72">IFERROR(B311-B310,0)</f>
        <v>0</v>
      </c>
      <c r="D311" s="109" t="str">
        <f t="shared" ref="D311:D316" si="73">IF(C311&lt;0,C311,"/")</f>
        <v>/</v>
      </c>
      <c r="E311" s="109">
        <f ca="1">IF(表2_36716262930345[[#This Row],[累计净值]]/MAX(INDIRECT("B21:B" &amp; ROW()))-1&lt;E310,表2_36716262930345[[#This Row],[累计净值]]/MAX(INDIRECT("B21:B" &amp; ROW()))-1,E310)</f>
        <v>-8.0876158382476859E-2</v>
      </c>
      <c r="F311" s="110">
        <f>表2_36716262930345[[#This Row],[累计净值]]</f>
        <v>1.825</v>
      </c>
      <c r="G311" s="20">
        <f>表2_36716262930345[[#This Row],[累计净值]]/$B$22-1</f>
        <v>0.54661016949152552</v>
      </c>
    </row>
    <row r="312" spans="1:7">
      <c r="A312" s="15">
        <v>44140</v>
      </c>
      <c r="B312" s="112">
        <v>1.835</v>
      </c>
      <c r="C312" s="108">
        <f t="shared" si="72"/>
        <v>1.0000000000000009E-2</v>
      </c>
      <c r="D312" s="109" t="str">
        <f t="shared" si="73"/>
        <v>/</v>
      </c>
      <c r="E312" s="109">
        <f ca="1">IF(表2_36716262930345[[#This Row],[累计净值]]/MAX(INDIRECT("B21:B" &amp; ROW()))-1&lt;E311,表2_36716262930345[[#This Row],[累计净值]]/MAX(INDIRECT("B21:B" &amp; ROW()))-1,E311)</f>
        <v>-8.0876158382476859E-2</v>
      </c>
      <c r="F312" s="110">
        <f>表2_36716262930345[[#This Row],[累计净值]]</f>
        <v>1.835</v>
      </c>
      <c r="G312" s="20">
        <f>表2_36716262930345[[#This Row],[累计净值]]/$B$22-1</f>
        <v>0.55508474576271194</v>
      </c>
    </row>
    <row r="313" spans="1:7">
      <c r="A313" s="15">
        <v>44141</v>
      </c>
      <c r="B313" s="112">
        <v>1.8580000000000001</v>
      </c>
      <c r="C313" s="108">
        <f t="shared" si="72"/>
        <v>2.3000000000000131E-2</v>
      </c>
      <c r="D313" s="109" t="str">
        <f t="shared" si="73"/>
        <v>/</v>
      </c>
      <c r="E313" s="109">
        <f ca="1">IF(表2_36716262930345[[#This Row],[累计净值]]/MAX(INDIRECT("B21:B" &amp; ROW()))-1&lt;E312,表2_36716262930345[[#This Row],[累计净值]]/MAX(INDIRECT("B21:B" &amp; ROW()))-1,E312)</f>
        <v>-8.0876158382476859E-2</v>
      </c>
      <c r="F313" s="110">
        <f>表2_36716262930345[[#This Row],[累计净值]]</f>
        <v>1.8580000000000001</v>
      </c>
      <c r="G313" s="20">
        <f>表2_36716262930345[[#This Row],[累计净值]]/$B$22-1</f>
        <v>0.57457627118644083</v>
      </c>
    </row>
    <row r="314" spans="1:7">
      <c r="A314" s="15">
        <v>44144</v>
      </c>
      <c r="B314" s="112">
        <v>1.8839999999999999</v>
      </c>
      <c r="C314" s="108">
        <f t="shared" si="72"/>
        <v>2.5999999999999801E-2</v>
      </c>
      <c r="D314" s="109" t="str">
        <f t="shared" si="73"/>
        <v>/</v>
      </c>
      <c r="E314" s="109">
        <f ca="1">IF(表2_36716262930345[[#This Row],[累计净值]]/MAX(INDIRECT("B21:B" &amp; ROW()))-1&lt;E313,表2_36716262930345[[#This Row],[累计净值]]/MAX(INDIRECT("B21:B" &amp; ROW()))-1,E313)</f>
        <v>-8.0876158382476859E-2</v>
      </c>
      <c r="F314" s="110">
        <f>表2_36716262930345[[#This Row],[累计净值]]</f>
        <v>1.8839999999999999</v>
      </c>
      <c r="G314" s="20">
        <f>表2_36716262930345[[#This Row],[累计净值]]/$B$22-1</f>
        <v>0.59661016949152534</v>
      </c>
    </row>
    <row r="315" spans="1:7">
      <c r="A315" s="15">
        <v>44145</v>
      </c>
      <c r="B315" s="112">
        <v>1.8460000000000001</v>
      </c>
      <c r="C315" s="108">
        <f t="shared" si="72"/>
        <v>-3.7999999999999812E-2</v>
      </c>
      <c r="D315" s="109">
        <f t="shared" si="73"/>
        <v>-3.7999999999999812E-2</v>
      </c>
      <c r="E315" s="109">
        <f ca="1">IF(表2_36716262930345[[#This Row],[累计净值]]/MAX(INDIRECT("B21:B" &amp; ROW()))-1&lt;E314,表2_36716262930345[[#This Row],[累计净值]]/MAX(INDIRECT("B21:B" &amp; ROW()))-1,E314)</f>
        <v>-8.0876158382476859E-2</v>
      </c>
      <c r="F315" s="110">
        <f>表2_36716262930345[[#This Row],[累计净值]]</f>
        <v>1.8460000000000001</v>
      </c>
      <c r="G315" s="20">
        <f>表2_36716262930345[[#This Row],[累计净值]]/$B$22-1</f>
        <v>0.56440677966101704</v>
      </c>
    </row>
    <row r="316" spans="1:7">
      <c r="A316" s="15">
        <v>44146</v>
      </c>
      <c r="B316" s="112">
        <v>1.835</v>
      </c>
      <c r="C316" s="108">
        <f t="shared" si="72"/>
        <v>-1.1000000000000121E-2</v>
      </c>
      <c r="D316" s="109">
        <f t="shared" si="73"/>
        <v>-1.1000000000000121E-2</v>
      </c>
      <c r="E316" s="109">
        <f ca="1">IF(表2_36716262930345[[#This Row],[累计净值]]/MAX(INDIRECT("B21:B" &amp; ROW()))-1&lt;E315,表2_36716262930345[[#This Row],[累计净值]]/MAX(INDIRECT("B21:B" &amp; ROW()))-1,E315)</f>
        <v>-8.0876158382476859E-2</v>
      </c>
      <c r="F316" s="110">
        <f>表2_36716262930345[[#This Row],[累计净值]]</f>
        <v>1.835</v>
      </c>
      <c r="G316" s="20">
        <f>表2_36716262930345[[#This Row],[累计净值]]/$B$22-1</f>
        <v>0.55508474576271194</v>
      </c>
    </row>
    <row r="317" spans="1:7">
      <c r="A317" s="15">
        <v>44147</v>
      </c>
      <c r="B317" s="112">
        <v>1.837</v>
      </c>
      <c r="C317" s="108">
        <f t="shared" ref="C317:C318" si="74">IFERROR(B317-B316,0)</f>
        <v>2.0000000000000018E-3</v>
      </c>
      <c r="D317" s="109" t="str">
        <f t="shared" ref="D317:D318" si="75">IF(C317&lt;0,C317,"/")</f>
        <v>/</v>
      </c>
      <c r="E317" s="109">
        <f ca="1">IF(表2_36716262930345[[#This Row],[累计净值]]/MAX(INDIRECT("B21:B" &amp; ROW()))-1&lt;E316,表2_36716262930345[[#This Row],[累计净值]]/MAX(INDIRECT("B21:B" &amp; ROW()))-1,E316)</f>
        <v>-8.0876158382476859E-2</v>
      </c>
      <c r="F317" s="110">
        <f>表2_36716262930345[[#This Row],[累计净值]]</f>
        <v>1.837</v>
      </c>
      <c r="G317" s="20">
        <f>表2_36716262930345[[#This Row],[累计净值]]/$B$22-1</f>
        <v>0.55677966101694931</v>
      </c>
    </row>
    <row r="318" spans="1:7">
      <c r="A318" s="15">
        <v>44148</v>
      </c>
      <c r="B318" s="112">
        <v>1.851</v>
      </c>
      <c r="C318" s="108">
        <f t="shared" si="74"/>
        <v>1.4000000000000012E-2</v>
      </c>
      <c r="D318" s="109" t="str">
        <f t="shared" si="75"/>
        <v>/</v>
      </c>
      <c r="E318" s="109">
        <f ca="1">IF(表2_36716262930345[[#This Row],[累计净值]]/MAX(INDIRECT("B21:B" &amp; ROW()))-1&lt;E317,表2_36716262930345[[#This Row],[累计净值]]/MAX(INDIRECT("B21:B" &amp; ROW()))-1,E317)</f>
        <v>-8.0876158382476859E-2</v>
      </c>
      <c r="F318" s="110">
        <f>表2_36716262930345[[#This Row],[累计净值]]</f>
        <v>1.851</v>
      </c>
      <c r="G318" s="20">
        <f>表2_36716262930345[[#This Row],[累计净值]]/$B$22-1</f>
        <v>0.56864406779661025</v>
      </c>
    </row>
    <row r="319" spans="1:7">
      <c r="A319" s="15">
        <v>44151</v>
      </c>
      <c r="B319" s="112">
        <v>1.857</v>
      </c>
      <c r="C319" s="108">
        <f>IFERROR(B319-B318,0)</f>
        <v>6.0000000000000053E-3</v>
      </c>
      <c r="D319" s="109" t="str">
        <f>IF(C319&lt;0,C319,"/")</f>
        <v>/</v>
      </c>
      <c r="E319" s="109">
        <f ca="1">IF(表2_36716262930345[[#This Row],[累计净值]]/MAX(INDIRECT("B21:B" &amp; ROW()))-1&lt;E318,表2_36716262930345[[#This Row],[累计净值]]/MAX(INDIRECT("B21:B" &amp; ROW()))-1,E318)</f>
        <v>-8.0876158382476859E-2</v>
      </c>
      <c r="F319" s="110">
        <f>表2_36716262930345[[#This Row],[累计净值]]</f>
        <v>1.857</v>
      </c>
      <c r="G319" s="20">
        <f>表2_36716262930345[[#This Row],[累计净值]]/$B$22-1</f>
        <v>0.57372881355932215</v>
      </c>
    </row>
    <row r="320" spans="1:7">
      <c r="A320" s="15">
        <v>44152</v>
      </c>
      <c r="B320" s="112">
        <v>1.861</v>
      </c>
      <c r="C320" s="108">
        <f t="shared" ref="C320:C321" si="76">IFERROR(B320-B319,0)</f>
        <v>4.0000000000000036E-3</v>
      </c>
      <c r="D320" s="109" t="str">
        <f t="shared" ref="D320:D321" si="77">IF(C320&lt;0,C320,"/")</f>
        <v>/</v>
      </c>
      <c r="E320" s="109">
        <f ca="1">IF(表2_36716262930345[[#This Row],[累计净值]]/MAX(INDIRECT("B21:B" &amp; ROW()))-1&lt;E319,表2_36716262930345[[#This Row],[累计净值]]/MAX(INDIRECT("B21:B" &amp; ROW()))-1,E319)</f>
        <v>-8.0876158382476859E-2</v>
      </c>
      <c r="F320" s="110">
        <f>表2_36716262930345[[#This Row],[累计净值]]</f>
        <v>1.861</v>
      </c>
      <c r="G320" s="20">
        <f>表2_36716262930345[[#This Row],[累计净值]]/$B$22-1</f>
        <v>0.57711864406779667</v>
      </c>
    </row>
    <row r="321" spans="1:7">
      <c r="A321" s="15">
        <v>44153</v>
      </c>
      <c r="B321" s="112">
        <v>1.891</v>
      </c>
      <c r="C321" s="108">
        <f t="shared" si="76"/>
        <v>3.0000000000000027E-2</v>
      </c>
      <c r="D321" s="109" t="str">
        <f t="shared" si="77"/>
        <v>/</v>
      </c>
      <c r="E321" s="109">
        <f ca="1">IF(表2_36716262930345[[#This Row],[累计净值]]/MAX(INDIRECT("B21:B" &amp; ROW()))-1&lt;E320,表2_36716262930345[[#This Row],[累计净值]]/MAX(INDIRECT("B21:B" &amp; ROW()))-1,E320)</f>
        <v>-8.0876158382476859E-2</v>
      </c>
      <c r="F321" s="110">
        <f>表2_36716262930345[[#This Row],[累计净值]]</f>
        <v>1.891</v>
      </c>
      <c r="G321" s="20">
        <f>表2_36716262930345[[#This Row],[累计净值]]/$B$22-1</f>
        <v>0.60254237288135593</v>
      </c>
    </row>
    <row r="322" spans="1:7">
      <c r="A322" s="15">
        <v>44154</v>
      </c>
      <c r="B322" s="112">
        <v>1.91</v>
      </c>
      <c r="C322" s="108">
        <f t="shared" ref="C322:C327" si="78">IFERROR(B322-B321,0)</f>
        <v>1.8999999999999906E-2</v>
      </c>
      <c r="D322" s="109" t="str">
        <f t="shared" ref="D322:D327" si="79">IF(C322&lt;0,C322,"/")</f>
        <v>/</v>
      </c>
      <c r="E322" s="109">
        <f ca="1">IF(表2_36716262930345[[#This Row],[累计净值]]/MAX(INDIRECT("B21:B" &amp; ROW()))-1&lt;E321,表2_36716262930345[[#This Row],[累计净值]]/MAX(INDIRECT("B21:B" &amp; ROW()))-1,E321)</f>
        <v>-8.0876158382476859E-2</v>
      </c>
      <c r="F322" s="110">
        <f>表2_36716262930345[[#This Row],[累计净值]]</f>
        <v>1.91</v>
      </c>
      <c r="G322" s="20">
        <f>表2_36716262930345[[#This Row],[累计净值]]/$B$22-1</f>
        <v>0.6186440677966103</v>
      </c>
    </row>
    <row r="323" spans="1:7">
      <c r="A323" s="15">
        <v>44155</v>
      </c>
      <c r="B323" s="112">
        <v>1.9039999999999999</v>
      </c>
      <c r="C323" s="108">
        <f t="shared" si="78"/>
        <v>-6.0000000000000053E-3</v>
      </c>
      <c r="D323" s="109">
        <f t="shared" si="79"/>
        <v>-6.0000000000000053E-3</v>
      </c>
      <c r="E323" s="109">
        <f ca="1">IF(表2_36716262930345[[#This Row],[累计净值]]/MAX(INDIRECT("B21:B" &amp; ROW()))-1&lt;E322,表2_36716262930345[[#This Row],[累计净值]]/MAX(INDIRECT("B21:B" &amp; ROW()))-1,E322)</f>
        <v>-8.0876158382476859E-2</v>
      </c>
      <c r="F323" s="110">
        <f>表2_36716262930345[[#This Row],[累计净值]]</f>
        <v>1.9039999999999999</v>
      </c>
      <c r="G323" s="20">
        <f>表2_36716262930345[[#This Row],[累计净值]]/$B$22-1</f>
        <v>0.6135593220338984</v>
      </c>
    </row>
    <row r="324" spans="1:7">
      <c r="A324" s="15">
        <v>44158</v>
      </c>
      <c r="B324" s="112">
        <v>1.8959999999999999</v>
      </c>
      <c r="C324" s="108">
        <f t="shared" si="78"/>
        <v>-8.0000000000000071E-3</v>
      </c>
      <c r="D324" s="109">
        <f t="shared" si="79"/>
        <v>-8.0000000000000071E-3</v>
      </c>
      <c r="E324" s="109">
        <f ca="1">IF(表2_36716262930345[[#This Row],[累计净值]]/MAX(INDIRECT("B21:B" &amp; ROW()))-1&lt;E323,表2_36716262930345[[#This Row],[累计净值]]/MAX(INDIRECT("B21:B" &amp; ROW()))-1,E323)</f>
        <v>-8.0876158382476859E-2</v>
      </c>
      <c r="F324" s="110">
        <f>表2_36716262930345[[#This Row],[累计净值]]</f>
        <v>1.8959999999999999</v>
      </c>
      <c r="G324" s="20">
        <f>表2_36716262930345[[#This Row],[累计净值]]/$B$22-1</f>
        <v>0.60677966101694913</v>
      </c>
    </row>
    <row r="325" spans="1:7">
      <c r="A325" s="15">
        <v>44159</v>
      </c>
      <c r="B325" s="112">
        <v>1.8759999999999999</v>
      </c>
      <c r="C325" s="108">
        <f t="shared" si="78"/>
        <v>-2.0000000000000018E-2</v>
      </c>
      <c r="D325" s="109">
        <f t="shared" si="79"/>
        <v>-2.0000000000000018E-2</v>
      </c>
      <c r="E325" s="109">
        <f ca="1">IF(表2_36716262930345[[#This Row],[累计净值]]/MAX(INDIRECT("B21:B" &amp; ROW()))-1&lt;E324,表2_36716262930345[[#This Row],[累计净值]]/MAX(INDIRECT("B21:B" &amp; ROW()))-1,E324)</f>
        <v>-8.0876158382476859E-2</v>
      </c>
      <c r="F325" s="110">
        <f>表2_36716262930345[[#This Row],[累计净值]]</f>
        <v>1.8759999999999999</v>
      </c>
      <c r="G325" s="20">
        <f>表2_36716262930345[[#This Row],[累计净值]]/$B$22-1</f>
        <v>0.5898305084745763</v>
      </c>
    </row>
    <row r="326" spans="1:7">
      <c r="A326" s="15">
        <v>44160</v>
      </c>
      <c r="B326" s="112">
        <v>1.859</v>
      </c>
      <c r="C326" s="108">
        <f t="shared" si="78"/>
        <v>-1.6999999999999904E-2</v>
      </c>
      <c r="D326" s="109">
        <f t="shared" si="79"/>
        <v>-1.6999999999999904E-2</v>
      </c>
      <c r="E326" s="109">
        <f ca="1">IF(表2_36716262930345[[#This Row],[累计净值]]/MAX(INDIRECT("B21:B" &amp; ROW()))-1&lt;E325,表2_36716262930345[[#This Row],[累计净值]]/MAX(INDIRECT("B21:B" &amp; ROW()))-1,E325)</f>
        <v>-8.0876158382476859E-2</v>
      </c>
      <c r="F326" s="110">
        <f>表2_36716262930345[[#This Row],[累计净值]]</f>
        <v>1.859</v>
      </c>
      <c r="G326" s="20">
        <f>表2_36716262930345[[#This Row],[累计净值]]/$B$22-1</f>
        <v>0.5754237288135593</v>
      </c>
    </row>
    <row r="327" spans="1:7">
      <c r="A327" s="15">
        <v>44161</v>
      </c>
      <c r="B327" s="112">
        <v>1.865</v>
      </c>
      <c r="C327" s="108">
        <f t="shared" si="78"/>
        <v>6.0000000000000053E-3</v>
      </c>
      <c r="D327" s="109" t="str">
        <f t="shared" si="79"/>
        <v>/</v>
      </c>
      <c r="E327" s="109">
        <f ca="1">IF(表2_36716262930345[[#This Row],[累计净值]]/MAX(INDIRECT("B21:B" &amp; ROW()))-1&lt;E326,表2_36716262930345[[#This Row],[累计净值]]/MAX(INDIRECT("B21:B" &amp; ROW()))-1,E326)</f>
        <v>-8.0876158382476859E-2</v>
      </c>
      <c r="F327" s="110">
        <f>表2_36716262930345[[#This Row],[累计净值]]</f>
        <v>1.865</v>
      </c>
      <c r="G327" s="20">
        <f>表2_36716262930345[[#This Row],[累计净值]]/$B$22-1</f>
        <v>0.58050847457627119</v>
      </c>
    </row>
    <row r="328" spans="1:7">
      <c r="A328" s="15">
        <v>44162</v>
      </c>
      <c r="B328" s="112">
        <v>1.887</v>
      </c>
      <c r="C328" s="108">
        <f t="shared" ref="C328:C333" si="80">IFERROR(B328-B327,0)</f>
        <v>2.200000000000002E-2</v>
      </c>
      <c r="D328" s="109" t="str">
        <f t="shared" ref="D328:D333" si="81">IF(C328&lt;0,C328,"/")</f>
        <v>/</v>
      </c>
      <c r="E328" s="109">
        <f ca="1">IF(表2_36716262930345[[#This Row],[累计净值]]/MAX(INDIRECT("B21:B" &amp; ROW()))-1&lt;E327,表2_36716262930345[[#This Row],[累计净值]]/MAX(INDIRECT("B21:B" &amp; ROW()))-1,E327)</f>
        <v>-8.0876158382476859E-2</v>
      </c>
      <c r="F328" s="110">
        <f>表2_36716262930345[[#This Row],[累计净值]]</f>
        <v>1.887</v>
      </c>
      <c r="G328" s="20">
        <f>表2_36716262930345[[#This Row],[累计净值]]/$B$22-1</f>
        <v>0.5991525423728814</v>
      </c>
    </row>
    <row r="329" spans="1:7">
      <c r="A329" s="15">
        <v>44165</v>
      </c>
      <c r="B329" s="112">
        <v>1.909</v>
      </c>
      <c r="C329" s="108">
        <f t="shared" si="80"/>
        <v>2.200000000000002E-2</v>
      </c>
      <c r="D329" s="109" t="str">
        <f t="shared" si="81"/>
        <v>/</v>
      </c>
      <c r="E329" s="109">
        <f ca="1">IF(表2_36716262930345[[#This Row],[累计净值]]/MAX(INDIRECT("B21:B" &amp; ROW()))-1&lt;E328,表2_36716262930345[[#This Row],[累计净值]]/MAX(INDIRECT("B21:B" &amp; ROW()))-1,E328)</f>
        <v>-8.0876158382476859E-2</v>
      </c>
      <c r="F329" s="110">
        <f>表2_36716262930345[[#This Row],[累计净值]]</f>
        <v>1.909</v>
      </c>
      <c r="G329" s="20">
        <f>表2_36716262930345[[#This Row],[累计净值]]/$B$22-1</f>
        <v>0.61779661016949161</v>
      </c>
    </row>
    <row r="330" spans="1:7">
      <c r="A330" s="15">
        <v>44166</v>
      </c>
      <c r="B330" s="112">
        <v>1.9379999999999999</v>
      </c>
      <c r="C330" s="108">
        <f t="shared" si="80"/>
        <v>2.8999999999999915E-2</v>
      </c>
      <c r="D330" s="109" t="str">
        <f t="shared" si="81"/>
        <v>/</v>
      </c>
      <c r="E330" s="109">
        <f ca="1">IF(表2_36716262930345[[#This Row],[累计净值]]/MAX(INDIRECT("B21:B" &amp; ROW()))-1&lt;E329,表2_36716262930345[[#This Row],[累计净值]]/MAX(INDIRECT("B21:B" &amp; ROW()))-1,E329)</f>
        <v>-8.0876158382476859E-2</v>
      </c>
      <c r="F330" s="110">
        <f>表2_36716262930345[[#This Row],[累计净值]]</f>
        <v>1.9379999999999999</v>
      </c>
      <c r="G330" s="20">
        <f>表2_36716262930345[[#This Row],[累计净值]]/$B$22-1</f>
        <v>0.64237288135593218</v>
      </c>
    </row>
    <row r="331" spans="1:7">
      <c r="A331" s="15">
        <v>44167</v>
      </c>
      <c r="B331" s="112">
        <v>1.982</v>
      </c>
      <c r="C331" s="108">
        <f t="shared" si="80"/>
        <v>4.4000000000000039E-2</v>
      </c>
      <c r="D331" s="109" t="str">
        <f t="shared" si="81"/>
        <v>/</v>
      </c>
      <c r="E331" s="109">
        <f ca="1">IF(表2_36716262930345[[#This Row],[累计净值]]/MAX(INDIRECT("B21:B" &amp; ROW()))-1&lt;E330,表2_36716262930345[[#This Row],[累计净值]]/MAX(INDIRECT("B21:B" &amp; ROW()))-1,E330)</f>
        <v>-8.0876158382476859E-2</v>
      </c>
      <c r="F331" s="110">
        <f>表2_36716262930345[[#This Row],[累计净值]]</f>
        <v>1.982</v>
      </c>
      <c r="G331" s="20">
        <f>表2_36716262930345[[#This Row],[累计净值]]/$B$22-1</f>
        <v>0.6796610169491526</v>
      </c>
    </row>
    <row r="332" spans="1:7">
      <c r="A332" s="15">
        <v>44168</v>
      </c>
      <c r="B332" s="112">
        <v>1.9690000000000001</v>
      </c>
      <c r="C332" s="108">
        <f t="shared" si="80"/>
        <v>-1.2999999999999901E-2</v>
      </c>
      <c r="D332" s="109">
        <f t="shared" si="81"/>
        <v>-1.2999999999999901E-2</v>
      </c>
      <c r="E332" s="109">
        <f ca="1">IF(表2_36716262930345[[#This Row],[累计净值]]/MAX(INDIRECT("B21:B" &amp; ROW()))-1&lt;E331,表2_36716262930345[[#This Row],[累计净值]]/MAX(INDIRECT("B21:B" &amp; ROW()))-1,E331)</f>
        <v>-8.0876158382476859E-2</v>
      </c>
      <c r="F332" s="110">
        <f>表2_36716262930345[[#This Row],[累计净值]]</f>
        <v>1.9690000000000001</v>
      </c>
      <c r="G332" s="20">
        <f>表2_36716262930345[[#This Row],[累计净值]]/$B$22-1</f>
        <v>0.66864406779661034</v>
      </c>
    </row>
    <row r="333" spans="1:7">
      <c r="A333" s="15">
        <v>44169</v>
      </c>
      <c r="B333" s="112">
        <v>1.9650000000000001</v>
      </c>
      <c r="C333" s="108">
        <f t="shared" si="80"/>
        <v>-4.0000000000000036E-3</v>
      </c>
      <c r="D333" s="109">
        <f t="shared" si="81"/>
        <v>-4.0000000000000036E-3</v>
      </c>
      <c r="E333" s="109">
        <f ca="1">IF(表2_36716262930345[[#This Row],[累计净值]]/MAX(INDIRECT("B21:B" &amp; ROW()))-1&lt;E332,表2_36716262930345[[#This Row],[累计净值]]/MAX(INDIRECT("B21:B" &amp; ROW()))-1,E332)</f>
        <v>-8.0876158382476859E-2</v>
      </c>
      <c r="F333" s="110">
        <f>表2_36716262930345[[#This Row],[累计净值]]</f>
        <v>1.9650000000000001</v>
      </c>
      <c r="G333" s="20">
        <f>表2_36716262930345[[#This Row],[累计净值]]/$B$22-1</f>
        <v>0.66525423728813582</v>
      </c>
    </row>
    <row r="334" spans="1:7">
      <c r="A334" s="15">
        <v>44172</v>
      </c>
      <c r="B334" s="112">
        <v>1.9910000000000001</v>
      </c>
      <c r="C334" s="108">
        <f t="shared" ref="C334:C339" si="82">IFERROR(B334-B333,0)</f>
        <v>2.6000000000000023E-2</v>
      </c>
      <c r="D334" s="109" t="str">
        <f t="shared" ref="D334:D339" si="83">IF(C334&lt;0,C334,"/")</f>
        <v>/</v>
      </c>
      <c r="E334" s="109">
        <f ca="1">IF(表2_36716262930345[[#This Row],[累计净值]]/MAX(INDIRECT("B21:B" &amp; ROW()))-1&lt;E333,表2_36716262930345[[#This Row],[累计净值]]/MAX(INDIRECT("B21:B" &amp; ROW()))-1,E333)</f>
        <v>-8.0876158382476859E-2</v>
      </c>
      <c r="F334" s="110">
        <f>表2_36716262930345[[#This Row],[累计净值]]</f>
        <v>1.9910000000000001</v>
      </c>
      <c r="G334" s="20">
        <f>表2_36716262930345[[#This Row],[累计净值]]/$B$22-1</f>
        <v>0.68728813559322055</v>
      </c>
    </row>
    <row r="335" spans="1:7">
      <c r="A335" s="15">
        <v>44173</v>
      </c>
      <c r="B335" s="112">
        <v>1.996</v>
      </c>
      <c r="C335" s="108">
        <f t="shared" si="82"/>
        <v>4.9999999999998934E-3</v>
      </c>
      <c r="D335" s="109" t="str">
        <f t="shared" si="83"/>
        <v>/</v>
      </c>
      <c r="E335" s="109">
        <f ca="1">IF(表2_36716262930345[[#This Row],[累计净值]]/MAX(INDIRECT("B21:B" &amp; ROW()))-1&lt;E334,表2_36716262930345[[#This Row],[累计净值]]/MAX(INDIRECT("B21:B" &amp; ROW()))-1,E334)</f>
        <v>-8.0876158382476859E-2</v>
      </c>
      <c r="F335" s="110">
        <f>表2_36716262930345[[#This Row],[累计净值]]</f>
        <v>1.996</v>
      </c>
      <c r="G335" s="20">
        <f>表2_36716262930345[[#This Row],[累计净值]]/$B$22-1</f>
        <v>0.69152542372881354</v>
      </c>
    </row>
    <row r="336" spans="1:7">
      <c r="A336" s="15">
        <v>44174</v>
      </c>
      <c r="B336" s="112">
        <v>2.012</v>
      </c>
      <c r="C336" s="108">
        <f t="shared" si="82"/>
        <v>1.6000000000000014E-2</v>
      </c>
      <c r="D336" s="109" t="str">
        <f t="shared" si="83"/>
        <v>/</v>
      </c>
      <c r="E336" s="109">
        <f ca="1">IF(表2_36716262930345[[#This Row],[累计净值]]/MAX(INDIRECT("B21:B" &amp; ROW()))-1&lt;E335,表2_36716262930345[[#This Row],[累计净值]]/MAX(INDIRECT("B21:B" &amp; ROW()))-1,E335)</f>
        <v>-8.0876158382476859E-2</v>
      </c>
      <c r="F336" s="110">
        <f>表2_36716262930345[[#This Row],[累计净值]]</f>
        <v>2.012</v>
      </c>
      <c r="G336" s="20">
        <f>表2_36716262930345[[#This Row],[累计净值]]/$B$22-1</f>
        <v>0.70508474576271207</v>
      </c>
    </row>
    <row r="337" spans="1:7">
      <c r="A337" s="15">
        <v>44175</v>
      </c>
      <c r="B337" s="112">
        <v>2.0590000000000002</v>
      </c>
      <c r="C337" s="108">
        <f t="shared" si="82"/>
        <v>4.7000000000000153E-2</v>
      </c>
      <c r="D337" s="109" t="str">
        <f t="shared" si="83"/>
        <v>/</v>
      </c>
      <c r="E337" s="109">
        <f ca="1">IF(表2_36716262930345[[#This Row],[累计净值]]/MAX(INDIRECT("B21:B" &amp; ROW()))-1&lt;E336,表2_36716262930345[[#This Row],[累计净值]]/MAX(INDIRECT("B21:B" &amp; ROW()))-1,E336)</f>
        <v>-8.0876158382476859E-2</v>
      </c>
      <c r="F337" s="110">
        <f>表2_36716262930345[[#This Row],[累计净值]]</f>
        <v>2.0590000000000002</v>
      </c>
      <c r="G337" s="20">
        <f>表2_36716262930345[[#This Row],[累计净值]]/$B$22-1</f>
        <v>0.74491525423728833</v>
      </c>
    </row>
    <row r="338" spans="1:7">
      <c r="A338" s="15">
        <v>44176</v>
      </c>
      <c r="B338" s="117">
        <v>2.0859999999999999</v>
      </c>
      <c r="C338" s="108">
        <f t="shared" si="82"/>
        <v>2.6999999999999691E-2</v>
      </c>
      <c r="D338" s="109" t="str">
        <f t="shared" si="83"/>
        <v>/</v>
      </c>
      <c r="E338" s="109">
        <f ca="1">IF(表2_36716262930345[[#This Row],[累计净值]]/MAX(INDIRECT("B21:B" &amp; ROW()))-1&lt;E337,表2_36716262930345[[#This Row],[累计净值]]/MAX(INDIRECT("B21:B" &amp; ROW()))-1,E337)</f>
        <v>-8.0876158382476859E-2</v>
      </c>
      <c r="F338" s="110">
        <f>表2_36716262930345[[#This Row],[累计净值]]</f>
        <v>2.0859999999999999</v>
      </c>
      <c r="G338" s="20">
        <f>表2_36716262930345[[#This Row],[累计净值]]/$B$22-1</f>
        <v>0.76779661016949152</v>
      </c>
    </row>
    <row r="339" spans="1:7">
      <c r="A339" s="15">
        <v>44179</v>
      </c>
      <c r="B339" s="112">
        <v>2.0379999999999998</v>
      </c>
      <c r="C339" s="108">
        <f t="shared" si="82"/>
        <v>-4.8000000000000043E-2</v>
      </c>
      <c r="D339" s="109">
        <f t="shared" si="83"/>
        <v>-4.8000000000000043E-2</v>
      </c>
      <c r="E339" s="109">
        <f ca="1">IF(表2_36716262930345[[#This Row],[累计净值]]/MAX(INDIRECT("B21:B" &amp; ROW()))-1&lt;E338,表2_36716262930345[[#This Row],[累计净值]]/MAX(INDIRECT("B21:B" &amp; ROW()))-1,E338)</f>
        <v>-8.0876158382476859E-2</v>
      </c>
      <c r="F339" s="110">
        <f>表2_36716262930345[[#This Row],[累计净值]]</f>
        <v>2.0379999999999998</v>
      </c>
      <c r="G339" s="20">
        <f>表2_36716262930345[[#This Row],[累计净值]]/$B$22-1</f>
        <v>0.72711864406779658</v>
      </c>
    </row>
    <row r="340" spans="1:7">
      <c r="A340" s="15">
        <v>44180</v>
      </c>
      <c r="B340" s="112">
        <v>1.99</v>
      </c>
      <c r="C340" s="108">
        <f t="shared" ref="C340:C346" si="84">IFERROR(B340-B339,0)</f>
        <v>-4.7999999999999821E-2</v>
      </c>
      <c r="D340" s="109">
        <f t="shared" ref="D340:D346" si="85">IF(C340&lt;0,C340,"/")</f>
        <v>-4.7999999999999821E-2</v>
      </c>
      <c r="E340" s="109">
        <f ca="1">IF(表2_36716262930345[[#This Row],[累计净值]]/MAX(INDIRECT("B21:B" &amp; ROW()))-1&lt;E339,表2_36716262930345[[#This Row],[累计净值]]/MAX(INDIRECT("B21:B" &amp; ROW()))-1,E339)</f>
        <v>-8.0876158382476859E-2</v>
      </c>
      <c r="F340" s="110">
        <f>表2_36716262930345[[#This Row],[累计净值]]</f>
        <v>1.99</v>
      </c>
      <c r="G340" s="20">
        <f>表2_36716262930345[[#This Row],[累计净值]]/$B$22-1</f>
        <v>0.68644067796610186</v>
      </c>
    </row>
    <row r="341" spans="1:7">
      <c r="A341" s="15">
        <v>44181</v>
      </c>
      <c r="B341" s="112">
        <v>2.0070000000000001</v>
      </c>
      <c r="C341" s="108">
        <f t="shared" si="84"/>
        <v>1.7000000000000126E-2</v>
      </c>
      <c r="D341" s="109" t="str">
        <f t="shared" si="85"/>
        <v>/</v>
      </c>
      <c r="E341" s="109">
        <f ca="1">IF(表2_36716262930345[[#This Row],[累计净值]]/MAX(INDIRECT("B21:B" &amp; ROW()))-1&lt;E340,表2_36716262930345[[#This Row],[累计净值]]/MAX(INDIRECT("B21:B" &amp; ROW()))-1,E340)</f>
        <v>-8.0876158382476859E-2</v>
      </c>
      <c r="F341" s="110">
        <f>表2_36716262930345[[#This Row],[累计净值]]</f>
        <v>2.0070000000000001</v>
      </c>
      <c r="G341" s="20">
        <f>表2_36716262930345[[#This Row],[累计净值]]/$B$22-1</f>
        <v>0.70084745762711886</v>
      </c>
    </row>
    <row r="342" spans="1:7">
      <c r="A342" s="15">
        <v>44182</v>
      </c>
      <c r="B342" s="112">
        <v>2.0019999999999998</v>
      </c>
      <c r="C342" s="108">
        <f t="shared" si="84"/>
        <v>-5.0000000000003375E-3</v>
      </c>
      <c r="D342" s="109">
        <f t="shared" si="85"/>
        <v>-5.0000000000003375E-3</v>
      </c>
      <c r="E342" s="109">
        <f ca="1">IF(表2_36716262930345[[#This Row],[累计净值]]/MAX(INDIRECT("B21:B" &amp; ROW()))-1&lt;E341,表2_36716262930345[[#This Row],[累计净值]]/MAX(INDIRECT("B21:B" &amp; ROW()))-1,E341)</f>
        <v>-8.0876158382476859E-2</v>
      </c>
      <c r="F342" s="110">
        <f>表2_36716262930345[[#This Row],[累计净值]]</f>
        <v>2.0019999999999998</v>
      </c>
      <c r="G342" s="20">
        <f>表2_36716262930345[[#This Row],[累计净值]]/$B$22-1</f>
        <v>0.69661016949152543</v>
      </c>
    </row>
    <row r="343" spans="1:7">
      <c r="A343" s="15">
        <v>44183</v>
      </c>
      <c r="B343" s="112">
        <v>2.032</v>
      </c>
      <c r="C343" s="108">
        <f t="shared" si="84"/>
        <v>3.0000000000000249E-2</v>
      </c>
      <c r="D343" s="109" t="str">
        <f t="shared" si="85"/>
        <v>/</v>
      </c>
      <c r="E343" s="109">
        <f ca="1">IF(表2_36716262930345[[#This Row],[累计净值]]/MAX(INDIRECT("B21:B" &amp; ROW()))-1&lt;E342,表2_36716262930345[[#This Row],[累计净值]]/MAX(INDIRECT("B21:B" &amp; ROW()))-1,E342)</f>
        <v>-8.0876158382476859E-2</v>
      </c>
      <c r="F343" s="110">
        <f>表2_36716262930345[[#This Row],[累计净值]]</f>
        <v>2.032</v>
      </c>
      <c r="G343" s="20">
        <f>表2_36716262930345[[#This Row],[累计净值]]/$B$22-1</f>
        <v>0.72203389830508491</v>
      </c>
    </row>
    <row r="344" spans="1:7">
      <c r="A344" s="15">
        <v>44186</v>
      </c>
      <c r="B344" s="112">
        <v>2.0489999999999999</v>
      </c>
      <c r="C344" s="108">
        <f t="shared" si="84"/>
        <v>1.6999999999999904E-2</v>
      </c>
      <c r="D344" s="109" t="str">
        <f t="shared" si="85"/>
        <v>/</v>
      </c>
      <c r="E344" s="109">
        <f ca="1">IF(表2_36716262930345[[#This Row],[累计净值]]/MAX(INDIRECT("B21:B" &amp; ROW()))-1&lt;E343,表2_36716262930345[[#This Row],[累计净值]]/MAX(INDIRECT("B21:B" &amp; ROW()))-1,E343)</f>
        <v>-8.0876158382476859E-2</v>
      </c>
      <c r="F344" s="110">
        <f>表2_36716262930345[[#This Row],[累计净值]]</f>
        <v>2.0489999999999999</v>
      </c>
      <c r="G344" s="20">
        <f>表2_36716262930345[[#This Row],[累计净值]]/$B$22-1</f>
        <v>0.73644067796610169</v>
      </c>
    </row>
    <row r="345" spans="1:7">
      <c r="A345" s="15">
        <v>44187</v>
      </c>
      <c r="B345" s="112">
        <v>2.036</v>
      </c>
      <c r="C345" s="108">
        <f t="shared" si="84"/>
        <v>-1.2999999999999901E-2</v>
      </c>
      <c r="D345" s="109">
        <f t="shared" si="85"/>
        <v>-1.2999999999999901E-2</v>
      </c>
      <c r="E345" s="109">
        <f ca="1">IF(表2_36716262930345[[#This Row],[累计净值]]/MAX(INDIRECT("B21:B" &amp; ROW()))-1&lt;E344,表2_36716262930345[[#This Row],[累计净值]]/MAX(INDIRECT("B21:B" &amp; ROW()))-1,E344)</f>
        <v>-8.0876158382476859E-2</v>
      </c>
      <c r="F345" s="110">
        <f>表2_36716262930345[[#This Row],[累计净值]]</f>
        <v>2.036</v>
      </c>
      <c r="G345" s="20">
        <f>表2_36716262930345[[#This Row],[累计净值]]/$B$22-1</f>
        <v>0.72542372881355943</v>
      </c>
    </row>
    <row r="346" spans="1:7">
      <c r="A346" s="15">
        <v>44188</v>
      </c>
      <c r="B346" s="112">
        <v>1.9990000000000001</v>
      </c>
      <c r="C346" s="108">
        <f t="shared" si="84"/>
        <v>-3.6999999999999922E-2</v>
      </c>
      <c r="D346" s="109">
        <f t="shared" si="85"/>
        <v>-3.6999999999999922E-2</v>
      </c>
      <c r="E346" s="109">
        <f ca="1">IF(表2_36716262930345[[#This Row],[累计净值]]/MAX(INDIRECT("B21:B" &amp; ROW()))-1&lt;E345,表2_36716262930345[[#This Row],[累计净值]]/MAX(INDIRECT("B21:B" &amp; ROW()))-1,E345)</f>
        <v>-8.0876158382476859E-2</v>
      </c>
      <c r="F346" s="110">
        <f>表2_36716262930345[[#This Row],[累计净值]]</f>
        <v>1.9990000000000001</v>
      </c>
      <c r="G346" s="20">
        <f>表2_36716262930345[[#This Row],[累计净值]]/$B$22-1</f>
        <v>0.6940677966101696</v>
      </c>
    </row>
    <row r="347" spans="1:7">
      <c r="A347" s="15">
        <v>44189</v>
      </c>
      <c r="B347" s="112">
        <v>1.996</v>
      </c>
      <c r="C347" s="108">
        <f t="shared" ref="C347:C348" si="86">IFERROR(B347-B346,0)</f>
        <v>-3.0000000000001137E-3</v>
      </c>
      <c r="D347" s="109">
        <f t="shared" ref="D347:D348" si="87">IF(C347&lt;0,C347,"/")</f>
        <v>-3.0000000000001137E-3</v>
      </c>
      <c r="E347" s="109">
        <f ca="1">IF(表2_36716262930345[[#This Row],[累计净值]]/MAX(INDIRECT("B21:B" &amp; ROW()))-1&lt;E346,表2_36716262930345[[#This Row],[累计净值]]/MAX(INDIRECT("B21:B" &amp; ROW()))-1,E346)</f>
        <v>-8.0876158382476859E-2</v>
      </c>
      <c r="F347" s="110">
        <f>表2_36716262930345[[#This Row],[累计净值]]</f>
        <v>1.996</v>
      </c>
      <c r="G347" s="20">
        <f>表2_36716262930345[[#This Row],[累计净值]]/$B$22-1</f>
        <v>0.69152542372881354</v>
      </c>
    </row>
    <row r="348" spans="1:7">
      <c r="A348" s="15">
        <v>44190</v>
      </c>
      <c r="B348" s="112">
        <v>1.98</v>
      </c>
      <c r="C348" s="108">
        <f t="shared" si="86"/>
        <v>-1.6000000000000014E-2</v>
      </c>
      <c r="D348" s="109">
        <f t="shared" si="87"/>
        <v>-1.6000000000000014E-2</v>
      </c>
      <c r="E348" s="109">
        <f ca="1">IF(表2_36716262930345[[#This Row],[累计净值]]/MAX(INDIRECT("B21:B" &amp; ROW()))-1&lt;E347,表2_36716262930345[[#This Row],[累计净值]]/MAX(INDIRECT("B21:B" &amp; ROW()))-1,E347)</f>
        <v>-8.0876158382476859E-2</v>
      </c>
      <c r="F348" s="110">
        <f>表2_36716262930345[[#This Row],[累计净值]]</f>
        <v>1.98</v>
      </c>
      <c r="G348" s="20">
        <f>表2_36716262930345[[#This Row],[累计净值]]/$B$22-1</f>
        <v>0.67796610169491522</v>
      </c>
    </row>
    <row r="349" spans="1:7">
      <c r="A349" s="15">
        <v>44193</v>
      </c>
      <c r="B349" s="112">
        <v>1.9690000000000001</v>
      </c>
      <c r="C349" s="108">
        <f t="shared" ref="C349:C354" si="88">IFERROR(B349-B348,0)</f>
        <v>-1.0999999999999899E-2</v>
      </c>
      <c r="D349" s="109">
        <f t="shared" ref="D349:D354" si="89">IF(C349&lt;0,C349,"/")</f>
        <v>-1.0999999999999899E-2</v>
      </c>
      <c r="E349" s="109">
        <f ca="1">IF(表2_36716262930345[[#This Row],[累计净值]]/MAX(INDIRECT("B21:B" &amp; ROW()))-1&lt;E348,表2_36716262930345[[#This Row],[累计净值]]/MAX(INDIRECT("B21:B" &amp; ROW()))-1,E348)</f>
        <v>-8.0876158382476859E-2</v>
      </c>
      <c r="F349" s="110">
        <f>表2_36716262930345[[#This Row],[累计净值]]</f>
        <v>1.9690000000000001</v>
      </c>
      <c r="G349" s="20">
        <f>表2_36716262930345[[#This Row],[累计净值]]/$B$22-1</f>
        <v>0.66864406779661034</v>
      </c>
    </row>
    <row r="350" spans="1:7">
      <c r="A350" s="15">
        <v>44194</v>
      </c>
      <c r="B350" s="112">
        <v>1.9570000000000001</v>
      </c>
      <c r="C350" s="108">
        <f t="shared" si="88"/>
        <v>-1.2000000000000011E-2</v>
      </c>
      <c r="D350" s="109">
        <f t="shared" si="89"/>
        <v>-1.2000000000000011E-2</v>
      </c>
      <c r="E350" s="109">
        <f ca="1">IF(表2_36716262930345[[#This Row],[累计净值]]/MAX(INDIRECT("B21:B" &amp; ROW()))-1&lt;E349,表2_36716262930345[[#This Row],[累计净值]]/MAX(INDIRECT("B21:B" &amp; ROW()))-1,E349)</f>
        <v>-8.0876158382476859E-2</v>
      </c>
      <c r="F350" s="110">
        <f>表2_36716262930345[[#This Row],[累计净值]]</f>
        <v>1.9570000000000001</v>
      </c>
      <c r="G350" s="20">
        <f>表2_36716262930345[[#This Row],[累计净值]]/$B$22-1</f>
        <v>0.65847457627118655</v>
      </c>
    </row>
    <row r="351" spans="1:7">
      <c r="A351" s="15">
        <v>44195</v>
      </c>
      <c r="B351" s="112">
        <v>1.9610000000000001</v>
      </c>
      <c r="C351" s="108">
        <f t="shared" si="88"/>
        <v>4.0000000000000036E-3</v>
      </c>
      <c r="D351" s="109" t="str">
        <f t="shared" si="89"/>
        <v>/</v>
      </c>
      <c r="E351" s="109">
        <f ca="1">IF(表2_36716262930345[[#This Row],[累计净值]]/MAX(INDIRECT("B21:B" &amp; ROW()))-1&lt;E350,表2_36716262930345[[#This Row],[累计净值]]/MAX(INDIRECT("B21:B" &amp; ROW()))-1,E350)</f>
        <v>-8.0876158382476859E-2</v>
      </c>
      <c r="F351" s="110">
        <f>表2_36716262930345[[#This Row],[累计净值]]</f>
        <v>1.9610000000000001</v>
      </c>
      <c r="G351" s="20">
        <f>表2_36716262930345[[#This Row],[累计净值]]/$B$22-1</f>
        <v>0.66186440677966107</v>
      </c>
    </row>
    <row r="352" spans="1:7">
      <c r="A352" s="15">
        <v>44196</v>
      </c>
      <c r="B352" s="112">
        <v>1.9650000000000001</v>
      </c>
      <c r="C352" s="108">
        <f t="shared" si="88"/>
        <v>4.0000000000000036E-3</v>
      </c>
      <c r="D352" s="109" t="str">
        <f t="shared" si="89"/>
        <v>/</v>
      </c>
      <c r="E352" s="109">
        <f ca="1">IF(表2_36716262930345[[#This Row],[累计净值]]/MAX(INDIRECT("B21:B" &amp; ROW()))-1&lt;E351,表2_36716262930345[[#This Row],[累计净值]]/MAX(INDIRECT("B21:B" &amp; ROW()))-1,E351)</f>
        <v>-8.0876158382476859E-2</v>
      </c>
      <c r="F352" s="110">
        <f>表2_36716262930345[[#This Row],[累计净值]]</f>
        <v>1.9650000000000001</v>
      </c>
      <c r="G352" s="20">
        <f>表2_36716262930345[[#This Row],[累计净值]]/$B$22-1</f>
        <v>0.66525423728813582</v>
      </c>
    </row>
    <row r="353" spans="1:7">
      <c r="A353" s="15">
        <v>44200</v>
      </c>
      <c r="B353" s="112">
        <v>1.9610000000000001</v>
      </c>
      <c r="C353" s="108">
        <f t="shared" si="88"/>
        <v>-4.0000000000000036E-3</v>
      </c>
      <c r="D353" s="109">
        <f t="shared" si="89"/>
        <v>-4.0000000000000036E-3</v>
      </c>
      <c r="E353" s="109">
        <f ca="1">IF(表2_36716262930345[[#This Row],[累计净值]]/MAX(INDIRECT("B21:B" &amp; ROW()))-1&lt;E352,表2_36716262930345[[#This Row],[累计净值]]/MAX(INDIRECT("B21:B" &amp; ROW()))-1,E352)</f>
        <v>-8.0876158382476859E-2</v>
      </c>
      <c r="F353" s="110">
        <f>表2_36716262930345[[#This Row],[累计净值]]</f>
        <v>1.9610000000000001</v>
      </c>
      <c r="G353" s="20">
        <f>表2_36716262930345[[#This Row],[累计净值]]/$B$22-1</f>
        <v>0.66186440677966107</v>
      </c>
    </row>
    <row r="354" spans="1:7">
      <c r="A354" s="15">
        <v>44201</v>
      </c>
      <c r="B354" s="112">
        <v>1.976</v>
      </c>
      <c r="C354" s="108">
        <f t="shared" si="88"/>
        <v>1.4999999999999902E-2</v>
      </c>
      <c r="D354" s="109" t="str">
        <f t="shared" si="89"/>
        <v>/</v>
      </c>
      <c r="E354" s="109">
        <f ca="1">IF(表2_36716262930345[[#This Row],[累计净值]]/MAX(INDIRECT("B21:B" &amp; ROW()))-1&lt;E353,表2_36716262930345[[#This Row],[累计净值]]/MAX(INDIRECT("B21:B" &amp; ROW()))-1,E353)</f>
        <v>-8.0876158382476859E-2</v>
      </c>
      <c r="F354" s="110">
        <f>表2_36716262930345[[#This Row],[累计净值]]</f>
        <v>1.976</v>
      </c>
      <c r="G354" s="20">
        <f>表2_36716262930345[[#This Row],[累计净值]]/$B$22-1</f>
        <v>0.6745762711864407</v>
      </c>
    </row>
    <row r="355" spans="1:7">
      <c r="A355" s="15">
        <v>44202</v>
      </c>
      <c r="B355" s="112">
        <v>1.9630000000000001</v>
      </c>
      <c r="C355" s="108">
        <f t="shared" ref="C355:C356" si="90">IFERROR(B355-B354,0)</f>
        <v>-1.2999999999999901E-2</v>
      </c>
      <c r="D355" s="109">
        <f t="shared" ref="D355:D356" si="91">IF(C355&lt;0,C355,"/")</f>
        <v>-1.2999999999999901E-2</v>
      </c>
      <c r="E355" s="109">
        <f ca="1">IF(表2_36716262930345[[#This Row],[累计净值]]/MAX(INDIRECT("B21:B" &amp; ROW()))-1&lt;E354,表2_36716262930345[[#This Row],[累计净值]]/MAX(INDIRECT("B21:B" &amp; ROW()))-1,E354)</f>
        <v>-8.0876158382476859E-2</v>
      </c>
      <c r="F355" s="110">
        <f>表2_36716262930345[[#This Row],[累计净值]]</f>
        <v>1.9630000000000001</v>
      </c>
      <c r="G355" s="20">
        <f>表2_36716262930345[[#This Row],[累计净值]]/$B$22-1</f>
        <v>0.66355932203389845</v>
      </c>
    </row>
    <row r="356" spans="1:7">
      <c r="A356" s="15">
        <v>44203</v>
      </c>
      <c r="B356" s="112">
        <v>1.9590000000000001</v>
      </c>
      <c r="C356" s="108">
        <f t="shared" si="90"/>
        <v>-4.0000000000000036E-3</v>
      </c>
      <c r="D356" s="109">
        <f t="shared" si="91"/>
        <v>-4.0000000000000036E-3</v>
      </c>
      <c r="E356" s="109">
        <f ca="1">IF(表2_36716262930345[[#This Row],[累计净值]]/MAX(INDIRECT("B21:B" &amp; ROW()))-1&lt;E355,表2_36716262930345[[#This Row],[累计净值]]/MAX(INDIRECT("B21:B" &amp; ROW()))-1,E355)</f>
        <v>-8.0876158382476859E-2</v>
      </c>
      <c r="F356" s="110">
        <f>表2_36716262930345[[#This Row],[累计净值]]</f>
        <v>1.9590000000000001</v>
      </c>
      <c r="G356" s="20">
        <f>表2_36716262930345[[#This Row],[累计净值]]/$B$22-1</f>
        <v>0.66016949152542392</v>
      </c>
    </row>
    <row r="357" spans="1:7">
      <c r="A357" s="15">
        <v>44204</v>
      </c>
      <c r="B357" s="112">
        <v>1.9530000000000001</v>
      </c>
      <c r="C357" s="108">
        <f>IFERROR(B357-B356,0)</f>
        <v>-6.0000000000000053E-3</v>
      </c>
      <c r="D357" s="109">
        <f>IF(C357&lt;0,C357,"/")</f>
        <v>-6.0000000000000053E-3</v>
      </c>
      <c r="E357" s="109">
        <f ca="1">IF(表2_36716262930345[[#This Row],[累计净值]]/MAX(INDIRECT("B21:B" &amp; ROW()))-1&lt;E356,表2_36716262930345[[#This Row],[累计净值]]/MAX(INDIRECT("B21:B" &amp; ROW()))-1,E356)</f>
        <v>-8.0876158382476859E-2</v>
      </c>
      <c r="F357" s="110">
        <f>表2_36716262930345[[#This Row],[累计净值]]</f>
        <v>1.9530000000000001</v>
      </c>
      <c r="G357" s="20">
        <f>表2_36716262930345[[#This Row],[累计净值]]/$B$22-1</f>
        <v>0.65508474576271203</v>
      </c>
    </row>
    <row r="358" spans="1:7">
      <c r="A358" s="15">
        <v>44207</v>
      </c>
      <c r="B358" s="112">
        <v>1.944</v>
      </c>
      <c r="C358" s="108">
        <f>IFERROR(B358-B357,0)</f>
        <v>-9.000000000000119E-3</v>
      </c>
      <c r="D358" s="109">
        <f>IF(C358&lt;0,C358,"/")</f>
        <v>-9.000000000000119E-3</v>
      </c>
      <c r="E358" s="109">
        <f ca="1">IF(表2_36716262930345[[#This Row],[累计净值]]/MAX(INDIRECT("B21:B" &amp; ROW()))-1&lt;E357,表2_36716262930345[[#This Row],[累计净值]]/MAX(INDIRECT("B21:B" &amp; ROW()))-1,E357)</f>
        <v>-8.0876158382476859E-2</v>
      </c>
      <c r="F358" s="110">
        <f>表2_36716262930345[[#This Row],[累计净值]]</f>
        <v>1.944</v>
      </c>
      <c r="G358" s="20">
        <f>表2_36716262930345[[#This Row],[累计净值]]/$B$22-1</f>
        <v>0.64745762711864407</v>
      </c>
    </row>
    <row r="359" spans="1:7">
      <c r="A359" s="15">
        <v>44208</v>
      </c>
      <c r="B359" s="112">
        <v>1.962</v>
      </c>
      <c r="C359" s="108">
        <f>IFERROR(B359-B358,0)</f>
        <v>1.8000000000000016E-2</v>
      </c>
      <c r="D359" s="109" t="str">
        <f>IF(C359&lt;0,C359,"/")</f>
        <v>/</v>
      </c>
      <c r="E359" s="109">
        <f ca="1">IF(表2_36716262930345[[#This Row],[累计净值]]/MAX(INDIRECT("B21:B" &amp; ROW()))-1&lt;E358,表2_36716262930345[[#This Row],[累计净值]]/MAX(INDIRECT("B21:B" &amp; ROW()))-1,E358)</f>
        <v>-8.0876158382476859E-2</v>
      </c>
      <c r="F359" s="110">
        <f>表2_36716262930345[[#This Row],[累计净值]]</f>
        <v>1.962</v>
      </c>
      <c r="G359" s="20">
        <f>表2_36716262930345[[#This Row],[累计净值]]/$B$22-1</f>
        <v>0.66271186440677976</v>
      </c>
    </row>
    <row r="360" spans="1:7">
      <c r="A360" s="15">
        <v>44209</v>
      </c>
      <c r="B360" s="112">
        <v>1.952</v>
      </c>
      <c r="C360" s="108">
        <f>IFERROR(B360-B359,0)</f>
        <v>-1.0000000000000009E-2</v>
      </c>
      <c r="D360" s="109">
        <f>IF(C360&lt;0,C360,"/")</f>
        <v>-1.0000000000000009E-2</v>
      </c>
      <c r="E360" s="109">
        <f ca="1">IF(表2_36716262930345[[#This Row],[累计净值]]/MAX(INDIRECT("B21:B" &amp; ROW()))-1&lt;E359,表2_36716262930345[[#This Row],[累计净值]]/MAX(INDIRECT("B21:B" &amp; ROW()))-1,E359)</f>
        <v>-8.0876158382476859E-2</v>
      </c>
      <c r="F360" s="110">
        <f>表2_36716262930345[[#This Row],[累计净值]]</f>
        <v>1.952</v>
      </c>
      <c r="G360" s="20">
        <f>表2_36716262930345[[#This Row],[累计净值]]/$B$22-1</f>
        <v>0.65423728813559334</v>
      </c>
    </row>
    <row r="361" spans="1:7">
      <c r="A361" s="15">
        <v>44210</v>
      </c>
      <c r="B361" s="112">
        <v>1.9379999999999999</v>
      </c>
      <c r="C361" s="108">
        <f t="shared" ref="C361:C362" si="92">IFERROR(B361-B360,0)</f>
        <v>-1.4000000000000012E-2</v>
      </c>
      <c r="D361" s="109">
        <f t="shared" ref="D361:D362" si="93">IF(C361&lt;0,C361,"/")</f>
        <v>-1.4000000000000012E-2</v>
      </c>
      <c r="E361" s="109">
        <f ca="1">IF(表2_36716262930345[[#This Row],[累计净值]]/MAX(INDIRECT("B21:B" &amp; ROW()))-1&lt;E360,表2_36716262930345[[#This Row],[累计净值]]/MAX(INDIRECT("B21:B" &amp; ROW()))-1,E360)</f>
        <v>-8.0876158382476859E-2</v>
      </c>
      <c r="F361" s="110">
        <f>表2_36716262930345[[#This Row],[累计净值]]</f>
        <v>1.9379999999999999</v>
      </c>
      <c r="G361" s="20">
        <f>表2_36716262930345[[#This Row],[累计净值]]/$B$22-1</f>
        <v>0.64237288135593218</v>
      </c>
    </row>
    <row r="362" spans="1:7">
      <c r="A362" s="15">
        <v>44211</v>
      </c>
      <c r="B362" s="112">
        <v>1.9319999999999999</v>
      </c>
      <c r="C362" s="108">
        <f t="shared" si="92"/>
        <v>-6.0000000000000053E-3</v>
      </c>
      <c r="D362" s="109">
        <f t="shared" si="93"/>
        <v>-6.0000000000000053E-3</v>
      </c>
      <c r="E362" s="109">
        <f ca="1">IF(表2_36716262930345[[#This Row],[累计净值]]/MAX(INDIRECT("B21:B" &amp; ROW()))-1&lt;E361,表2_36716262930345[[#This Row],[累计净值]]/MAX(INDIRECT("B21:B" &amp; ROW()))-1,E361)</f>
        <v>-8.0876158382476859E-2</v>
      </c>
      <c r="F362" s="110">
        <f>表2_36716262930345[[#This Row],[累计净值]]</f>
        <v>1.9319999999999999</v>
      </c>
      <c r="G362" s="20">
        <f>表2_36716262930345[[#This Row],[累计净值]]/$B$22-1</f>
        <v>0.63728813559322028</v>
      </c>
    </row>
    <row r="363" spans="1:7">
      <c r="A363" s="15">
        <v>44214</v>
      </c>
      <c r="B363" s="112">
        <v>1.929</v>
      </c>
      <c r="C363" s="108">
        <f t="shared" ref="C363:C369" si="94">IFERROR(B363-B362,0)</f>
        <v>-2.9999999999998916E-3</v>
      </c>
      <c r="D363" s="109">
        <f t="shared" ref="D363:D369" si="95">IF(C363&lt;0,C363,"/")</f>
        <v>-2.9999999999998916E-3</v>
      </c>
      <c r="E363" s="109">
        <f ca="1">IF(表2_36716262930345[[#This Row],[累计净值]]/MAX(INDIRECT("B21:B" &amp; ROW()))-1&lt;E362,表2_36716262930345[[#This Row],[累计净值]]/MAX(INDIRECT("B21:B" &amp; ROW()))-1,E362)</f>
        <v>-8.0876158382476859E-2</v>
      </c>
      <c r="F363" s="110">
        <f>表2_36716262930345[[#This Row],[累计净值]]</f>
        <v>1.929</v>
      </c>
      <c r="G363" s="20">
        <f>表2_36716262930345[[#This Row],[累计净值]]/$B$22-1</f>
        <v>0.63474576271186445</v>
      </c>
    </row>
    <row r="364" spans="1:7">
      <c r="A364" s="15">
        <v>44215</v>
      </c>
      <c r="B364" s="112">
        <v>1.913</v>
      </c>
      <c r="C364" s="108">
        <f t="shared" si="94"/>
        <v>-1.6000000000000014E-2</v>
      </c>
      <c r="D364" s="109">
        <f t="shared" si="95"/>
        <v>-1.6000000000000014E-2</v>
      </c>
      <c r="E364" s="109">
        <f ca="1">IF(表2_36716262930345[[#This Row],[累计净值]]/MAX(INDIRECT("B21:B" &amp; ROW()))-1&lt;E363,表2_36716262930345[[#This Row],[累计净值]]/MAX(INDIRECT("B21:B" &amp; ROW()))-1,E363)</f>
        <v>-8.2933844678811042E-2</v>
      </c>
      <c r="F364" s="110">
        <f>表2_36716262930345[[#This Row],[累计净值]]</f>
        <v>1.913</v>
      </c>
      <c r="G364" s="20">
        <f>表2_36716262930345[[#This Row],[累计净值]]/$B$22-1</f>
        <v>0.62118644067796613</v>
      </c>
    </row>
    <row r="365" spans="1:7">
      <c r="A365" s="15">
        <v>44216</v>
      </c>
      <c r="B365" s="112">
        <v>1.905</v>
      </c>
      <c r="C365" s="108">
        <f t="shared" si="94"/>
        <v>-8.0000000000000071E-3</v>
      </c>
      <c r="D365" s="109">
        <f t="shared" si="95"/>
        <v>-8.0000000000000071E-3</v>
      </c>
      <c r="E365" s="109">
        <f ca="1">IF(表2_36716262930345[[#This Row],[累计净值]]/MAX(INDIRECT("B21:B" &amp; ROW()))-1&lt;E364,表2_36716262930345[[#This Row],[累计净值]]/MAX(INDIRECT("B21:B" &amp; ROW()))-1,E364)</f>
        <v>-8.6768935762224331E-2</v>
      </c>
      <c r="F365" s="110">
        <f>表2_36716262930345[[#This Row],[累计净值]]</f>
        <v>1.905</v>
      </c>
      <c r="G365" s="20">
        <f>表2_36716262930345[[#This Row],[累计净值]]/$B$22-1</f>
        <v>0.61440677966101709</v>
      </c>
    </row>
    <row r="366" spans="1:7">
      <c r="A366" s="15">
        <v>44217</v>
      </c>
      <c r="B366" s="112">
        <v>1.9059999999999999</v>
      </c>
      <c r="C366" s="108">
        <f t="shared" si="94"/>
        <v>9.9999999999988987E-4</v>
      </c>
      <c r="D366" s="109" t="str">
        <f t="shared" si="95"/>
        <v>/</v>
      </c>
      <c r="E366" s="109">
        <f ca="1">IF(表2_36716262930345[[#This Row],[累计净值]]/MAX(INDIRECT("B21:B" &amp; ROW()))-1&lt;E365,表2_36716262930345[[#This Row],[累计净值]]/MAX(INDIRECT("B21:B" &amp; ROW()))-1,E365)</f>
        <v>-8.6768935762224331E-2</v>
      </c>
      <c r="F366" s="110">
        <f>表2_36716262930345[[#This Row],[累计净值]]</f>
        <v>1.9059999999999999</v>
      </c>
      <c r="G366" s="20">
        <f>表2_36716262930345[[#This Row],[累计净值]]/$B$22-1</f>
        <v>0.61525423728813555</v>
      </c>
    </row>
    <row r="367" spans="1:7">
      <c r="A367" s="15">
        <v>44218</v>
      </c>
      <c r="B367" s="112">
        <v>1.903</v>
      </c>
      <c r="C367" s="108">
        <f t="shared" si="94"/>
        <v>-2.9999999999998916E-3</v>
      </c>
      <c r="D367" s="109">
        <f t="shared" si="95"/>
        <v>-2.9999999999998916E-3</v>
      </c>
      <c r="E367" s="109">
        <f ca="1">IF(表2_36716262930345[[#This Row],[累计净值]]/MAX(INDIRECT("B21:B" &amp; ROW()))-1&lt;E366,表2_36716262930345[[#This Row],[累计净值]]/MAX(INDIRECT("B21:B" &amp; ROW()))-1,E366)</f>
        <v>-8.7727708533077542E-2</v>
      </c>
      <c r="F367" s="110">
        <f>表2_36716262930345[[#This Row],[累计净值]]</f>
        <v>1.903</v>
      </c>
      <c r="G367" s="20">
        <f>表2_36716262930345[[#This Row],[累计净值]]/$B$22-1</f>
        <v>0.61271186440677972</v>
      </c>
    </row>
    <row r="368" spans="1:7">
      <c r="A368" s="15">
        <v>44221</v>
      </c>
      <c r="B368" s="112">
        <v>1.901</v>
      </c>
      <c r="C368" s="108">
        <f t="shared" si="94"/>
        <v>-2.0000000000000018E-3</v>
      </c>
      <c r="D368" s="109">
        <f t="shared" si="95"/>
        <v>-2.0000000000000018E-3</v>
      </c>
      <c r="E368" s="109">
        <f ca="1">IF(表2_36716262930345[[#This Row],[累计净值]]/MAX(INDIRECT("B21:B" &amp; ROW()))-1&lt;E367,表2_36716262930345[[#This Row],[累计净值]]/MAX(INDIRECT("B21:B" &amp; ROW()))-1,E367)</f>
        <v>-8.8686481303930864E-2</v>
      </c>
      <c r="F368" s="110">
        <f>表2_36716262930345[[#This Row],[累计净值]]</f>
        <v>1.901</v>
      </c>
      <c r="G368" s="20">
        <f>表2_36716262930345[[#This Row],[累计净值]]/$B$22-1</f>
        <v>0.61101694915254257</v>
      </c>
    </row>
    <row r="369" spans="1:9">
      <c r="A369" s="15">
        <v>44222</v>
      </c>
      <c r="B369" s="112">
        <v>1.899</v>
      </c>
      <c r="C369" s="108">
        <f t="shared" si="94"/>
        <v>-2.0000000000000018E-3</v>
      </c>
      <c r="D369" s="109">
        <f t="shared" si="95"/>
        <v>-2.0000000000000018E-3</v>
      </c>
      <c r="E369" s="109">
        <f ca="1">IF(表2_36716262930345[[#This Row],[累计净值]]/MAX(INDIRECT("B21:B" &amp; ROW()))-1&lt;E368,表2_36716262930345[[#This Row],[累计净值]]/MAX(INDIRECT("B21:B" &amp; ROW()))-1,E368)</f>
        <v>-8.9645254074784186E-2</v>
      </c>
      <c r="F369" s="110">
        <f>表2_36716262930345[[#This Row],[累计净值]]</f>
        <v>1.899</v>
      </c>
      <c r="G369" s="20">
        <f>表2_36716262930345[[#This Row],[累计净值]]/$B$22-1</f>
        <v>0.60932203389830519</v>
      </c>
      <c r="I369" s="219"/>
    </row>
    <row r="370" spans="1:9">
      <c r="A370" s="15">
        <v>44223</v>
      </c>
      <c r="B370" s="112">
        <v>1.9059999999999999</v>
      </c>
      <c r="C370" s="108">
        <f>IFERROR(B370-B369,0)</f>
        <v>6.9999999999998952E-3</v>
      </c>
      <c r="D370" s="109" t="str">
        <f>IF(C370&lt;0,C370,"/")</f>
        <v>/</v>
      </c>
      <c r="E370" s="109">
        <f ca="1">IF(表2_36716262930345[[#This Row],[累计净值]]/MAX(INDIRECT("B21:B" &amp; ROW()))-1&lt;E369,表2_36716262930345[[#This Row],[累计净值]]/MAX(INDIRECT("B21:B" &amp; ROW()))-1,E369)</f>
        <v>-8.9645254074784186E-2</v>
      </c>
      <c r="F370" s="110">
        <f>表2_36716262930345[[#This Row],[累计净值]]</f>
        <v>1.9059999999999999</v>
      </c>
      <c r="G370" s="20">
        <f>表2_36716262930345[[#This Row],[累计净值]]/$B$22-1</f>
        <v>0.61525423728813555</v>
      </c>
    </row>
    <row r="371" spans="1:9">
      <c r="A371" s="15">
        <v>44224</v>
      </c>
      <c r="B371" s="112">
        <v>1.899</v>
      </c>
      <c r="C371" s="108">
        <f t="shared" ref="C371:C372" si="96">IFERROR(B371-B370,0)</f>
        <v>-6.9999999999998952E-3</v>
      </c>
      <c r="D371" s="109">
        <f t="shared" ref="D371:D372" si="97">IF(C371&lt;0,C371,"/")</f>
        <v>-6.9999999999998952E-3</v>
      </c>
      <c r="E371" s="109">
        <f ca="1">IF(表2_36716262930345[[#This Row],[累计净值]]/MAX(INDIRECT("B21:B" &amp; ROW()))-1&lt;E370,表2_36716262930345[[#This Row],[累计净值]]/MAX(INDIRECT("B21:B" &amp; ROW()))-1,E370)</f>
        <v>-8.9645254074784186E-2</v>
      </c>
      <c r="F371" s="110">
        <f>表2_36716262930345[[#This Row],[累计净值]]</f>
        <v>1.899</v>
      </c>
      <c r="G371" s="20">
        <f>表2_36716262930345[[#This Row],[累计净值]]/$B$22-1</f>
        <v>0.60932203389830519</v>
      </c>
    </row>
    <row r="372" spans="1:9">
      <c r="A372" s="15">
        <v>44225</v>
      </c>
      <c r="B372" s="112">
        <v>1.893</v>
      </c>
      <c r="C372" s="108">
        <f t="shared" si="96"/>
        <v>-6.0000000000000053E-3</v>
      </c>
      <c r="D372" s="109">
        <f t="shared" si="97"/>
        <v>-6.0000000000000053E-3</v>
      </c>
      <c r="E372" s="109">
        <f ca="1">IF(表2_36716262930345[[#This Row],[累计净值]]/MAX(INDIRECT("B21:B" &amp; ROW()))-1&lt;E371,表2_36716262930345[[#This Row],[累计净值]]/MAX(INDIRECT("B21:B" &amp; ROW()))-1,E371)</f>
        <v>-9.2521572387344153E-2</v>
      </c>
      <c r="F372" s="110">
        <f>表2_36716262930345[[#This Row],[累计净值]]</f>
        <v>1.893</v>
      </c>
      <c r="G372" s="20">
        <f>表2_36716262930345[[#This Row],[累计净值]]/$B$22-1</f>
        <v>0.6042372881355933</v>
      </c>
    </row>
    <row r="373" spans="1:9">
      <c r="A373" s="15">
        <v>44228</v>
      </c>
      <c r="B373" s="112">
        <v>1.875</v>
      </c>
      <c r="C373" s="108">
        <f>IFERROR(B373-B372,0)</f>
        <v>-1.8000000000000016E-2</v>
      </c>
      <c r="D373" s="109">
        <f>IF(C373&lt;0,C373,"/")</f>
        <v>-1.8000000000000016E-2</v>
      </c>
      <c r="E373" s="109">
        <f ca="1">IF(表2_36716262930345[[#This Row],[累计净值]]/MAX(INDIRECT("B21:B" &amp; ROW()))-1&lt;E372,表2_36716262930345[[#This Row],[累计净值]]/MAX(INDIRECT("B21:B" &amp; ROW()))-1,E372)</f>
        <v>-0.10115052732502394</v>
      </c>
      <c r="F373" s="110">
        <f>表2_36716262930345[[#This Row],[累计净值]]</f>
        <v>1.875</v>
      </c>
      <c r="G373" s="20">
        <f>表2_36716262930345[[#This Row],[累计净值]]/$B$22-1</f>
        <v>0.58898305084745761</v>
      </c>
    </row>
    <row r="374" spans="1:9">
      <c r="A374" s="15">
        <v>44229</v>
      </c>
      <c r="B374" s="112">
        <v>1.883</v>
      </c>
      <c r="C374" s="108">
        <f>IFERROR(B374-B373,0)</f>
        <v>8.0000000000000071E-3</v>
      </c>
      <c r="D374" s="109" t="str">
        <f>IF(C374&lt;0,C374,"/")</f>
        <v>/</v>
      </c>
      <c r="E374" s="109">
        <f ca="1">IF(表2_36716262930345[[#This Row],[累计净值]]/MAX(INDIRECT("B21:B" &amp; ROW()))-1&lt;E373,表2_36716262930345[[#This Row],[累计净值]]/MAX(INDIRECT("B21:B" &amp; ROW()))-1,E373)</f>
        <v>-0.10115052732502394</v>
      </c>
      <c r="F374" s="110">
        <f>表2_36716262930345[[#This Row],[累计净值]]</f>
        <v>1.883</v>
      </c>
      <c r="G374" s="20">
        <f>表2_36716262930345[[#This Row],[累计净值]]/$B$22-1</f>
        <v>0.59576271186440688</v>
      </c>
    </row>
    <row r="375" spans="1:9">
      <c r="A375" s="15">
        <v>44230</v>
      </c>
      <c r="B375" s="112">
        <v>1.883</v>
      </c>
      <c r="C375" s="108">
        <f>IFERROR(B375-B374,0)</f>
        <v>0</v>
      </c>
      <c r="D375" s="109" t="str">
        <f>IF(C375&lt;0,C375,"/")</f>
        <v>/</v>
      </c>
      <c r="E375" s="109">
        <f ca="1">IF(表2_36716262930345[[#This Row],[累计净值]]/MAX(INDIRECT("B21:B" &amp; ROW()))-1&lt;E374,表2_36716262930345[[#This Row],[累计净值]]/MAX(INDIRECT("B21:B" &amp; ROW()))-1,E374)</f>
        <v>-0.10115052732502394</v>
      </c>
      <c r="F375" s="110">
        <f>表2_36716262930345[[#This Row],[累计净值]]</f>
        <v>1.883</v>
      </c>
      <c r="G375" s="20">
        <f>表2_36716262930345[[#This Row],[累计净值]]/$B$22-1</f>
        <v>0.59576271186440688</v>
      </c>
    </row>
    <row r="376" spans="1:9">
      <c r="A376" s="15">
        <v>44231</v>
      </c>
      <c r="B376" s="112">
        <v>1.867</v>
      </c>
      <c r="C376" s="108">
        <f t="shared" ref="C376:C377" si="98">IFERROR(B376-B375,0)</f>
        <v>-1.6000000000000014E-2</v>
      </c>
      <c r="D376" s="109">
        <f t="shared" ref="D376:D377" si="99">IF(C376&lt;0,C376,"/")</f>
        <v>-1.6000000000000014E-2</v>
      </c>
      <c r="E376" s="109">
        <f ca="1">IF(表2_36716262930345[[#This Row],[累计净值]]/MAX(INDIRECT("B21:B" &amp; ROW()))-1&lt;E375,表2_36716262930345[[#This Row],[累计净值]]/MAX(INDIRECT("B21:B" &amp; ROW()))-1,E375)</f>
        <v>-0.10498561840843712</v>
      </c>
      <c r="F376" s="110">
        <f>表2_36716262930345[[#This Row],[累计净值]]</f>
        <v>1.867</v>
      </c>
      <c r="G376" s="20">
        <f>表2_36716262930345[[#This Row],[累计净值]]/$B$22-1</f>
        <v>0.58220338983050857</v>
      </c>
    </row>
    <row r="377" spans="1:9">
      <c r="A377" s="15">
        <v>44232</v>
      </c>
      <c r="B377" s="112">
        <v>1.857</v>
      </c>
      <c r="C377" s="108">
        <f t="shared" si="98"/>
        <v>-1.0000000000000009E-2</v>
      </c>
      <c r="D377" s="109">
        <f t="shared" si="99"/>
        <v>-1.0000000000000009E-2</v>
      </c>
      <c r="E377" s="109">
        <f ca="1">IF(表2_36716262930345[[#This Row],[累计净值]]/MAX(INDIRECT("B21:B" &amp; ROW()))-1&lt;E376,表2_36716262930345[[#This Row],[累计净值]]/MAX(INDIRECT("B21:B" &amp; ROW()))-1,E376)</f>
        <v>-0.10977948226270373</v>
      </c>
      <c r="F377" s="110">
        <f>表2_36716262930345[[#This Row],[累计净值]]</f>
        <v>1.857</v>
      </c>
      <c r="G377" s="20">
        <f>表2_36716262930345[[#This Row],[累计净值]]/$B$22-1</f>
        <v>0.57372881355932215</v>
      </c>
    </row>
    <row r="378" spans="1:9">
      <c r="A378" s="15">
        <v>44235</v>
      </c>
      <c r="B378" s="112">
        <v>1.857</v>
      </c>
      <c r="C378" s="108">
        <f>IFERROR(B378-B377,0)</f>
        <v>0</v>
      </c>
      <c r="D378" s="109" t="str">
        <f>IF(C378&lt;0,C378,"/")</f>
        <v>/</v>
      </c>
      <c r="E378" s="109">
        <f ca="1">IF(表2_36716262930345[[#This Row],[累计净值]]/MAX(INDIRECT("B21:B" &amp; ROW()))-1&lt;E377,表2_36716262930345[[#This Row],[累计净值]]/MAX(INDIRECT("B21:B" &amp; ROW()))-1,E377)</f>
        <v>-0.10977948226270373</v>
      </c>
      <c r="F378" s="110">
        <f>表2_36716262930345[[#This Row],[累计净值]]</f>
        <v>1.857</v>
      </c>
      <c r="G378" s="20">
        <f>表2_36716262930345[[#This Row],[累计净值]]/$B$22-1</f>
        <v>0.57372881355932215</v>
      </c>
    </row>
    <row r="379" spans="1:9">
      <c r="A379" s="15">
        <v>44236</v>
      </c>
      <c r="B379" s="112">
        <v>1.8640000000000001</v>
      </c>
      <c r="C379" s="108">
        <f t="shared" ref="C379:C381" si="100">IFERROR(B379-B378,0)</f>
        <v>7.0000000000001172E-3</v>
      </c>
      <c r="D379" s="109" t="str">
        <f t="shared" ref="D379:D381" si="101">IF(C379&lt;0,C379,"/")</f>
        <v>/</v>
      </c>
      <c r="E379" s="109">
        <f ca="1">IF(表2_36716262930345[[#This Row],[累计净值]]/MAX(INDIRECT("B21:B" &amp; ROW()))-1&lt;E378,表2_36716262930345[[#This Row],[累计净值]]/MAX(INDIRECT("B21:B" &amp; ROW()))-1,E378)</f>
        <v>-0.10977948226270373</v>
      </c>
      <c r="F379" s="110">
        <f>表2_36716262930345[[#This Row],[累计净值]]</f>
        <v>1.8640000000000001</v>
      </c>
      <c r="G379" s="20">
        <f>表2_36716262930345[[#This Row],[累计净值]]/$B$22-1</f>
        <v>0.57966101694915273</v>
      </c>
    </row>
    <row r="380" spans="1:9">
      <c r="A380" s="15">
        <v>44237</v>
      </c>
      <c r="B380" s="112">
        <v>1.867</v>
      </c>
      <c r="C380" s="108">
        <f t="shared" si="100"/>
        <v>2.9999999999998916E-3</v>
      </c>
      <c r="D380" s="109" t="str">
        <f t="shared" si="101"/>
        <v>/</v>
      </c>
      <c r="E380" s="109">
        <f ca="1">IF(表2_36716262930345[[#This Row],[累计净值]]/MAX(INDIRECT("B21:B" &amp; ROW()))-1&lt;E379,表2_36716262930345[[#This Row],[累计净值]]/MAX(INDIRECT("B21:B" &amp; ROW()))-1,E379)</f>
        <v>-0.10977948226270373</v>
      </c>
      <c r="F380" s="110">
        <f>表2_36716262930345[[#This Row],[累计净值]]</f>
        <v>1.867</v>
      </c>
      <c r="G380" s="20">
        <f>表2_36716262930345[[#This Row],[累计净值]]/$B$22-1</f>
        <v>0.58220338983050857</v>
      </c>
    </row>
    <row r="381" spans="1:9">
      <c r="A381" s="15">
        <v>44245</v>
      </c>
      <c r="B381" s="112">
        <v>1.8839999999999999</v>
      </c>
      <c r="C381" s="108">
        <f t="shared" si="100"/>
        <v>1.6999999999999904E-2</v>
      </c>
      <c r="D381" s="109" t="str">
        <f t="shared" si="101"/>
        <v>/</v>
      </c>
      <c r="E381" s="109">
        <f ca="1">IF(表2_36716262930345[[#This Row],[累计净值]]/MAX(INDIRECT("B21:B" &amp; ROW()))-1&lt;E380,表2_36716262930345[[#This Row],[累计净值]]/MAX(INDIRECT("B21:B" &amp; ROW()))-1,E380)</f>
        <v>-0.10977948226270373</v>
      </c>
      <c r="F381" s="110">
        <f>表2_36716262930345[[#This Row],[累计净值]]</f>
        <v>1.8839999999999999</v>
      </c>
      <c r="G381" s="20">
        <f>表2_36716262930345[[#This Row],[累计净值]]/$B$22-1</f>
        <v>0.59661016949152534</v>
      </c>
    </row>
    <row r="382" spans="1:9">
      <c r="A382" s="15">
        <v>44246</v>
      </c>
      <c r="B382" s="112">
        <v>1.879</v>
      </c>
      <c r="C382" s="108">
        <f>IFERROR(B382-B381,0)</f>
        <v>-4.9999999999998934E-3</v>
      </c>
      <c r="D382" s="109">
        <f>IF(C382&lt;0,C382,"/")</f>
        <v>-4.9999999999998934E-3</v>
      </c>
      <c r="E382" s="109">
        <f ca="1">IF(表2_36716262930345[[#This Row],[累计净值]]/MAX(INDIRECT("B21:B" &amp; ROW()))-1&lt;E381,表2_36716262930345[[#This Row],[累计净值]]/MAX(INDIRECT("B21:B" &amp; ROW()))-1,E381)</f>
        <v>-0.10977948226270373</v>
      </c>
      <c r="F382" s="110">
        <f>表2_36716262930345[[#This Row],[累计净值]]</f>
        <v>1.879</v>
      </c>
      <c r="G382" s="20">
        <f>表2_36716262930345[[#This Row],[累计净值]]/$B$22-1</f>
        <v>0.59237288135593236</v>
      </c>
    </row>
    <row r="383" spans="1:9">
      <c r="A383" s="15">
        <v>44249</v>
      </c>
      <c r="B383" s="112">
        <v>1.8759999999999999</v>
      </c>
      <c r="C383" s="108">
        <f>IFERROR(B383-B382,0)</f>
        <v>-3.0000000000001137E-3</v>
      </c>
      <c r="D383" s="109">
        <f>IF(C383&lt;0,C383,"/")</f>
        <v>-3.0000000000001137E-3</v>
      </c>
      <c r="E383" s="109">
        <f ca="1">IF(表2_36716262930345[[#This Row],[累计净值]]/MAX(INDIRECT("B21:B" &amp; ROW()))-1&lt;E382,表2_36716262930345[[#This Row],[累计净值]]/MAX(INDIRECT("B21:B" &amp; ROW()))-1,E382)</f>
        <v>-0.10977948226270373</v>
      </c>
      <c r="F383" s="110">
        <f>表2_36716262930345[[#This Row],[累计净值]]</f>
        <v>1.8759999999999999</v>
      </c>
      <c r="G383" s="20">
        <f>表2_36716262930345[[#This Row],[累计净值]]/$B$22-1</f>
        <v>0.5898305084745763</v>
      </c>
    </row>
    <row r="384" spans="1:9">
      <c r="A384" s="15">
        <v>44250</v>
      </c>
      <c r="B384" s="112">
        <v>1.87</v>
      </c>
      <c r="C384" s="108">
        <f>IFERROR(B384-B383,0)</f>
        <v>-5.9999999999997833E-3</v>
      </c>
      <c r="D384" s="109">
        <f>IF(C384&lt;0,C384,"/")</f>
        <v>-5.9999999999997833E-3</v>
      </c>
      <c r="E384" s="109">
        <f ca="1">IF(表2_36716262930345[[#This Row],[累计净值]]/MAX(INDIRECT("B21:B" &amp; ROW()))-1&lt;E383,表2_36716262930345[[#This Row],[累计净值]]/MAX(INDIRECT("B21:B" &amp; ROW()))-1,E383)</f>
        <v>-0.10977948226270373</v>
      </c>
      <c r="F384" s="110">
        <f>表2_36716262930345[[#This Row],[累计净值]]</f>
        <v>1.87</v>
      </c>
      <c r="G384" s="20">
        <f>表2_36716262930345[[#This Row],[累计净值]]/$B$22-1</f>
        <v>0.58474576271186463</v>
      </c>
    </row>
    <row r="385" spans="1:7">
      <c r="A385" s="15">
        <v>44251</v>
      </c>
      <c r="B385" s="112">
        <v>1.859</v>
      </c>
      <c r="C385" s="108">
        <f t="shared" ref="C385:C387" si="102">IFERROR(B385-B384,0)</f>
        <v>-1.1000000000000121E-2</v>
      </c>
      <c r="D385" s="109">
        <f t="shared" ref="D385:D387" si="103">IF(C385&lt;0,C385,"/")</f>
        <v>-1.1000000000000121E-2</v>
      </c>
      <c r="E385" s="109">
        <f ca="1">IF(表2_36716262930345[[#This Row],[累计净值]]/MAX(INDIRECT("B21:B" &amp; ROW()))-1&lt;E384,表2_36716262930345[[#This Row],[累计净值]]/MAX(INDIRECT("B21:B" &amp; ROW()))-1,E384)</f>
        <v>-0.10977948226270373</v>
      </c>
      <c r="F385" s="110">
        <f>表2_36716262930345[[#This Row],[累计净值]]</f>
        <v>1.859</v>
      </c>
      <c r="G385" s="20">
        <f>表2_36716262930345[[#This Row],[累计净值]]/$B$22-1</f>
        <v>0.5754237288135593</v>
      </c>
    </row>
    <row r="386" spans="1:7">
      <c r="A386" s="15">
        <v>44252</v>
      </c>
      <c r="B386" s="112">
        <v>1.871</v>
      </c>
      <c r="C386" s="108">
        <f t="shared" si="102"/>
        <v>1.2000000000000011E-2</v>
      </c>
      <c r="D386" s="109" t="str">
        <f t="shared" si="103"/>
        <v>/</v>
      </c>
      <c r="E386" s="109">
        <f ca="1">IF(表2_36716262930345[[#This Row],[累计净值]]/MAX(INDIRECT("B21:B" &amp; ROW()))-1&lt;E385,表2_36716262930345[[#This Row],[累计净值]]/MAX(INDIRECT("B21:B" &amp; ROW()))-1,E385)</f>
        <v>-0.10977948226270373</v>
      </c>
      <c r="F386" s="110">
        <f>表2_36716262930345[[#This Row],[累计净值]]</f>
        <v>1.871</v>
      </c>
      <c r="G386" s="20">
        <f>表2_36716262930345[[#This Row],[累计净值]]/$B$22-1</f>
        <v>0.58559322033898309</v>
      </c>
    </row>
    <row r="387" spans="1:7">
      <c r="A387" s="15">
        <v>44253</v>
      </c>
      <c r="B387" s="112">
        <v>1.875</v>
      </c>
      <c r="C387" s="108">
        <f t="shared" si="102"/>
        <v>4.0000000000000036E-3</v>
      </c>
      <c r="D387" s="109" t="str">
        <f t="shared" si="103"/>
        <v>/</v>
      </c>
      <c r="E387" s="109">
        <f ca="1">IF(表2_36716262930345[[#This Row],[累计净值]]/MAX(INDIRECT("B21:B" &amp; ROW()))-1&lt;E386,表2_36716262930345[[#This Row],[累计净值]]/MAX(INDIRECT("B21:B" &amp; ROW()))-1,E386)</f>
        <v>-0.10977948226270373</v>
      </c>
      <c r="F387" s="110">
        <f>表2_36716262930345[[#This Row],[累计净值]]</f>
        <v>1.875</v>
      </c>
      <c r="G387" s="20">
        <f>表2_36716262930345[[#This Row],[累计净值]]/$B$22-1</f>
        <v>0.58898305084745761</v>
      </c>
    </row>
    <row r="388" spans="1:7">
      <c r="A388" s="15">
        <v>44256</v>
      </c>
      <c r="B388" s="112">
        <v>1.889</v>
      </c>
      <c r="C388" s="108">
        <f t="shared" ref="C388:C390" si="104">IFERROR(B388-B387,0)</f>
        <v>1.4000000000000012E-2</v>
      </c>
      <c r="D388" s="109" t="str">
        <f t="shared" ref="D388:D390" si="105">IF(C388&lt;0,C388,"/")</f>
        <v>/</v>
      </c>
      <c r="E388" s="109">
        <f ca="1">IF(表2_36716262930345[[#This Row],[累计净值]]/MAX(INDIRECT("B21:B" &amp; ROW()))-1&lt;E387,表2_36716262930345[[#This Row],[累计净值]]/MAX(INDIRECT("B21:B" &amp; ROW()))-1,E387)</f>
        <v>-0.10977948226270373</v>
      </c>
      <c r="F388" s="110">
        <f>表2_36716262930345[[#This Row],[累计净值]]</f>
        <v>1.889</v>
      </c>
      <c r="G388" s="20">
        <f>表2_36716262930345[[#This Row],[累计净值]]/$B$22-1</f>
        <v>0.60084745762711878</v>
      </c>
    </row>
    <row r="389" spans="1:7">
      <c r="A389" s="15">
        <v>44257</v>
      </c>
      <c r="B389" s="112">
        <v>1.8859999999999999</v>
      </c>
      <c r="C389" s="108">
        <f t="shared" si="104"/>
        <v>-3.0000000000001137E-3</v>
      </c>
      <c r="D389" s="109">
        <f t="shared" si="105"/>
        <v>-3.0000000000001137E-3</v>
      </c>
      <c r="E389" s="109">
        <f ca="1">IF(表2_36716262930345[[#This Row],[累计净值]]/MAX(INDIRECT("B21:B" &amp; ROW()))-1&lt;E388,表2_36716262930345[[#This Row],[累计净值]]/MAX(INDIRECT("B21:B" &amp; ROW()))-1,E388)</f>
        <v>-0.10977948226270373</v>
      </c>
      <c r="F389" s="110">
        <f>表2_36716262930345[[#This Row],[累计净值]]</f>
        <v>1.8859999999999999</v>
      </c>
      <c r="G389" s="20">
        <f>表2_36716262930345[[#This Row],[累计净值]]/$B$22-1</f>
        <v>0.59830508474576272</v>
      </c>
    </row>
    <row r="390" spans="1:7">
      <c r="A390" s="15">
        <v>44258</v>
      </c>
      <c r="B390" s="112">
        <v>1.8879999999999999</v>
      </c>
      <c r="C390" s="108">
        <f t="shared" si="104"/>
        <v>2.0000000000000018E-3</v>
      </c>
      <c r="D390" s="109" t="str">
        <f t="shared" si="105"/>
        <v>/</v>
      </c>
      <c r="E390" s="109">
        <f ca="1">IF(表2_36716262930345[[#This Row],[累计净值]]/MAX(INDIRECT("B21:B" &amp; ROW()))-1&lt;E389,表2_36716262930345[[#This Row],[累计净值]]/MAX(INDIRECT("B21:B" &amp; ROW()))-1,E389)</f>
        <v>-0.10977948226270373</v>
      </c>
      <c r="F390" s="110">
        <f>表2_36716262930345[[#This Row],[累计净值]]</f>
        <v>1.8879999999999999</v>
      </c>
      <c r="G390" s="20">
        <f>表2_36716262930345[[#This Row],[累计净值]]/$B$22-1</f>
        <v>0.60000000000000009</v>
      </c>
    </row>
    <row r="391" spans="1:7">
      <c r="A391" s="15">
        <v>44259</v>
      </c>
      <c r="B391" s="112">
        <v>1.8979999999999999</v>
      </c>
      <c r="C391" s="108">
        <f>IFERROR(B391-B390,0)</f>
        <v>1.0000000000000009E-2</v>
      </c>
      <c r="D391" s="109" t="str">
        <f>IF(C391&lt;0,C391,"/")</f>
        <v>/</v>
      </c>
      <c r="E391" s="109">
        <f ca="1">IF(表2_36716262930345[[#This Row],[累计净值]]/MAX(INDIRECT("B21:B" &amp; ROW()))-1&lt;E390,表2_36716262930345[[#This Row],[累计净值]]/MAX(INDIRECT("B21:B" &amp; ROW()))-1,E390)</f>
        <v>-0.10977948226270373</v>
      </c>
      <c r="F391" s="110">
        <f>表2_36716262930345[[#This Row],[累计净值]]</f>
        <v>1.8979999999999999</v>
      </c>
      <c r="G391" s="20">
        <f>表2_36716262930345[[#This Row],[累计净值]]/$B$22-1</f>
        <v>0.60847457627118651</v>
      </c>
    </row>
    <row r="392" spans="1:7">
      <c r="A392" s="15">
        <v>44260</v>
      </c>
      <c r="B392" s="112">
        <v>1.897</v>
      </c>
      <c r="C392" s="108">
        <f t="shared" ref="C392:C397" si="106">IFERROR(B392-B391,0)</f>
        <v>-9.9999999999988987E-4</v>
      </c>
      <c r="D392" s="109">
        <f t="shared" ref="D392:D397" si="107">IF(C392&lt;0,C392,"/")</f>
        <v>-9.9999999999988987E-4</v>
      </c>
      <c r="E392" s="109">
        <f ca="1">IF(表2_36716262930345[[#This Row],[累计净值]]/MAX(INDIRECT("B21:B" &amp; ROW()))-1&lt;E391,表2_36716262930345[[#This Row],[累计净值]]/MAX(INDIRECT("B21:B" &amp; ROW()))-1,E391)</f>
        <v>-0.10977948226270373</v>
      </c>
      <c r="F392" s="110">
        <f>表2_36716262930345[[#This Row],[累计净值]]</f>
        <v>1.897</v>
      </c>
      <c r="G392" s="20">
        <f>表2_36716262930345[[#This Row],[累计净值]]/$B$22-1</f>
        <v>0.60762711864406782</v>
      </c>
    </row>
    <row r="393" spans="1:7">
      <c r="A393" s="15">
        <v>44263</v>
      </c>
      <c r="B393" s="112">
        <v>1.9139999999999999</v>
      </c>
      <c r="C393" s="108">
        <f t="shared" si="106"/>
        <v>1.6999999999999904E-2</v>
      </c>
      <c r="D393" s="109" t="str">
        <f t="shared" si="107"/>
        <v>/</v>
      </c>
      <c r="E393" s="109">
        <f ca="1">IF(表2_36716262930345[[#This Row],[累计净值]]/MAX(INDIRECT("B21:B" &amp; ROW()))-1&lt;E392,表2_36716262930345[[#This Row],[累计净值]]/MAX(INDIRECT("B21:B" &amp; ROW()))-1,E392)</f>
        <v>-0.10977948226270373</v>
      </c>
      <c r="F393" s="110">
        <f>表2_36716262930345[[#This Row],[累计净值]]</f>
        <v>1.9139999999999999</v>
      </c>
      <c r="G393" s="20">
        <f>表2_36716262930345[[#This Row],[累计净值]]/$B$22-1</f>
        <v>0.62203389830508482</v>
      </c>
    </row>
    <row r="394" spans="1:7">
      <c r="A394" s="15">
        <v>44264</v>
      </c>
      <c r="B394" s="112">
        <v>1.919</v>
      </c>
      <c r="C394" s="108">
        <f t="shared" si="106"/>
        <v>5.0000000000001155E-3</v>
      </c>
      <c r="D394" s="109" t="str">
        <f t="shared" si="107"/>
        <v>/</v>
      </c>
      <c r="E394" s="109">
        <f ca="1">IF(表2_36716262930345[[#This Row],[累计净值]]/MAX(INDIRECT("B21:B" &amp; ROW()))-1&lt;E393,表2_36716262930345[[#This Row],[累计净值]]/MAX(INDIRECT("B21:B" &amp; ROW()))-1,E393)</f>
        <v>-0.10977948226270373</v>
      </c>
      <c r="F394" s="110">
        <f>表2_36716262930345[[#This Row],[累计净值]]</f>
        <v>1.919</v>
      </c>
      <c r="G394" s="20">
        <f>表2_36716262930345[[#This Row],[累计净值]]/$B$22-1</f>
        <v>0.62627118644067803</v>
      </c>
    </row>
    <row r="395" spans="1:7">
      <c r="A395" s="15">
        <v>44265</v>
      </c>
      <c r="B395" s="112">
        <v>1.9119999999999999</v>
      </c>
      <c r="C395" s="108">
        <f t="shared" si="106"/>
        <v>-7.0000000000001172E-3</v>
      </c>
      <c r="D395" s="109">
        <f t="shared" si="107"/>
        <v>-7.0000000000001172E-3</v>
      </c>
      <c r="E395" s="109">
        <f ca="1">IF(表2_36716262930345[[#This Row],[累计净值]]/MAX(INDIRECT("B21:B" &amp; ROW()))-1&lt;E394,表2_36716262930345[[#This Row],[累计净值]]/MAX(INDIRECT("B21:B" &amp; ROW()))-1,E394)</f>
        <v>-0.10977948226270373</v>
      </c>
      <c r="F395" s="110">
        <f>表2_36716262930345[[#This Row],[累计净值]]</f>
        <v>1.9119999999999999</v>
      </c>
      <c r="G395" s="20">
        <f>表2_36716262930345[[#This Row],[累计净值]]/$B$22-1</f>
        <v>0.62033898305084745</v>
      </c>
    </row>
    <row r="396" spans="1:7">
      <c r="A396" s="15">
        <v>44266</v>
      </c>
      <c r="B396" s="112">
        <v>1.9079999999999999</v>
      </c>
      <c r="C396" s="108">
        <f t="shared" si="106"/>
        <v>-4.0000000000000036E-3</v>
      </c>
      <c r="D396" s="109">
        <f t="shared" si="107"/>
        <v>-4.0000000000000036E-3</v>
      </c>
      <c r="E396" s="109">
        <f ca="1">IF(表2_36716262930345[[#This Row],[累计净值]]/MAX(INDIRECT("B21:B" &amp; ROW()))-1&lt;E395,表2_36716262930345[[#This Row],[累计净值]]/MAX(INDIRECT("B21:B" &amp; ROW()))-1,E395)</f>
        <v>-0.10977948226270373</v>
      </c>
      <c r="F396" s="110">
        <f>表2_36716262930345[[#This Row],[累计净值]]</f>
        <v>1.9079999999999999</v>
      </c>
      <c r="G396" s="20">
        <f>表2_36716262930345[[#This Row],[累计净值]]/$B$22-1</f>
        <v>0.61694915254237293</v>
      </c>
    </row>
    <row r="397" spans="1:7">
      <c r="A397" s="15">
        <v>44267</v>
      </c>
      <c r="B397" s="112">
        <v>1.9039999999999999</v>
      </c>
      <c r="C397" s="108">
        <f t="shared" si="106"/>
        <v>-4.0000000000000036E-3</v>
      </c>
      <c r="D397" s="109">
        <f t="shared" si="107"/>
        <v>-4.0000000000000036E-3</v>
      </c>
      <c r="E397" s="109">
        <f ca="1">IF(表2_36716262930345[[#This Row],[累计净值]]/MAX(INDIRECT("B21:B" &amp; ROW()))-1&lt;E396,表2_36716262930345[[#This Row],[累计净值]]/MAX(INDIRECT("B21:B" &amp; ROW()))-1,E396)</f>
        <v>-0.10977948226270373</v>
      </c>
      <c r="F397" s="110">
        <f>表2_36716262930345[[#This Row],[累计净值]]</f>
        <v>1.9039999999999999</v>
      </c>
      <c r="G397" s="20">
        <f>表2_36716262930345[[#This Row],[累计净值]]/$B$22-1</f>
        <v>0.6135593220338984</v>
      </c>
    </row>
    <row r="398" spans="1:7">
      <c r="A398" s="15">
        <v>44270</v>
      </c>
      <c r="B398" s="112">
        <v>1.9019999999999999</v>
      </c>
      <c r="C398" s="108">
        <f t="shared" ref="C398:C402" si="108">IFERROR(B398-B397,0)</f>
        <v>-2.0000000000000018E-3</v>
      </c>
      <c r="D398" s="109">
        <f t="shared" ref="D398:D402" si="109">IF(C398&lt;0,C398,"/")</f>
        <v>-2.0000000000000018E-3</v>
      </c>
      <c r="E398" s="109">
        <f ca="1">IF(表2_36716262930345[[#This Row],[累计净值]]/MAX(INDIRECT("B21:B" &amp; ROW()))-1&lt;E397,表2_36716262930345[[#This Row],[累计净值]]/MAX(INDIRECT("B21:B" &amp; ROW()))-1,E397)</f>
        <v>-0.10977948226270373</v>
      </c>
      <c r="F398" s="110">
        <f>表2_36716262930345[[#This Row],[累计净值]]</f>
        <v>1.9019999999999999</v>
      </c>
      <c r="G398" s="20">
        <f>表2_36716262930345[[#This Row],[累计净值]]/$B$22-1</f>
        <v>0.61186440677966103</v>
      </c>
    </row>
    <row r="399" spans="1:7">
      <c r="A399" s="15">
        <v>44271</v>
      </c>
      <c r="B399" s="112">
        <v>1.911</v>
      </c>
      <c r="C399" s="108">
        <f t="shared" si="108"/>
        <v>9.000000000000119E-3</v>
      </c>
      <c r="D399" s="109" t="str">
        <f t="shared" si="109"/>
        <v>/</v>
      </c>
      <c r="E399" s="109">
        <f ca="1">IF(表2_36716262930345[[#This Row],[累计净值]]/MAX(INDIRECT("B21:B" &amp; ROW()))-1&lt;E398,表2_36716262930345[[#This Row],[累计净值]]/MAX(INDIRECT("B21:B" &amp; ROW()))-1,E398)</f>
        <v>-0.10977948226270373</v>
      </c>
      <c r="F399" s="110">
        <f>表2_36716262930345[[#This Row],[累计净值]]</f>
        <v>1.911</v>
      </c>
      <c r="G399" s="20">
        <f>表2_36716262930345[[#This Row],[累计净值]]/$B$22-1</f>
        <v>0.61949152542372898</v>
      </c>
    </row>
    <row r="400" spans="1:7">
      <c r="A400" s="15">
        <v>44272</v>
      </c>
      <c r="B400" s="112">
        <v>1.913</v>
      </c>
      <c r="C400" s="108">
        <f t="shared" si="108"/>
        <v>2.0000000000000018E-3</v>
      </c>
      <c r="D400" s="109" t="str">
        <f t="shared" si="109"/>
        <v>/</v>
      </c>
      <c r="E400" s="109">
        <f ca="1">IF(表2_36716262930345[[#This Row],[累计净值]]/MAX(INDIRECT("B21:B" &amp; ROW()))-1&lt;E399,表2_36716262930345[[#This Row],[累计净值]]/MAX(INDIRECT("B21:B" &amp; ROW()))-1,E399)</f>
        <v>-0.10977948226270373</v>
      </c>
      <c r="F400" s="110">
        <f>表2_36716262930345[[#This Row],[累计净值]]</f>
        <v>1.913</v>
      </c>
      <c r="G400" s="20">
        <f>表2_36716262930345[[#This Row],[累计净值]]/$B$22-1</f>
        <v>0.62118644067796613</v>
      </c>
    </row>
    <row r="401" spans="1:7">
      <c r="A401" s="15">
        <v>44273</v>
      </c>
      <c r="B401" s="112">
        <v>1.911</v>
      </c>
      <c r="C401" s="108">
        <f t="shared" si="108"/>
        <v>-2.0000000000000018E-3</v>
      </c>
      <c r="D401" s="109">
        <f t="shared" si="109"/>
        <v>-2.0000000000000018E-3</v>
      </c>
      <c r="E401" s="109">
        <f ca="1">IF(表2_36716262930345[[#This Row],[累计净值]]/MAX(INDIRECT("B21:B" &amp; ROW()))-1&lt;E400,表2_36716262930345[[#This Row],[累计净值]]/MAX(INDIRECT("B21:B" &amp; ROW()))-1,E400)</f>
        <v>-0.10977948226270373</v>
      </c>
      <c r="F401" s="110">
        <f>表2_36716262930345[[#This Row],[累计净值]]</f>
        <v>1.911</v>
      </c>
      <c r="G401" s="20">
        <f>表2_36716262930345[[#This Row],[累计净值]]/$B$22-1</f>
        <v>0.61949152542372898</v>
      </c>
    </row>
    <row r="402" spans="1:7">
      <c r="A402" s="15">
        <v>44274</v>
      </c>
      <c r="B402" s="112">
        <v>1.913</v>
      </c>
      <c r="C402" s="108">
        <f t="shared" si="108"/>
        <v>2.0000000000000018E-3</v>
      </c>
      <c r="D402" s="109" t="str">
        <f t="shared" si="109"/>
        <v>/</v>
      </c>
      <c r="E402" s="109">
        <f ca="1">IF(表2_36716262930345[[#This Row],[累计净值]]/MAX(INDIRECT("B21:B" &amp; ROW()))-1&lt;E401,表2_36716262930345[[#This Row],[累计净值]]/MAX(INDIRECT("B21:B" &amp; ROW()))-1,E401)</f>
        <v>-0.10977948226270373</v>
      </c>
      <c r="F402" s="110">
        <f>表2_36716262930345[[#This Row],[累计净值]]</f>
        <v>1.913</v>
      </c>
      <c r="G402" s="20">
        <f>表2_36716262930345[[#This Row],[累计净值]]/$B$22-1</f>
        <v>0.62118644067796613</v>
      </c>
    </row>
    <row r="403" spans="1:7">
      <c r="A403" s="15">
        <v>44277</v>
      </c>
      <c r="B403" s="112">
        <v>1.905</v>
      </c>
      <c r="C403" s="108">
        <f>IFERROR(B403-B402,0)</f>
        <v>-8.0000000000000071E-3</v>
      </c>
      <c r="D403" s="109">
        <f>IF(C403&lt;0,C403,"/")</f>
        <v>-8.0000000000000071E-3</v>
      </c>
      <c r="E403" s="109">
        <f ca="1">IF(表2_36716262930345[[#This Row],[累计净值]]/MAX(INDIRECT("B21:B" &amp; ROW()))-1&lt;E402,表2_36716262930345[[#This Row],[累计净值]]/MAX(INDIRECT("B21:B" &amp; ROW()))-1,E402)</f>
        <v>-0.10977948226270373</v>
      </c>
      <c r="F403" s="110">
        <f>表2_36716262930345[[#This Row],[累计净值]]</f>
        <v>1.905</v>
      </c>
      <c r="G403" s="20">
        <f>表2_36716262930345[[#This Row],[累计净值]]/$B$22-1</f>
        <v>0.61440677966101709</v>
      </c>
    </row>
    <row r="404" spans="1:7">
      <c r="A404" s="15">
        <v>44278</v>
      </c>
      <c r="B404" s="112">
        <v>1.9259999999999999</v>
      </c>
      <c r="C404" s="108">
        <f t="shared" ref="C404:C407" si="110">IFERROR(B404-B403,0)</f>
        <v>2.0999999999999908E-2</v>
      </c>
      <c r="D404" s="109" t="str">
        <f t="shared" ref="D404:D407" si="111">IF(C404&lt;0,C404,"/")</f>
        <v>/</v>
      </c>
      <c r="E404" s="109">
        <f ca="1">IF(表2_36716262930345[[#This Row],[累计净值]]/MAX(INDIRECT("B21:B" &amp; ROW()))-1&lt;E403,表2_36716262930345[[#This Row],[累计净值]]/MAX(INDIRECT("B21:B" &amp; ROW()))-1,E403)</f>
        <v>-0.10977948226270373</v>
      </c>
      <c r="F404" s="110">
        <f>表2_36716262930345[[#This Row],[累计净值]]</f>
        <v>1.9259999999999999</v>
      </c>
      <c r="G404" s="20">
        <f>表2_36716262930345[[#This Row],[累计净值]]/$B$22-1</f>
        <v>0.63220338983050861</v>
      </c>
    </row>
    <row r="405" spans="1:7">
      <c r="A405" s="15">
        <v>44279</v>
      </c>
      <c r="B405" s="112">
        <v>1.9339999999999999</v>
      </c>
      <c r="C405" s="108">
        <f t="shared" si="110"/>
        <v>8.0000000000000071E-3</v>
      </c>
      <c r="D405" s="109" t="str">
        <f t="shared" si="111"/>
        <v>/</v>
      </c>
      <c r="E405" s="109">
        <f ca="1">IF(表2_36716262930345[[#This Row],[累计净值]]/MAX(INDIRECT("B21:B" &amp; ROW()))-1&lt;E404,表2_36716262930345[[#This Row],[累计净值]]/MAX(INDIRECT("B21:B" &amp; ROW()))-1,E404)</f>
        <v>-0.10977948226270373</v>
      </c>
      <c r="F405" s="110">
        <f>表2_36716262930345[[#This Row],[累计净值]]</f>
        <v>1.9339999999999999</v>
      </c>
      <c r="G405" s="20">
        <f>表2_36716262930345[[#This Row],[累计净值]]/$B$22-1</f>
        <v>0.63898305084745766</v>
      </c>
    </row>
    <row r="406" spans="1:7">
      <c r="A406" s="15">
        <v>44280</v>
      </c>
      <c r="B406" s="112">
        <v>1.94</v>
      </c>
      <c r="C406" s="108">
        <f t="shared" si="110"/>
        <v>6.0000000000000053E-3</v>
      </c>
      <c r="D406" s="109" t="str">
        <f t="shared" si="111"/>
        <v>/</v>
      </c>
      <c r="E406" s="109">
        <f ca="1">IF(表2_36716262930345[[#This Row],[累计净值]]/MAX(INDIRECT("B21:B" &amp; ROW()))-1&lt;E405,表2_36716262930345[[#This Row],[累计净值]]/MAX(INDIRECT("B21:B" &amp; ROW()))-1,E405)</f>
        <v>-0.10977948226270373</v>
      </c>
      <c r="F406" s="110">
        <f>表2_36716262930345[[#This Row],[累计净值]]</f>
        <v>1.94</v>
      </c>
      <c r="G406" s="20">
        <f>表2_36716262930345[[#This Row],[累计净值]]/$B$22-1</f>
        <v>0.64406779661016955</v>
      </c>
    </row>
    <row r="407" spans="1:7">
      <c r="A407" s="15">
        <v>44281</v>
      </c>
      <c r="B407" s="112">
        <v>1.92</v>
      </c>
      <c r="C407" s="108">
        <f t="shared" si="110"/>
        <v>-2.0000000000000018E-2</v>
      </c>
      <c r="D407" s="109">
        <f t="shared" si="111"/>
        <v>-2.0000000000000018E-2</v>
      </c>
      <c r="E407" s="109">
        <f ca="1">IF(表2_36716262930345[[#This Row],[累计净值]]/MAX(INDIRECT("B21:B" &amp; ROW()))-1&lt;E406,表2_36716262930345[[#This Row],[累计净值]]/MAX(INDIRECT("B21:B" &amp; ROW()))-1,E406)</f>
        <v>-0.10977948226270373</v>
      </c>
      <c r="F407" s="110">
        <f>表2_36716262930345[[#This Row],[累计净值]]</f>
        <v>1.92</v>
      </c>
      <c r="G407" s="20">
        <f>表2_36716262930345[[#This Row],[累计净值]]/$B$22-1</f>
        <v>0.62711864406779672</v>
      </c>
    </row>
    <row r="408" spans="1:7">
      <c r="A408" s="15">
        <v>44284</v>
      </c>
      <c r="B408" s="112">
        <v>1.907</v>
      </c>
      <c r="C408" s="108">
        <f t="shared" ref="C408:C413" si="112">IFERROR(B408-B407,0)</f>
        <v>-1.2999999999999901E-2</v>
      </c>
      <c r="D408" s="109">
        <f t="shared" ref="D408:D413" si="113">IF(C408&lt;0,C408,"/")</f>
        <v>-1.2999999999999901E-2</v>
      </c>
      <c r="E408" s="109">
        <f ca="1">IF(表2_36716262930345[[#This Row],[累计净值]]/MAX(INDIRECT("B21:B" &amp; ROW()))-1&lt;E407,表2_36716262930345[[#This Row],[累计净值]]/MAX(INDIRECT("B21:B" &amp; ROW()))-1,E407)</f>
        <v>-0.10977948226270373</v>
      </c>
      <c r="F408" s="110">
        <f>表2_36716262930345[[#This Row],[累计净值]]</f>
        <v>1.907</v>
      </c>
      <c r="G408" s="20">
        <f>表2_36716262930345[[#This Row],[累计净值]]/$B$22-1</f>
        <v>0.61610169491525424</v>
      </c>
    </row>
    <row r="409" spans="1:7">
      <c r="A409" s="15">
        <v>44285</v>
      </c>
      <c r="B409" s="112">
        <v>1.907</v>
      </c>
      <c r="C409" s="108">
        <f t="shared" si="112"/>
        <v>0</v>
      </c>
      <c r="D409" s="109" t="str">
        <f t="shared" si="113"/>
        <v>/</v>
      </c>
      <c r="E409" s="109">
        <f ca="1">IF(表2_36716262930345[[#This Row],[累计净值]]/MAX(INDIRECT("B21:B" &amp; ROW()))-1&lt;E408,表2_36716262930345[[#This Row],[累计净值]]/MAX(INDIRECT("B21:B" &amp; ROW()))-1,E408)</f>
        <v>-0.10977948226270373</v>
      </c>
      <c r="F409" s="110">
        <f>表2_36716262930345[[#This Row],[累计净值]]</f>
        <v>1.907</v>
      </c>
      <c r="G409" s="20">
        <f>表2_36716262930345[[#This Row],[累计净值]]/$B$22-1</f>
        <v>0.61610169491525424</v>
      </c>
    </row>
    <row r="410" spans="1:7">
      <c r="A410" s="15">
        <v>44286</v>
      </c>
      <c r="B410" s="112">
        <v>1.903</v>
      </c>
      <c r="C410" s="108">
        <f t="shared" si="112"/>
        <v>-4.0000000000000036E-3</v>
      </c>
      <c r="D410" s="109">
        <f t="shared" si="113"/>
        <v>-4.0000000000000036E-3</v>
      </c>
      <c r="E410" s="109">
        <f ca="1">IF(表2_36716262930345[[#This Row],[累计净值]]/MAX(INDIRECT("B21:B" &amp; ROW()))-1&lt;E409,表2_36716262930345[[#This Row],[累计净值]]/MAX(INDIRECT("B21:B" &amp; ROW()))-1,E409)</f>
        <v>-0.10977948226270373</v>
      </c>
      <c r="F410" s="110">
        <f>表2_36716262930345[[#This Row],[累计净值]]</f>
        <v>1.903</v>
      </c>
      <c r="G410" s="20">
        <f>表2_36716262930345[[#This Row],[累计净值]]/$B$22-1</f>
        <v>0.61271186440677972</v>
      </c>
    </row>
    <row r="411" spans="1:7">
      <c r="A411" s="15">
        <v>44287</v>
      </c>
      <c r="B411" s="112">
        <v>1.901</v>
      </c>
      <c r="C411" s="108">
        <f t="shared" si="112"/>
        <v>-2.0000000000000018E-3</v>
      </c>
      <c r="D411" s="109">
        <f t="shared" si="113"/>
        <v>-2.0000000000000018E-3</v>
      </c>
      <c r="E411" s="109">
        <f ca="1">IF(表2_36716262930345[[#This Row],[累计净值]]/MAX(INDIRECT("B21:B" &amp; ROW()))-1&lt;E410,表2_36716262930345[[#This Row],[累计净值]]/MAX(INDIRECT("B21:B" &amp; ROW()))-1,E410)</f>
        <v>-0.10977948226270373</v>
      </c>
      <c r="F411" s="110">
        <f>表2_36716262930345[[#This Row],[累计净值]]</f>
        <v>1.901</v>
      </c>
      <c r="G411" s="20">
        <f>表2_36716262930345[[#This Row],[累计净值]]/$B$22-1</f>
        <v>0.61101694915254257</v>
      </c>
    </row>
    <row r="412" spans="1:7">
      <c r="A412" s="15">
        <v>44288</v>
      </c>
      <c r="B412" s="112">
        <v>1.901</v>
      </c>
      <c r="C412" s="108">
        <f t="shared" si="112"/>
        <v>0</v>
      </c>
      <c r="D412" s="109" t="str">
        <f t="shared" si="113"/>
        <v>/</v>
      </c>
      <c r="E412" s="109">
        <f ca="1">IF(表2_36716262930345[[#This Row],[累计净值]]/MAX(INDIRECT("B21:B" &amp; ROW()))-1&lt;E411,表2_36716262930345[[#This Row],[累计净值]]/MAX(INDIRECT("B21:B" &amp; ROW()))-1,E411)</f>
        <v>-0.10977948226270373</v>
      </c>
      <c r="F412" s="110">
        <f>表2_36716262930345[[#This Row],[累计净值]]</f>
        <v>1.901</v>
      </c>
      <c r="G412" s="20">
        <f>表2_36716262930345[[#This Row],[累计净值]]/$B$22-1</f>
        <v>0.61101694915254257</v>
      </c>
    </row>
    <row r="413" spans="1:7">
      <c r="A413" s="15">
        <v>44292</v>
      </c>
      <c r="B413" s="112">
        <v>1.899</v>
      </c>
      <c r="C413" s="108">
        <f t="shared" si="112"/>
        <v>-2.0000000000000018E-3</v>
      </c>
      <c r="D413" s="109">
        <f t="shared" si="113"/>
        <v>-2.0000000000000018E-3</v>
      </c>
      <c r="E413" s="109">
        <f ca="1">IF(表2_36716262930345[[#This Row],[累计净值]]/MAX(INDIRECT("B21:B" &amp; ROW()))-1&lt;E412,表2_36716262930345[[#This Row],[累计净值]]/MAX(INDIRECT("B21:B" &amp; ROW()))-1,E412)</f>
        <v>-0.10977948226270373</v>
      </c>
      <c r="F413" s="110">
        <f>表2_36716262930345[[#This Row],[累计净值]]</f>
        <v>1.899</v>
      </c>
      <c r="G413" s="20">
        <f>表2_36716262930345[[#This Row],[累计净值]]/$B$22-1</f>
        <v>0.60932203389830519</v>
      </c>
    </row>
    <row r="414" spans="1:7">
      <c r="A414" s="15">
        <v>44293</v>
      </c>
      <c r="B414" s="112">
        <v>1.897</v>
      </c>
      <c r="C414" s="108">
        <f t="shared" ref="C414:C420" si="114">IFERROR(B414-B413,0)</f>
        <v>-2.0000000000000018E-3</v>
      </c>
      <c r="D414" s="109">
        <f t="shared" ref="D414:D420" si="115">IF(C414&lt;0,C414,"/")</f>
        <v>-2.0000000000000018E-3</v>
      </c>
      <c r="E414" s="109">
        <f ca="1">IF(表2_36716262930345[[#This Row],[累计净值]]/MAX(INDIRECT("B21:B" &amp; ROW()))-1&lt;E413,表2_36716262930345[[#This Row],[累计净值]]/MAX(INDIRECT("B21:B" &amp; ROW()))-1,E413)</f>
        <v>-0.10977948226270373</v>
      </c>
      <c r="F414" s="110">
        <f>表2_36716262930345[[#This Row],[累计净值]]</f>
        <v>1.897</v>
      </c>
      <c r="G414" s="20">
        <f>表2_36716262930345[[#This Row],[累计净值]]/$B$22-1</f>
        <v>0.60762711864406782</v>
      </c>
    </row>
    <row r="415" spans="1:7">
      <c r="A415" s="15">
        <v>44294</v>
      </c>
      <c r="B415" s="112">
        <v>1.887</v>
      </c>
      <c r="C415" s="108">
        <f t="shared" si="114"/>
        <v>-1.0000000000000009E-2</v>
      </c>
      <c r="D415" s="109">
        <f t="shared" si="115"/>
        <v>-1.0000000000000009E-2</v>
      </c>
      <c r="E415" s="109">
        <f ca="1">IF(表2_36716262930345[[#This Row],[累计净值]]/MAX(INDIRECT("B21:B" &amp; ROW()))-1&lt;E414,表2_36716262930345[[#This Row],[累计净值]]/MAX(INDIRECT("B21:B" &amp; ROW()))-1,E414)</f>
        <v>-0.10977948226270373</v>
      </c>
      <c r="F415" s="110">
        <f>表2_36716262930345[[#This Row],[累计净值]]</f>
        <v>1.887</v>
      </c>
      <c r="G415" s="20">
        <f>表2_36716262930345[[#This Row],[累计净值]]/$B$22-1</f>
        <v>0.5991525423728814</v>
      </c>
    </row>
    <row r="416" spans="1:7">
      <c r="A416" s="15">
        <v>44295</v>
      </c>
      <c r="B416" s="112">
        <v>1.88</v>
      </c>
      <c r="C416" s="108">
        <f t="shared" si="114"/>
        <v>-7.0000000000001172E-3</v>
      </c>
      <c r="D416" s="109">
        <f t="shared" si="115"/>
        <v>-7.0000000000001172E-3</v>
      </c>
      <c r="E416" s="109">
        <f ca="1">IF(表2_36716262930345[[#This Row],[累计净值]]/MAX(INDIRECT("B21:B" &amp; ROW()))-1&lt;E415,表2_36716262930345[[#This Row],[累计净值]]/MAX(INDIRECT("B21:B" &amp; ROW()))-1,E415)</f>
        <v>-0.10977948226270373</v>
      </c>
      <c r="F416" s="110">
        <f>表2_36716262930345[[#This Row],[累计净值]]</f>
        <v>1.88</v>
      </c>
      <c r="G416" s="20">
        <f>表2_36716262930345[[#This Row],[累计净值]]/$B$22-1</f>
        <v>0.59322033898305082</v>
      </c>
    </row>
    <row r="417" spans="1:7">
      <c r="A417" s="15">
        <v>44298</v>
      </c>
      <c r="B417" s="112">
        <v>1.875</v>
      </c>
      <c r="C417" s="108">
        <f t="shared" si="114"/>
        <v>-4.9999999999998934E-3</v>
      </c>
      <c r="D417" s="109">
        <f t="shared" si="115"/>
        <v>-4.9999999999998934E-3</v>
      </c>
      <c r="E417" s="109">
        <f ca="1">IF(表2_36716262930345[[#This Row],[累计净值]]/MAX(INDIRECT("B21:B" &amp; ROW()))-1&lt;E416,表2_36716262930345[[#This Row],[累计净值]]/MAX(INDIRECT("B21:B" &amp; ROW()))-1,E416)</f>
        <v>-0.10977948226270373</v>
      </c>
      <c r="F417" s="110">
        <f>表2_36716262930345[[#This Row],[累计净值]]</f>
        <v>1.875</v>
      </c>
      <c r="G417" s="20">
        <f>表2_36716262930345[[#This Row],[累计净值]]/$B$22-1</f>
        <v>0.58898305084745761</v>
      </c>
    </row>
    <row r="418" spans="1:7">
      <c r="A418" s="15">
        <v>44299</v>
      </c>
      <c r="B418" s="112">
        <v>1.8839999999999999</v>
      </c>
      <c r="C418" s="108">
        <f t="shared" si="114"/>
        <v>8.999999999999897E-3</v>
      </c>
      <c r="D418" s="109" t="str">
        <f t="shared" si="115"/>
        <v>/</v>
      </c>
      <c r="E418" s="109">
        <f ca="1">IF(表2_36716262930345[[#This Row],[累计净值]]/MAX(INDIRECT("B21:B" &amp; ROW()))-1&lt;E417,表2_36716262930345[[#This Row],[累计净值]]/MAX(INDIRECT("B21:B" &amp; ROW()))-1,E417)</f>
        <v>-0.10977948226270373</v>
      </c>
      <c r="F418" s="110">
        <f>表2_36716262930345[[#This Row],[累计净值]]</f>
        <v>1.8839999999999999</v>
      </c>
      <c r="G418" s="20">
        <f>表2_36716262930345[[#This Row],[累计净值]]/$B$22-1</f>
        <v>0.59661016949152534</v>
      </c>
    </row>
    <row r="419" spans="1:7">
      <c r="A419" s="15">
        <v>44300</v>
      </c>
      <c r="B419" s="112">
        <v>1.8939999999999999</v>
      </c>
      <c r="C419" s="108">
        <f t="shared" si="114"/>
        <v>1.0000000000000009E-2</v>
      </c>
      <c r="D419" s="109" t="str">
        <f t="shared" si="115"/>
        <v>/</v>
      </c>
      <c r="E419" s="109">
        <f ca="1">IF(表2_36716262930345[[#This Row],[累计净值]]/MAX(INDIRECT("B21:B" &amp; ROW()))-1&lt;E418,表2_36716262930345[[#This Row],[累计净值]]/MAX(INDIRECT("B21:B" &amp; ROW()))-1,E418)</f>
        <v>-0.10977948226270373</v>
      </c>
      <c r="F419" s="110">
        <f>表2_36716262930345[[#This Row],[累计净值]]</f>
        <v>1.8939999999999999</v>
      </c>
      <c r="G419" s="20">
        <f>表2_36716262930345[[#This Row],[累计净值]]/$B$22-1</f>
        <v>0.60508474576271176</v>
      </c>
    </row>
    <row r="420" spans="1:7">
      <c r="A420" s="15">
        <v>44301</v>
      </c>
      <c r="B420" s="112">
        <v>1.8839999999999999</v>
      </c>
      <c r="C420" s="108">
        <f t="shared" si="114"/>
        <v>-1.0000000000000009E-2</v>
      </c>
      <c r="D420" s="109">
        <f t="shared" si="115"/>
        <v>-1.0000000000000009E-2</v>
      </c>
      <c r="E420" s="109">
        <f ca="1">IF(表2_36716262930345[[#This Row],[累计净值]]/MAX(INDIRECT("B21:B" &amp; ROW()))-1&lt;E419,表2_36716262930345[[#This Row],[累计净值]]/MAX(INDIRECT("B21:B" &amp; ROW()))-1,E419)</f>
        <v>-0.10977948226270373</v>
      </c>
      <c r="F420" s="110">
        <f>表2_36716262930345[[#This Row],[累计净值]]</f>
        <v>1.8839999999999999</v>
      </c>
      <c r="G420" s="20">
        <f>表2_36716262930345[[#This Row],[累计净值]]/$B$22-1</f>
        <v>0.59661016949152534</v>
      </c>
    </row>
    <row r="421" spans="1:7">
      <c r="A421" s="15">
        <v>44302</v>
      </c>
      <c r="B421" s="112">
        <v>1.885</v>
      </c>
      <c r="C421" s="108">
        <f t="shared" ref="C421:C426" si="116">IFERROR(B421-B420,0)</f>
        <v>1.0000000000001119E-3</v>
      </c>
      <c r="D421" s="109" t="str">
        <f t="shared" ref="D421:D426" si="117">IF(C421&lt;0,C421,"/")</f>
        <v>/</v>
      </c>
      <c r="E421" s="109">
        <f ca="1">IF(表2_36716262930345[[#This Row],[累计净值]]/MAX(INDIRECT("B21:B" &amp; ROW()))-1&lt;E420,表2_36716262930345[[#This Row],[累计净值]]/MAX(INDIRECT("B21:B" &amp; ROW()))-1,E420)</f>
        <v>-0.10977948226270373</v>
      </c>
      <c r="F421" s="110">
        <f>表2_36716262930345[[#This Row],[累计净值]]</f>
        <v>1.885</v>
      </c>
      <c r="G421" s="20">
        <f>表2_36716262930345[[#This Row],[累计净值]]/$B$22-1</f>
        <v>0.59745762711864425</v>
      </c>
    </row>
    <row r="422" spans="1:7">
      <c r="A422" s="15">
        <v>44305</v>
      </c>
      <c r="B422" s="112">
        <v>1.8979999999999999</v>
      </c>
      <c r="C422" s="108">
        <f t="shared" si="116"/>
        <v>1.2999999999999901E-2</v>
      </c>
      <c r="D422" s="109" t="str">
        <f t="shared" si="117"/>
        <v>/</v>
      </c>
      <c r="E422" s="109">
        <f ca="1">IF(表2_36716262930345[[#This Row],[累计净值]]/MAX(INDIRECT("B21:B" &amp; ROW()))-1&lt;E421,表2_36716262930345[[#This Row],[累计净值]]/MAX(INDIRECT("B21:B" &amp; ROW()))-1,E421)</f>
        <v>-0.10977948226270373</v>
      </c>
      <c r="F422" s="110">
        <f>表2_36716262930345[[#This Row],[累计净值]]</f>
        <v>1.8979999999999999</v>
      </c>
      <c r="G422" s="20">
        <f>表2_36716262930345[[#This Row],[累计净值]]/$B$22-1</f>
        <v>0.60847457627118651</v>
      </c>
    </row>
    <row r="423" spans="1:7">
      <c r="A423" s="15">
        <v>44306</v>
      </c>
      <c r="B423" s="112">
        <v>1.897</v>
      </c>
      <c r="C423" s="108">
        <f t="shared" si="116"/>
        <v>-9.9999999999988987E-4</v>
      </c>
      <c r="D423" s="109">
        <f t="shared" si="117"/>
        <v>-9.9999999999988987E-4</v>
      </c>
      <c r="E423" s="109">
        <f ca="1">IF(表2_36716262930345[[#This Row],[累计净值]]/MAX(INDIRECT("B21:B" &amp; ROW()))-1&lt;E422,表2_36716262930345[[#This Row],[累计净值]]/MAX(INDIRECT("B21:B" &amp; ROW()))-1,E422)</f>
        <v>-0.10977948226270373</v>
      </c>
      <c r="F423" s="110">
        <f>表2_36716262930345[[#This Row],[累计净值]]</f>
        <v>1.897</v>
      </c>
      <c r="G423" s="20">
        <f>表2_36716262930345[[#This Row],[累计净值]]/$B$22-1</f>
        <v>0.60762711864406782</v>
      </c>
    </row>
    <row r="424" spans="1:7">
      <c r="A424" s="15">
        <v>44307</v>
      </c>
      <c r="B424" s="112">
        <v>1.9019999999999999</v>
      </c>
      <c r="C424" s="108">
        <f t="shared" si="116"/>
        <v>4.9999999999998934E-3</v>
      </c>
      <c r="D424" s="109" t="str">
        <f t="shared" si="117"/>
        <v>/</v>
      </c>
      <c r="E424" s="109">
        <f ca="1">IF(表2_36716262930345[[#This Row],[累计净值]]/MAX(INDIRECT("B21:B" &amp; ROW()))-1&lt;E423,表2_36716262930345[[#This Row],[累计净值]]/MAX(INDIRECT("B21:B" &amp; ROW()))-1,E423)</f>
        <v>-0.10977948226270373</v>
      </c>
      <c r="F424" s="110">
        <f>表2_36716262930345[[#This Row],[累计净值]]</f>
        <v>1.9019999999999999</v>
      </c>
      <c r="G424" s="20">
        <f>表2_36716262930345[[#This Row],[累计净值]]/$B$22-1</f>
        <v>0.61186440677966103</v>
      </c>
    </row>
    <row r="425" spans="1:7">
      <c r="A425" s="15">
        <v>44308</v>
      </c>
      <c r="B425" s="112">
        <v>1.9079999999999999</v>
      </c>
      <c r="C425" s="108">
        <f t="shared" si="116"/>
        <v>6.0000000000000053E-3</v>
      </c>
      <c r="D425" s="109" t="str">
        <f t="shared" si="117"/>
        <v>/</v>
      </c>
      <c r="E425" s="109">
        <f ca="1">IF(表2_36716262930345[[#This Row],[累计净值]]/MAX(INDIRECT("B21:B" &amp; ROW()))-1&lt;E424,表2_36716262930345[[#This Row],[累计净值]]/MAX(INDIRECT("B21:B" &amp; ROW()))-1,E424)</f>
        <v>-0.10977948226270373</v>
      </c>
      <c r="F425" s="110">
        <f>表2_36716262930345[[#This Row],[累计净值]]</f>
        <v>1.9079999999999999</v>
      </c>
      <c r="G425" s="20">
        <f>表2_36716262930345[[#This Row],[累计净值]]/$B$22-1</f>
        <v>0.61694915254237293</v>
      </c>
    </row>
    <row r="426" spans="1:7">
      <c r="A426" s="15">
        <v>44309</v>
      </c>
      <c r="B426" s="112">
        <v>1.9079999999999999</v>
      </c>
      <c r="C426" s="108">
        <f t="shared" si="116"/>
        <v>0</v>
      </c>
      <c r="D426" s="109" t="str">
        <f t="shared" si="117"/>
        <v>/</v>
      </c>
      <c r="E426" s="109">
        <f ca="1">IF(表2_36716262930345[[#This Row],[累计净值]]/MAX(INDIRECT("B21:B" &amp; ROW()))-1&lt;E425,表2_36716262930345[[#This Row],[累计净值]]/MAX(INDIRECT("B21:B" &amp; ROW()))-1,E425)</f>
        <v>-0.10977948226270373</v>
      </c>
      <c r="F426" s="110">
        <f>表2_36716262930345[[#This Row],[累计净值]]</f>
        <v>1.9079999999999999</v>
      </c>
      <c r="G426" s="20">
        <f>表2_36716262930345[[#This Row],[累计净值]]/$B$22-1</f>
        <v>0.61694915254237293</v>
      </c>
    </row>
    <row r="427" spans="1:7">
      <c r="A427" s="15">
        <v>44312</v>
      </c>
      <c r="B427" s="112">
        <v>1.889</v>
      </c>
      <c r="C427" s="108">
        <f>IFERROR(B427-B426,0)</f>
        <v>-1.8999999999999906E-2</v>
      </c>
      <c r="D427" s="109">
        <f>IF(C427&lt;0,C427,"/")</f>
        <v>-1.8999999999999906E-2</v>
      </c>
      <c r="E427" s="109">
        <f ca="1">IF(表2_36716262930345[[#This Row],[累计净值]]/MAX(INDIRECT("B21:B" &amp; ROW()))-1&lt;E426,表2_36716262930345[[#This Row],[累计净值]]/MAX(INDIRECT("B21:B" &amp; ROW()))-1,E426)</f>
        <v>-0.10977948226270373</v>
      </c>
      <c r="F427" s="110">
        <f>表2_36716262930345[[#This Row],[累计净值]]</f>
        <v>1.889</v>
      </c>
      <c r="G427" s="20">
        <f>表2_36716262930345[[#This Row],[累计净值]]/$B$22-1</f>
        <v>0.60084745762711878</v>
      </c>
    </row>
    <row r="428" spans="1:7">
      <c r="A428" s="15">
        <v>44313</v>
      </c>
      <c r="B428" s="112">
        <v>1.871</v>
      </c>
      <c r="C428" s="108">
        <f>IFERROR(B428-B427,0)</f>
        <v>-1.8000000000000016E-2</v>
      </c>
      <c r="D428" s="109">
        <f>IF(C428&lt;0,C428,"/")</f>
        <v>-1.8000000000000016E-2</v>
      </c>
      <c r="E428" s="109">
        <f ca="1">IF(表2_36716262930345[[#This Row],[累计净值]]/MAX(INDIRECT("B21:B" &amp; ROW()))-1&lt;E427,表2_36716262930345[[#This Row],[累计净值]]/MAX(INDIRECT("B21:B" &amp; ROW()))-1,E427)</f>
        <v>-0.10977948226270373</v>
      </c>
      <c r="F428" s="110">
        <f>表2_36716262930345[[#This Row],[累计净值]]</f>
        <v>1.871</v>
      </c>
      <c r="G428" s="20">
        <f>表2_36716262930345[[#This Row],[累计净值]]/$B$22-1</f>
        <v>0.58559322033898309</v>
      </c>
    </row>
    <row r="429" spans="1:7">
      <c r="A429" s="15">
        <v>44314</v>
      </c>
      <c r="B429" s="112">
        <v>1.88</v>
      </c>
      <c r="C429" s="108">
        <f>IFERROR(B429-B428,0)</f>
        <v>8.999999999999897E-3</v>
      </c>
      <c r="D429" s="109" t="str">
        <f>IF(C429&lt;0,C429,"/")</f>
        <v>/</v>
      </c>
      <c r="E429" s="109">
        <f ca="1">IF(表2_36716262930345[[#This Row],[累计净值]]/MAX(INDIRECT("B21:B" &amp; ROW()))-1&lt;E428,表2_36716262930345[[#This Row],[累计净值]]/MAX(INDIRECT("B21:B" &amp; ROW()))-1,E428)</f>
        <v>-0.10977948226270373</v>
      </c>
      <c r="F429" s="110">
        <f>表2_36716262930345[[#This Row],[累计净值]]</f>
        <v>1.88</v>
      </c>
      <c r="G429" s="20">
        <f>表2_36716262930345[[#This Row],[累计净值]]/$B$22-1</f>
        <v>0.59322033898305082</v>
      </c>
    </row>
    <row r="430" spans="1:7">
      <c r="A430" s="15">
        <v>44315</v>
      </c>
      <c r="B430" s="112">
        <v>1.8939999999999999</v>
      </c>
      <c r="C430" s="108">
        <f t="shared" ref="C430:C431" si="118">IFERROR(B430-B429,0)</f>
        <v>1.4000000000000012E-2</v>
      </c>
      <c r="D430" s="109" t="str">
        <f t="shared" ref="D430:D431" si="119">IF(C430&lt;0,C430,"/")</f>
        <v>/</v>
      </c>
      <c r="E430" s="109">
        <f ca="1">IF(表2_36716262930345[[#This Row],[累计净值]]/MAX(INDIRECT("B21:B" &amp; ROW()))-1&lt;E429,表2_36716262930345[[#This Row],[累计净值]]/MAX(INDIRECT("B21:B" &amp; ROW()))-1,E429)</f>
        <v>-0.10977948226270373</v>
      </c>
      <c r="F430" s="110">
        <f>表2_36716262930345[[#This Row],[累计净值]]</f>
        <v>1.8939999999999999</v>
      </c>
      <c r="G430" s="20">
        <f>表2_36716262930345[[#This Row],[累计净值]]/$B$22-1</f>
        <v>0.60508474576271176</v>
      </c>
    </row>
    <row r="431" spans="1:7">
      <c r="A431" s="15">
        <v>44316</v>
      </c>
      <c r="B431" s="112">
        <v>1.893</v>
      </c>
      <c r="C431" s="108">
        <f t="shared" si="118"/>
        <v>-9.9999999999988987E-4</v>
      </c>
      <c r="D431" s="109">
        <f t="shared" si="119"/>
        <v>-9.9999999999988987E-4</v>
      </c>
      <c r="E431" s="109">
        <f ca="1">IF(表2_36716262930345[[#This Row],[累计净值]]/MAX(INDIRECT("B21:B" &amp; ROW()))-1&lt;E430,表2_36716262930345[[#This Row],[累计净值]]/MAX(INDIRECT("B21:B" &amp; ROW()))-1,E430)</f>
        <v>-0.10977948226270373</v>
      </c>
      <c r="F431" s="110">
        <f>表2_36716262930345[[#This Row],[累计净值]]</f>
        <v>1.893</v>
      </c>
      <c r="G431" s="20">
        <f>表2_36716262930345[[#This Row],[累计净值]]/$B$22-1</f>
        <v>0.6042372881355933</v>
      </c>
    </row>
    <row r="432" spans="1:7">
      <c r="A432" s="15">
        <v>44322</v>
      </c>
      <c r="B432" s="112">
        <v>1.9179999999999999</v>
      </c>
      <c r="C432" s="108">
        <f t="shared" ref="C432:C438" si="120">IFERROR(B432-B431,0)</f>
        <v>2.4999999999999911E-2</v>
      </c>
      <c r="D432" s="109" t="str">
        <f t="shared" ref="D432:D438" si="121">IF(C432&lt;0,C432,"/")</f>
        <v>/</v>
      </c>
      <c r="E432" s="109">
        <f ca="1">IF(表2_36716262930345[[#This Row],[累计净值]]/MAX(INDIRECT("B21:B" &amp; ROW()))-1&lt;E431,表2_36716262930345[[#This Row],[累计净值]]/MAX(INDIRECT("B21:B" &amp; ROW()))-1,E431)</f>
        <v>-0.10977948226270373</v>
      </c>
      <c r="F432" s="110">
        <f>表2_36716262930345[[#This Row],[累计净值]]</f>
        <v>1.9179999999999999</v>
      </c>
      <c r="G432" s="20">
        <f>表2_36716262930345[[#This Row],[累计净值]]/$B$22-1</f>
        <v>0.62542372881355934</v>
      </c>
    </row>
    <row r="433" spans="1:7">
      <c r="A433" s="15">
        <v>44323</v>
      </c>
      <c r="B433" s="112">
        <v>1.9319999999999999</v>
      </c>
      <c r="C433" s="108">
        <f t="shared" si="120"/>
        <v>1.4000000000000012E-2</v>
      </c>
      <c r="D433" s="109" t="str">
        <f t="shared" si="121"/>
        <v>/</v>
      </c>
      <c r="E433" s="109">
        <f ca="1">IF(表2_36716262930345[[#This Row],[累计净值]]/MAX(INDIRECT("B21:B" &amp; ROW()))-1&lt;E432,表2_36716262930345[[#This Row],[累计净值]]/MAX(INDIRECT("B21:B" &amp; ROW()))-1,E432)</f>
        <v>-0.10977948226270373</v>
      </c>
      <c r="F433" s="110">
        <f>表2_36716262930345[[#This Row],[累计净值]]</f>
        <v>1.9319999999999999</v>
      </c>
      <c r="G433" s="20">
        <f>表2_36716262930345[[#This Row],[累计净值]]/$B$22-1</f>
        <v>0.63728813559322028</v>
      </c>
    </row>
    <row r="434" spans="1:7">
      <c r="A434" s="15">
        <v>44326</v>
      </c>
      <c r="B434" s="112">
        <v>1.9370000000000001</v>
      </c>
      <c r="C434" s="108">
        <f t="shared" si="120"/>
        <v>5.0000000000001155E-3</v>
      </c>
      <c r="D434" s="109" t="str">
        <f t="shared" si="121"/>
        <v>/</v>
      </c>
      <c r="E434" s="109">
        <f ca="1">IF(表2_36716262930345[[#This Row],[累计净值]]/MAX(INDIRECT("B21:B" &amp; ROW()))-1&lt;E433,表2_36716262930345[[#This Row],[累计净值]]/MAX(INDIRECT("B21:B" &amp; ROW()))-1,E433)</f>
        <v>-0.10977948226270373</v>
      </c>
      <c r="F434" s="110">
        <f>表2_36716262930345[[#This Row],[累计净值]]</f>
        <v>1.9370000000000001</v>
      </c>
      <c r="G434" s="20">
        <f>表2_36716262930345[[#This Row],[累计净值]]/$B$22-1</f>
        <v>0.64152542372881372</v>
      </c>
    </row>
    <row r="435" spans="1:7">
      <c r="A435" s="15">
        <v>44327</v>
      </c>
      <c r="B435" s="112">
        <v>1.9419999999999999</v>
      </c>
      <c r="C435" s="108">
        <f t="shared" si="120"/>
        <v>4.9999999999998934E-3</v>
      </c>
      <c r="D435" s="109" t="str">
        <f t="shared" si="121"/>
        <v>/</v>
      </c>
      <c r="E435" s="109">
        <f ca="1">IF(表2_36716262930345[[#This Row],[累计净值]]/MAX(INDIRECT("B21:B" &amp; ROW()))-1&lt;E434,表2_36716262930345[[#This Row],[累计净值]]/MAX(INDIRECT("B21:B" &amp; ROW()))-1,E434)</f>
        <v>-0.10977948226270373</v>
      </c>
      <c r="F435" s="110">
        <f>表2_36716262930345[[#This Row],[累计净值]]</f>
        <v>1.9419999999999999</v>
      </c>
      <c r="G435" s="20">
        <f>表2_36716262930345[[#This Row],[累计净值]]/$B$22-1</f>
        <v>0.64576271186440692</v>
      </c>
    </row>
    <row r="436" spans="1:7">
      <c r="A436" s="15">
        <v>44328</v>
      </c>
      <c r="B436" s="112">
        <v>1.956</v>
      </c>
      <c r="C436" s="108">
        <f t="shared" si="120"/>
        <v>1.4000000000000012E-2</v>
      </c>
      <c r="D436" s="109" t="str">
        <f t="shared" si="121"/>
        <v>/</v>
      </c>
      <c r="E436" s="109">
        <f ca="1">IF(表2_36716262930345[[#This Row],[累计净值]]/MAX(INDIRECT("B21:B" &amp; ROW()))-1&lt;E435,表2_36716262930345[[#This Row],[累计净值]]/MAX(INDIRECT("B21:B" &amp; ROW()))-1,E435)</f>
        <v>-0.10977948226270373</v>
      </c>
      <c r="F436" s="110">
        <f>表2_36716262930345[[#This Row],[累计净值]]</f>
        <v>1.956</v>
      </c>
      <c r="G436" s="20">
        <f>表2_36716262930345[[#This Row],[累计净值]]/$B$22-1</f>
        <v>0.65762711864406787</v>
      </c>
    </row>
    <row r="437" spans="1:7">
      <c r="A437" s="15">
        <v>44329</v>
      </c>
      <c r="B437" s="112">
        <v>1.9650000000000001</v>
      </c>
      <c r="C437" s="108">
        <f t="shared" si="120"/>
        <v>9.000000000000119E-3</v>
      </c>
      <c r="D437" s="109" t="str">
        <f t="shared" si="121"/>
        <v>/</v>
      </c>
      <c r="E437" s="109">
        <f ca="1">IF(表2_36716262930345[[#This Row],[累计净值]]/MAX(INDIRECT("B21:B" &amp; ROW()))-1&lt;E436,表2_36716262930345[[#This Row],[累计净值]]/MAX(INDIRECT("B21:B" &amp; ROW()))-1,E436)</f>
        <v>-0.10977948226270373</v>
      </c>
      <c r="F437" s="110">
        <f>表2_36716262930345[[#This Row],[累计净值]]</f>
        <v>1.9650000000000001</v>
      </c>
      <c r="G437" s="20">
        <f>表2_36716262930345[[#This Row],[累计净值]]/$B$22-1</f>
        <v>0.66525423728813582</v>
      </c>
    </row>
    <row r="438" spans="1:7">
      <c r="A438" s="15">
        <v>44330</v>
      </c>
      <c r="B438" s="112">
        <v>1.9610000000000001</v>
      </c>
      <c r="C438" s="108">
        <f t="shared" si="120"/>
        <v>-4.0000000000000036E-3</v>
      </c>
      <c r="D438" s="109">
        <f t="shared" si="121"/>
        <v>-4.0000000000000036E-3</v>
      </c>
      <c r="E438" s="109">
        <f ca="1">IF(表2_36716262930345[[#This Row],[累计净值]]/MAX(INDIRECT("B21:B" &amp; ROW()))-1&lt;E437,表2_36716262930345[[#This Row],[累计净值]]/MAX(INDIRECT("B21:B" &amp; ROW()))-1,E437)</f>
        <v>-0.10977948226270373</v>
      </c>
      <c r="F438" s="110">
        <f>表2_36716262930345[[#This Row],[累计净值]]</f>
        <v>1.9610000000000001</v>
      </c>
      <c r="G438" s="20">
        <f>表2_36716262930345[[#This Row],[累计净值]]/$B$22-1</f>
        <v>0.66186440677966107</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9">
    <tabColor theme="1"/>
  </sheetPr>
  <dimension ref="A1:I325"/>
  <sheetViews>
    <sheetView workbookViewId="0">
      <pane xSplit="1" ySplit="20" topLeftCell="B311" activePane="bottomRight" state="frozen"/>
      <selection pane="topRight" activeCell="B1" sqref="B1"/>
      <selection pane="bottomLeft" activeCell="A21" sqref="A21"/>
      <selection pane="bottomRight" activeCell="I323" sqref="I32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COUNT(表2_367162629303891213[每日盈亏])</f>
        <v>305</v>
      </c>
      <c r="C2" s="27"/>
      <c r="D2" s="3" t="s">
        <v>1</v>
      </c>
      <c r="E2" s="28"/>
      <c r="F2" s="1" t="s">
        <v>2</v>
      </c>
      <c r="G2" s="400" t="s">
        <v>3</v>
      </c>
    </row>
    <row r="3" spans="1:7">
      <c r="A3" s="25" t="s">
        <v>4</v>
      </c>
      <c r="B3" s="26">
        <f>COUNTIF(表2_367162629303891213[每日盈亏],"&gt;0")</f>
        <v>169</v>
      </c>
      <c r="C3" s="29"/>
      <c r="D3" s="30" t="s">
        <v>5</v>
      </c>
      <c r="E3" s="31">
        <f>245^0.5*(B10-0.025/365)/E10</f>
        <v>0.59408206921489093</v>
      </c>
      <c r="G3" s="400"/>
    </row>
    <row r="4" spans="1:7">
      <c r="A4" s="25" t="s">
        <v>6</v>
      </c>
      <c r="B4" s="26">
        <f>COUNTIF(表2_367162629303891213[每日盈亏],"&lt;0")</f>
        <v>118</v>
      </c>
      <c r="C4" s="29"/>
      <c r="D4" s="32" t="s">
        <v>7</v>
      </c>
      <c r="E4" s="31">
        <f ca="1">-B9/E8</f>
        <v>0.66756861195391548</v>
      </c>
      <c r="G4" s="2">
        <f>LOOKUP(999^10,表2_367162629303891213[累计净值])</f>
        <v>1.0610999999999999</v>
      </c>
    </row>
    <row r="5" spans="1:7">
      <c r="A5" s="25" t="s">
        <v>8</v>
      </c>
      <c r="B5" s="26">
        <f>B2-B3-B4</f>
        <v>18</v>
      </c>
      <c r="C5" s="29"/>
      <c r="D5" s="33" t="s">
        <v>9</v>
      </c>
      <c r="E5" s="4">
        <f>245^0.5*(B10-0.025/365)/E9</f>
        <v>0.85028747488518086</v>
      </c>
    </row>
    <row r="6" spans="1:7" ht="16" thickBot="1">
      <c r="A6" s="34"/>
      <c r="B6" s="35"/>
      <c r="C6" s="35"/>
      <c r="D6" s="35"/>
      <c r="E6" s="36"/>
    </row>
    <row r="7" spans="1:7" ht="16" thickBot="1">
      <c r="A7" s="5" t="s">
        <v>10</v>
      </c>
      <c r="B7" s="35"/>
      <c r="C7" s="35"/>
      <c r="D7" s="3" t="s">
        <v>11</v>
      </c>
      <c r="E7" s="37"/>
    </row>
    <row r="8" spans="1:7">
      <c r="A8" s="38" t="s">
        <v>12</v>
      </c>
      <c r="B8" s="39">
        <f>LOOKUP(999^10,表2_367162629303891213[累计净值])/$B$21-1</f>
        <v>6.0887822435512939E-2</v>
      </c>
      <c r="C8" s="40"/>
      <c r="D8" s="30" t="s">
        <v>13</v>
      </c>
      <c r="E8" s="41">
        <f ca="1">MIN(表2_367162629303891213[最大回撤])</f>
        <v>-7.3265712733200483E-2</v>
      </c>
    </row>
    <row r="9" spans="1:7">
      <c r="A9" s="25" t="s">
        <v>14</v>
      </c>
      <c r="B9" s="32">
        <f>B8*245/B2</f>
        <v>4.8909890153116954E-2</v>
      </c>
      <c r="C9" s="40"/>
      <c r="D9" s="33" t="s">
        <v>15</v>
      </c>
      <c r="E9" s="6">
        <f>STDEV(表2_367162629303891213[下跌幅度])</f>
        <v>2.4148019150956488E-3</v>
      </c>
    </row>
    <row r="10" spans="1:7">
      <c r="A10" s="42" t="s">
        <v>16</v>
      </c>
      <c r="B10" s="43">
        <f>AVERAGE(表2_367162629303891213[每日盈亏])</f>
        <v>1.9967213114754082E-4</v>
      </c>
      <c r="C10" s="44"/>
      <c r="D10" s="33" t="s">
        <v>17</v>
      </c>
      <c r="E10" s="6">
        <f>STDEV(表2_367162629303891213[每日盈亏])</f>
        <v>3.4562157808399846E-3</v>
      </c>
    </row>
    <row r="11" spans="1:7">
      <c r="A11" s="7" t="s">
        <v>18</v>
      </c>
      <c r="B11" s="32">
        <f>B3/B2</f>
        <v>0.5540983606557377</v>
      </c>
      <c r="C11" s="40"/>
      <c r="D11" s="32" t="s">
        <v>19</v>
      </c>
      <c r="E11" s="41">
        <f>245^0.5*E10</f>
        <v>5.4098334016060047E-2</v>
      </c>
    </row>
    <row r="12" spans="1:7" ht="16" thickBot="1">
      <c r="A12" s="45" t="s">
        <v>20</v>
      </c>
      <c r="B12" s="46">
        <f>-(SUMIF(表2_367162629303891213[每日盈亏],"&gt;=0")/B3)/(SUMIF(表2_367162629303891213[每日盈亏],"&lt;0")/B4)</f>
        <v>0.82519377858974041</v>
      </c>
      <c r="C12" s="47"/>
      <c r="D12" s="48"/>
      <c r="E12" s="49"/>
    </row>
    <row r="14" spans="1:7" ht="32">
      <c r="A14" s="50" t="s">
        <v>21</v>
      </c>
      <c r="B14" s="50" t="s">
        <v>14</v>
      </c>
      <c r="C14" s="51" t="s">
        <v>19</v>
      </c>
      <c r="D14" s="51" t="s">
        <v>13</v>
      </c>
      <c r="E14" s="51" t="s">
        <v>5</v>
      </c>
      <c r="F14" s="51" t="s">
        <v>7</v>
      </c>
    </row>
    <row r="15" spans="1:7">
      <c r="A15" s="78">
        <f>B2</f>
        <v>305</v>
      </c>
      <c r="B15" s="53">
        <f>B9</f>
        <v>4.8909890153116954E-2</v>
      </c>
      <c r="C15" s="53">
        <f>E11</f>
        <v>5.4098334016060047E-2</v>
      </c>
      <c r="D15" s="53">
        <f ca="1">E8</f>
        <v>-7.3265712733200483E-2</v>
      </c>
      <c r="E15" s="54">
        <f>E3</f>
        <v>0.59408206921489093</v>
      </c>
      <c r="F15" s="54">
        <f ca="1">E4</f>
        <v>0.66756861195391548</v>
      </c>
    </row>
    <row r="19" spans="1:7">
      <c r="A19" s="8"/>
      <c r="B19" s="1" t="s">
        <v>22</v>
      </c>
    </row>
    <row r="20" spans="1:7" ht="16">
      <c r="A20" s="22" t="s">
        <v>23</v>
      </c>
      <c r="B20" s="22" t="s">
        <v>24</v>
      </c>
      <c r="C20" s="22" t="s">
        <v>25</v>
      </c>
      <c r="D20" s="22" t="s">
        <v>26</v>
      </c>
      <c r="E20" s="22" t="s">
        <v>27</v>
      </c>
      <c r="F20" s="22" t="s">
        <v>28</v>
      </c>
      <c r="G20" s="22" t="s">
        <v>29</v>
      </c>
    </row>
    <row r="21" spans="1:7">
      <c r="A21" s="15">
        <v>43822</v>
      </c>
      <c r="B21" s="16">
        <v>1.0002</v>
      </c>
      <c r="C21" s="11">
        <f>IFERROR(B21-B20,0)</f>
        <v>0</v>
      </c>
      <c r="D21" s="12" t="str">
        <f>IF(C21&lt;0,C21,"/")</f>
        <v>/</v>
      </c>
      <c r="E21" s="12">
        <f ca="1">IF(表2_367162629303891213[[#This Row],[累计净值]]/MAX(INDIRECT("B21:B" &amp; ROW()))-1&lt;E20,表2_367162629303891213[[#This Row],[累计净值]]/MAX(INDIRECT("B21:B" &amp; ROW()))-1,E20)</f>
        <v>0</v>
      </c>
      <c r="F21" s="13">
        <f>表2_367162629303891213[[#This Row],[累计净值]]</f>
        <v>1.0002</v>
      </c>
      <c r="G21" s="14" t="s">
        <v>30</v>
      </c>
    </row>
    <row r="22" spans="1:7">
      <c r="A22" s="15">
        <v>43823</v>
      </c>
      <c r="B22" s="16">
        <v>1.0002</v>
      </c>
      <c r="C22" s="17">
        <f>IFERROR(B22-B21,0)</f>
        <v>0</v>
      </c>
      <c r="D22" s="18" t="str">
        <f>IF(C22&lt;0,C22,"/")</f>
        <v>/</v>
      </c>
      <c r="E22" s="18">
        <f ca="1">IF(表2_367162629303891213[[#This Row],[累计净值]]/MAX(INDIRECT("B21:B" &amp; ROW()))-1&lt;E21,表2_367162629303891213[[#This Row],[累计净值]]/MAX(INDIRECT("B21:B" &amp; ROW()))-1,E21)</f>
        <v>0</v>
      </c>
      <c r="F22" s="19">
        <f>表2_367162629303891213[[#This Row],[累计净值]]</f>
        <v>1.0002</v>
      </c>
      <c r="G22" s="20">
        <f>表2_367162629303891213[[#This Row],[累计净值]]/$B$21-1</f>
        <v>0</v>
      </c>
    </row>
    <row r="23" spans="1:7">
      <c r="A23" s="15">
        <v>43824</v>
      </c>
      <c r="B23" s="16">
        <v>1.0002</v>
      </c>
      <c r="C23" s="73">
        <f>IFERROR(B23-B22,0)</f>
        <v>0</v>
      </c>
      <c r="D23" s="18" t="str">
        <f>IF(C23&lt;0,C23,"/")</f>
        <v>/</v>
      </c>
      <c r="E23" s="18">
        <f ca="1">IF(表2_367162629303891213[[#This Row],[累计净值]]/MAX(INDIRECT("B21:B" &amp; ROW()))-1&lt;E22,表2_367162629303891213[[#This Row],[累计净值]]/MAX(INDIRECT("B21:B" &amp; ROW()))-1,E22)</f>
        <v>0</v>
      </c>
      <c r="F23" s="62">
        <f>表2_367162629303891213[[#This Row],[累计净值]]</f>
        <v>1.0002</v>
      </c>
      <c r="G23" s="20">
        <f>表2_367162629303891213[[#This Row],[累计净值]]/$B$21-1</f>
        <v>0</v>
      </c>
    </row>
    <row r="24" spans="1:7">
      <c r="A24" s="15">
        <v>43825</v>
      </c>
      <c r="B24" s="16">
        <v>1.0003</v>
      </c>
      <c r="C24" s="73">
        <f>IFERROR(B24-B23,0)</f>
        <v>9.9999999999988987E-5</v>
      </c>
      <c r="D24" s="18" t="str">
        <f>IF(C24&lt;0,C24,"/")</f>
        <v>/</v>
      </c>
      <c r="E24" s="18">
        <f ca="1">IF(表2_367162629303891213[[#This Row],[累计净值]]/MAX(INDIRECT("B21:B" &amp; ROW()))-1&lt;E23,表2_367162629303891213[[#This Row],[累计净值]]/MAX(INDIRECT("B21:B" &amp; ROW()))-1,E23)</f>
        <v>0</v>
      </c>
      <c r="F24" s="62">
        <f>表2_367162629303891213[[#This Row],[累计净值]]</f>
        <v>1.0003</v>
      </c>
      <c r="G24" s="20">
        <f>表2_367162629303891213[[#This Row],[累计净值]]/$B$21-1</f>
        <v>9.9980003999133871E-5</v>
      </c>
    </row>
    <row r="25" spans="1:7">
      <c r="A25" s="15">
        <v>43826</v>
      </c>
      <c r="B25" s="16">
        <v>1.0003</v>
      </c>
      <c r="C25" s="73">
        <f>IFERROR(B25-B24,0)</f>
        <v>0</v>
      </c>
      <c r="D25" s="18" t="str">
        <f>IF(C25&lt;0,C25,"/")</f>
        <v>/</v>
      </c>
      <c r="E25" s="18">
        <f ca="1">IF(表2_367162629303891213[[#This Row],[累计净值]]/MAX(INDIRECT("B21:B" &amp; ROW()))-1&lt;E24,表2_367162629303891213[[#This Row],[累计净值]]/MAX(INDIRECT("B21:B" &amp; ROW()))-1,E24)</f>
        <v>0</v>
      </c>
      <c r="F25" s="62">
        <f>表2_367162629303891213[[#This Row],[累计净值]]</f>
        <v>1.0003</v>
      </c>
      <c r="G25" s="20">
        <f>表2_367162629303891213[[#This Row],[累计净值]]/$B$21-1</f>
        <v>9.9980003999133871E-5</v>
      </c>
    </row>
    <row r="26" spans="1:7">
      <c r="A26" s="15">
        <v>43829</v>
      </c>
      <c r="B26" s="16">
        <v>1.0003</v>
      </c>
      <c r="C26" s="73">
        <f t="shared" ref="C26:C31" si="0">IFERROR(B26-B25,0)</f>
        <v>0</v>
      </c>
      <c r="D26" s="18" t="str">
        <f t="shared" ref="D26:D31" si="1">IF(C26&lt;0,C26,"/")</f>
        <v>/</v>
      </c>
      <c r="E26" s="18">
        <f ca="1">IF(表2_367162629303891213[[#This Row],[累计净值]]/MAX(INDIRECT("B21:B" &amp; ROW()))-1&lt;E25,表2_367162629303891213[[#This Row],[累计净值]]/MAX(INDIRECT("B21:B" &amp; ROW()))-1,E25)</f>
        <v>0</v>
      </c>
      <c r="F26" s="62">
        <f>表2_367162629303891213[[#This Row],[累计净值]]</f>
        <v>1.0003</v>
      </c>
      <c r="G26" s="20">
        <f>表2_367162629303891213[[#This Row],[累计净值]]/$B$21-1</f>
        <v>9.9980003999133871E-5</v>
      </c>
    </row>
    <row r="27" spans="1:7">
      <c r="A27" s="15">
        <v>43830</v>
      </c>
      <c r="B27" s="16">
        <v>1.0003</v>
      </c>
      <c r="C27" s="73">
        <f t="shared" si="0"/>
        <v>0</v>
      </c>
      <c r="D27" s="18" t="str">
        <f t="shared" si="1"/>
        <v>/</v>
      </c>
      <c r="E27" s="18">
        <f ca="1">IF(表2_367162629303891213[[#This Row],[累计净值]]/MAX(INDIRECT("B21:B" &amp; ROW()))-1&lt;E26,表2_367162629303891213[[#This Row],[累计净值]]/MAX(INDIRECT("B21:B" &amp; ROW()))-1,E26)</f>
        <v>0</v>
      </c>
      <c r="F27" s="62">
        <f>表2_367162629303891213[[#This Row],[累计净值]]</f>
        <v>1.0003</v>
      </c>
      <c r="G27" s="20">
        <f>表2_367162629303891213[[#This Row],[累计净值]]/$B$21-1</f>
        <v>9.9980003999133871E-5</v>
      </c>
    </row>
    <row r="28" spans="1:7">
      <c r="A28" s="15">
        <v>43832</v>
      </c>
      <c r="B28" s="16">
        <v>0.99919999999999998</v>
      </c>
      <c r="C28" s="73">
        <f t="shared" si="0"/>
        <v>-1.0999999999999899E-3</v>
      </c>
      <c r="D28" s="18">
        <f t="shared" si="1"/>
        <v>-1.0999999999999899E-3</v>
      </c>
      <c r="E28" s="18">
        <f ca="1">IF(表2_367162629303891213[[#This Row],[累计净值]]/MAX(INDIRECT("B21:B" &amp; ROW()))-1&lt;E27,表2_367162629303891213[[#This Row],[累计净值]]/MAX(INDIRECT("B21:B" &amp; ROW()))-1,E27)</f>
        <v>-1.0996700989702735E-3</v>
      </c>
      <c r="F28" s="62">
        <f>表2_367162629303891213[[#This Row],[累计净值]]</f>
        <v>0.99919999999999998</v>
      </c>
      <c r="G28" s="20">
        <f>表2_367162629303891213[[#This Row],[累计净值]]/$B$21-1</f>
        <v>-9.9980003999200484E-4</v>
      </c>
    </row>
    <row r="29" spans="1:7">
      <c r="A29" s="15">
        <v>43833</v>
      </c>
      <c r="B29" s="16">
        <v>1.0017</v>
      </c>
      <c r="C29" s="73">
        <f t="shared" si="0"/>
        <v>2.5000000000000577E-3</v>
      </c>
      <c r="D29" s="18" t="str">
        <f t="shared" si="1"/>
        <v>/</v>
      </c>
      <c r="E29" s="18">
        <f ca="1">IF(表2_367162629303891213[[#This Row],[累计净值]]/MAX(INDIRECT("B21:B" &amp; ROW()))-1&lt;E28,表2_367162629303891213[[#This Row],[累计净值]]/MAX(INDIRECT("B21:B" &amp; ROW()))-1,E28)</f>
        <v>-1.0996700989702735E-3</v>
      </c>
      <c r="F29" s="62">
        <f>表2_367162629303891213[[#This Row],[累计净值]]</f>
        <v>1.0017</v>
      </c>
      <c r="G29" s="20">
        <f>表2_367162629303891213[[#This Row],[累计净值]]/$B$21-1</f>
        <v>1.4997000599881183E-3</v>
      </c>
    </row>
    <row r="30" spans="1:7">
      <c r="A30" s="15">
        <v>43836</v>
      </c>
      <c r="B30" s="16">
        <v>1.0026999999999999</v>
      </c>
      <c r="C30" s="73">
        <f t="shared" si="0"/>
        <v>9.9999999999988987E-4</v>
      </c>
      <c r="D30" s="18" t="str">
        <f t="shared" si="1"/>
        <v>/</v>
      </c>
      <c r="E30" s="18">
        <f ca="1">IF(表2_367162629303891213[[#This Row],[累计净值]]/MAX(INDIRECT("B21:B" &amp; ROW()))-1&lt;E29,表2_367162629303891213[[#This Row],[累计净值]]/MAX(INDIRECT("B21:B" &amp; ROW()))-1,E29)</f>
        <v>-1.0996700989702735E-3</v>
      </c>
      <c r="F30" s="62">
        <f>表2_367162629303891213[[#This Row],[累计净值]]</f>
        <v>1.0026999999999999</v>
      </c>
      <c r="G30" s="20">
        <f>表2_367162629303891213[[#This Row],[累计净值]]/$B$21-1</f>
        <v>2.4995000999799011E-3</v>
      </c>
    </row>
    <row r="31" spans="1:7">
      <c r="A31" s="15">
        <v>43837</v>
      </c>
      <c r="B31" s="16">
        <v>0.99909999999999999</v>
      </c>
      <c r="C31" s="73">
        <f t="shared" si="0"/>
        <v>-3.5999999999999366E-3</v>
      </c>
      <c r="D31" s="18">
        <f t="shared" si="1"/>
        <v>-3.5999999999999366E-3</v>
      </c>
      <c r="E31" s="18">
        <f ca="1">IF(表2_367162629303891213[[#This Row],[累计净值]]/MAX(INDIRECT("B21:B" &amp; ROW()))-1&lt;E30,表2_367162629303891213[[#This Row],[累计净值]]/MAX(INDIRECT("B21:B" &amp; ROW()))-1,E30)</f>
        <v>-3.5903061733318919E-3</v>
      </c>
      <c r="F31" s="62">
        <f>表2_367162629303891213[[#This Row],[累计净值]]</f>
        <v>0.99909999999999999</v>
      </c>
      <c r="G31" s="20">
        <f>表2_367162629303891213[[#This Row],[累计净值]]/$B$21-1</f>
        <v>-1.0997800439911387E-3</v>
      </c>
    </row>
    <row r="32" spans="1:7">
      <c r="A32" s="15">
        <v>43838</v>
      </c>
      <c r="B32" s="16">
        <v>0.99970000000000003</v>
      </c>
      <c r="C32" s="73">
        <f t="shared" ref="C32:C37" si="2">IFERROR(B32-B31,0)</f>
        <v>6.0000000000004494E-4</v>
      </c>
      <c r="D32" s="18" t="str">
        <f t="shared" ref="D32:D37" si="3">IF(C32&lt;0,C32,"/")</f>
        <v>/</v>
      </c>
      <c r="E32" s="18">
        <f ca="1">IF(表2_367162629303891213[[#This Row],[累计净值]]/MAX(INDIRECT("B21:B" &amp; ROW()))-1&lt;E31,表2_367162629303891213[[#This Row],[累计净值]]/MAX(INDIRECT("B21:B" &amp; ROW()))-1,E31)</f>
        <v>-3.5903061733318919E-3</v>
      </c>
      <c r="F32" s="62">
        <f>表2_367162629303891213[[#This Row],[累计净值]]</f>
        <v>0.99970000000000003</v>
      </c>
      <c r="G32" s="20">
        <f>表2_367162629303891213[[#This Row],[累计净值]]/$B$21-1</f>
        <v>-4.999000199958914E-4</v>
      </c>
    </row>
    <row r="33" spans="1:7">
      <c r="A33" s="15">
        <v>43839</v>
      </c>
      <c r="B33" s="16">
        <v>1.0059</v>
      </c>
      <c r="C33" s="73">
        <f t="shared" si="2"/>
        <v>6.1999999999999833E-3</v>
      </c>
      <c r="D33" s="18" t="str">
        <f t="shared" si="3"/>
        <v>/</v>
      </c>
      <c r="E33" s="18">
        <f ca="1">IF(表2_367162629303891213[[#This Row],[累计净值]]/MAX(INDIRECT("B21:B" &amp; ROW()))-1&lt;E32,表2_367162629303891213[[#This Row],[累计净值]]/MAX(INDIRECT("B21:B" &amp; ROW()))-1,E32)</f>
        <v>-3.5903061733318919E-3</v>
      </c>
      <c r="F33" s="62">
        <f>表2_367162629303891213[[#This Row],[累计净值]]</f>
        <v>1.0059</v>
      </c>
      <c r="G33" s="20">
        <f>表2_367162629303891213[[#This Row],[累计净值]]/$B$21-1</f>
        <v>5.6988602279544054E-3</v>
      </c>
    </row>
    <row r="34" spans="1:7">
      <c r="A34" s="15">
        <v>43840</v>
      </c>
      <c r="B34" s="16">
        <v>1.0085</v>
      </c>
      <c r="C34" s="73">
        <f t="shared" si="2"/>
        <v>2.5999999999999357E-3</v>
      </c>
      <c r="D34" s="18" t="str">
        <f t="shared" si="3"/>
        <v>/</v>
      </c>
      <c r="E34" s="18">
        <f ca="1">IF(表2_367162629303891213[[#This Row],[累计净值]]/MAX(INDIRECT("B21:B" &amp; ROW()))-1&lt;E33,表2_367162629303891213[[#This Row],[累计净值]]/MAX(INDIRECT("B21:B" &amp; ROW()))-1,E33)</f>
        <v>-3.5903061733318919E-3</v>
      </c>
      <c r="F34" s="62">
        <f>表2_367162629303891213[[#This Row],[累计净值]]</f>
        <v>1.0085</v>
      </c>
      <c r="G34" s="20">
        <f>表2_367162629303891213[[#This Row],[累计净值]]/$B$21-1</f>
        <v>8.2983403319336624E-3</v>
      </c>
    </row>
    <row r="35" spans="1:7">
      <c r="A35" s="15">
        <v>43843</v>
      </c>
      <c r="B35" s="16">
        <v>1.0109999999999999</v>
      </c>
      <c r="C35" s="73">
        <f t="shared" si="2"/>
        <v>2.4999999999999467E-3</v>
      </c>
      <c r="D35" s="18" t="str">
        <f t="shared" si="3"/>
        <v>/</v>
      </c>
      <c r="E35" s="18">
        <f ca="1">IF(表2_367162629303891213[[#This Row],[累计净值]]/MAX(INDIRECT("B21:B" &amp; ROW()))-1&lt;E34,表2_367162629303891213[[#This Row],[累计净值]]/MAX(INDIRECT("B21:B" &amp; ROW()))-1,E34)</f>
        <v>-3.5903061733318919E-3</v>
      </c>
      <c r="F35" s="62">
        <f>表2_367162629303891213[[#This Row],[累计净值]]</f>
        <v>1.0109999999999999</v>
      </c>
      <c r="G35" s="20">
        <f>表2_367162629303891213[[#This Row],[累计净值]]/$B$21-1</f>
        <v>1.0797840431913563E-2</v>
      </c>
    </row>
    <row r="36" spans="1:7">
      <c r="A36" s="15">
        <v>43844</v>
      </c>
      <c r="B36" s="16">
        <v>1.0077</v>
      </c>
      <c r="C36" s="73">
        <f t="shared" si="2"/>
        <v>-3.2999999999998586E-3</v>
      </c>
      <c r="D36" s="18">
        <f t="shared" si="3"/>
        <v>-3.2999999999998586E-3</v>
      </c>
      <c r="E36" s="18">
        <f ca="1">IF(表2_367162629303891213[[#This Row],[累计净值]]/MAX(INDIRECT("B21:B" &amp; ROW()))-1&lt;E35,表2_367162629303891213[[#This Row],[累计净值]]/MAX(INDIRECT("B21:B" &amp; ROW()))-1,E35)</f>
        <v>-3.5903061733318919E-3</v>
      </c>
      <c r="F36" s="62">
        <f>表2_367162629303891213[[#This Row],[累计净值]]</f>
        <v>1.0077</v>
      </c>
      <c r="G36" s="20">
        <f>表2_367162629303891213[[#This Row],[累计净值]]/$B$21-1</f>
        <v>7.4985002999401473E-3</v>
      </c>
    </row>
    <row r="37" spans="1:7">
      <c r="A37" s="15">
        <v>43845</v>
      </c>
      <c r="B37" s="16">
        <v>1.0097</v>
      </c>
      <c r="C37" s="73">
        <f t="shared" si="2"/>
        <v>2.0000000000000018E-3</v>
      </c>
      <c r="D37" s="18" t="str">
        <f t="shared" si="3"/>
        <v>/</v>
      </c>
      <c r="E37" s="18">
        <f ca="1">IF(表2_367162629303891213[[#This Row],[累计净值]]/MAX(INDIRECT("B21:B" &amp; ROW()))-1&lt;E36,表2_367162629303891213[[#This Row],[累计净值]]/MAX(INDIRECT("B21:B" &amp; ROW()))-1,E36)</f>
        <v>-3.5903061733318919E-3</v>
      </c>
      <c r="F37" s="62">
        <f>表2_367162629303891213[[#This Row],[累计净值]]</f>
        <v>1.0097</v>
      </c>
      <c r="G37" s="20">
        <f>表2_367162629303891213[[#This Row],[累计净值]]/$B$21-1</f>
        <v>9.498100379924157E-3</v>
      </c>
    </row>
    <row r="38" spans="1:7">
      <c r="A38" s="15">
        <v>43846</v>
      </c>
      <c r="B38" s="16">
        <v>1.0061</v>
      </c>
      <c r="C38" s="73">
        <f t="shared" ref="C38:C46" si="4">IFERROR(B38-B37,0)</f>
        <v>-3.6000000000000476E-3</v>
      </c>
      <c r="D38" s="18">
        <f t="shared" ref="D38:D46" si="5">IF(C38&lt;0,C38,"/")</f>
        <v>-3.6000000000000476E-3</v>
      </c>
      <c r="E38" s="18">
        <f ca="1">IF(表2_367162629303891213[[#This Row],[累计净值]]/MAX(INDIRECT("B21:B" &amp; ROW()))-1&lt;E37,表2_367162629303891213[[#This Row],[累计净值]]/MAX(INDIRECT("B21:B" &amp; ROW()))-1,E37)</f>
        <v>-4.8466864490602779E-3</v>
      </c>
      <c r="F38" s="62">
        <f>表2_367162629303891213[[#This Row],[累计净值]]</f>
        <v>1.0061</v>
      </c>
      <c r="G38" s="20">
        <f>表2_367162629303891213[[#This Row],[累计净值]]/$B$21-1</f>
        <v>5.8988202359528952E-3</v>
      </c>
    </row>
    <row r="39" spans="1:7">
      <c r="A39" s="15">
        <v>43847</v>
      </c>
      <c r="B39" s="16">
        <v>1.0071000000000001</v>
      </c>
      <c r="C39" s="73">
        <f t="shared" si="4"/>
        <v>1.0000000000001119E-3</v>
      </c>
      <c r="D39" s="18" t="str">
        <f t="shared" si="5"/>
        <v>/</v>
      </c>
      <c r="E39" s="18">
        <f ca="1">IF(表2_367162629303891213[[#This Row],[累计净值]]/MAX(INDIRECT("B21:B" &amp; ROW()))-1&lt;E38,表2_367162629303891213[[#This Row],[累计净值]]/MAX(INDIRECT("B21:B" &amp; ROW()))-1,E38)</f>
        <v>-4.8466864490602779E-3</v>
      </c>
      <c r="F39" s="62">
        <f>表2_367162629303891213[[#This Row],[累计净值]]</f>
        <v>1.0071000000000001</v>
      </c>
      <c r="G39" s="20">
        <f>表2_367162629303891213[[#This Row],[累计净值]]/$B$21-1</f>
        <v>6.8986202759449E-3</v>
      </c>
    </row>
    <row r="40" spans="1:7">
      <c r="A40" s="15">
        <v>43850</v>
      </c>
      <c r="B40" s="16">
        <v>1.0091000000000001</v>
      </c>
      <c r="C40" s="73">
        <f t="shared" si="4"/>
        <v>2.0000000000000018E-3</v>
      </c>
      <c r="D40" s="18" t="str">
        <f t="shared" si="5"/>
        <v>/</v>
      </c>
      <c r="E40" s="18">
        <f ca="1">IF(表2_367162629303891213[[#This Row],[累计净值]]/MAX(INDIRECT("B21:B" &amp; ROW()))-1&lt;E39,表2_367162629303891213[[#This Row],[累计净值]]/MAX(INDIRECT("B21:B" &amp; ROW()))-1,E39)</f>
        <v>-4.8466864490602779E-3</v>
      </c>
      <c r="F40" s="62">
        <f>表2_367162629303891213[[#This Row],[累计净值]]</f>
        <v>1.0091000000000001</v>
      </c>
      <c r="G40" s="20">
        <f>表2_367162629303891213[[#This Row],[累计净值]]/$B$21-1</f>
        <v>8.8982203559289097E-3</v>
      </c>
    </row>
    <row r="41" spans="1:7">
      <c r="A41" s="15">
        <v>43851</v>
      </c>
      <c r="B41" s="16">
        <v>1.0091000000000001</v>
      </c>
      <c r="C41" s="73">
        <f t="shared" si="4"/>
        <v>0</v>
      </c>
      <c r="D41" s="18" t="str">
        <f t="shared" si="5"/>
        <v>/</v>
      </c>
      <c r="E41" s="18">
        <f ca="1">IF(表2_367162629303891213[[#This Row],[累计净值]]/MAX(INDIRECT("B21:B" &amp; ROW()))-1&lt;E40,表2_367162629303891213[[#This Row],[累计净值]]/MAX(INDIRECT("B21:B" &amp; ROW()))-1,E40)</f>
        <v>-4.8466864490602779E-3</v>
      </c>
      <c r="F41" s="62">
        <f>表2_367162629303891213[[#This Row],[累计净值]]</f>
        <v>1.0091000000000001</v>
      </c>
      <c r="G41" s="20">
        <f>表2_367162629303891213[[#This Row],[累计净值]]/$B$21-1</f>
        <v>8.8982203559289097E-3</v>
      </c>
    </row>
    <row r="42" spans="1:7">
      <c r="A42" s="15">
        <v>43852</v>
      </c>
      <c r="B42" s="16">
        <v>1.004</v>
      </c>
      <c r="C42" s="73">
        <f t="shared" si="4"/>
        <v>-5.1000000000001044E-3</v>
      </c>
      <c r="D42" s="18">
        <f t="shared" si="5"/>
        <v>-5.1000000000001044E-3</v>
      </c>
      <c r="E42" s="18">
        <f ca="1">IF(表2_367162629303891213[[#This Row],[累计净值]]/MAX(INDIRECT("B21:B" &amp; ROW()))-1&lt;E41,表2_367162629303891213[[#This Row],[累计净值]]/MAX(INDIRECT("B21:B" &amp; ROW()))-1,E41)</f>
        <v>-6.923837784371778E-3</v>
      </c>
      <c r="F42" s="62">
        <f>表2_367162629303891213[[#This Row],[累计净值]]</f>
        <v>1.004</v>
      </c>
      <c r="G42" s="20">
        <f>表2_367162629303891213[[#This Row],[累计净值]]/$B$21-1</f>
        <v>3.7992401519695296E-3</v>
      </c>
    </row>
    <row r="43" spans="1:7">
      <c r="A43" s="15">
        <v>43853</v>
      </c>
      <c r="B43" s="16">
        <v>1.0053000000000001</v>
      </c>
      <c r="C43" s="73">
        <f t="shared" si="4"/>
        <v>1.3000000000000789E-3</v>
      </c>
      <c r="D43" s="18" t="str">
        <f t="shared" si="5"/>
        <v>/</v>
      </c>
      <c r="E43" s="18">
        <f ca="1">IF(表2_367162629303891213[[#This Row],[累计净值]]/MAX(INDIRECT("B21:B" &amp; ROW()))-1&lt;E42,表2_367162629303891213[[#This Row],[累计净值]]/MAX(INDIRECT("B21:B" &amp; ROW()))-1,E42)</f>
        <v>-6.923837784371778E-3</v>
      </c>
      <c r="F43" s="62">
        <f>表2_367162629303891213[[#This Row],[累计净值]]</f>
        <v>1.0053000000000001</v>
      </c>
      <c r="G43" s="20">
        <f>表2_367162629303891213[[#This Row],[累计净值]]/$B$21-1</f>
        <v>5.0989802039593801E-3</v>
      </c>
    </row>
    <row r="44" spans="1:7">
      <c r="A44" s="15">
        <v>43864</v>
      </c>
      <c r="B44" s="16">
        <v>1.0079</v>
      </c>
      <c r="C44" s="73">
        <f t="shared" si="4"/>
        <v>2.5999999999999357E-3</v>
      </c>
      <c r="D44" s="18" t="str">
        <f t="shared" si="5"/>
        <v>/</v>
      </c>
      <c r="E44" s="18">
        <f ca="1">IF(表2_367162629303891213[[#This Row],[累计净值]]/MAX(INDIRECT("B21:B" &amp; ROW()))-1&lt;E43,表2_367162629303891213[[#This Row],[累计净值]]/MAX(INDIRECT("B21:B" &amp; ROW()))-1,E43)</f>
        <v>-6.923837784371778E-3</v>
      </c>
      <c r="F44" s="62">
        <f>表2_367162629303891213[[#This Row],[累计净值]]</f>
        <v>1.0079</v>
      </c>
      <c r="G44" s="20">
        <f>表2_367162629303891213[[#This Row],[累计净值]]/$B$21-1</f>
        <v>7.6984603079384151E-3</v>
      </c>
    </row>
    <row r="45" spans="1:7">
      <c r="A45" s="15">
        <v>43865</v>
      </c>
      <c r="B45" s="16">
        <v>0.99880000000000002</v>
      </c>
      <c r="C45" s="73">
        <f t="shared" si="4"/>
        <v>-9.099999999999997E-3</v>
      </c>
      <c r="D45" s="18">
        <f t="shared" si="5"/>
        <v>-9.099999999999997E-3</v>
      </c>
      <c r="E45" s="18">
        <f ca="1">IF(表2_367162629303891213[[#This Row],[累计净值]]/MAX(INDIRECT("B21:B" &amp; ROW()))-1&lt;E44,表2_367162629303891213[[#This Row],[累计净值]]/MAX(INDIRECT("B21:B" &amp; ROW()))-1,E44)</f>
        <v>-1.2067260138476588E-2</v>
      </c>
      <c r="F45" s="62">
        <f>表2_367162629303891213[[#This Row],[累计净值]]</f>
        <v>0.99880000000000002</v>
      </c>
      <c r="G45" s="20">
        <f>表2_367162629303891213[[#This Row],[累计净值]]/$B$21-1</f>
        <v>-1.3997200559887624E-3</v>
      </c>
    </row>
    <row r="46" spans="1:7">
      <c r="A46" s="15">
        <v>43866</v>
      </c>
      <c r="B46" s="16">
        <v>0.99939999999999996</v>
      </c>
      <c r="C46" s="73">
        <f t="shared" si="4"/>
        <v>5.9999999999993392E-4</v>
      </c>
      <c r="D46" s="18" t="str">
        <f t="shared" si="5"/>
        <v>/</v>
      </c>
      <c r="E46" s="18">
        <f ca="1">IF(表2_367162629303891213[[#This Row],[累计净值]]/MAX(INDIRECT("B21:B" &amp; ROW()))-1&lt;E45,表2_367162629303891213[[#This Row],[累计净值]]/MAX(INDIRECT("B21:B" &amp; ROW()))-1,E45)</f>
        <v>-1.2067260138476588E-2</v>
      </c>
      <c r="F46" s="62">
        <f>表2_367162629303891213[[#This Row],[累计净值]]</f>
        <v>0.99939999999999996</v>
      </c>
      <c r="G46" s="20">
        <f>表2_367162629303891213[[#This Row],[累计净值]]/$B$21-1</f>
        <v>-7.9984003199362608E-4</v>
      </c>
    </row>
    <row r="47" spans="1:7">
      <c r="A47" s="15">
        <v>43867</v>
      </c>
      <c r="B47" s="16">
        <v>0.996</v>
      </c>
      <c r="C47" s="73">
        <f t="shared" ref="C47:C52" si="6">IFERROR(B47-B46,0)</f>
        <v>-3.3999999999999586E-3</v>
      </c>
      <c r="D47" s="18">
        <f t="shared" ref="D47:D52" si="7">IF(C47&lt;0,C47,"/")</f>
        <v>-3.3999999999999586E-3</v>
      </c>
      <c r="E47" s="18">
        <f ca="1">IF(表2_367162629303891213[[#This Row],[累计净值]]/MAX(INDIRECT("B21:B" &amp; ROW()))-1&lt;E46,表2_367162629303891213[[#This Row],[累计净值]]/MAX(INDIRECT("B21:B" &amp; ROW()))-1,E46)</f>
        <v>-1.4836795252225476E-2</v>
      </c>
      <c r="F47" s="62">
        <f>表2_367162629303891213[[#This Row],[累计净值]]</f>
        <v>0.996</v>
      </c>
      <c r="G47" s="20">
        <f>表2_367162629303891213[[#This Row],[累计净值]]/$B$21-1</f>
        <v>-4.1991601679663981E-3</v>
      </c>
    </row>
    <row r="48" spans="1:7">
      <c r="A48" s="15">
        <v>43868</v>
      </c>
      <c r="B48" s="16">
        <v>0.99219999999999997</v>
      </c>
      <c r="C48" s="73">
        <f t="shared" si="6"/>
        <v>-3.8000000000000256E-3</v>
      </c>
      <c r="D48" s="18">
        <f t="shared" si="7"/>
        <v>-3.8000000000000256E-3</v>
      </c>
      <c r="E48" s="18">
        <f ca="1">IF(表2_367162629303891213[[#This Row],[累计净值]]/MAX(INDIRECT("B21:B" &amp; ROW()))-1&lt;E47,表2_367162629303891213[[#This Row],[累计净值]]/MAX(INDIRECT("B21:B" &amp; ROW()))-1,E47)</f>
        <v>-1.8595450049455953E-2</v>
      </c>
      <c r="F48" s="62">
        <f>表2_367162629303891213[[#This Row],[累计净值]]</f>
        <v>0.99219999999999997</v>
      </c>
      <c r="G48" s="20">
        <f>表2_367162629303891213[[#This Row],[累计净值]]/$B$21-1</f>
        <v>-7.9984003199360387E-3</v>
      </c>
    </row>
    <row r="49" spans="1:7">
      <c r="A49" s="15">
        <v>43871</v>
      </c>
      <c r="B49" s="16">
        <v>0.99660000000000004</v>
      </c>
      <c r="C49" s="73">
        <f t="shared" si="6"/>
        <v>4.4000000000000705E-3</v>
      </c>
      <c r="D49" s="18" t="str">
        <f t="shared" si="7"/>
        <v>/</v>
      </c>
      <c r="E49" s="18">
        <f ca="1">IF(表2_367162629303891213[[#This Row],[累计净值]]/MAX(INDIRECT("B21:B" &amp; ROW()))-1&lt;E48,表2_367162629303891213[[#This Row],[累计净值]]/MAX(INDIRECT("B21:B" &amp; ROW()))-1,E48)</f>
        <v>-1.8595450049455953E-2</v>
      </c>
      <c r="F49" s="62">
        <f>表2_367162629303891213[[#This Row],[累计净值]]</f>
        <v>0.99660000000000004</v>
      </c>
      <c r="G49" s="20">
        <f>表2_367162629303891213[[#This Row],[累计净值]]/$B$21-1</f>
        <v>-3.5992801439711508E-3</v>
      </c>
    </row>
    <row r="50" spans="1:7">
      <c r="A50" s="15">
        <v>43872</v>
      </c>
      <c r="B50" s="16">
        <v>0.99680000000000002</v>
      </c>
      <c r="C50" s="73">
        <f t="shared" si="6"/>
        <v>1.9999999999997797E-4</v>
      </c>
      <c r="D50" s="18" t="str">
        <f t="shared" si="7"/>
        <v>/</v>
      </c>
      <c r="E50" s="18">
        <f ca="1">IF(表2_367162629303891213[[#This Row],[累计净值]]/MAX(INDIRECT("B21:B" &amp; ROW()))-1&lt;E49,表2_367162629303891213[[#This Row],[累计净值]]/MAX(INDIRECT("B21:B" &amp; ROW()))-1,E49)</f>
        <v>-1.8595450049455953E-2</v>
      </c>
      <c r="F50" s="62">
        <f>表2_367162629303891213[[#This Row],[累计净值]]</f>
        <v>0.99680000000000002</v>
      </c>
      <c r="G50" s="20">
        <f>表2_367162629303891213[[#This Row],[累计净值]]/$B$21-1</f>
        <v>-3.3993201359727721E-3</v>
      </c>
    </row>
    <row r="51" spans="1:7">
      <c r="A51" s="15">
        <v>43873</v>
      </c>
      <c r="B51" s="16">
        <v>0.99690000000000001</v>
      </c>
      <c r="C51" s="73">
        <f t="shared" si="6"/>
        <v>9.9999999999988987E-5</v>
      </c>
      <c r="D51" s="18" t="str">
        <f t="shared" si="7"/>
        <v>/</v>
      </c>
      <c r="E51" s="18">
        <f ca="1">IF(表2_367162629303891213[[#This Row],[累计净值]]/MAX(INDIRECT("B21:B" &amp; ROW()))-1&lt;E50,表2_367162629303891213[[#This Row],[累计净值]]/MAX(INDIRECT("B21:B" &amp; ROW()))-1,E50)</f>
        <v>-1.8595450049455953E-2</v>
      </c>
      <c r="F51" s="62">
        <f>表2_367162629303891213[[#This Row],[累计净值]]</f>
        <v>0.99690000000000001</v>
      </c>
      <c r="G51" s="20">
        <f>表2_367162629303891213[[#This Row],[累计净值]]/$B$21-1</f>
        <v>-3.2993401319735272E-3</v>
      </c>
    </row>
    <row r="52" spans="1:7">
      <c r="A52" s="15">
        <v>43874</v>
      </c>
      <c r="B52" s="16">
        <v>0.998</v>
      </c>
      <c r="C52" s="73">
        <f t="shared" si="6"/>
        <v>1.0999999999999899E-3</v>
      </c>
      <c r="D52" s="18" t="str">
        <f t="shared" si="7"/>
        <v>/</v>
      </c>
      <c r="E52" s="18">
        <f ca="1">IF(表2_367162629303891213[[#This Row],[累计净值]]/MAX(INDIRECT("B21:B" &amp; ROW()))-1&lt;E51,表2_367162629303891213[[#This Row],[累计净值]]/MAX(INDIRECT("B21:B" &amp; ROW()))-1,E51)</f>
        <v>-1.8595450049455953E-2</v>
      </c>
      <c r="F52" s="62">
        <f>表2_367162629303891213[[#This Row],[累计净值]]</f>
        <v>0.998</v>
      </c>
      <c r="G52" s="20">
        <f>表2_367162629303891213[[#This Row],[累计净值]]/$B$21-1</f>
        <v>-2.1995600879823884E-3</v>
      </c>
    </row>
    <row r="53" spans="1:7">
      <c r="A53" s="15">
        <v>43875</v>
      </c>
      <c r="B53" s="16">
        <v>1.0005999999999999</v>
      </c>
      <c r="C53" s="73">
        <f t="shared" ref="C53:C58" si="8">IFERROR(B53-B52,0)</f>
        <v>2.5999999999999357E-3</v>
      </c>
      <c r="D53" s="18" t="str">
        <f t="shared" ref="D53:D58" si="9">IF(C53&lt;0,C53,"/")</f>
        <v>/</v>
      </c>
      <c r="E53" s="18">
        <f ca="1">IF(表2_367162629303891213[[#This Row],[累计净值]]/MAX(INDIRECT("B21:B" &amp; ROW()))-1&lt;E52,表2_367162629303891213[[#This Row],[累计净值]]/MAX(INDIRECT("B21:B" &amp; ROW()))-1,E52)</f>
        <v>-1.8595450049455953E-2</v>
      </c>
      <c r="F53" s="62">
        <f>表2_367162629303891213[[#This Row],[累计净值]]</f>
        <v>1.0005999999999999</v>
      </c>
      <c r="G53" s="20">
        <f>表2_367162629303891213[[#This Row],[累计净值]]/$B$21-1</f>
        <v>3.9992001599675753E-4</v>
      </c>
    </row>
    <row r="54" spans="1:7">
      <c r="A54" s="15">
        <v>43878</v>
      </c>
      <c r="B54" s="16">
        <v>1.0001</v>
      </c>
      <c r="C54" s="73">
        <f t="shared" si="8"/>
        <v>-4.9999999999994493E-4</v>
      </c>
      <c r="D54" s="18">
        <f t="shared" si="9"/>
        <v>-4.9999999999994493E-4</v>
      </c>
      <c r="E54" s="18">
        <f ca="1">IF(表2_367162629303891213[[#This Row],[累计净值]]/MAX(INDIRECT("B21:B" &amp; ROW()))-1&lt;E53,表2_367162629303891213[[#This Row],[累计净值]]/MAX(INDIRECT("B21:B" &amp; ROW()))-1,E53)</f>
        <v>-1.8595450049455953E-2</v>
      </c>
      <c r="F54" s="62">
        <f>表2_367162629303891213[[#This Row],[累计净值]]</f>
        <v>1.0001</v>
      </c>
      <c r="G54" s="20">
        <f>表2_367162629303891213[[#This Row],[累计净值]]/$B$21-1</f>
        <v>-9.9980003999133871E-5</v>
      </c>
    </row>
    <row r="55" spans="1:7">
      <c r="A55" s="15">
        <v>43879</v>
      </c>
      <c r="B55" s="16">
        <v>1.0012000000000001</v>
      </c>
      <c r="C55" s="73">
        <f t="shared" si="8"/>
        <v>1.1000000000001009E-3</v>
      </c>
      <c r="D55" s="18" t="str">
        <f t="shared" si="9"/>
        <v>/</v>
      </c>
      <c r="E55" s="18">
        <f ca="1">IF(表2_367162629303891213[[#This Row],[累计净值]]/MAX(INDIRECT("B21:B" &amp; ROW()))-1&lt;E54,表2_367162629303891213[[#This Row],[累计净值]]/MAX(INDIRECT("B21:B" &amp; ROW()))-1,E54)</f>
        <v>-1.8595450049455953E-2</v>
      </c>
      <c r="F55" s="62">
        <f>表2_367162629303891213[[#This Row],[累计净值]]</f>
        <v>1.0012000000000001</v>
      </c>
      <c r="G55" s="20">
        <f>表2_367162629303891213[[#This Row],[累计净值]]/$B$21-1</f>
        <v>9.9980003999200484E-4</v>
      </c>
    </row>
    <row r="56" spans="1:7">
      <c r="A56" s="15">
        <v>43880</v>
      </c>
      <c r="B56" s="16">
        <v>0.99950000000000006</v>
      </c>
      <c r="C56" s="73">
        <f t="shared" si="8"/>
        <v>-1.7000000000000348E-3</v>
      </c>
      <c r="D56" s="18">
        <f t="shared" si="9"/>
        <v>-1.7000000000000348E-3</v>
      </c>
      <c r="E56" s="18">
        <f ca="1">IF(表2_367162629303891213[[#This Row],[累计净值]]/MAX(INDIRECT("B21:B" &amp; ROW()))-1&lt;E55,表2_367162629303891213[[#This Row],[累计净值]]/MAX(INDIRECT("B21:B" &amp; ROW()))-1,E55)</f>
        <v>-1.8595450049455953E-2</v>
      </c>
      <c r="F56" s="62">
        <f>表2_367162629303891213[[#This Row],[累计净值]]</f>
        <v>0.99950000000000006</v>
      </c>
      <c r="G56" s="20">
        <f>表2_367162629303891213[[#This Row],[累计净值]]/$B$21-1</f>
        <v>-6.9986002799427016E-4</v>
      </c>
    </row>
    <row r="57" spans="1:7">
      <c r="A57" s="15">
        <v>43881</v>
      </c>
      <c r="B57" s="16">
        <v>1.0002</v>
      </c>
      <c r="C57" s="73">
        <f t="shared" si="8"/>
        <v>6.9999999999992291E-4</v>
      </c>
      <c r="D57" s="18" t="str">
        <f t="shared" si="9"/>
        <v>/</v>
      </c>
      <c r="E57" s="18">
        <f ca="1">IF(表2_367162629303891213[[#This Row],[累计净值]]/MAX(INDIRECT("B21:B" &amp; ROW()))-1&lt;E56,表2_367162629303891213[[#This Row],[累计净值]]/MAX(INDIRECT("B21:B" &amp; ROW()))-1,E56)</f>
        <v>-1.8595450049455953E-2</v>
      </c>
      <c r="F57" s="62">
        <f>表2_367162629303891213[[#This Row],[累计净值]]</f>
        <v>1.0002</v>
      </c>
      <c r="G57" s="20">
        <f>表2_367162629303891213[[#This Row],[累计净值]]/$B$21-1</f>
        <v>0</v>
      </c>
    </row>
    <row r="58" spans="1:7">
      <c r="A58" s="15">
        <v>43882</v>
      </c>
      <c r="B58" s="16">
        <v>0.99680000000000002</v>
      </c>
      <c r="C58" s="73">
        <f t="shared" si="8"/>
        <v>-3.3999999999999586E-3</v>
      </c>
      <c r="D58" s="18">
        <f t="shared" si="9"/>
        <v>-3.3999999999999586E-3</v>
      </c>
      <c r="E58" s="18">
        <f ca="1">IF(表2_367162629303891213[[#This Row],[累计净值]]/MAX(INDIRECT("B21:B" &amp; ROW()))-1&lt;E57,表2_367162629303891213[[#This Row],[累计净值]]/MAX(INDIRECT("B21:B" &amp; ROW()))-1,E57)</f>
        <v>-1.8595450049455953E-2</v>
      </c>
      <c r="F58" s="62">
        <f>表2_367162629303891213[[#This Row],[累计净值]]</f>
        <v>0.99680000000000002</v>
      </c>
      <c r="G58" s="20">
        <f>表2_367162629303891213[[#This Row],[累计净值]]/$B$21-1</f>
        <v>-3.3993201359727721E-3</v>
      </c>
    </row>
    <row r="59" spans="1:7">
      <c r="A59" s="15">
        <v>43885</v>
      </c>
      <c r="B59" s="16">
        <v>1</v>
      </c>
      <c r="C59" s="73">
        <f t="shared" ref="C59:C64" si="10">IFERROR(B59-B58,0)</f>
        <v>3.1999999999999806E-3</v>
      </c>
      <c r="D59" s="18" t="str">
        <f t="shared" ref="D59:D64" si="11">IF(C59&lt;0,C59,"/")</f>
        <v>/</v>
      </c>
      <c r="E59" s="18">
        <f ca="1">IF(表2_367162629303891213[[#This Row],[累计净值]]/MAX(INDIRECT("B21:B" &amp; ROW()))-1&lt;E58,表2_367162629303891213[[#This Row],[累计净值]]/MAX(INDIRECT("B21:B" &amp; ROW()))-1,E58)</f>
        <v>-1.8595450049455953E-2</v>
      </c>
      <c r="F59" s="62">
        <f>表2_367162629303891213[[#This Row],[累计净值]]</f>
        <v>1</v>
      </c>
      <c r="G59" s="20">
        <f>表2_367162629303891213[[#This Row],[累计净值]]/$B$21-1</f>
        <v>-1.9996000799837876E-4</v>
      </c>
    </row>
    <row r="60" spans="1:7">
      <c r="A60" s="15">
        <v>43886</v>
      </c>
      <c r="B60" s="16">
        <v>0.99519999999999997</v>
      </c>
      <c r="C60" s="73">
        <f t="shared" si="10"/>
        <v>-4.8000000000000265E-3</v>
      </c>
      <c r="D60" s="18">
        <f t="shared" si="11"/>
        <v>-4.8000000000000265E-3</v>
      </c>
      <c r="E60" s="18">
        <f ca="1">IF(表2_367162629303891213[[#This Row],[累计净值]]/MAX(INDIRECT("B21:B" &amp; ROW()))-1&lt;E59,表2_367162629303891213[[#This Row],[累计净值]]/MAX(INDIRECT("B21:B" &amp; ROW()))-1,E59)</f>
        <v>-1.8595450049455953E-2</v>
      </c>
      <c r="F60" s="62">
        <f>表2_367162629303891213[[#This Row],[累计净值]]</f>
        <v>0.99519999999999997</v>
      </c>
      <c r="G60" s="20">
        <f>表2_367162629303891213[[#This Row],[累计净值]]/$B$21-1</f>
        <v>-4.9990001999600242E-3</v>
      </c>
    </row>
    <row r="61" spans="1:7">
      <c r="A61" s="15">
        <v>43887</v>
      </c>
      <c r="B61" s="16">
        <v>0.99480000000000002</v>
      </c>
      <c r="C61" s="73">
        <f t="shared" si="10"/>
        <v>-3.9999999999995595E-4</v>
      </c>
      <c r="D61" s="18">
        <f t="shared" si="11"/>
        <v>-3.9999999999995595E-4</v>
      </c>
      <c r="E61" s="18">
        <f ca="1">IF(表2_367162629303891213[[#This Row],[累计净值]]/MAX(INDIRECT("B21:B" &amp; ROW()))-1&lt;E60,表2_367162629303891213[[#This Row],[累计净值]]/MAX(INDIRECT("B21:B" &amp; ROW()))-1,E60)</f>
        <v>-1.8595450049455953E-2</v>
      </c>
      <c r="F61" s="62">
        <f>表2_367162629303891213[[#This Row],[累计净值]]</f>
        <v>0.99480000000000002</v>
      </c>
      <c r="G61" s="20">
        <f>表2_367162629303891213[[#This Row],[累计净值]]/$B$21-1</f>
        <v>-5.3989202159567817E-3</v>
      </c>
    </row>
    <row r="62" spans="1:7">
      <c r="A62" s="15">
        <v>43888</v>
      </c>
      <c r="B62" s="16">
        <v>1.0027999999999999</v>
      </c>
      <c r="C62" s="73">
        <f t="shared" si="10"/>
        <v>7.9999999999998961E-3</v>
      </c>
      <c r="D62" s="18" t="str">
        <f t="shared" si="11"/>
        <v>/</v>
      </c>
      <c r="E62" s="18">
        <f ca="1">IF(表2_367162629303891213[[#This Row],[累计净值]]/MAX(INDIRECT("B21:B" &amp; ROW()))-1&lt;E61,表2_367162629303891213[[#This Row],[累计净值]]/MAX(INDIRECT("B21:B" &amp; ROW()))-1,E61)</f>
        <v>-1.8595450049455953E-2</v>
      </c>
      <c r="F62" s="62">
        <f>表2_367162629303891213[[#This Row],[累计净值]]</f>
        <v>1.0027999999999999</v>
      </c>
      <c r="G62" s="20">
        <f>表2_367162629303891213[[#This Row],[累计净值]]/$B$21-1</f>
        <v>2.599480103979035E-3</v>
      </c>
    </row>
    <row r="63" spans="1:7">
      <c r="A63" s="15">
        <v>43889</v>
      </c>
      <c r="B63" s="16">
        <v>0.99690000000000001</v>
      </c>
      <c r="C63" s="73">
        <f t="shared" si="10"/>
        <v>-5.8999999999999053E-3</v>
      </c>
      <c r="D63" s="18">
        <f t="shared" si="11"/>
        <v>-5.8999999999999053E-3</v>
      </c>
      <c r="E63" s="18">
        <f ca="1">IF(表2_367162629303891213[[#This Row],[累计净值]]/MAX(INDIRECT("B21:B" &amp; ROW()))-1&lt;E62,表2_367162629303891213[[#This Row],[累计净值]]/MAX(INDIRECT("B21:B" &amp; ROW()))-1,E62)</f>
        <v>-1.8595450049455953E-2</v>
      </c>
      <c r="F63" s="62">
        <f>表2_367162629303891213[[#This Row],[累计净值]]</f>
        <v>0.99690000000000001</v>
      </c>
      <c r="G63" s="20">
        <f>表2_367162629303891213[[#This Row],[累计净值]]/$B$21-1</f>
        <v>-3.2993401319735272E-3</v>
      </c>
    </row>
    <row r="64" spans="1:7">
      <c r="A64" s="15">
        <v>43892</v>
      </c>
      <c r="B64" s="16">
        <v>1.0009999999999999</v>
      </c>
      <c r="C64" s="73">
        <f t="shared" si="10"/>
        <v>4.0999999999998815E-3</v>
      </c>
      <c r="D64" s="18" t="str">
        <f t="shared" si="11"/>
        <v>/</v>
      </c>
      <c r="E64" s="18">
        <f ca="1">IF(表2_367162629303891213[[#This Row],[累计净值]]/MAX(INDIRECT("B21:B" &amp; ROW()))-1&lt;E63,表2_367162629303891213[[#This Row],[累计净值]]/MAX(INDIRECT("B21:B" &amp; ROW()))-1,E63)</f>
        <v>-1.8595450049455953E-2</v>
      </c>
      <c r="F64" s="62">
        <f>表2_367162629303891213[[#This Row],[累计净值]]</f>
        <v>1.0009999999999999</v>
      </c>
      <c r="G64" s="20">
        <f>表2_367162629303891213[[#This Row],[累计净值]]/$B$21-1</f>
        <v>7.9984003199351505E-4</v>
      </c>
    </row>
    <row r="65" spans="1:7">
      <c r="A65" s="15">
        <v>43893</v>
      </c>
      <c r="B65" s="16">
        <v>1.0092000000000001</v>
      </c>
      <c r="C65" s="73">
        <f>IFERROR(B65-B64,0)</f>
        <v>8.2000000000002071E-3</v>
      </c>
      <c r="D65" s="18" t="str">
        <f>IF(C65&lt;0,C65,"/")</f>
        <v>/</v>
      </c>
      <c r="E65" s="18">
        <f ca="1">IF(表2_367162629303891213[[#This Row],[累计净值]]/MAX(INDIRECT("B21:B" &amp; ROW()))-1&lt;E64,表2_367162629303891213[[#This Row],[累计净值]]/MAX(INDIRECT("B21:B" &amp; ROW()))-1,E64)</f>
        <v>-1.8595450049455953E-2</v>
      </c>
      <c r="F65" s="62">
        <f>表2_367162629303891213[[#This Row],[累计净值]]</f>
        <v>1.0092000000000001</v>
      </c>
      <c r="G65" s="20">
        <f>表2_367162629303891213[[#This Row],[累计净值]]/$B$21-1</f>
        <v>8.9982003599280436E-3</v>
      </c>
    </row>
    <row r="66" spans="1:7">
      <c r="A66" s="15">
        <v>43894</v>
      </c>
      <c r="B66" s="16">
        <v>1.0179</v>
      </c>
      <c r="C66" s="73">
        <f>IFERROR(B66-B65,0)</f>
        <v>8.69999999999993E-3</v>
      </c>
      <c r="D66" s="18" t="str">
        <f>IF(C66&lt;0,C66,"/")</f>
        <v>/</v>
      </c>
      <c r="E66" s="18">
        <f ca="1">IF(表2_367162629303891213[[#This Row],[累计净值]]/MAX(INDIRECT("B21:B" &amp; ROW()))-1&lt;E65,表2_367162629303891213[[#This Row],[累计净值]]/MAX(INDIRECT("B21:B" &amp; ROW()))-1,E65)</f>
        <v>-1.8595450049455953E-2</v>
      </c>
      <c r="F66" s="62">
        <f>表2_367162629303891213[[#This Row],[累计净值]]</f>
        <v>1.0179</v>
      </c>
      <c r="G66" s="20">
        <f>表2_367162629303891213[[#This Row],[累计净值]]/$B$21-1</f>
        <v>1.7696460707858463E-2</v>
      </c>
    </row>
    <row r="67" spans="1:7">
      <c r="A67" s="15">
        <v>43895</v>
      </c>
      <c r="B67" s="16">
        <v>1.0165999999999999</v>
      </c>
      <c r="C67" s="73">
        <f>IFERROR(B67-B66,0)</f>
        <v>-1.3000000000000789E-3</v>
      </c>
      <c r="D67" s="18">
        <f>IF(C67&lt;0,C67,"/")</f>
        <v>-1.3000000000000789E-3</v>
      </c>
      <c r="E67" s="18">
        <f ca="1">IF(表2_367162629303891213[[#This Row],[累计净值]]/MAX(INDIRECT("B21:B" &amp; ROW()))-1&lt;E66,表2_367162629303891213[[#This Row],[累计净值]]/MAX(INDIRECT("B21:B" &amp; ROW()))-1,E66)</f>
        <v>-1.8595450049455953E-2</v>
      </c>
      <c r="F67" s="62">
        <f>表2_367162629303891213[[#This Row],[累计净值]]</f>
        <v>1.0165999999999999</v>
      </c>
      <c r="G67" s="20">
        <f>表2_367162629303891213[[#This Row],[累计净值]]/$B$21-1</f>
        <v>1.6396720655868835E-2</v>
      </c>
    </row>
    <row r="68" spans="1:7">
      <c r="A68" s="15">
        <v>43896</v>
      </c>
      <c r="B68" s="16">
        <v>1.0166999999999999</v>
      </c>
      <c r="C68" s="73">
        <f>IFERROR(B68-B67,0)</f>
        <v>9.9999999999988987E-5</v>
      </c>
      <c r="D68" s="18" t="str">
        <f>IF(C68&lt;0,C68,"/")</f>
        <v>/</v>
      </c>
      <c r="E68" s="18">
        <f ca="1">IF(表2_367162629303891213[[#This Row],[累计净值]]/MAX(INDIRECT("B21:B" &amp; ROW()))-1&lt;E67,表2_367162629303891213[[#This Row],[累计净值]]/MAX(INDIRECT("B21:B" &amp; ROW()))-1,E67)</f>
        <v>-1.8595450049455953E-2</v>
      </c>
      <c r="F68" s="62">
        <f>表2_367162629303891213[[#This Row],[累计净值]]</f>
        <v>1.0166999999999999</v>
      </c>
      <c r="G68" s="20">
        <f>表2_367162629303891213[[#This Row],[累计净值]]/$B$21-1</f>
        <v>1.6496700659867969E-2</v>
      </c>
    </row>
    <row r="69" spans="1:7">
      <c r="A69" s="15">
        <v>43899</v>
      </c>
      <c r="B69" s="16">
        <v>1.0193000000000001</v>
      </c>
      <c r="C69" s="73">
        <f t="shared" ref="C69:C74" si="12">IFERROR(B69-B68,0)</f>
        <v>2.6000000000001577E-3</v>
      </c>
      <c r="D69" s="18" t="str">
        <f t="shared" ref="D69:D74" si="13">IF(C69&lt;0,C69,"/")</f>
        <v>/</v>
      </c>
      <c r="E69" s="18">
        <f ca="1">IF(表2_367162629303891213[[#This Row],[累计净值]]/MAX(INDIRECT("B21:B" &amp; ROW()))-1&lt;E68,表2_367162629303891213[[#This Row],[累计净值]]/MAX(INDIRECT("B21:B" &amp; ROW()))-1,E68)</f>
        <v>-1.8595450049455953E-2</v>
      </c>
      <c r="F69" s="62">
        <f>表2_367162629303891213[[#This Row],[累计净值]]</f>
        <v>1.0193000000000001</v>
      </c>
      <c r="G69" s="20">
        <f>表2_367162629303891213[[#This Row],[累计净值]]/$B$21-1</f>
        <v>1.9096180763847448E-2</v>
      </c>
    </row>
    <row r="70" spans="1:7">
      <c r="A70" s="15">
        <v>43900</v>
      </c>
      <c r="B70" s="16">
        <v>1.0169999999999999</v>
      </c>
      <c r="C70" s="73">
        <f t="shared" si="12"/>
        <v>-2.3000000000001908E-3</v>
      </c>
      <c r="D70" s="18">
        <f t="shared" si="13"/>
        <v>-2.3000000000001908E-3</v>
      </c>
      <c r="E70" s="18">
        <f ca="1">IF(表2_367162629303891213[[#This Row],[累计净值]]/MAX(INDIRECT("B21:B" &amp; ROW()))-1&lt;E69,表2_367162629303891213[[#This Row],[累计净值]]/MAX(INDIRECT("B21:B" &amp; ROW()))-1,E69)</f>
        <v>-1.8595450049455953E-2</v>
      </c>
      <c r="F70" s="62">
        <f>表2_367162629303891213[[#This Row],[累计净值]]</f>
        <v>1.0169999999999999</v>
      </c>
      <c r="G70" s="20">
        <f>表2_367162629303891213[[#This Row],[累计净值]]/$B$21-1</f>
        <v>1.6796640671865593E-2</v>
      </c>
    </row>
    <row r="71" spans="1:7">
      <c r="A71" s="15">
        <v>43901</v>
      </c>
      <c r="B71" s="16">
        <v>1.0210999999999999</v>
      </c>
      <c r="C71" s="73">
        <f t="shared" si="12"/>
        <v>4.0999999999999925E-3</v>
      </c>
      <c r="D71" s="18" t="str">
        <f t="shared" si="13"/>
        <v>/</v>
      </c>
      <c r="E71" s="18">
        <f ca="1">IF(表2_367162629303891213[[#This Row],[累计净值]]/MAX(INDIRECT("B21:B" &amp; ROW()))-1&lt;E70,表2_367162629303891213[[#This Row],[累计净值]]/MAX(INDIRECT("B21:B" &amp; ROW()))-1,E70)</f>
        <v>-1.8595450049455953E-2</v>
      </c>
      <c r="F71" s="62">
        <f>表2_367162629303891213[[#This Row],[累计净值]]</f>
        <v>1.0210999999999999</v>
      </c>
      <c r="G71" s="20">
        <f>表2_367162629303891213[[#This Row],[累计净值]]/$B$21-1</f>
        <v>2.0895820835832746E-2</v>
      </c>
    </row>
    <row r="72" spans="1:7">
      <c r="A72" s="15">
        <v>43902</v>
      </c>
      <c r="B72" s="16">
        <v>1.0210999999999999</v>
      </c>
      <c r="C72" s="73">
        <f t="shared" si="12"/>
        <v>0</v>
      </c>
      <c r="D72" s="18" t="str">
        <f t="shared" si="13"/>
        <v>/</v>
      </c>
      <c r="E72" s="18">
        <f ca="1">IF(表2_367162629303891213[[#This Row],[累计净值]]/MAX(INDIRECT("B21:B" &amp; ROW()))-1&lt;E71,表2_367162629303891213[[#This Row],[累计净值]]/MAX(INDIRECT("B21:B" &amp; ROW()))-1,E71)</f>
        <v>-1.8595450049455953E-2</v>
      </c>
      <c r="F72" s="62">
        <f>表2_367162629303891213[[#This Row],[累计净值]]</f>
        <v>1.0210999999999999</v>
      </c>
      <c r="G72" s="20">
        <f>表2_367162629303891213[[#This Row],[累计净值]]/$B$21-1</f>
        <v>2.0895820835832746E-2</v>
      </c>
    </row>
    <row r="73" spans="1:7">
      <c r="A73" s="15">
        <v>43903</v>
      </c>
      <c r="B73" s="16">
        <v>1.0209999999999999</v>
      </c>
      <c r="C73" s="73">
        <f t="shared" si="12"/>
        <v>-9.9999999999988987E-5</v>
      </c>
      <c r="D73" s="18">
        <f t="shared" si="13"/>
        <v>-9.9999999999988987E-5</v>
      </c>
      <c r="E73" s="18">
        <f ca="1">IF(表2_367162629303891213[[#This Row],[累计净值]]/MAX(INDIRECT("B21:B" &amp; ROW()))-1&lt;E72,表2_367162629303891213[[#This Row],[累计净值]]/MAX(INDIRECT("B21:B" &amp; ROW()))-1,E72)</f>
        <v>-1.8595450049455953E-2</v>
      </c>
      <c r="F73" s="62">
        <f>表2_367162629303891213[[#This Row],[累计净值]]</f>
        <v>1.0209999999999999</v>
      </c>
      <c r="G73" s="20">
        <f>表2_367162629303891213[[#This Row],[累计净值]]/$B$21-1</f>
        <v>2.0795840831833612E-2</v>
      </c>
    </row>
    <row r="74" spans="1:7">
      <c r="A74" s="15">
        <v>43906</v>
      </c>
      <c r="B74" s="16">
        <v>1.0210999999999999</v>
      </c>
      <c r="C74" s="73">
        <f t="shared" si="12"/>
        <v>9.9999999999988987E-5</v>
      </c>
      <c r="D74" s="18" t="str">
        <f t="shared" si="13"/>
        <v>/</v>
      </c>
      <c r="E74" s="18">
        <f ca="1">IF(表2_367162629303891213[[#This Row],[累计净值]]/MAX(INDIRECT("B21:B" &amp; ROW()))-1&lt;E73,表2_367162629303891213[[#This Row],[累计净值]]/MAX(INDIRECT("B21:B" &amp; ROW()))-1,E73)</f>
        <v>-1.8595450049455953E-2</v>
      </c>
      <c r="F74" s="62">
        <f>表2_367162629303891213[[#This Row],[累计净值]]</f>
        <v>1.0210999999999999</v>
      </c>
      <c r="G74" s="20">
        <f>表2_367162629303891213[[#This Row],[累计净值]]/$B$21-1</f>
        <v>2.0895820835832746E-2</v>
      </c>
    </row>
    <row r="75" spans="1:7">
      <c r="A75" s="15">
        <v>43907</v>
      </c>
      <c r="B75" s="16">
        <v>1.0244</v>
      </c>
      <c r="C75" s="73">
        <f t="shared" ref="C75:C80" si="14">IFERROR(B75-B74,0)</f>
        <v>3.3000000000000806E-3</v>
      </c>
      <c r="D75" s="18" t="str">
        <f t="shared" ref="D75:D80" si="15">IF(C75&lt;0,C75,"/")</f>
        <v>/</v>
      </c>
      <c r="E75" s="18">
        <f ca="1">IF(表2_367162629303891213[[#This Row],[累计净值]]/MAX(INDIRECT("B21:B" &amp; ROW()))-1&lt;E74,表2_367162629303891213[[#This Row],[累计净值]]/MAX(INDIRECT("B21:B" &amp; ROW()))-1,E74)</f>
        <v>-1.8595450049455953E-2</v>
      </c>
      <c r="F75" s="62">
        <f>表2_367162629303891213[[#This Row],[累计净值]]</f>
        <v>1.0244</v>
      </c>
      <c r="G75" s="20">
        <f>表2_367162629303891213[[#This Row],[累计净值]]/$B$21-1</f>
        <v>2.4195160967806384E-2</v>
      </c>
    </row>
    <row r="76" spans="1:7">
      <c r="A76" s="15">
        <v>43908</v>
      </c>
      <c r="B76" s="16">
        <v>1.0234000000000001</v>
      </c>
      <c r="C76" s="73">
        <f t="shared" si="14"/>
        <v>-9.9999999999988987E-4</v>
      </c>
      <c r="D76" s="18">
        <f t="shared" si="15"/>
        <v>-9.9999999999988987E-4</v>
      </c>
      <c r="E76" s="18">
        <f ca="1">IF(表2_367162629303891213[[#This Row],[累计净值]]/MAX(INDIRECT("B21:B" &amp; ROW()))-1&lt;E75,表2_367162629303891213[[#This Row],[累计净值]]/MAX(INDIRECT("B21:B" &amp; ROW()))-1,E75)</f>
        <v>-1.8595450049455953E-2</v>
      </c>
      <c r="F76" s="62">
        <f>表2_367162629303891213[[#This Row],[累计净值]]</f>
        <v>1.0234000000000001</v>
      </c>
      <c r="G76" s="20">
        <f>表2_367162629303891213[[#This Row],[累计净值]]/$B$21-1</f>
        <v>2.3195360927814601E-2</v>
      </c>
    </row>
    <row r="77" spans="1:7">
      <c r="A77" s="15">
        <v>43909</v>
      </c>
      <c r="B77" s="16">
        <v>1.0243</v>
      </c>
      <c r="C77" s="73">
        <f t="shared" si="14"/>
        <v>8.9999999999990088E-4</v>
      </c>
      <c r="D77" s="18" t="str">
        <f t="shared" si="15"/>
        <v>/</v>
      </c>
      <c r="E77" s="18">
        <f ca="1">IF(表2_367162629303891213[[#This Row],[累计净值]]/MAX(INDIRECT("B21:B" &amp; ROW()))-1&lt;E76,表2_367162629303891213[[#This Row],[累计净值]]/MAX(INDIRECT("B21:B" &amp; ROW()))-1,E76)</f>
        <v>-1.8595450049455953E-2</v>
      </c>
      <c r="F77" s="62">
        <f>表2_367162629303891213[[#This Row],[累计净值]]</f>
        <v>1.0243</v>
      </c>
      <c r="G77" s="20">
        <f>表2_367162629303891213[[#This Row],[累计净值]]/$B$21-1</f>
        <v>2.409518096380725E-2</v>
      </c>
    </row>
    <row r="78" spans="1:7">
      <c r="A78" s="15">
        <v>43910</v>
      </c>
      <c r="B78" s="16">
        <v>1.0255000000000001</v>
      </c>
      <c r="C78" s="73">
        <f t="shared" si="14"/>
        <v>1.2000000000000899E-3</v>
      </c>
      <c r="D78" s="18" t="str">
        <f t="shared" si="15"/>
        <v>/</v>
      </c>
      <c r="E78" s="18">
        <f ca="1">IF(表2_367162629303891213[[#This Row],[累计净值]]/MAX(INDIRECT("B21:B" &amp; ROW()))-1&lt;E77,表2_367162629303891213[[#This Row],[累计净值]]/MAX(INDIRECT("B21:B" &amp; ROW()))-1,E77)</f>
        <v>-1.8595450049455953E-2</v>
      </c>
      <c r="F78" s="62">
        <f>表2_367162629303891213[[#This Row],[累计净值]]</f>
        <v>1.0255000000000001</v>
      </c>
      <c r="G78" s="20">
        <f>表2_367162629303891213[[#This Row],[累计净值]]/$B$21-1</f>
        <v>2.5294941011797745E-2</v>
      </c>
    </row>
    <row r="79" spans="1:7">
      <c r="A79" s="15">
        <v>43913</v>
      </c>
      <c r="B79" s="16">
        <v>1.0202</v>
      </c>
      <c r="C79" s="73">
        <f t="shared" si="14"/>
        <v>-5.3000000000000824E-3</v>
      </c>
      <c r="D79" s="18">
        <f t="shared" si="15"/>
        <v>-5.3000000000000824E-3</v>
      </c>
      <c r="E79" s="18">
        <f ca="1">IF(表2_367162629303891213[[#This Row],[累计净值]]/MAX(INDIRECT("B21:B" &amp; ROW()))-1&lt;E78,表2_367162629303891213[[#This Row],[累计净值]]/MAX(INDIRECT("B21:B" &amp; ROW()))-1,E78)</f>
        <v>-1.8595450049455953E-2</v>
      </c>
      <c r="F79" s="62">
        <f>表2_367162629303891213[[#This Row],[累计净值]]</f>
        <v>1.0202</v>
      </c>
      <c r="G79" s="20">
        <f>表2_367162629303891213[[#This Row],[累计净值]]/$B$21-1</f>
        <v>1.9996000799840097E-2</v>
      </c>
    </row>
    <row r="80" spans="1:7">
      <c r="A80" s="15">
        <v>43914</v>
      </c>
      <c r="B80" s="16">
        <v>1.0250999999999999</v>
      </c>
      <c r="C80" s="73">
        <f t="shared" si="14"/>
        <v>4.8999999999999044E-3</v>
      </c>
      <c r="D80" s="18" t="str">
        <f t="shared" si="15"/>
        <v>/</v>
      </c>
      <c r="E80" s="18">
        <f ca="1">IF(表2_367162629303891213[[#This Row],[累计净值]]/MAX(INDIRECT("B21:B" &amp; ROW()))-1&lt;E79,表2_367162629303891213[[#This Row],[累计净值]]/MAX(INDIRECT("B21:B" &amp; ROW()))-1,E79)</f>
        <v>-1.8595450049455953E-2</v>
      </c>
      <c r="F80" s="62">
        <f>表2_367162629303891213[[#This Row],[累计净值]]</f>
        <v>1.0250999999999999</v>
      </c>
      <c r="G80" s="20">
        <f>表2_367162629303891213[[#This Row],[累计净值]]/$B$21-1</f>
        <v>2.4895020995800765E-2</v>
      </c>
    </row>
    <row r="81" spans="1:7">
      <c r="A81" s="15">
        <v>43915</v>
      </c>
      <c r="B81" s="16">
        <v>1.0316000000000001</v>
      </c>
      <c r="C81" s="73">
        <f t="shared" ref="C81:C86" si="16">IFERROR(B81-B80,0)</f>
        <v>6.5000000000001723E-3</v>
      </c>
      <c r="D81" s="18" t="str">
        <f t="shared" ref="D81:D86" si="17">IF(C81&lt;0,C81,"/")</f>
        <v>/</v>
      </c>
      <c r="E81" s="18">
        <f ca="1">IF(表2_367162629303891213[[#This Row],[累计净值]]/MAX(INDIRECT("B21:B" &amp; ROW()))-1&lt;E80,表2_367162629303891213[[#This Row],[累计净值]]/MAX(INDIRECT("B21:B" &amp; ROW()))-1,E80)</f>
        <v>-1.8595450049455953E-2</v>
      </c>
      <c r="F81" s="62">
        <f>表2_367162629303891213[[#This Row],[累计净值]]</f>
        <v>1.0316000000000001</v>
      </c>
      <c r="G81" s="20">
        <f>表2_367162629303891213[[#This Row],[累计净值]]/$B$21-1</f>
        <v>3.1393721255748908E-2</v>
      </c>
    </row>
    <row r="82" spans="1:7">
      <c r="A82" s="15">
        <v>43916</v>
      </c>
      <c r="B82" s="16">
        <v>1.0321</v>
      </c>
      <c r="C82" s="73">
        <f t="shared" si="16"/>
        <v>4.9999999999994493E-4</v>
      </c>
      <c r="D82" s="18" t="str">
        <f t="shared" si="17"/>
        <v>/</v>
      </c>
      <c r="E82" s="18">
        <f ca="1">IF(表2_367162629303891213[[#This Row],[累计净值]]/MAX(INDIRECT("B21:B" &amp; ROW()))-1&lt;E81,表2_367162629303891213[[#This Row],[累计净值]]/MAX(INDIRECT("B21:B" &amp; ROW()))-1,E81)</f>
        <v>-1.8595450049455953E-2</v>
      </c>
      <c r="F82" s="62">
        <f>表2_367162629303891213[[#This Row],[累计净值]]</f>
        <v>1.0321</v>
      </c>
      <c r="G82" s="20">
        <f>表2_367162629303891213[[#This Row],[累计净值]]/$B$21-1</f>
        <v>3.1893621275744799E-2</v>
      </c>
    </row>
    <row r="83" spans="1:7">
      <c r="A83" s="15">
        <v>43917</v>
      </c>
      <c r="B83" s="16">
        <v>1.0315000000000001</v>
      </c>
      <c r="C83" s="73">
        <f t="shared" si="16"/>
        <v>-5.9999999999993392E-4</v>
      </c>
      <c r="D83" s="18">
        <f t="shared" si="17"/>
        <v>-5.9999999999993392E-4</v>
      </c>
      <c r="E83" s="18">
        <f ca="1">IF(表2_367162629303891213[[#This Row],[累计净值]]/MAX(INDIRECT("B21:B" &amp; ROW()))-1&lt;E82,表2_367162629303891213[[#This Row],[累计净值]]/MAX(INDIRECT("B21:B" &amp; ROW()))-1,E82)</f>
        <v>-1.8595450049455953E-2</v>
      </c>
      <c r="F83" s="62">
        <f>表2_367162629303891213[[#This Row],[累计净值]]</f>
        <v>1.0315000000000001</v>
      </c>
      <c r="G83" s="20">
        <f>表2_367162629303891213[[#This Row],[累计净值]]/$B$21-1</f>
        <v>3.1293741251749774E-2</v>
      </c>
    </row>
    <row r="84" spans="1:7">
      <c r="A84" s="15">
        <v>43920</v>
      </c>
      <c r="B84" s="16">
        <v>1.0356000000000001</v>
      </c>
      <c r="C84" s="73">
        <f t="shared" si="16"/>
        <v>4.0999999999999925E-3</v>
      </c>
      <c r="D84" s="18" t="str">
        <f t="shared" si="17"/>
        <v>/</v>
      </c>
      <c r="E84" s="18">
        <f ca="1">IF(表2_367162629303891213[[#This Row],[累计净值]]/MAX(INDIRECT("B21:B" &amp; ROW()))-1&lt;E83,表2_367162629303891213[[#This Row],[累计净值]]/MAX(INDIRECT("B21:B" &amp; ROW()))-1,E83)</f>
        <v>-1.8595450049455953E-2</v>
      </c>
      <c r="F84" s="62">
        <f>表2_367162629303891213[[#This Row],[累计净值]]</f>
        <v>1.0356000000000001</v>
      </c>
      <c r="G84" s="20">
        <f>表2_367162629303891213[[#This Row],[累计净值]]/$B$21-1</f>
        <v>3.5392921415716927E-2</v>
      </c>
    </row>
    <row r="85" spans="1:7">
      <c r="A85" s="15">
        <v>43921</v>
      </c>
      <c r="B85" s="16">
        <v>1.0395000000000001</v>
      </c>
      <c r="C85" s="73">
        <f t="shared" si="16"/>
        <v>3.9000000000000146E-3</v>
      </c>
      <c r="D85" s="18" t="str">
        <f t="shared" si="17"/>
        <v>/</v>
      </c>
      <c r="E85" s="18">
        <f ca="1">IF(表2_367162629303891213[[#This Row],[累计净值]]/MAX(INDIRECT("B21:B" &amp; ROW()))-1&lt;E84,表2_367162629303891213[[#This Row],[累计净值]]/MAX(INDIRECT("B21:B" &amp; ROW()))-1,E84)</f>
        <v>-1.8595450049455953E-2</v>
      </c>
      <c r="F85" s="62">
        <f>表2_367162629303891213[[#This Row],[累计净值]]</f>
        <v>1.0395000000000001</v>
      </c>
      <c r="G85" s="20">
        <f>表2_367162629303891213[[#This Row],[累计净值]]/$B$21-1</f>
        <v>3.9292141571685812E-2</v>
      </c>
    </row>
    <row r="86" spans="1:7">
      <c r="A86" s="15">
        <v>43922</v>
      </c>
      <c r="B86" s="16">
        <v>1.0405</v>
      </c>
      <c r="C86" s="73">
        <f t="shared" si="16"/>
        <v>9.9999999999988987E-4</v>
      </c>
      <c r="D86" s="18" t="str">
        <f t="shared" si="17"/>
        <v>/</v>
      </c>
      <c r="E86" s="18">
        <f ca="1">IF(表2_367162629303891213[[#This Row],[累计净值]]/MAX(INDIRECT("B21:B" &amp; ROW()))-1&lt;E85,表2_367162629303891213[[#This Row],[累计净值]]/MAX(INDIRECT("B21:B" &amp; ROW()))-1,E85)</f>
        <v>-1.8595450049455953E-2</v>
      </c>
      <c r="F86" s="62">
        <f>表2_367162629303891213[[#This Row],[累计净值]]</f>
        <v>1.0405</v>
      </c>
      <c r="G86" s="20">
        <f>表2_367162629303891213[[#This Row],[累计净值]]/$B$21-1</f>
        <v>4.0291941611677595E-2</v>
      </c>
    </row>
    <row r="87" spans="1:7">
      <c r="A87" s="15">
        <v>43923</v>
      </c>
      <c r="B87" s="16">
        <v>1.0389999999999999</v>
      </c>
      <c r="C87" s="73">
        <f t="shared" ref="C87:C92" si="18">IFERROR(B87-B86,0)</f>
        <v>-1.5000000000000568E-3</v>
      </c>
      <c r="D87" s="18">
        <f t="shared" ref="D87:D92" si="19">IF(C87&lt;0,C87,"/")</f>
        <v>-1.5000000000000568E-3</v>
      </c>
      <c r="E87" s="18">
        <f ca="1">IF(表2_367162629303891213[[#This Row],[累计净值]]/MAX(INDIRECT("B21:B" &amp; ROW()))-1&lt;E86,表2_367162629303891213[[#This Row],[累计净值]]/MAX(INDIRECT("B21:B" &amp; ROW()))-1,E86)</f>
        <v>-1.8595450049455953E-2</v>
      </c>
      <c r="F87" s="62">
        <f>表2_367162629303891213[[#This Row],[累计净值]]</f>
        <v>1.0389999999999999</v>
      </c>
      <c r="G87" s="20">
        <f>表2_367162629303891213[[#This Row],[累计净值]]/$B$21-1</f>
        <v>3.8792241551689699E-2</v>
      </c>
    </row>
    <row r="88" spans="1:7">
      <c r="A88" s="15">
        <v>43924</v>
      </c>
      <c r="B88" s="16">
        <v>1.0407999999999999</v>
      </c>
      <c r="C88" s="73">
        <f t="shared" si="18"/>
        <v>1.8000000000000238E-3</v>
      </c>
      <c r="D88" s="18" t="str">
        <f t="shared" si="19"/>
        <v>/</v>
      </c>
      <c r="E88" s="18">
        <f ca="1">IF(表2_367162629303891213[[#This Row],[累计净值]]/MAX(INDIRECT("B21:B" &amp; ROW()))-1&lt;E87,表2_367162629303891213[[#This Row],[累计净值]]/MAX(INDIRECT("B21:B" &amp; ROW()))-1,E87)</f>
        <v>-1.8595450049455953E-2</v>
      </c>
      <c r="F88" s="62">
        <f>表2_367162629303891213[[#This Row],[累计净值]]</f>
        <v>1.0407999999999999</v>
      </c>
      <c r="G88" s="20">
        <f>表2_367162629303891213[[#This Row],[累计净值]]/$B$21-1</f>
        <v>4.0591881623675219E-2</v>
      </c>
    </row>
    <row r="89" spans="1:7">
      <c r="A89" s="15">
        <v>43928</v>
      </c>
      <c r="B89" s="16">
        <v>1.042</v>
      </c>
      <c r="C89" s="73">
        <f t="shared" si="18"/>
        <v>1.2000000000000899E-3</v>
      </c>
      <c r="D89" s="18" t="str">
        <f t="shared" si="19"/>
        <v>/</v>
      </c>
      <c r="E89" s="18">
        <f ca="1">IF(表2_367162629303891213[[#This Row],[累计净值]]/MAX(INDIRECT("B21:B" &amp; ROW()))-1&lt;E88,表2_367162629303891213[[#This Row],[累计净值]]/MAX(INDIRECT("B21:B" &amp; ROW()))-1,E88)</f>
        <v>-1.8595450049455953E-2</v>
      </c>
      <c r="F89" s="62">
        <f>表2_367162629303891213[[#This Row],[累计净值]]</f>
        <v>1.042</v>
      </c>
      <c r="G89" s="20">
        <f>表2_367162629303891213[[#This Row],[累计净值]]/$B$21-1</f>
        <v>4.1791641671665714E-2</v>
      </c>
    </row>
    <row r="90" spans="1:7">
      <c r="A90" s="15">
        <v>43929</v>
      </c>
      <c r="B90" s="16">
        <v>1.042</v>
      </c>
      <c r="C90" s="73">
        <f t="shared" si="18"/>
        <v>0</v>
      </c>
      <c r="D90" s="18" t="str">
        <f t="shared" si="19"/>
        <v>/</v>
      </c>
      <c r="E90" s="18">
        <f ca="1">IF(表2_367162629303891213[[#This Row],[累计净值]]/MAX(INDIRECT("B21:B" &amp; ROW()))-1&lt;E89,表2_367162629303891213[[#This Row],[累计净值]]/MAX(INDIRECT("B21:B" &amp; ROW()))-1,E89)</f>
        <v>-1.8595450049455953E-2</v>
      </c>
      <c r="F90" s="62">
        <f>表2_367162629303891213[[#This Row],[累计净值]]</f>
        <v>1.042</v>
      </c>
      <c r="G90" s="20">
        <f>表2_367162629303891213[[#This Row],[累计净值]]/$B$21-1</f>
        <v>4.1791641671665714E-2</v>
      </c>
    </row>
    <row r="91" spans="1:7">
      <c r="A91" s="15">
        <v>43930</v>
      </c>
      <c r="B91" s="16">
        <v>1.0415000000000001</v>
      </c>
      <c r="C91" s="73">
        <f t="shared" si="18"/>
        <v>-4.9999999999994493E-4</v>
      </c>
      <c r="D91" s="18">
        <f t="shared" si="19"/>
        <v>-4.9999999999994493E-4</v>
      </c>
      <c r="E91" s="18">
        <f ca="1">IF(表2_367162629303891213[[#This Row],[累计净值]]/MAX(INDIRECT("B21:B" &amp; ROW()))-1&lt;E90,表2_367162629303891213[[#This Row],[累计净值]]/MAX(INDIRECT("B21:B" &amp; ROW()))-1,E90)</f>
        <v>-1.8595450049455953E-2</v>
      </c>
      <c r="F91" s="62">
        <f>表2_367162629303891213[[#This Row],[累计净值]]</f>
        <v>1.0415000000000001</v>
      </c>
      <c r="G91" s="20">
        <f>表2_367162629303891213[[#This Row],[累计净值]]/$B$21-1</f>
        <v>4.1291741651669822E-2</v>
      </c>
    </row>
    <row r="92" spans="1:7">
      <c r="A92" s="15">
        <v>43931</v>
      </c>
      <c r="B92" s="16">
        <v>1.0418000000000001</v>
      </c>
      <c r="C92" s="73">
        <f t="shared" si="18"/>
        <v>2.9999999999996696E-4</v>
      </c>
      <c r="D92" s="18" t="str">
        <f t="shared" si="19"/>
        <v>/</v>
      </c>
      <c r="E92" s="18">
        <f ca="1">IF(表2_367162629303891213[[#This Row],[累计净值]]/MAX(INDIRECT("B21:B" &amp; ROW()))-1&lt;E91,表2_367162629303891213[[#This Row],[累计净值]]/MAX(INDIRECT("B21:B" &amp; ROW()))-1,E91)</f>
        <v>-1.8595450049455953E-2</v>
      </c>
      <c r="F92" s="62">
        <f>表2_367162629303891213[[#This Row],[累计净值]]</f>
        <v>1.0418000000000001</v>
      </c>
      <c r="G92" s="20">
        <f>表2_367162629303891213[[#This Row],[累计净值]]/$B$21-1</f>
        <v>4.1591681663667446E-2</v>
      </c>
    </row>
    <row r="93" spans="1:7">
      <c r="A93" s="15">
        <v>43934</v>
      </c>
      <c r="B93" s="16">
        <v>1.0418000000000001</v>
      </c>
      <c r="C93" s="73">
        <f t="shared" ref="C93:C98" si="20">IFERROR(B93-B92,0)</f>
        <v>0</v>
      </c>
      <c r="D93" s="18" t="str">
        <f t="shared" ref="D93:D98" si="21">IF(C93&lt;0,C93,"/")</f>
        <v>/</v>
      </c>
      <c r="E93" s="18">
        <f ca="1">IF(表2_367162629303891213[[#This Row],[累计净值]]/MAX(INDIRECT("B21:B" &amp; ROW()))-1&lt;E92,表2_367162629303891213[[#This Row],[累计净值]]/MAX(INDIRECT("B21:B" &amp; ROW()))-1,E92)</f>
        <v>-1.8595450049455953E-2</v>
      </c>
      <c r="F93" s="62">
        <f>表2_367162629303891213[[#This Row],[累计净值]]</f>
        <v>1.0418000000000001</v>
      </c>
      <c r="G93" s="20">
        <f>表2_367162629303891213[[#This Row],[累计净值]]/$B$21-1</f>
        <v>4.1591681663667446E-2</v>
      </c>
    </row>
    <row r="94" spans="1:7">
      <c r="A94" s="15">
        <v>43935</v>
      </c>
      <c r="B94" s="16">
        <v>1.0407</v>
      </c>
      <c r="C94" s="73">
        <f t="shared" si="20"/>
        <v>-1.1000000000001009E-3</v>
      </c>
      <c r="D94" s="18">
        <f t="shared" si="21"/>
        <v>-1.1000000000001009E-3</v>
      </c>
      <c r="E94" s="18">
        <f ca="1">IF(表2_367162629303891213[[#This Row],[累计净值]]/MAX(INDIRECT("B21:B" &amp; ROW()))-1&lt;E93,表2_367162629303891213[[#This Row],[累计净值]]/MAX(INDIRECT("B21:B" &amp; ROW()))-1,E93)</f>
        <v>-1.8595450049455953E-2</v>
      </c>
      <c r="F94" s="62">
        <f>表2_367162629303891213[[#This Row],[累计净值]]</f>
        <v>1.0407</v>
      </c>
      <c r="G94" s="20">
        <f>表2_367162629303891213[[#This Row],[累计净值]]/$B$21-1</f>
        <v>4.0491901619676085E-2</v>
      </c>
    </row>
    <row r="95" spans="1:7">
      <c r="A95" s="15">
        <v>43936</v>
      </c>
      <c r="B95" s="96">
        <v>1.0392999999999999</v>
      </c>
      <c r="C95" s="94">
        <f t="shared" si="20"/>
        <v>-1.4000000000000679E-3</v>
      </c>
      <c r="D95" s="95">
        <f t="shared" si="21"/>
        <v>-1.4000000000000679E-3</v>
      </c>
      <c r="E95" s="95">
        <f ca="1">IF(表2_367162629303891213[[#This Row],[累计净值]]/MAX(INDIRECT("B21:B" &amp; ROW()))-1&lt;E94,表2_367162629303891213[[#This Row],[累计净值]]/MAX(INDIRECT("B21:B" &amp; ROW()))-1,E94)</f>
        <v>-1.8595450049455953E-2</v>
      </c>
      <c r="F95" s="97">
        <f>表2_367162629303891213[[#This Row],[累计净值]]</f>
        <v>1.0392999999999999</v>
      </c>
      <c r="G95" s="20">
        <f>表2_367162629303891213[[#This Row],[累计净值]]/$B$21-1</f>
        <v>3.9092181563687101E-2</v>
      </c>
    </row>
    <row r="96" spans="1:7">
      <c r="A96" s="15">
        <v>43937</v>
      </c>
      <c r="B96" s="96">
        <v>1.0364</v>
      </c>
      <c r="C96" s="94">
        <f t="shared" si="20"/>
        <v>-2.8999999999999027E-3</v>
      </c>
      <c r="D96" s="95">
        <f t="shared" si="21"/>
        <v>-2.8999999999999027E-3</v>
      </c>
      <c r="E96" s="95">
        <f ca="1">IF(表2_367162629303891213[[#This Row],[累计净值]]/MAX(INDIRECT("B21:B" &amp; ROW()))-1&lt;E95,表2_367162629303891213[[#This Row],[累计净值]]/MAX(INDIRECT("B21:B" &amp; ROW()))-1,E95)</f>
        <v>-1.8595450049455953E-2</v>
      </c>
      <c r="F96" s="97">
        <f>表2_367162629303891213[[#This Row],[累计净值]]</f>
        <v>1.0364</v>
      </c>
      <c r="G96" s="20">
        <f>表2_367162629303891213[[#This Row],[累计净值]]/$B$21-1</f>
        <v>3.6192761447710442E-2</v>
      </c>
    </row>
    <row r="97" spans="1:7">
      <c r="A97" s="15">
        <v>43938</v>
      </c>
      <c r="B97" s="96">
        <v>1.0386</v>
      </c>
      <c r="C97" s="94">
        <f t="shared" si="20"/>
        <v>2.1999999999999797E-3</v>
      </c>
      <c r="D97" s="95" t="str">
        <f t="shared" si="21"/>
        <v>/</v>
      </c>
      <c r="E97" s="95">
        <f ca="1">IF(表2_367162629303891213[[#This Row],[累计净值]]/MAX(INDIRECT("B21:B" &amp; ROW()))-1&lt;E96,表2_367162629303891213[[#This Row],[累计净值]]/MAX(INDIRECT("B21:B" &amp; ROW()))-1,E96)</f>
        <v>-1.8595450049455953E-2</v>
      </c>
      <c r="F97" s="97">
        <f>表2_367162629303891213[[#This Row],[累计净值]]</f>
        <v>1.0386</v>
      </c>
      <c r="G97" s="20">
        <f>表2_367162629303891213[[#This Row],[累计净值]]/$B$21-1</f>
        <v>3.8392321535692941E-2</v>
      </c>
    </row>
    <row r="98" spans="1:7">
      <c r="A98" s="15">
        <v>43941</v>
      </c>
      <c r="B98" s="96">
        <v>1.0419</v>
      </c>
      <c r="C98" s="94">
        <f t="shared" si="20"/>
        <v>3.3000000000000806E-3</v>
      </c>
      <c r="D98" s="95" t="str">
        <f t="shared" si="21"/>
        <v>/</v>
      </c>
      <c r="E98" s="95">
        <f ca="1">IF(表2_367162629303891213[[#This Row],[累计净值]]/MAX(INDIRECT("B21:B" &amp; ROW()))-1&lt;E97,表2_367162629303891213[[#This Row],[累计净值]]/MAX(INDIRECT("B21:B" &amp; ROW()))-1,E97)</f>
        <v>-1.8595450049455953E-2</v>
      </c>
      <c r="F98" s="97">
        <f>表2_367162629303891213[[#This Row],[累计净值]]</f>
        <v>1.0419</v>
      </c>
      <c r="G98" s="20">
        <f>表2_367162629303891213[[#This Row],[累计净值]]/$B$21-1</f>
        <v>4.169166166766658E-2</v>
      </c>
    </row>
    <row r="99" spans="1:7">
      <c r="A99" s="15">
        <v>43942</v>
      </c>
      <c r="B99" s="96">
        <v>1.0429999999999999</v>
      </c>
      <c r="C99" s="94">
        <f t="shared" ref="C99:C104" si="22">IFERROR(B99-B98,0)</f>
        <v>1.0999999999998789E-3</v>
      </c>
      <c r="D99" s="95" t="str">
        <f t="shared" ref="D99:D104" si="23">IF(C99&lt;0,C99,"/")</f>
        <v>/</v>
      </c>
      <c r="E99" s="95">
        <f ca="1">IF(表2_367162629303891213[[#This Row],[累计净值]]/MAX(INDIRECT("B21:B" &amp; ROW()))-1&lt;E98,表2_367162629303891213[[#This Row],[累计净值]]/MAX(INDIRECT("B21:B" &amp; ROW()))-1,E98)</f>
        <v>-1.8595450049455953E-2</v>
      </c>
      <c r="F99" s="97">
        <f>表2_367162629303891213[[#This Row],[累计净值]]</f>
        <v>1.0429999999999999</v>
      </c>
      <c r="G99" s="20">
        <f>表2_367162629303891213[[#This Row],[累计净值]]/$B$21-1</f>
        <v>4.2791441711657718E-2</v>
      </c>
    </row>
    <row r="100" spans="1:7">
      <c r="A100" s="15">
        <v>43943</v>
      </c>
      <c r="B100" s="96">
        <v>1.0436000000000001</v>
      </c>
      <c r="C100" s="94">
        <f t="shared" si="22"/>
        <v>6.0000000000015596E-4</v>
      </c>
      <c r="D100" s="95" t="str">
        <f t="shared" si="23"/>
        <v>/</v>
      </c>
      <c r="E100" s="95">
        <f ca="1">IF(表2_367162629303891213[[#This Row],[累计净值]]/MAX(INDIRECT("B21:B" &amp; ROW()))-1&lt;E99,表2_367162629303891213[[#This Row],[累计净值]]/MAX(INDIRECT("B21:B" &amp; ROW()))-1,E99)</f>
        <v>-1.8595450049455953E-2</v>
      </c>
      <c r="F100" s="97">
        <f>表2_367162629303891213[[#This Row],[累计净值]]</f>
        <v>1.0436000000000001</v>
      </c>
      <c r="G100" s="20">
        <f>表2_367162629303891213[[#This Row],[累计净值]]/$B$21-1</f>
        <v>4.3391321735652966E-2</v>
      </c>
    </row>
    <row r="101" spans="1:7">
      <c r="A101" s="15">
        <v>43944</v>
      </c>
      <c r="B101" s="96">
        <v>1.0439000000000001</v>
      </c>
      <c r="C101" s="94">
        <f t="shared" si="22"/>
        <v>2.9999999999996696E-4</v>
      </c>
      <c r="D101" s="95" t="str">
        <f t="shared" si="23"/>
        <v>/</v>
      </c>
      <c r="E101" s="95">
        <f ca="1">IF(表2_367162629303891213[[#This Row],[累计净值]]/MAX(INDIRECT("B21:B" &amp; ROW()))-1&lt;E100,表2_367162629303891213[[#This Row],[累计净值]]/MAX(INDIRECT("B21:B" &amp; ROW()))-1,E100)</f>
        <v>-1.8595450049455953E-2</v>
      </c>
      <c r="F101" s="97">
        <f>表2_367162629303891213[[#This Row],[累计净值]]</f>
        <v>1.0439000000000001</v>
      </c>
      <c r="G101" s="20">
        <f>表2_367162629303891213[[#This Row],[累计净值]]/$B$21-1</f>
        <v>4.3691261747650589E-2</v>
      </c>
    </row>
    <row r="102" spans="1:7">
      <c r="A102" s="15">
        <v>43945</v>
      </c>
      <c r="B102" s="96">
        <v>1.044</v>
      </c>
      <c r="C102" s="94">
        <f t="shared" si="22"/>
        <v>9.9999999999988987E-5</v>
      </c>
      <c r="D102" s="95" t="str">
        <f t="shared" si="23"/>
        <v>/</v>
      </c>
      <c r="E102" s="95">
        <f ca="1">IF(表2_367162629303891213[[#This Row],[累计净值]]/MAX(INDIRECT("B21:B" &amp; ROW()))-1&lt;E101,表2_367162629303891213[[#This Row],[累计净值]]/MAX(INDIRECT("B21:B" &amp; ROW()))-1,E101)</f>
        <v>-1.8595450049455953E-2</v>
      </c>
      <c r="F102" s="97">
        <f>表2_367162629303891213[[#This Row],[累计净值]]</f>
        <v>1.044</v>
      </c>
      <c r="G102" s="20">
        <f>表2_367162629303891213[[#This Row],[累计净值]]/$B$21-1</f>
        <v>4.3791241751649723E-2</v>
      </c>
    </row>
    <row r="103" spans="1:7">
      <c r="A103" s="15">
        <v>43948</v>
      </c>
      <c r="B103" s="96">
        <v>1.0432999999999999</v>
      </c>
      <c r="C103" s="94">
        <f t="shared" si="22"/>
        <v>-7.0000000000014495E-4</v>
      </c>
      <c r="D103" s="95">
        <f t="shared" si="23"/>
        <v>-7.0000000000014495E-4</v>
      </c>
      <c r="E103" s="95">
        <f ca="1">IF(表2_367162629303891213[[#This Row],[累计净值]]/MAX(INDIRECT("B21:B" &amp; ROW()))-1&lt;E102,表2_367162629303891213[[#This Row],[累计净值]]/MAX(INDIRECT("B21:B" &amp; ROW()))-1,E102)</f>
        <v>-1.8595450049455953E-2</v>
      </c>
      <c r="F103" s="97">
        <f>表2_367162629303891213[[#This Row],[累计净值]]</f>
        <v>1.0432999999999999</v>
      </c>
      <c r="G103" s="20">
        <f>表2_367162629303891213[[#This Row],[累计净值]]/$B$21-1</f>
        <v>4.309138172365512E-2</v>
      </c>
    </row>
    <row r="104" spans="1:7">
      <c r="A104" s="15">
        <v>43949</v>
      </c>
      <c r="B104" s="96">
        <v>1.0447</v>
      </c>
      <c r="C104" s="94">
        <f t="shared" si="22"/>
        <v>1.4000000000000679E-3</v>
      </c>
      <c r="D104" s="95" t="str">
        <f t="shared" si="23"/>
        <v>/</v>
      </c>
      <c r="E104" s="95">
        <f ca="1">IF(表2_367162629303891213[[#This Row],[累计净值]]/MAX(INDIRECT("B21:B" &amp; ROW()))-1&lt;E103,表2_367162629303891213[[#This Row],[累计净值]]/MAX(INDIRECT("B21:B" &amp; ROW()))-1,E103)</f>
        <v>-1.8595450049455953E-2</v>
      </c>
      <c r="F104" s="97">
        <f>表2_367162629303891213[[#This Row],[累计净值]]</f>
        <v>1.0447</v>
      </c>
      <c r="G104" s="20">
        <f>表2_367162629303891213[[#This Row],[累计净值]]/$B$21-1</f>
        <v>4.4491101779644104E-2</v>
      </c>
    </row>
    <row r="105" spans="1:7">
      <c r="A105" s="15">
        <v>43950</v>
      </c>
      <c r="B105" s="96">
        <v>1.0429999999999999</v>
      </c>
      <c r="C105" s="94">
        <f t="shared" ref="C105:C110" si="24">IFERROR(B105-B104,0)</f>
        <v>-1.7000000000000348E-3</v>
      </c>
      <c r="D105" s="95">
        <f t="shared" ref="D105:D110" si="25">IF(C105&lt;0,C105,"/")</f>
        <v>-1.7000000000000348E-3</v>
      </c>
      <c r="E105" s="95">
        <f ca="1">IF(表2_367162629303891213[[#This Row],[累计净值]]/MAX(INDIRECT("B21:B" &amp; ROW()))-1&lt;E104,表2_367162629303891213[[#This Row],[累计净值]]/MAX(INDIRECT("B21:B" &amp; ROW()))-1,E104)</f>
        <v>-1.8595450049455953E-2</v>
      </c>
      <c r="F105" s="97">
        <f>表2_367162629303891213[[#This Row],[累计净值]]</f>
        <v>1.0429999999999999</v>
      </c>
      <c r="G105" s="20">
        <f>表2_367162629303891213[[#This Row],[累计净值]]/$B$21-1</f>
        <v>4.2791441711657718E-2</v>
      </c>
    </row>
    <row r="106" spans="1:7">
      <c r="A106" s="15">
        <v>43951</v>
      </c>
      <c r="B106" s="96">
        <v>1.0305</v>
      </c>
      <c r="C106" s="94">
        <f t="shared" si="24"/>
        <v>-1.2499999999999956E-2</v>
      </c>
      <c r="D106" s="95">
        <f t="shared" si="25"/>
        <v>-1.2499999999999956E-2</v>
      </c>
      <c r="E106" s="95">
        <f ca="1">IF(表2_367162629303891213[[#This Row],[累计净值]]/MAX(INDIRECT("B21:B" &amp; ROW()))-1&lt;E105,表2_367162629303891213[[#This Row],[累计净值]]/MAX(INDIRECT("B21:B" &amp; ROW()))-1,E105)</f>
        <v>-1.8595450049455953E-2</v>
      </c>
      <c r="F106" s="97">
        <f>表2_367162629303891213[[#This Row],[累计净值]]</f>
        <v>1.0305</v>
      </c>
      <c r="G106" s="20">
        <f>表2_367162629303891213[[#This Row],[累计净值]]/$B$21-1</f>
        <v>3.0293941211757547E-2</v>
      </c>
    </row>
    <row r="107" spans="1:7">
      <c r="A107" s="15">
        <v>43957</v>
      </c>
      <c r="B107" s="104">
        <v>1.0345</v>
      </c>
      <c r="C107" s="101">
        <f t="shared" si="24"/>
        <v>4.0000000000000036E-3</v>
      </c>
      <c r="D107" s="102" t="str">
        <f t="shared" si="25"/>
        <v>/</v>
      </c>
      <c r="E107" s="102">
        <f ca="1">IF(表2_367162629303891213[[#This Row],[累计净值]]/MAX(INDIRECT("B21:B" &amp; ROW()))-1&lt;E106,表2_367162629303891213[[#This Row],[累计净值]]/MAX(INDIRECT("B21:B" &amp; ROW()))-1,E106)</f>
        <v>-1.8595450049455953E-2</v>
      </c>
      <c r="F107" s="103">
        <f>表2_367162629303891213[[#This Row],[累计净值]]</f>
        <v>1.0345</v>
      </c>
      <c r="G107" s="20">
        <f>表2_367162629303891213[[#This Row],[累计净值]]/$B$21-1</f>
        <v>3.4293141371725566E-2</v>
      </c>
    </row>
    <row r="108" spans="1:7">
      <c r="A108" s="15">
        <v>43958</v>
      </c>
      <c r="B108" s="104">
        <v>1.0348999999999999</v>
      </c>
      <c r="C108" s="101">
        <f t="shared" si="24"/>
        <v>3.9999999999995595E-4</v>
      </c>
      <c r="D108" s="102" t="str">
        <f t="shared" si="25"/>
        <v>/</v>
      </c>
      <c r="E108" s="102">
        <f ca="1">IF(表2_367162629303891213[[#This Row],[累计净值]]/MAX(INDIRECT("B21:B" &amp; ROW()))-1&lt;E107,表2_367162629303891213[[#This Row],[累计净值]]/MAX(INDIRECT("B21:B" &amp; ROW()))-1,E107)</f>
        <v>-1.8595450049455953E-2</v>
      </c>
      <c r="F108" s="103">
        <f>表2_367162629303891213[[#This Row],[累计净值]]</f>
        <v>1.0348999999999999</v>
      </c>
      <c r="G108" s="20">
        <f>表2_367162629303891213[[#This Row],[累计净值]]/$B$21-1</f>
        <v>3.4693061387722324E-2</v>
      </c>
    </row>
    <row r="109" spans="1:7">
      <c r="A109" s="15">
        <v>43959</v>
      </c>
      <c r="B109" s="104">
        <v>1.0316000000000001</v>
      </c>
      <c r="C109" s="101">
        <f t="shared" si="24"/>
        <v>-3.2999999999998586E-3</v>
      </c>
      <c r="D109" s="102">
        <f t="shared" si="25"/>
        <v>-3.2999999999998586E-3</v>
      </c>
      <c r="E109" s="102">
        <f ca="1">IF(表2_367162629303891213[[#This Row],[累计净值]]/MAX(INDIRECT("B21:B" &amp; ROW()))-1&lt;E108,表2_367162629303891213[[#This Row],[累计净值]]/MAX(INDIRECT("B21:B" &amp; ROW()))-1,E108)</f>
        <v>-1.8595450049455953E-2</v>
      </c>
      <c r="F109" s="103">
        <f>表2_367162629303891213[[#This Row],[累计净值]]</f>
        <v>1.0316000000000001</v>
      </c>
      <c r="G109" s="20">
        <f>表2_367162629303891213[[#This Row],[累计净值]]/$B$21-1</f>
        <v>3.1393721255748908E-2</v>
      </c>
    </row>
    <row r="110" spans="1:7">
      <c r="A110" s="15">
        <v>43962</v>
      </c>
      <c r="B110" s="104">
        <v>1.0319</v>
      </c>
      <c r="C110" s="101">
        <f t="shared" si="24"/>
        <v>2.9999999999996696E-4</v>
      </c>
      <c r="D110" s="102" t="str">
        <f t="shared" si="25"/>
        <v>/</v>
      </c>
      <c r="E110" s="102">
        <f ca="1">IF(表2_367162629303891213[[#This Row],[累计净值]]/MAX(INDIRECT("B21:B" &amp; ROW()))-1&lt;E109,表2_367162629303891213[[#This Row],[累计净值]]/MAX(INDIRECT("B21:B" &amp; ROW()))-1,E109)</f>
        <v>-1.8595450049455953E-2</v>
      </c>
      <c r="F110" s="103">
        <f>表2_367162629303891213[[#This Row],[累计净值]]</f>
        <v>1.0319</v>
      </c>
      <c r="G110" s="20">
        <f>表2_367162629303891213[[#This Row],[累计净值]]/$B$21-1</f>
        <v>3.1693661267746531E-2</v>
      </c>
    </row>
    <row r="111" spans="1:7">
      <c r="A111" s="15">
        <v>43963</v>
      </c>
      <c r="B111" s="104">
        <v>1.0319</v>
      </c>
      <c r="C111" s="101">
        <f t="shared" ref="C111:C116" si="26">IFERROR(B111-B110,0)</f>
        <v>0</v>
      </c>
      <c r="D111" s="102" t="str">
        <f t="shared" ref="D111:D116" si="27">IF(C111&lt;0,C111,"/")</f>
        <v>/</v>
      </c>
      <c r="E111" s="102">
        <f ca="1">IF(表2_367162629303891213[[#This Row],[累计净值]]/MAX(INDIRECT("B21:B" &amp; ROW()))-1&lt;E110,表2_367162629303891213[[#This Row],[累计净值]]/MAX(INDIRECT("B21:B" &amp; ROW()))-1,E110)</f>
        <v>-1.8595450049455953E-2</v>
      </c>
      <c r="F111" s="103">
        <f>表2_367162629303891213[[#This Row],[累计净值]]</f>
        <v>1.0319</v>
      </c>
      <c r="G111" s="20">
        <f>表2_367162629303891213[[#This Row],[累计净值]]/$B$21-1</f>
        <v>3.1693661267746531E-2</v>
      </c>
    </row>
    <row r="112" spans="1:7">
      <c r="A112" s="15">
        <v>43964</v>
      </c>
      <c r="B112" s="104">
        <v>1.0342</v>
      </c>
      <c r="C112" s="101">
        <f t="shared" si="26"/>
        <v>2.2999999999999687E-3</v>
      </c>
      <c r="D112" s="102" t="str">
        <f t="shared" si="27"/>
        <v>/</v>
      </c>
      <c r="E112" s="102">
        <f ca="1">IF(表2_367162629303891213[[#This Row],[累计净值]]/MAX(INDIRECT("B21:B" &amp; ROW()))-1&lt;E111,表2_367162629303891213[[#This Row],[累计净值]]/MAX(INDIRECT("B21:B" &amp; ROW()))-1,E111)</f>
        <v>-1.8595450049455953E-2</v>
      </c>
      <c r="F112" s="103">
        <f>表2_367162629303891213[[#This Row],[累计净值]]</f>
        <v>1.0342</v>
      </c>
      <c r="G112" s="20">
        <f>表2_367162629303891213[[#This Row],[累计净值]]/$B$21-1</f>
        <v>3.3993201359728165E-2</v>
      </c>
    </row>
    <row r="113" spans="1:7">
      <c r="A113" s="15">
        <v>43965</v>
      </c>
      <c r="B113" s="104">
        <v>1.0323</v>
      </c>
      <c r="C113" s="101">
        <f t="shared" si="26"/>
        <v>-1.9000000000000128E-3</v>
      </c>
      <c r="D113" s="102">
        <f t="shared" si="27"/>
        <v>-1.9000000000000128E-3</v>
      </c>
      <c r="E113" s="102">
        <f ca="1">IF(表2_367162629303891213[[#This Row],[累计净值]]/MAX(INDIRECT("B21:B" &amp; ROW()))-1&lt;E112,表2_367162629303891213[[#This Row],[累计净值]]/MAX(INDIRECT("B21:B" &amp; ROW()))-1,E112)</f>
        <v>-1.8595450049455953E-2</v>
      </c>
      <c r="F113" s="103">
        <f>表2_367162629303891213[[#This Row],[累计净值]]</f>
        <v>1.0323</v>
      </c>
      <c r="G113" s="20">
        <f>表2_367162629303891213[[#This Row],[累计净值]]/$B$21-1</f>
        <v>3.2093581283743289E-2</v>
      </c>
    </row>
    <row r="114" spans="1:7">
      <c r="A114" s="15">
        <v>43966</v>
      </c>
      <c r="B114" s="104">
        <v>1.0325</v>
      </c>
      <c r="C114" s="101">
        <f t="shared" si="26"/>
        <v>1.9999999999997797E-4</v>
      </c>
      <c r="D114" s="102" t="str">
        <f t="shared" si="27"/>
        <v>/</v>
      </c>
      <c r="E114" s="102">
        <f ca="1">IF(表2_367162629303891213[[#This Row],[累计净值]]/MAX(INDIRECT("B21:B" &amp; ROW()))-1&lt;E113,表2_367162629303891213[[#This Row],[累计净值]]/MAX(INDIRECT("B21:B" &amp; ROW()))-1,E113)</f>
        <v>-1.8595450049455953E-2</v>
      </c>
      <c r="F114" s="103">
        <f>表2_367162629303891213[[#This Row],[累计净值]]</f>
        <v>1.0325</v>
      </c>
      <c r="G114" s="20">
        <f>表2_367162629303891213[[#This Row],[累计净值]]/$B$21-1</f>
        <v>3.2293541291741557E-2</v>
      </c>
    </row>
    <row r="115" spans="1:7">
      <c r="A115" s="15">
        <v>43969</v>
      </c>
      <c r="B115" s="104">
        <v>1.0330999999999999</v>
      </c>
      <c r="C115" s="101">
        <f t="shared" si="26"/>
        <v>5.9999999999993392E-4</v>
      </c>
      <c r="D115" s="102" t="str">
        <f t="shared" si="27"/>
        <v>/</v>
      </c>
      <c r="E115" s="102">
        <f ca="1">IF(表2_367162629303891213[[#This Row],[累计净值]]/MAX(INDIRECT("B21:B" &amp; ROW()))-1&lt;E114,表2_367162629303891213[[#This Row],[累计净值]]/MAX(INDIRECT("B21:B" &amp; ROW()))-1,E114)</f>
        <v>-1.8595450049455953E-2</v>
      </c>
      <c r="F115" s="103">
        <f>表2_367162629303891213[[#This Row],[累计净值]]</f>
        <v>1.0330999999999999</v>
      </c>
      <c r="G115" s="20">
        <f>表2_367162629303891213[[#This Row],[累计净值]]/$B$21-1</f>
        <v>3.2893421315736804E-2</v>
      </c>
    </row>
    <row r="116" spans="1:7">
      <c r="A116" s="15">
        <v>43970</v>
      </c>
      <c r="B116" s="104">
        <v>1.0343</v>
      </c>
      <c r="C116" s="101">
        <f t="shared" si="26"/>
        <v>1.2000000000000899E-3</v>
      </c>
      <c r="D116" s="102" t="str">
        <f t="shared" si="27"/>
        <v>/</v>
      </c>
      <c r="E116" s="102">
        <f ca="1">IF(表2_367162629303891213[[#This Row],[累计净值]]/MAX(INDIRECT("B21:B" &amp; ROW()))-1&lt;E115,表2_367162629303891213[[#This Row],[累计净值]]/MAX(INDIRECT("B21:B" &amp; ROW()))-1,E115)</f>
        <v>-1.8595450049455953E-2</v>
      </c>
      <c r="F116" s="103">
        <f>表2_367162629303891213[[#This Row],[累计净值]]</f>
        <v>1.0343</v>
      </c>
      <c r="G116" s="20">
        <f>表2_367162629303891213[[#This Row],[累计净值]]/$B$21-1</f>
        <v>3.4093181363727298E-2</v>
      </c>
    </row>
    <row r="117" spans="1:7">
      <c r="A117" s="15">
        <v>43971</v>
      </c>
      <c r="B117" s="104">
        <v>1.0303</v>
      </c>
      <c r="C117" s="101">
        <f t="shared" ref="C117:C122" si="28">IFERROR(B117-B116,0)</f>
        <v>-4.0000000000000036E-3</v>
      </c>
      <c r="D117" s="102">
        <f t="shared" ref="D117:D122" si="29">IF(C117&lt;0,C117,"/")</f>
        <v>-4.0000000000000036E-3</v>
      </c>
      <c r="E117" s="102">
        <f ca="1">IF(表2_367162629303891213[[#This Row],[累计净值]]/MAX(INDIRECT("B21:B" &amp; ROW()))-1&lt;E116,表2_367162629303891213[[#This Row],[累计净值]]/MAX(INDIRECT("B21:B" &amp; ROW()))-1,E116)</f>
        <v>-1.8595450049455953E-2</v>
      </c>
      <c r="F117" s="103">
        <f>表2_367162629303891213[[#This Row],[累计净值]]</f>
        <v>1.0303</v>
      </c>
      <c r="G117" s="20">
        <f>表2_367162629303891213[[#This Row],[累计净值]]/$B$21-1</f>
        <v>3.0093981203759279E-2</v>
      </c>
    </row>
    <row r="118" spans="1:7">
      <c r="A118" s="15">
        <v>43972</v>
      </c>
      <c r="B118" s="104">
        <v>1.0297000000000001</v>
      </c>
      <c r="C118" s="101">
        <f t="shared" si="28"/>
        <v>-5.9999999999993392E-4</v>
      </c>
      <c r="D118" s="102">
        <f t="shared" si="29"/>
        <v>-5.9999999999993392E-4</v>
      </c>
      <c r="E118" s="102">
        <f ca="1">IF(表2_367162629303891213[[#This Row],[累计净值]]/MAX(INDIRECT("B21:B" &amp; ROW()))-1&lt;E117,表2_367162629303891213[[#This Row],[累计净值]]/MAX(INDIRECT("B21:B" &amp; ROW()))-1,E117)</f>
        <v>-1.8595450049455953E-2</v>
      </c>
      <c r="F118" s="103">
        <f>表2_367162629303891213[[#This Row],[累计净值]]</f>
        <v>1.0297000000000001</v>
      </c>
      <c r="G118" s="20">
        <f>表2_367162629303891213[[#This Row],[累计净值]]/$B$21-1</f>
        <v>2.9494101179764032E-2</v>
      </c>
    </row>
    <row r="119" spans="1:7">
      <c r="A119" s="15">
        <v>43973</v>
      </c>
      <c r="B119" s="112">
        <v>1.0259</v>
      </c>
      <c r="C119" s="108">
        <f t="shared" si="28"/>
        <v>-3.8000000000000256E-3</v>
      </c>
      <c r="D119" s="109">
        <f t="shared" si="29"/>
        <v>-3.8000000000000256E-3</v>
      </c>
      <c r="E119" s="109">
        <f ca="1">IF(表2_367162629303891213[[#This Row],[累计净值]]/MAX(INDIRECT("B21:B" &amp; ROW()))-1&lt;E118,表2_367162629303891213[[#This Row],[累计净值]]/MAX(INDIRECT("B21:B" &amp; ROW()))-1,E118)</f>
        <v>-1.8595450049455953E-2</v>
      </c>
      <c r="F119" s="110">
        <f>表2_367162629303891213[[#This Row],[累计净值]]</f>
        <v>1.0259</v>
      </c>
      <c r="G119" s="20">
        <f>表2_367162629303891213[[#This Row],[累计净值]]/$B$21-1</f>
        <v>2.5694861027794502E-2</v>
      </c>
    </row>
    <row r="120" spans="1:7">
      <c r="A120" s="15">
        <v>43976</v>
      </c>
      <c r="B120" s="112">
        <v>1.0347999999999999</v>
      </c>
      <c r="C120" s="108">
        <f t="shared" si="28"/>
        <v>8.899999999999908E-3</v>
      </c>
      <c r="D120" s="109" t="str">
        <f t="shared" si="29"/>
        <v>/</v>
      </c>
      <c r="E120" s="109">
        <f ca="1">IF(表2_367162629303891213[[#This Row],[累计净值]]/MAX(INDIRECT("B21:B" &amp; ROW()))-1&lt;E119,表2_367162629303891213[[#This Row],[累计净值]]/MAX(INDIRECT("B21:B" &amp; ROW()))-1,E119)</f>
        <v>-1.8595450049455953E-2</v>
      </c>
      <c r="F120" s="110">
        <f>表2_367162629303891213[[#This Row],[累计净值]]</f>
        <v>1.0347999999999999</v>
      </c>
      <c r="G120" s="20">
        <f>表2_367162629303891213[[#This Row],[累计净值]]/$B$21-1</f>
        <v>3.459308138372319E-2</v>
      </c>
    </row>
    <row r="121" spans="1:7">
      <c r="A121" s="15">
        <v>43977</v>
      </c>
      <c r="B121" s="112">
        <v>1.0361</v>
      </c>
      <c r="C121" s="108">
        <f t="shared" si="28"/>
        <v>1.3000000000000789E-3</v>
      </c>
      <c r="D121" s="109" t="str">
        <f t="shared" si="29"/>
        <v>/</v>
      </c>
      <c r="E121" s="109">
        <f ca="1">IF(表2_367162629303891213[[#This Row],[累计净值]]/MAX(INDIRECT("B21:B" &amp; ROW()))-1&lt;E120,表2_367162629303891213[[#This Row],[累计净值]]/MAX(INDIRECT("B21:B" &amp; ROW()))-1,E120)</f>
        <v>-1.8595450049455953E-2</v>
      </c>
      <c r="F121" s="110">
        <f>表2_367162629303891213[[#This Row],[累计净值]]</f>
        <v>1.0361</v>
      </c>
      <c r="G121" s="20">
        <f>表2_367162629303891213[[#This Row],[累计净值]]/$B$21-1</f>
        <v>3.5892821435712818E-2</v>
      </c>
    </row>
    <row r="122" spans="1:7">
      <c r="A122" s="15">
        <v>43978</v>
      </c>
      <c r="B122" s="112">
        <v>1.0359</v>
      </c>
      <c r="C122" s="108">
        <f t="shared" si="28"/>
        <v>-1.9999999999997797E-4</v>
      </c>
      <c r="D122" s="109">
        <f t="shared" si="29"/>
        <v>-1.9999999999997797E-4</v>
      </c>
      <c r="E122" s="109">
        <f ca="1">IF(表2_367162629303891213[[#This Row],[累计净值]]/MAX(INDIRECT("B21:B" &amp; ROW()))-1&lt;E121,表2_367162629303891213[[#This Row],[累计净值]]/MAX(INDIRECT("B21:B" &amp; ROW()))-1,E121)</f>
        <v>-1.8595450049455953E-2</v>
      </c>
      <c r="F122" s="110">
        <f>表2_367162629303891213[[#This Row],[累计净值]]</f>
        <v>1.0359</v>
      </c>
      <c r="G122" s="20">
        <f>表2_367162629303891213[[#This Row],[累计净值]]/$B$21-1</f>
        <v>3.5692861427714551E-2</v>
      </c>
    </row>
    <row r="123" spans="1:7">
      <c r="A123" s="15">
        <v>43979</v>
      </c>
      <c r="B123" s="112">
        <v>1.0384</v>
      </c>
      <c r="C123" s="108">
        <f t="shared" ref="C123:C128" si="30">IFERROR(B123-B122,0)</f>
        <v>2.4999999999999467E-3</v>
      </c>
      <c r="D123" s="109" t="str">
        <f t="shared" ref="D123:D128" si="31">IF(C123&lt;0,C123,"/")</f>
        <v>/</v>
      </c>
      <c r="E123" s="109">
        <f ca="1">IF(表2_367162629303891213[[#This Row],[累计净值]]/MAX(INDIRECT("B21:B" &amp; ROW()))-1&lt;E122,表2_367162629303891213[[#This Row],[累计净值]]/MAX(INDIRECT("B21:B" &amp; ROW()))-1,E122)</f>
        <v>-1.8595450049455953E-2</v>
      </c>
      <c r="F123" s="110">
        <f>表2_367162629303891213[[#This Row],[累计净值]]</f>
        <v>1.0384</v>
      </c>
      <c r="G123" s="20">
        <f>表2_367162629303891213[[#This Row],[累计净值]]/$B$21-1</f>
        <v>3.8192361527694452E-2</v>
      </c>
    </row>
    <row r="124" spans="1:7">
      <c r="A124" s="15">
        <v>43980</v>
      </c>
      <c r="B124" s="112">
        <v>1.0396000000000001</v>
      </c>
      <c r="C124" s="108">
        <f t="shared" si="30"/>
        <v>1.2000000000000899E-3</v>
      </c>
      <c r="D124" s="109" t="str">
        <f t="shared" si="31"/>
        <v>/</v>
      </c>
      <c r="E124" s="109">
        <f ca="1">IF(表2_367162629303891213[[#This Row],[累计净值]]/MAX(INDIRECT("B21:B" &amp; ROW()))-1&lt;E123,表2_367162629303891213[[#This Row],[累计净值]]/MAX(INDIRECT("B21:B" &amp; ROW()))-1,E123)</f>
        <v>-1.8595450049455953E-2</v>
      </c>
      <c r="F124" s="110">
        <f>表2_367162629303891213[[#This Row],[累计净值]]</f>
        <v>1.0396000000000001</v>
      </c>
      <c r="G124" s="20">
        <f>表2_367162629303891213[[#This Row],[累计净值]]/$B$21-1</f>
        <v>3.9392121575684946E-2</v>
      </c>
    </row>
    <row r="125" spans="1:7">
      <c r="A125" s="15">
        <v>43983</v>
      </c>
      <c r="B125" s="112">
        <v>1.0351999999999999</v>
      </c>
      <c r="C125" s="108">
        <f t="shared" si="30"/>
        <v>-4.4000000000001815E-3</v>
      </c>
      <c r="D125" s="109">
        <f t="shared" si="31"/>
        <v>-4.4000000000001815E-3</v>
      </c>
      <c r="E125" s="109">
        <f ca="1">IF(表2_367162629303891213[[#This Row],[累计净值]]/MAX(INDIRECT("B21:B" &amp; ROW()))-1&lt;E124,表2_367162629303891213[[#This Row],[累计净值]]/MAX(INDIRECT("B21:B" &amp; ROW()))-1,E124)</f>
        <v>-1.8595450049455953E-2</v>
      </c>
      <c r="F125" s="110">
        <f>表2_367162629303891213[[#This Row],[累计净值]]</f>
        <v>1.0351999999999999</v>
      </c>
      <c r="G125" s="20">
        <f>表2_367162629303891213[[#This Row],[累计净值]]/$B$21-1</f>
        <v>3.4993001399719947E-2</v>
      </c>
    </row>
    <row r="126" spans="1:7">
      <c r="A126" s="15">
        <v>43984</v>
      </c>
      <c r="B126" s="112">
        <v>1.0349999999999999</v>
      </c>
      <c r="C126" s="108">
        <f t="shared" si="30"/>
        <v>-1.9999999999997797E-4</v>
      </c>
      <c r="D126" s="109">
        <f t="shared" si="31"/>
        <v>-1.9999999999997797E-4</v>
      </c>
      <c r="E126" s="109">
        <f ca="1">IF(表2_367162629303891213[[#This Row],[累计净值]]/MAX(INDIRECT("B21:B" &amp; ROW()))-1&lt;E125,表2_367162629303891213[[#This Row],[累计净值]]/MAX(INDIRECT("B21:B" &amp; ROW()))-1,E125)</f>
        <v>-1.8595450049455953E-2</v>
      </c>
      <c r="F126" s="110">
        <f>表2_367162629303891213[[#This Row],[累计净值]]</f>
        <v>1.0349999999999999</v>
      </c>
      <c r="G126" s="20">
        <f>表2_367162629303891213[[#This Row],[累计净值]]/$B$21-1</f>
        <v>3.479304139172168E-2</v>
      </c>
    </row>
    <row r="127" spans="1:7">
      <c r="A127" s="15">
        <v>43985</v>
      </c>
      <c r="B127" s="112">
        <v>1.0341</v>
      </c>
      <c r="C127" s="108">
        <f t="shared" si="30"/>
        <v>-8.9999999999990088E-4</v>
      </c>
      <c r="D127" s="109">
        <f t="shared" si="31"/>
        <v>-8.9999999999990088E-4</v>
      </c>
      <c r="E127" s="109">
        <f ca="1">IF(表2_367162629303891213[[#This Row],[累计净值]]/MAX(INDIRECT("B21:B" &amp; ROW()))-1&lt;E126,表2_367162629303891213[[#This Row],[累计净值]]/MAX(INDIRECT("B21:B" &amp; ROW()))-1,E126)</f>
        <v>-1.8595450049455953E-2</v>
      </c>
      <c r="F127" s="110">
        <f>表2_367162629303891213[[#This Row],[累计净值]]</f>
        <v>1.0341</v>
      </c>
      <c r="G127" s="20">
        <f>表2_367162629303891213[[#This Row],[累计净值]]/$B$21-1</f>
        <v>3.3893221355728809E-2</v>
      </c>
    </row>
    <row r="128" spans="1:7">
      <c r="A128" s="15">
        <v>43986</v>
      </c>
      <c r="B128" s="112">
        <v>1.0378000000000001</v>
      </c>
      <c r="C128" s="108">
        <f t="shared" si="30"/>
        <v>3.7000000000000366E-3</v>
      </c>
      <c r="D128" s="109" t="str">
        <f t="shared" si="31"/>
        <v>/</v>
      </c>
      <c r="E128" s="109">
        <f ca="1">IF(表2_367162629303891213[[#This Row],[累计净值]]/MAX(INDIRECT("B21:B" &amp; ROW()))-1&lt;E127,表2_367162629303891213[[#This Row],[累计净值]]/MAX(INDIRECT("B21:B" &amp; ROW()))-1,E127)</f>
        <v>-1.8595450049455953E-2</v>
      </c>
      <c r="F128" s="110">
        <f>表2_367162629303891213[[#This Row],[累计净值]]</f>
        <v>1.0378000000000001</v>
      </c>
      <c r="G128" s="20">
        <f>表2_367162629303891213[[#This Row],[累计净值]]/$B$21-1</f>
        <v>3.7592481503699426E-2</v>
      </c>
    </row>
    <row r="129" spans="1:7">
      <c r="A129" s="15">
        <v>43987</v>
      </c>
      <c r="B129" s="112">
        <v>1.0392999999999999</v>
      </c>
      <c r="C129" s="108">
        <f t="shared" ref="C129:C134" si="32">IFERROR(B129-B128,0)</f>
        <v>1.4999999999998348E-3</v>
      </c>
      <c r="D129" s="109" t="str">
        <f t="shared" ref="D129:D134" si="33">IF(C129&lt;0,C129,"/")</f>
        <v>/</v>
      </c>
      <c r="E129" s="109">
        <f ca="1">IF(表2_367162629303891213[[#This Row],[累计净值]]/MAX(INDIRECT("B21:B" &amp; ROW()))-1&lt;E128,表2_367162629303891213[[#This Row],[累计净值]]/MAX(INDIRECT("B21:B" &amp; ROW()))-1,E128)</f>
        <v>-1.8595450049455953E-2</v>
      </c>
      <c r="F129" s="110">
        <f>表2_367162629303891213[[#This Row],[累计净值]]</f>
        <v>1.0392999999999999</v>
      </c>
      <c r="G129" s="20">
        <f>表2_367162629303891213[[#This Row],[累计净值]]/$B$21-1</f>
        <v>3.9092181563687101E-2</v>
      </c>
    </row>
    <row r="130" spans="1:7">
      <c r="A130" s="15">
        <v>43990</v>
      </c>
      <c r="B130" s="112">
        <v>1.0396000000000001</v>
      </c>
      <c r="C130" s="108">
        <f t="shared" si="32"/>
        <v>3.00000000000189E-4</v>
      </c>
      <c r="D130" s="109" t="str">
        <f t="shared" si="33"/>
        <v>/</v>
      </c>
      <c r="E130" s="109">
        <f ca="1">IF(表2_367162629303891213[[#This Row],[累计净值]]/MAX(INDIRECT("B21:B" &amp; ROW()))-1&lt;E129,表2_367162629303891213[[#This Row],[累计净值]]/MAX(INDIRECT("B21:B" &amp; ROW()))-1,E129)</f>
        <v>-1.8595450049455953E-2</v>
      </c>
      <c r="F130" s="110">
        <f>表2_367162629303891213[[#This Row],[累计净值]]</f>
        <v>1.0396000000000001</v>
      </c>
      <c r="G130" s="20">
        <f>表2_367162629303891213[[#This Row],[累计净值]]/$B$21-1</f>
        <v>3.9392121575684946E-2</v>
      </c>
    </row>
    <row r="131" spans="1:7">
      <c r="A131" s="15">
        <v>43991</v>
      </c>
      <c r="B131" s="112">
        <v>1.0407999999999999</v>
      </c>
      <c r="C131" s="108">
        <f t="shared" si="32"/>
        <v>1.1999999999998678E-3</v>
      </c>
      <c r="D131" s="109" t="str">
        <f t="shared" si="33"/>
        <v>/</v>
      </c>
      <c r="E131" s="109">
        <f ca="1">IF(表2_367162629303891213[[#This Row],[累计净值]]/MAX(INDIRECT("B21:B" &amp; ROW()))-1&lt;E130,表2_367162629303891213[[#This Row],[累计净值]]/MAX(INDIRECT("B21:B" &amp; ROW()))-1,E130)</f>
        <v>-1.8595450049455953E-2</v>
      </c>
      <c r="F131" s="110">
        <f>表2_367162629303891213[[#This Row],[累计净值]]</f>
        <v>1.0407999999999999</v>
      </c>
      <c r="G131" s="20">
        <f>表2_367162629303891213[[#This Row],[累计净值]]/$B$21-1</f>
        <v>4.0591881623675219E-2</v>
      </c>
    </row>
    <row r="132" spans="1:7">
      <c r="A132" s="15">
        <v>43992</v>
      </c>
      <c r="B132" s="112">
        <v>1.044</v>
      </c>
      <c r="C132" s="108">
        <f t="shared" si="32"/>
        <v>3.2000000000000917E-3</v>
      </c>
      <c r="D132" s="109" t="str">
        <f t="shared" si="33"/>
        <v>/</v>
      </c>
      <c r="E132" s="109">
        <f ca="1">IF(表2_367162629303891213[[#This Row],[累计净值]]/MAX(INDIRECT("B21:B" &amp; ROW()))-1&lt;E131,表2_367162629303891213[[#This Row],[累计净值]]/MAX(INDIRECT("B21:B" &amp; ROW()))-1,E131)</f>
        <v>-1.8595450049455953E-2</v>
      </c>
      <c r="F132" s="110">
        <f>表2_367162629303891213[[#This Row],[累计净值]]</f>
        <v>1.044</v>
      </c>
      <c r="G132" s="20">
        <f>表2_367162629303891213[[#This Row],[累计净值]]/$B$21-1</f>
        <v>4.3791241751649723E-2</v>
      </c>
    </row>
    <row r="133" spans="1:7">
      <c r="A133" s="15">
        <v>43993</v>
      </c>
      <c r="B133" s="112">
        <v>1.0441</v>
      </c>
      <c r="C133" s="108">
        <f t="shared" si="32"/>
        <v>9.9999999999988987E-5</v>
      </c>
      <c r="D133" s="109" t="str">
        <f t="shared" si="33"/>
        <v>/</v>
      </c>
      <c r="E133" s="109">
        <f ca="1">IF(表2_367162629303891213[[#This Row],[累计净值]]/MAX(INDIRECT("B21:B" &amp; ROW()))-1&lt;E132,表2_367162629303891213[[#This Row],[累计净值]]/MAX(INDIRECT("B21:B" &amp; ROW()))-1,E132)</f>
        <v>-1.8595450049455953E-2</v>
      </c>
      <c r="F133" s="110">
        <f>表2_367162629303891213[[#This Row],[累计净值]]</f>
        <v>1.0441</v>
      </c>
      <c r="G133" s="20">
        <f>表2_367162629303891213[[#This Row],[累计净值]]/$B$21-1</f>
        <v>4.3891221755648857E-2</v>
      </c>
    </row>
    <row r="134" spans="1:7">
      <c r="A134" s="15">
        <v>43994</v>
      </c>
      <c r="B134" s="112">
        <v>1.0417000000000001</v>
      </c>
      <c r="C134" s="108">
        <f t="shared" si="32"/>
        <v>-2.3999999999999577E-3</v>
      </c>
      <c r="D134" s="109">
        <f t="shared" si="33"/>
        <v>-2.3999999999999577E-3</v>
      </c>
      <c r="E134" s="109">
        <f ca="1">IF(表2_367162629303891213[[#This Row],[累计净值]]/MAX(INDIRECT("B21:B" &amp; ROW()))-1&lt;E133,表2_367162629303891213[[#This Row],[累计净值]]/MAX(INDIRECT("B21:B" &amp; ROW()))-1,E133)</f>
        <v>-1.8595450049455953E-2</v>
      </c>
      <c r="F134" s="110">
        <f>表2_367162629303891213[[#This Row],[累计净值]]</f>
        <v>1.0417000000000001</v>
      </c>
      <c r="G134" s="20">
        <f>表2_367162629303891213[[#This Row],[累计净值]]/$B$21-1</f>
        <v>4.149170165966809E-2</v>
      </c>
    </row>
    <row r="135" spans="1:7">
      <c r="A135" s="15">
        <v>43997</v>
      </c>
      <c r="B135" s="112">
        <v>1.0522</v>
      </c>
      <c r="C135" s="108">
        <f t="shared" ref="C135:C140" si="34">IFERROR(B135-B134,0)</f>
        <v>1.0499999999999954E-2</v>
      </c>
      <c r="D135" s="109" t="str">
        <f t="shared" ref="D135:D140" si="35">IF(C135&lt;0,C135,"/")</f>
        <v>/</v>
      </c>
      <c r="E135" s="109">
        <f ca="1">IF(表2_367162629303891213[[#This Row],[累计净值]]/MAX(INDIRECT("B21:B" &amp; ROW()))-1&lt;E134,表2_367162629303891213[[#This Row],[累计净值]]/MAX(INDIRECT("B21:B" &amp; ROW()))-1,E134)</f>
        <v>-1.8595450049455953E-2</v>
      </c>
      <c r="F135" s="110">
        <f>表2_367162629303891213[[#This Row],[累计净值]]</f>
        <v>1.0522</v>
      </c>
      <c r="G135" s="20">
        <f>表2_367162629303891213[[#This Row],[累计净值]]/$B$21-1</f>
        <v>5.198960207958403E-2</v>
      </c>
    </row>
    <row r="136" spans="1:7">
      <c r="A136" s="15">
        <v>43998</v>
      </c>
      <c r="B136" s="112">
        <v>1.0508999999999999</v>
      </c>
      <c r="C136" s="108">
        <f t="shared" si="34"/>
        <v>-1.3000000000000789E-3</v>
      </c>
      <c r="D136" s="109">
        <f t="shared" si="35"/>
        <v>-1.3000000000000789E-3</v>
      </c>
      <c r="E136" s="109">
        <f ca="1">IF(表2_367162629303891213[[#This Row],[累计净值]]/MAX(INDIRECT("B21:B" &amp; ROW()))-1&lt;E135,表2_367162629303891213[[#This Row],[累计净值]]/MAX(INDIRECT("B21:B" &amp; ROW()))-1,E135)</f>
        <v>-1.8595450049455953E-2</v>
      </c>
      <c r="F136" s="110">
        <f>表2_367162629303891213[[#This Row],[累计净值]]</f>
        <v>1.0508999999999999</v>
      </c>
      <c r="G136" s="20">
        <f>表2_367162629303891213[[#This Row],[累计净值]]/$B$21-1</f>
        <v>5.0689862027594401E-2</v>
      </c>
    </row>
    <row r="137" spans="1:7">
      <c r="A137" s="15">
        <v>43999</v>
      </c>
      <c r="B137" s="112">
        <v>1.0525</v>
      </c>
      <c r="C137" s="108">
        <f t="shared" si="34"/>
        <v>1.6000000000000458E-3</v>
      </c>
      <c r="D137" s="109" t="str">
        <f t="shared" si="35"/>
        <v>/</v>
      </c>
      <c r="E137" s="109">
        <f ca="1">IF(表2_367162629303891213[[#This Row],[累计净值]]/MAX(INDIRECT("B21:B" &amp; ROW()))-1&lt;E136,表2_367162629303891213[[#This Row],[累计净值]]/MAX(INDIRECT("B21:B" &amp; ROW()))-1,E136)</f>
        <v>-1.8595450049455953E-2</v>
      </c>
      <c r="F137" s="110">
        <f>表2_367162629303891213[[#This Row],[累计净值]]</f>
        <v>1.0525</v>
      </c>
      <c r="G137" s="20">
        <f>表2_367162629303891213[[#This Row],[累计净值]]/$B$21-1</f>
        <v>5.2289542091581653E-2</v>
      </c>
    </row>
    <row r="138" spans="1:7">
      <c r="A138" s="15">
        <v>44000</v>
      </c>
      <c r="B138" s="112">
        <v>1.0465</v>
      </c>
      <c r="C138" s="108">
        <f t="shared" si="34"/>
        <v>-6.0000000000000053E-3</v>
      </c>
      <c r="D138" s="109">
        <f t="shared" si="35"/>
        <v>-6.0000000000000053E-3</v>
      </c>
      <c r="E138" s="109">
        <f ca="1">IF(表2_367162629303891213[[#This Row],[累计净值]]/MAX(INDIRECT("B21:B" &amp; ROW()))-1&lt;E137,表2_367162629303891213[[#This Row],[累计净值]]/MAX(INDIRECT("B21:B" &amp; ROW()))-1,E137)</f>
        <v>-1.8595450049455953E-2</v>
      </c>
      <c r="F138" s="110">
        <f>表2_367162629303891213[[#This Row],[累计净值]]</f>
        <v>1.0465</v>
      </c>
      <c r="G138" s="20">
        <f>表2_367162629303891213[[#This Row],[累计净值]]/$B$21-1</f>
        <v>4.6290741851629624E-2</v>
      </c>
    </row>
    <row r="139" spans="1:7">
      <c r="A139" s="15">
        <v>44001</v>
      </c>
      <c r="B139" s="112">
        <v>1.044</v>
      </c>
      <c r="C139" s="108">
        <f t="shared" si="34"/>
        <v>-2.4999999999999467E-3</v>
      </c>
      <c r="D139" s="109">
        <f t="shared" si="35"/>
        <v>-2.4999999999999467E-3</v>
      </c>
      <c r="E139" s="109">
        <f ca="1">IF(表2_367162629303891213[[#This Row],[累计净值]]/MAX(INDIRECT("B21:B" &amp; ROW()))-1&lt;E138,表2_367162629303891213[[#This Row],[累计净值]]/MAX(INDIRECT("B21:B" &amp; ROW()))-1,E138)</f>
        <v>-1.8595450049455953E-2</v>
      </c>
      <c r="F139" s="110">
        <f>表2_367162629303891213[[#This Row],[累计净值]]</f>
        <v>1.044</v>
      </c>
      <c r="G139" s="20">
        <f>表2_367162629303891213[[#This Row],[累计净值]]/$B$21-1</f>
        <v>4.3791241751649723E-2</v>
      </c>
    </row>
    <row r="140" spans="1:7">
      <c r="A140" s="15">
        <v>44004</v>
      </c>
      <c r="B140" s="112">
        <v>1.0475000000000001</v>
      </c>
      <c r="C140" s="108">
        <f t="shared" si="34"/>
        <v>3.5000000000000586E-3</v>
      </c>
      <c r="D140" s="109" t="str">
        <f t="shared" si="35"/>
        <v>/</v>
      </c>
      <c r="E140" s="109">
        <f ca="1">IF(表2_367162629303891213[[#This Row],[累计净值]]/MAX(INDIRECT("B21:B" &amp; ROW()))-1&lt;E139,表2_367162629303891213[[#This Row],[累计净值]]/MAX(INDIRECT("B21:B" &amp; ROW()))-1,E139)</f>
        <v>-1.8595450049455953E-2</v>
      </c>
      <c r="F140" s="110">
        <f>表2_367162629303891213[[#This Row],[累计净值]]</f>
        <v>1.0475000000000001</v>
      </c>
      <c r="G140" s="20">
        <f>表2_367162629303891213[[#This Row],[累计净值]]/$B$21-1</f>
        <v>4.7290541891621851E-2</v>
      </c>
    </row>
    <row r="141" spans="1:7">
      <c r="A141" s="15">
        <v>44005</v>
      </c>
      <c r="B141" s="112">
        <v>1.0481</v>
      </c>
      <c r="C141" s="108">
        <f t="shared" ref="C141:C148" si="36">IFERROR(B141-B140,0)</f>
        <v>5.9999999999993392E-4</v>
      </c>
      <c r="D141" s="109" t="str">
        <f t="shared" ref="D141:D148" si="37">IF(C141&lt;0,C141,"/")</f>
        <v>/</v>
      </c>
      <c r="E141" s="109">
        <f ca="1">IF(表2_367162629303891213[[#This Row],[累计净值]]/MAX(INDIRECT("B21:B" &amp; ROW()))-1&lt;E140,表2_367162629303891213[[#This Row],[累计净值]]/MAX(INDIRECT("B21:B" &amp; ROW()))-1,E140)</f>
        <v>-1.8595450049455953E-2</v>
      </c>
      <c r="F141" s="110">
        <f>表2_367162629303891213[[#This Row],[累计净值]]</f>
        <v>1.0481</v>
      </c>
      <c r="G141" s="20">
        <f>表2_367162629303891213[[#This Row],[累计净值]]/$B$21-1</f>
        <v>4.7890421915616876E-2</v>
      </c>
    </row>
    <row r="142" spans="1:7">
      <c r="A142" s="15">
        <v>44006</v>
      </c>
      <c r="B142" s="112">
        <v>1.0503</v>
      </c>
      <c r="C142" s="108">
        <f t="shared" si="36"/>
        <v>2.1999999999999797E-3</v>
      </c>
      <c r="D142" s="109" t="str">
        <f t="shared" si="37"/>
        <v>/</v>
      </c>
      <c r="E142" s="109">
        <f ca="1">IF(表2_367162629303891213[[#This Row],[累计净值]]/MAX(INDIRECT("B21:B" &amp; ROW()))-1&lt;E141,表2_367162629303891213[[#This Row],[累计净值]]/MAX(INDIRECT("B21:B" &amp; ROW()))-1,E141)</f>
        <v>-1.8595450049455953E-2</v>
      </c>
      <c r="F142" s="110">
        <f>表2_367162629303891213[[#This Row],[累计净值]]</f>
        <v>1.0503</v>
      </c>
      <c r="G142" s="20">
        <f>表2_367162629303891213[[#This Row],[累计净值]]/$B$21-1</f>
        <v>5.0089982003599376E-2</v>
      </c>
    </row>
    <row r="143" spans="1:7">
      <c r="A143" s="15">
        <v>44011</v>
      </c>
      <c r="B143" s="112">
        <v>1.0543</v>
      </c>
      <c r="C143" s="108">
        <f t="shared" si="36"/>
        <v>4.0000000000000036E-3</v>
      </c>
      <c r="D143" s="109" t="str">
        <f t="shared" si="37"/>
        <v>/</v>
      </c>
      <c r="E143" s="109">
        <f ca="1">IF(表2_367162629303891213[[#This Row],[累计净值]]/MAX(INDIRECT("B21:B" &amp; ROW()))-1&lt;E142,表2_367162629303891213[[#This Row],[累计净值]]/MAX(INDIRECT("B21:B" &amp; ROW()))-1,E142)</f>
        <v>-1.8595450049455953E-2</v>
      </c>
      <c r="F143" s="110">
        <f>表2_367162629303891213[[#This Row],[累计净值]]</f>
        <v>1.0543</v>
      </c>
      <c r="G143" s="20">
        <f>表2_367162629303891213[[#This Row],[累计净值]]/$B$21-1</f>
        <v>5.4089182163567395E-2</v>
      </c>
    </row>
    <row r="144" spans="1:7">
      <c r="A144" s="15">
        <v>44012</v>
      </c>
      <c r="B144" s="112">
        <v>1.052</v>
      </c>
      <c r="C144" s="108">
        <f t="shared" si="36"/>
        <v>-2.2999999999999687E-3</v>
      </c>
      <c r="D144" s="109">
        <f t="shared" si="37"/>
        <v>-2.2999999999999687E-3</v>
      </c>
      <c r="E144" s="109">
        <f ca="1">IF(表2_367162629303891213[[#This Row],[累计净值]]/MAX(INDIRECT("B21:B" &amp; ROW()))-1&lt;E143,表2_367162629303891213[[#This Row],[累计净值]]/MAX(INDIRECT("B21:B" &amp; ROW()))-1,E143)</f>
        <v>-1.8595450049455953E-2</v>
      </c>
      <c r="F144" s="110">
        <f>表2_367162629303891213[[#This Row],[累计净值]]</f>
        <v>1.052</v>
      </c>
      <c r="G144" s="20">
        <f>表2_367162629303891213[[#This Row],[累计净值]]/$B$21-1</f>
        <v>5.1789642071585762E-2</v>
      </c>
    </row>
    <row r="145" spans="1:7">
      <c r="A145" s="15">
        <v>44013</v>
      </c>
      <c r="B145" s="112">
        <v>1.0547</v>
      </c>
      <c r="C145" s="108">
        <f t="shared" si="36"/>
        <v>2.6999999999999247E-3</v>
      </c>
      <c r="D145" s="109" t="str">
        <f t="shared" si="37"/>
        <v>/</v>
      </c>
      <c r="E145" s="109">
        <f ca="1">IF(表2_367162629303891213[[#This Row],[累计净值]]/MAX(INDIRECT("B21:B" &amp; ROW()))-1&lt;E144,表2_367162629303891213[[#This Row],[累计净值]]/MAX(INDIRECT("B21:B" &amp; ROW()))-1,E144)</f>
        <v>-1.8595450049455953E-2</v>
      </c>
      <c r="F145" s="110">
        <f>表2_367162629303891213[[#This Row],[累计净值]]</f>
        <v>1.0547</v>
      </c>
      <c r="G145" s="20">
        <f>表2_367162629303891213[[#This Row],[累计净值]]/$B$21-1</f>
        <v>5.4489102179564153E-2</v>
      </c>
    </row>
    <row r="146" spans="1:7">
      <c r="A146" s="15">
        <v>44014</v>
      </c>
      <c r="B146" s="112">
        <v>1.0494000000000001</v>
      </c>
      <c r="C146" s="108">
        <f t="shared" si="36"/>
        <v>-5.2999999999998604E-3</v>
      </c>
      <c r="D146" s="109">
        <f t="shared" si="37"/>
        <v>-5.2999999999998604E-3</v>
      </c>
      <c r="E146" s="109">
        <f ca="1">IF(表2_367162629303891213[[#This Row],[累计净值]]/MAX(INDIRECT("B21:B" &amp; ROW()))-1&lt;E145,表2_367162629303891213[[#This Row],[累计净值]]/MAX(INDIRECT("B21:B" &amp; ROW()))-1,E145)</f>
        <v>-1.8595450049455953E-2</v>
      </c>
      <c r="F146" s="110">
        <f>表2_367162629303891213[[#This Row],[累计净值]]</f>
        <v>1.0494000000000001</v>
      </c>
      <c r="G146" s="20">
        <f>表2_367162629303891213[[#This Row],[累计净值]]/$B$21-1</f>
        <v>4.9190161967606505E-2</v>
      </c>
    </row>
    <row r="147" spans="1:7">
      <c r="A147" s="15">
        <v>44015</v>
      </c>
      <c r="B147" s="112">
        <v>1.0475000000000001</v>
      </c>
      <c r="C147" s="108">
        <f t="shared" si="36"/>
        <v>-1.9000000000000128E-3</v>
      </c>
      <c r="D147" s="109">
        <f t="shared" si="37"/>
        <v>-1.9000000000000128E-3</v>
      </c>
      <c r="E147" s="109">
        <f ca="1">IF(表2_367162629303891213[[#This Row],[累计净值]]/MAX(INDIRECT("B21:B" &amp; ROW()))-1&lt;E146,表2_367162629303891213[[#This Row],[累计净值]]/MAX(INDIRECT("B21:B" &amp; ROW()))-1,E146)</f>
        <v>-1.8595450049455953E-2</v>
      </c>
      <c r="F147" s="110">
        <f>表2_367162629303891213[[#This Row],[累计净值]]</f>
        <v>1.0475000000000001</v>
      </c>
      <c r="G147" s="20">
        <f>表2_367162629303891213[[#This Row],[累计净值]]/$B$21-1</f>
        <v>4.7290541891621851E-2</v>
      </c>
    </row>
    <row r="148" spans="1:7">
      <c r="A148" s="15">
        <v>44018</v>
      </c>
      <c r="B148" s="112">
        <v>1.0410999999999999</v>
      </c>
      <c r="C148" s="108">
        <f t="shared" si="36"/>
        <v>-6.4000000000001833E-3</v>
      </c>
      <c r="D148" s="109">
        <f t="shared" si="37"/>
        <v>-6.4000000000001833E-3</v>
      </c>
      <c r="E148" s="109">
        <f ca="1">IF(表2_367162629303891213[[#This Row],[累计净值]]/MAX(INDIRECT("B21:B" &amp; ROW()))-1&lt;E147,表2_367162629303891213[[#This Row],[累计净值]]/MAX(INDIRECT("B21:B" &amp; ROW()))-1,E147)</f>
        <v>-1.8595450049455953E-2</v>
      </c>
      <c r="F148" s="110">
        <f>表2_367162629303891213[[#This Row],[累计净值]]</f>
        <v>1.0410999999999999</v>
      </c>
      <c r="G148" s="20">
        <f>表2_367162629303891213[[#This Row],[累计净值]]/$B$21-1</f>
        <v>4.0891821635672843E-2</v>
      </c>
    </row>
    <row r="149" spans="1:7">
      <c r="A149" s="15">
        <v>44019</v>
      </c>
      <c r="B149" s="112">
        <v>1.0426</v>
      </c>
      <c r="C149" s="108">
        <f t="shared" ref="C149:C155" si="38">IFERROR(B149-B148,0)</f>
        <v>1.5000000000000568E-3</v>
      </c>
      <c r="D149" s="109" t="str">
        <f t="shared" ref="D149:D155" si="39">IF(C149&lt;0,C149,"/")</f>
        <v>/</v>
      </c>
      <c r="E149" s="109">
        <f ca="1">IF(表2_367162629303891213[[#This Row],[累计净值]]/MAX(INDIRECT("B21:B" &amp; ROW()))-1&lt;E148,表2_367162629303891213[[#This Row],[累计净值]]/MAX(INDIRECT("B21:B" &amp; ROW()))-1,E148)</f>
        <v>-1.8595450049455953E-2</v>
      </c>
      <c r="F149" s="110">
        <f>表2_367162629303891213[[#This Row],[累计净值]]</f>
        <v>1.0426</v>
      </c>
      <c r="G149" s="20">
        <f>表2_367162629303891213[[#This Row],[累计净值]]/$B$21-1</f>
        <v>4.2391521695660961E-2</v>
      </c>
    </row>
    <row r="150" spans="1:7">
      <c r="A150" s="15">
        <v>44020</v>
      </c>
      <c r="B150" s="112">
        <v>1.0530999999999999</v>
      </c>
      <c r="C150" s="108">
        <f t="shared" si="38"/>
        <v>1.0499999999999954E-2</v>
      </c>
      <c r="D150" s="109" t="str">
        <f t="shared" si="39"/>
        <v>/</v>
      </c>
      <c r="E150" s="109">
        <f ca="1">IF(表2_367162629303891213[[#This Row],[累计净值]]/MAX(INDIRECT("B21:B" &amp; ROW()))-1&lt;E149,表2_367162629303891213[[#This Row],[累计净值]]/MAX(INDIRECT("B21:B" &amp; ROW()))-1,E149)</f>
        <v>-1.8595450049455953E-2</v>
      </c>
      <c r="F150" s="110">
        <f>表2_367162629303891213[[#This Row],[累计净值]]</f>
        <v>1.0530999999999999</v>
      </c>
      <c r="G150" s="20">
        <f>表2_367162629303891213[[#This Row],[累计净值]]/$B$21-1</f>
        <v>5.2889422115576901E-2</v>
      </c>
    </row>
    <row r="151" spans="1:7">
      <c r="A151" s="15">
        <v>44021</v>
      </c>
      <c r="B151" s="112">
        <v>1.0609999999999999</v>
      </c>
      <c r="C151" s="108">
        <f t="shared" si="38"/>
        <v>7.9000000000000181E-3</v>
      </c>
      <c r="D151" s="109" t="str">
        <f t="shared" si="39"/>
        <v>/</v>
      </c>
      <c r="E151" s="109">
        <f ca="1">IF(表2_367162629303891213[[#This Row],[累计净值]]/MAX(INDIRECT("B21:B" &amp; ROW()))-1&lt;E150,表2_367162629303891213[[#This Row],[累计净值]]/MAX(INDIRECT("B21:B" &amp; ROW()))-1,E150)</f>
        <v>-1.8595450049455953E-2</v>
      </c>
      <c r="F151" s="110">
        <f>表2_367162629303891213[[#This Row],[累计净值]]</f>
        <v>1.0609999999999999</v>
      </c>
      <c r="G151" s="20">
        <f>表2_367162629303891213[[#This Row],[累计净值]]/$B$21-1</f>
        <v>6.0787842431513583E-2</v>
      </c>
    </row>
    <row r="152" spans="1:7">
      <c r="A152" s="15">
        <v>44022</v>
      </c>
      <c r="B152" s="112">
        <v>1.0570999999999999</v>
      </c>
      <c r="C152" s="108">
        <f t="shared" si="38"/>
        <v>-3.9000000000000146E-3</v>
      </c>
      <c r="D152" s="109">
        <f t="shared" si="39"/>
        <v>-3.9000000000000146E-3</v>
      </c>
      <c r="E152" s="109">
        <f ca="1">IF(表2_367162629303891213[[#This Row],[累计净值]]/MAX(INDIRECT("B21:B" &amp; ROW()))-1&lt;E151,表2_367162629303891213[[#This Row],[累计净值]]/MAX(INDIRECT("B21:B" &amp; ROW()))-1,E151)</f>
        <v>-1.8595450049455953E-2</v>
      </c>
      <c r="F152" s="110">
        <f>表2_367162629303891213[[#This Row],[累计净值]]</f>
        <v>1.0570999999999999</v>
      </c>
      <c r="G152" s="20">
        <f>表2_367162629303891213[[#This Row],[累计净值]]/$B$21-1</f>
        <v>5.688862227554492E-2</v>
      </c>
    </row>
    <row r="153" spans="1:7">
      <c r="A153" s="15">
        <v>44025</v>
      </c>
      <c r="B153" s="112">
        <v>1.0653999999999999</v>
      </c>
      <c r="C153" s="108">
        <f t="shared" si="38"/>
        <v>8.2999999999999741E-3</v>
      </c>
      <c r="D153" s="109" t="str">
        <f t="shared" si="39"/>
        <v>/</v>
      </c>
      <c r="E153" s="109">
        <f ca="1">IF(表2_367162629303891213[[#This Row],[累计净值]]/MAX(INDIRECT("B21:B" &amp; ROW()))-1&lt;E152,表2_367162629303891213[[#This Row],[累计净值]]/MAX(INDIRECT("B21:B" &amp; ROW()))-1,E152)</f>
        <v>-1.8595450049455953E-2</v>
      </c>
      <c r="F153" s="110">
        <f>表2_367162629303891213[[#This Row],[累计净值]]</f>
        <v>1.0653999999999999</v>
      </c>
      <c r="G153" s="20">
        <f>表2_367162629303891213[[#This Row],[累计净值]]/$B$21-1</f>
        <v>6.518696260747836E-2</v>
      </c>
    </row>
    <row r="154" spans="1:7">
      <c r="A154" s="15">
        <v>44026</v>
      </c>
      <c r="B154" s="112">
        <v>1.0748</v>
      </c>
      <c r="C154" s="108">
        <f t="shared" si="38"/>
        <v>9.400000000000075E-3</v>
      </c>
      <c r="D154" s="109" t="str">
        <f t="shared" si="39"/>
        <v>/</v>
      </c>
      <c r="E154" s="109">
        <f ca="1">IF(表2_367162629303891213[[#This Row],[累计净值]]/MAX(INDIRECT("B21:B" &amp; ROW()))-1&lt;E153,表2_367162629303891213[[#This Row],[累计净值]]/MAX(INDIRECT("B21:B" &amp; ROW()))-1,E153)</f>
        <v>-1.8595450049455953E-2</v>
      </c>
      <c r="F154" s="110">
        <f>表2_367162629303891213[[#This Row],[累计净值]]</f>
        <v>1.0748</v>
      </c>
      <c r="G154" s="20">
        <f>表2_367162629303891213[[#This Row],[累计净值]]/$B$21-1</f>
        <v>7.4585082983403383E-2</v>
      </c>
    </row>
    <row r="155" spans="1:7">
      <c r="A155" s="15">
        <v>44027</v>
      </c>
      <c r="B155" s="112">
        <v>1.0666</v>
      </c>
      <c r="C155" s="108">
        <f t="shared" si="38"/>
        <v>-8.1999999999999851E-3</v>
      </c>
      <c r="D155" s="109">
        <f t="shared" si="39"/>
        <v>-8.1999999999999851E-3</v>
      </c>
      <c r="E155" s="109">
        <f ca="1">IF(表2_367162629303891213[[#This Row],[累计净值]]/MAX(INDIRECT("B21:B" &amp; ROW()))-1&lt;E154,表2_367162629303891213[[#This Row],[累计净值]]/MAX(INDIRECT("B21:B" &amp; ROW()))-1,E154)</f>
        <v>-1.8595450049455953E-2</v>
      </c>
      <c r="F155" s="110">
        <f>表2_367162629303891213[[#This Row],[累计净值]]</f>
        <v>1.0666</v>
      </c>
      <c r="G155" s="20">
        <f>表2_367162629303891213[[#This Row],[累计净值]]/$B$21-1</f>
        <v>6.6386722655468855E-2</v>
      </c>
    </row>
    <row r="156" spans="1:7">
      <c r="A156" s="15">
        <v>44028</v>
      </c>
      <c r="B156" s="112">
        <v>1.0558000000000001</v>
      </c>
      <c r="C156" s="108">
        <f t="shared" ref="C156:C162" si="40">IFERROR(B156-B155,0)</f>
        <v>-1.0799999999999921E-2</v>
      </c>
      <c r="D156" s="109">
        <f t="shared" ref="D156:D162" si="41">IF(C156&lt;0,C156,"/")</f>
        <v>-1.0799999999999921E-2</v>
      </c>
      <c r="E156" s="109">
        <f ca="1">IF(表2_367162629303891213[[#This Row],[累计净值]]/MAX(INDIRECT("B21:B" &amp; ROW()))-1&lt;E155,表2_367162629303891213[[#This Row],[累计净值]]/MAX(INDIRECT("B21:B" &amp; ROW()))-1,E155)</f>
        <v>-1.8595450049455953E-2</v>
      </c>
      <c r="F156" s="110">
        <f>表2_367162629303891213[[#This Row],[累计净值]]</f>
        <v>1.0558000000000001</v>
      </c>
      <c r="G156" s="20">
        <f>表2_367162629303891213[[#This Row],[累计净值]]/$B$21-1</f>
        <v>5.5588882223555292E-2</v>
      </c>
    </row>
    <row r="157" spans="1:7">
      <c r="A157" s="15">
        <v>44029</v>
      </c>
      <c r="B157" s="112">
        <v>1.0642</v>
      </c>
      <c r="C157" s="108">
        <f t="shared" si="40"/>
        <v>8.3999999999999631E-3</v>
      </c>
      <c r="D157" s="109" t="str">
        <f t="shared" si="41"/>
        <v>/</v>
      </c>
      <c r="E157" s="109">
        <f ca="1">IF(表2_367162629303891213[[#This Row],[累计净值]]/MAX(INDIRECT("B21:B" &amp; ROW()))-1&lt;E156,表2_367162629303891213[[#This Row],[累计净值]]/MAX(INDIRECT("B21:B" &amp; ROW()))-1,E156)</f>
        <v>-1.8595450049455953E-2</v>
      </c>
      <c r="F157" s="110">
        <f>表2_367162629303891213[[#This Row],[累计净值]]</f>
        <v>1.0642</v>
      </c>
      <c r="G157" s="20">
        <f>表2_367162629303891213[[#This Row],[累计净值]]/$B$21-1</f>
        <v>6.3987202559488088E-2</v>
      </c>
    </row>
    <row r="158" spans="1:7">
      <c r="A158" s="15">
        <v>44032</v>
      </c>
      <c r="B158" s="112">
        <v>1.0770999999999999</v>
      </c>
      <c r="C158" s="108">
        <f t="shared" si="40"/>
        <v>1.2899999999999912E-2</v>
      </c>
      <c r="D158" s="109" t="str">
        <f t="shared" si="41"/>
        <v>/</v>
      </c>
      <c r="E158" s="109">
        <f ca="1">IF(表2_367162629303891213[[#This Row],[累计净值]]/MAX(INDIRECT("B21:B" &amp; ROW()))-1&lt;E157,表2_367162629303891213[[#This Row],[累计净值]]/MAX(INDIRECT("B21:B" &amp; ROW()))-1,E157)</f>
        <v>-1.8595450049455953E-2</v>
      </c>
      <c r="F158" s="110">
        <f>表2_367162629303891213[[#This Row],[累计净值]]</f>
        <v>1.0770999999999999</v>
      </c>
      <c r="G158" s="20">
        <f>表2_367162629303891213[[#This Row],[累计净值]]/$B$21-1</f>
        <v>7.6884623075384795E-2</v>
      </c>
    </row>
    <row r="159" spans="1:7">
      <c r="A159" s="15">
        <v>44033</v>
      </c>
      <c r="B159" s="112">
        <v>1.075</v>
      </c>
      <c r="C159" s="108">
        <f t="shared" si="40"/>
        <v>-2.0999999999999908E-3</v>
      </c>
      <c r="D159" s="109">
        <f t="shared" si="41"/>
        <v>-2.0999999999999908E-3</v>
      </c>
      <c r="E159" s="109">
        <f ca="1">IF(表2_367162629303891213[[#This Row],[累计净值]]/MAX(INDIRECT("B21:B" &amp; ROW()))-1&lt;E158,表2_367162629303891213[[#This Row],[累计净值]]/MAX(INDIRECT("B21:B" &amp; ROW()))-1,E158)</f>
        <v>-1.8595450049455953E-2</v>
      </c>
      <c r="F159" s="110">
        <f>表2_367162629303891213[[#This Row],[累计净值]]</f>
        <v>1.075</v>
      </c>
      <c r="G159" s="20">
        <f>表2_367162629303891213[[#This Row],[累计净值]]/$B$21-1</f>
        <v>7.4785042991401651E-2</v>
      </c>
    </row>
    <row r="160" spans="1:7">
      <c r="A160" s="15">
        <v>44034</v>
      </c>
      <c r="B160" s="112">
        <v>1.0727</v>
      </c>
      <c r="C160" s="108">
        <f t="shared" si="40"/>
        <v>-2.2999999999999687E-3</v>
      </c>
      <c r="D160" s="109">
        <f t="shared" si="41"/>
        <v>-2.2999999999999687E-3</v>
      </c>
      <c r="E160" s="109">
        <f ca="1">IF(表2_367162629303891213[[#This Row],[累计净值]]/MAX(INDIRECT("B21:B" &amp; ROW()))-1&lt;E159,表2_367162629303891213[[#This Row],[累计净值]]/MAX(INDIRECT("B21:B" &amp; ROW()))-1,E159)</f>
        <v>-1.8595450049455953E-2</v>
      </c>
      <c r="F160" s="110">
        <f>表2_367162629303891213[[#This Row],[累计净值]]</f>
        <v>1.0727</v>
      </c>
      <c r="G160" s="20">
        <f>表2_367162629303891213[[#This Row],[累计净值]]/$B$21-1</f>
        <v>7.2485502899420018E-2</v>
      </c>
    </row>
    <row r="161" spans="1:7">
      <c r="A161" s="15">
        <v>44035</v>
      </c>
      <c r="B161" s="112">
        <v>1.0750999999999999</v>
      </c>
      <c r="C161" s="108">
        <f t="shared" si="40"/>
        <v>2.3999999999999577E-3</v>
      </c>
      <c r="D161" s="109" t="str">
        <f t="shared" si="41"/>
        <v>/</v>
      </c>
      <c r="E161" s="109">
        <f ca="1">IF(表2_367162629303891213[[#This Row],[累计净值]]/MAX(INDIRECT("B21:B" &amp; ROW()))-1&lt;E160,表2_367162629303891213[[#This Row],[累计净值]]/MAX(INDIRECT("B21:B" &amp; ROW()))-1,E160)</f>
        <v>-1.8595450049455953E-2</v>
      </c>
      <c r="F161" s="110">
        <f>表2_367162629303891213[[#This Row],[累计净值]]</f>
        <v>1.0750999999999999</v>
      </c>
      <c r="G161" s="20">
        <f>表2_367162629303891213[[#This Row],[累计净值]]/$B$21-1</f>
        <v>7.4885022995400785E-2</v>
      </c>
    </row>
    <row r="162" spans="1:7">
      <c r="A162" s="15">
        <v>44036</v>
      </c>
      <c r="B162" s="112">
        <v>1.0757000000000001</v>
      </c>
      <c r="C162" s="108">
        <f t="shared" si="40"/>
        <v>6.0000000000015596E-4</v>
      </c>
      <c r="D162" s="109" t="str">
        <f t="shared" si="41"/>
        <v>/</v>
      </c>
      <c r="E162" s="109">
        <f ca="1">IF(表2_367162629303891213[[#This Row],[累计净值]]/MAX(INDIRECT("B21:B" &amp; ROW()))-1&lt;E161,表2_367162629303891213[[#This Row],[累计净值]]/MAX(INDIRECT("B21:B" &amp; ROW()))-1,E161)</f>
        <v>-1.8595450049455953E-2</v>
      </c>
      <c r="F162" s="110">
        <f>表2_367162629303891213[[#This Row],[累计净值]]</f>
        <v>1.0757000000000001</v>
      </c>
      <c r="G162" s="20">
        <f>表2_367162629303891213[[#This Row],[累计净值]]/$B$21-1</f>
        <v>7.5484903019396254E-2</v>
      </c>
    </row>
    <row r="163" spans="1:7">
      <c r="A163" s="15">
        <v>44039</v>
      </c>
      <c r="B163" s="112">
        <v>1.0789</v>
      </c>
      <c r="C163" s="108">
        <f t="shared" ref="C163:C168" si="42">IFERROR(B163-B162,0)</f>
        <v>3.1999999999998696E-3</v>
      </c>
      <c r="D163" s="109" t="str">
        <f t="shared" ref="D163:D168" si="43">IF(C163&lt;0,C163,"/")</f>
        <v>/</v>
      </c>
      <c r="E163" s="109">
        <f ca="1">IF(表2_367162629303891213[[#This Row],[累计净值]]/MAX(INDIRECT("B21:B" &amp; ROW()))-1&lt;E162,表2_367162629303891213[[#This Row],[累计净值]]/MAX(INDIRECT("B21:B" &amp; ROW()))-1,E162)</f>
        <v>-1.8595450049455953E-2</v>
      </c>
      <c r="F163" s="110">
        <f>表2_367162629303891213[[#This Row],[累计净值]]</f>
        <v>1.0789</v>
      </c>
      <c r="G163" s="20">
        <f>表2_367162629303891213[[#This Row],[累计净值]]/$B$21-1</f>
        <v>7.8684263147370537E-2</v>
      </c>
    </row>
    <row r="164" spans="1:7">
      <c r="A164" s="15">
        <v>44040</v>
      </c>
      <c r="B164" s="112">
        <v>1.0862000000000001</v>
      </c>
      <c r="C164" s="108">
        <f t="shared" si="42"/>
        <v>7.3000000000000842E-3</v>
      </c>
      <c r="D164" s="109" t="str">
        <f t="shared" si="43"/>
        <v>/</v>
      </c>
      <c r="E164" s="109">
        <f ca="1">IF(表2_367162629303891213[[#This Row],[累计净值]]/MAX(INDIRECT("B21:B" &amp; ROW()))-1&lt;E163,表2_367162629303891213[[#This Row],[累计净值]]/MAX(INDIRECT("B21:B" &amp; ROW()))-1,E163)</f>
        <v>-1.8595450049455953E-2</v>
      </c>
      <c r="F164" s="110">
        <f>表2_367162629303891213[[#This Row],[累计净值]]</f>
        <v>1.0862000000000001</v>
      </c>
      <c r="G164" s="20">
        <f>表2_367162629303891213[[#This Row],[累计净值]]/$B$21-1</f>
        <v>8.5982803439312194E-2</v>
      </c>
    </row>
    <row r="165" spans="1:7">
      <c r="A165" s="15">
        <v>44041</v>
      </c>
      <c r="B165" s="112">
        <v>1.0794999999999999</v>
      </c>
      <c r="C165" s="108">
        <f t="shared" si="42"/>
        <v>-6.7000000000001503E-3</v>
      </c>
      <c r="D165" s="109">
        <f t="shared" si="43"/>
        <v>-6.7000000000001503E-3</v>
      </c>
      <c r="E165" s="109">
        <f ca="1">IF(表2_367162629303891213[[#This Row],[累计净值]]/MAX(INDIRECT("B21:B" &amp; ROW()))-1&lt;E164,表2_367162629303891213[[#This Row],[累计净值]]/MAX(INDIRECT("B21:B" &amp; ROW()))-1,E164)</f>
        <v>-1.8595450049455953E-2</v>
      </c>
      <c r="F165" s="110">
        <f>表2_367162629303891213[[#This Row],[累计净值]]</f>
        <v>1.0794999999999999</v>
      </c>
      <c r="G165" s="20">
        <f>表2_367162629303891213[[#This Row],[累计净值]]/$B$21-1</f>
        <v>7.9284143171365562E-2</v>
      </c>
    </row>
    <row r="166" spans="1:7">
      <c r="A166" s="15">
        <v>44042</v>
      </c>
      <c r="B166" s="112">
        <v>1.0789</v>
      </c>
      <c r="C166" s="108">
        <f t="shared" si="42"/>
        <v>-5.9999999999993392E-4</v>
      </c>
      <c r="D166" s="109">
        <f t="shared" si="43"/>
        <v>-5.9999999999993392E-4</v>
      </c>
      <c r="E166" s="109">
        <f ca="1">IF(表2_367162629303891213[[#This Row],[累计净值]]/MAX(INDIRECT("B21:B" &amp; ROW()))-1&lt;E165,表2_367162629303891213[[#This Row],[累计净值]]/MAX(INDIRECT("B21:B" &amp; ROW()))-1,E165)</f>
        <v>-1.8595450049455953E-2</v>
      </c>
      <c r="F166" s="110">
        <f>表2_367162629303891213[[#This Row],[累计净值]]</f>
        <v>1.0789</v>
      </c>
      <c r="G166" s="20">
        <f>表2_367162629303891213[[#This Row],[累计净值]]/$B$21-1</f>
        <v>7.8684263147370537E-2</v>
      </c>
    </row>
    <row r="167" spans="1:7">
      <c r="A167" s="15">
        <v>44043</v>
      </c>
      <c r="B167" s="112">
        <v>1.0884</v>
      </c>
      <c r="C167" s="108">
        <f t="shared" si="42"/>
        <v>9.5000000000000639E-3</v>
      </c>
      <c r="D167" s="109" t="str">
        <f t="shared" si="43"/>
        <v>/</v>
      </c>
      <c r="E167" s="109">
        <f ca="1">IF(表2_367162629303891213[[#This Row],[累计净值]]/MAX(INDIRECT("B21:B" &amp; ROW()))-1&lt;E166,表2_367162629303891213[[#This Row],[累计净值]]/MAX(INDIRECT("B21:B" &amp; ROW()))-1,E166)</f>
        <v>-1.8595450049455953E-2</v>
      </c>
      <c r="F167" s="110">
        <f>表2_367162629303891213[[#This Row],[累计净值]]</f>
        <v>1.0884</v>
      </c>
      <c r="G167" s="20">
        <f>表2_367162629303891213[[#This Row],[累计净值]]/$B$21-1</f>
        <v>8.8182363527294694E-2</v>
      </c>
    </row>
    <row r="168" spans="1:7">
      <c r="A168" s="15">
        <v>44049</v>
      </c>
      <c r="B168" s="112">
        <v>1.0889</v>
      </c>
      <c r="C168" s="108">
        <f t="shared" si="42"/>
        <v>4.9999999999994493E-4</v>
      </c>
      <c r="D168" s="109" t="str">
        <f t="shared" si="43"/>
        <v>/</v>
      </c>
      <c r="E168" s="109">
        <f ca="1">IF(表2_367162629303891213[[#This Row],[累计净值]]/MAX(INDIRECT("B21:B" &amp; ROW()))-1&lt;E167,表2_367162629303891213[[#This Row],[累计净值]]/MAX(INDIRECT("B21:B" &amp; ROW()))-1,E167)</f>
        <v>-1.8595450049455953E-2</v>
      </c>
      <c r="F168" s="110">
        <f>表2_367162629303891213[[#This Row],[累计净值]]</f>
        <v>1.0889</v>
      </c>
      <c r="G168" s="20">
        <f>表2_367162629303891213[[#This Row],[累计净值]]/$B$21-1</f>
        <v>8.8682263547290585E-2</v>
      </c>
    </row>
    <row r="169" spans="1:7">
      <c r="A169" s="15">
        <v>44050</v>
      </c>
      <c r="B169" s="112">
        <v>1.0902000000000001</v>
      </c>
      <c r="C169" s="108">
        <f t="shared" ref="C169:C175" si="44">IFERROR(B169-B168,0)</f>
        <v>1.3000000000000789E-3</v>
      </c>
      <c r="D169" s="109" t="str">
        <f t="shared" ref="D169:D175" si="45">IF(C169&lt;0,C169,"/")</f>
        <v>/</v>
      </c>
      <c r="E169" s="109">
        <f ca="1">IF(表2_367162629303891213[[#This Row],[累计净值]]/MAX(INDIRECT("B21:B" &amp; ROW()))-1&lt;E168,表2_367162629303891213[[#This Row],[累计净值]]/MAX(INDIRECT("B21:B" &amp; ROW()))-1,E168)</f>
        <v>-1.8595450049455953E-2</v>
      </c>
      <c r="F169" s="110">
        <f>表2_367162629303891213[[#This Row],[累计净值]]</f>
        <v>1.0902000000000001</v>
      </c>
      <c r="G169" s="20">
        <f>表2_367162629303891213[[#This Row],[累计净值]]/$B$21-1</f>
        <v>8.9982003599280214E-2</v>
      </c>
    </row>
    <row r="170" spans="1:7">
      <c r="A170" s="15">
        <v>44053</v>
      </c>
      <c r="B170" s="112">
        <v>1.0884</v>
      </c>
      <c r="C170" s="108">
        <f t="shared" si="44"/>
        <v>-1.8000000000000238E-3</v>
      </c>
      <c r="D170" s="109">
        <f t="shared" si="45"/>
        <v>-1.8000000000000238E-3</v>
      </c>
      <c r="E170" s="109">
        <f ca="1">IF(表2_367162629303891213[[#This Row],[累计净值]]/MAX(INDIRECT("B21:B" &amp; ROW()))-1&lt;E169,表2_367162629303891213[[#This Row],[累计净值]]/MAX(INDIRECT("B21:B" &amp; ROW()))-1,E169)</f>
        <v>-1.8595450049455953E-2</v>
      </c>
      <c r="F170" s="110">
        <f>表2_367162629303891213[[#This Row],[累计净值]]</f>
        <v>1.0884</v>
      </c>
      <c r="G170" s="20">
        <f>表2_367162629303891213[[#This Row],[累计净值]]/$B$21-1</f>
        <v>8.8182363527294694E-2</v>
      </c>
    </row>
    <row r="171" spans="1:7">
      <c r="A171" s="15">
        <v>44054</v>
      </c>
      <c r="B171" s="112">
        <v>1.0875999999999999</v>
      </c>
      <c r="C171" s="108">
        <f t="shared" si="44"/>
        <v>-8.0000000000013394E-4</v>
      </c>
      <c r="D171" s="109">
        <f t="shared" si="45"/>
        <v>-8.0000000000013394E-4</v>
      </c>
      <c r="E171" s="109">
        <f ca="1">IF(表2_367162629303891213[[#This Row],[累计净值]]/MAX(INDIRECT("B21:B" &amp; ROW()))-1&lt;E170,表2_367162629303891213[[#This Row],[累计净值]]/MAX(INDIRECT("B21:B" &amp; ROW()))-1,E170)</f>
        <v>-1.8595450049455953E-2</v>
      </c>
      <c r="F171" s="110">
        <f>表2_367162629303891213[[#This Row],[累计净值]]</f>
        <v>1.0875999999999999</v>
      </c>
      <c r="G171" s="20">
        <f>表2_367162629303891213[[#This Row],[累计净值]]/$B$21-1</f>
        <v>8.7382523495300957E-2</v>
      </c>
    </row>
    <row r="172" spans="1:7">
      <c r="A172" s="15">
        <v>44055</v>
      </c>
      <c r="B172" s="112">
        <v>1.0875999999999999</v>
      </c>
      <c r="C172" s="108">
        <f t="shared" si="44"/>
        <v>0</v>
      </c>
      <c r="D172" s="109" t="str">
        <f t="shared" si="45"/>
        <v>/</v>
      </c>
      <c r="E172" s="109">
        <f ca="1">IF(表2_367162629303891213[[#This Row],[累计净值]]/MAX(INDIRECT("B21:B" &amp; ROW()))-1&lt;E171,表2_367162629303891213[[#This Row],[累计净值]]/MAX(INDIRECT("B21:B" &amp; ROW()))-1,E171)</f>
        <v>-1.8595450049455953E-2</v>
      </c>
      <c r="F172" s="110">
        <f>表2_367162629303891213[[#This Row],[累计净值]]</f>
        <v>1.0875999999999999</v>
      </c>
      <c r="G172" s="20">
        <f>表2_367162629303891213[[#This Row],[累计净值]]/$B$21-1</f>
        <v>8.7382523495300957E-2</v>
      </c>
    </row>
    <row r="173" spans="1:7">
      <c r="A173" s="15">
        <v>44056</v>
      </c>
      <c r="B173" s="112">
        <v>1.0886</v>
      </c>
      <c r="C173" s="108">
        <f t="shared" si="44"/>
        <v>1.0000000000001119E-3</v>
      </c>
      <c r="D173" s="109" t="str">
        <f t="shared" si="45"/>
        <v>/</v>
      </c>
      <c r="E173" s="109">
        <f ca="1">IF(表2_367162629303891213[[#This Row],[累计净值]]/MAX(INDIRECT("B21:B" &amp; ROW()))-1&lt;E172,表2_367162629303891213[[#This Row],[累计净值]]/MAX(INDIRECT("B21:B" &amp; ROW()))-1,E172)</f>
        <v>-1.8595450049455953E-2</v>
      </c>
      <c r="F173" s="110">
        <f>表2_367162629303891213[[#This Row],[累计净值]]</f>
        <v>1.0886</v>
      </c>
      <c r="G173" s="20">
        <f>表2_367162629303891213[[#This Row],[累计净值]]/$B$21-1</f>
        <v>8.8382323535292961E-2</v>
      </c>
    </row>
    <row r="174" spans="1:7">
      <c r="A174" s="15">
        <v>44057</v>
      </c>
      <c r="B174" s="112">
        <v>1.0879000000000001</v>
      </c>
      <c r="C174" s="108">
        <f t="shared" si="44"/>
        <v>-6.9999999999992291E-4</v>
      </c>
      <c r="D174" s="109">
        <f t="shared" si="45"/>
        <v>-6.9999999999992291E-4</v>
      </c>
      <c r="E174" s="109">
        <f ca="1">IF(表2_367162629303891213[[#This Row],[累计净值]]/MAX(INDIRECT("B21:B" &amp; ROW()))-1&lt;E173,表2_367162629303891213[[#This Row],[累计净值]]/MAX(INDIRECT("B21:B" &amp; ROW()))-1,E173)</f>
        <v>-1.8595450049455953E-2</v>
      </c>
      <c r="F174" s="110">
        <f>表2_367162629303891213[[#This Row],[累计净值]]</f>
        <v>1.0879000000000001</v>
      </c>
      <c r="G174" s="20">
        <f>表2_367162629303891213[[#This Row],[累计净值]]/$B$21-1</f>
        <v>8.768246350729858E-2</v>
      </c>
    </row>
    <row r="175" spans="1:7">
      <c r="A175" s="15">
        <v>44060</v>
      </c>
      <c r="B175" s="112">
        <v>1.0892999999999999</v>
      </c>
      <c r="C175" s="108">
        <f t="shared" si="44"/>
        <v>1.3999999999998458E-3</v>
      </c>
      <c r="D175" s="109" t="str">
        <f t="shared" si="45"/>
        <v>/</v>
      </c>
      <c r="E175" s="109">
        <f ca="1">IF(表2_367162629303891213[[#This Row],[累计净值]]/MAX(INDIRECT("B21:B" &amp; ROW()))-1&lt;E174,表2_367162629303891213[[#This Row],[累计净值]]/MAX(INDIRECT("B21:B" &amp; ROW()))-1,E174)</f>
        <v>-1.8595450049455953E-2</v>
      </c>
      <c r="F175" s="110">
        <f>表2_367162629303891213[[#This Row],[累计净值]]</f>
        <v>1.0892999999999999</v>
      </c>
      <c r="G175" s="20">
        <f>表2_367162629303891213[[#This Row],[累计净值]]/$B$21-1</f>
        <v>8.9082183563287343E-2</v>
      </c>
    </row>
    <row r="176" spans="1:7">
      <c r="A176" s="15">
        <v>44061</v>
      </c>
      <c r="B176" s="112">
        <v>1.0904</v>
      </c>
      <c r="C176" s="108">
        <f t="shared" ref="C176:C181" si="46">IFERROR(B176-B175,0)</f>
        <v>1.1000000000001009E-3</v>
      </c>
      <c r="D176" s="109" t="str">
        <f t="shared" ref="D176:D181" si="47">IF(C176&lt;0,C176,"/")</f>
        <v>/</v>
      </c>
      <c r="E176" s="109">
        <f ca="1">IF(表2_367162629303891213[[#This Row],[累计净值]]/MAX(INDIRECT("B21:B" &amp; ROW()))-1&lt;E175,表2_367162629303891213[[#This Row],[累计净值]]/MAX(INDIRECT("B21:B" &amp; ROW()))-1,E175)</f>
        <v>-1.8595450049455953E-2</v>
      </c>
      <c r="F176" s="110">
        <f>表2_367162629303891213[[#This Row],[累计净值]]</f>
        <v>1.0904</v>
      </c>
      <c r="G176" s="20">
        <f>表2_367162629303891213[[#This Row],[累计净值]]/$B$21-1</f>
        <v>9.0181963607278703E-2</v>
      </c>
    </row>
    <row r="177" spans="1:7">
      <c r="A177" s="15">
        <v>44062</v>
      </c>
      <c r="B177" s="112">
        <v>1.0921000000000001</v>
      </c>
      <c r="C177" s="108">
        <f t="shared" si="46"/>
        <v>1.7000000000000348E-3</v>
      </c>
      <c r="D177" s="109" t="str">
        <f t="shared" si="47"/>
        <v>/</v>
      </c>
      <c r="E177" s="109">
        <f ca="1">IF(表2_367162629303891213[[#This Row],[累计净值]]/MAX(INDIRECT("B21:B" &amp; ROW()))-1&lt;E176,表2_367162629303891213[[#This Row],[累计净值]]/MAX(INDIRECT("B21:B" &amp; ROW()))-1,E176)</f>
        <v>-1.8595450049455953E-2</v>
      </c>
      <c r="F177" s="110">
        <f>表2_367162629303891213[[#This Row],[累计净值]]</f>
        <v>1.0921000000000001</v>
      </c>
      <c r="G177" s="20">
        <f>表2_367162629303891213[[#This Row],[累计净值]]/$B$21-1</f>
        <v>9.1881623675265089E-2</v>
      </c>
    </row>
    <row r="178" spans="1:7">
      <c r="A178" s="15">
        <v>44063</v>
      </c>
      <c r="B178" s="112">
        <v>1.0924</v>
      </c>
      <c r="C178" s="108">
        <f t="shared" si="46"/>
        <v>2.9999999999996696E-4</v>
      </c>
      <c r="D178" s="109" t="str">
        <f t="shared" si="47"/>
        <v>/</v>
      </c>
      <c r="E178" s="109">
        <f ca="1">IF(表2_367162629303891213[[#This Row],[累计净值]]/MAX(INDIRECT("B21:B" &amp; ROW()))-1&lt;E177,表2_367162629303891213[[#This Row],[累计净值]]/MAX(INDIRECT("B21:B" &amp; ROW()))-1,E177)</f>
        <v>-1.8595450049455953E-2</v>
      </c>
      <c r="F178" s="110">
        <f>表2_367162629303891213[[#This Row],[累计净值]]</f>
        <v>1.0924</v>
      </c>
      <c r="G178" s="20">
        <f>表2_367162629303891213[[#This Row],[累计净值]]/$B$21-1</f>
        <v>9.2181563687262713E-2</v>
      </c>
    </row>
    <row r="179" spans="1:7">
      <c r="A179" s="15">
        <v>44064</v>
      </c>
      <c r="B179" s="112">
        <v>1.0998000000000001</v>
      </c>
      <c r="C179" s="108">
        <f t="shared" si="46"/>
        <v>7.4000000000000732E-3</v>
      </c>
      <c r="D179" s="109" t="str">
        <f t="shared" si="47"/>
        <v>/</v>
      </c>
      <c r="E179" s="109">
        <f ca="1">IF(表2_367162629303891213[[#This Row],[累计净值]]/MAX(INDIRECT("B21:B" &amp; ROW()))-1&lt;E178,表2_367162629303891213[[#This Row],[累计净值]]/MAX(INDIRECT("B21:B" &amp; ROW()))-1,E178)</f>
        <v>-1.8595450049455953E-2</v>
      </c>
      <c r="F179" s="110">
        <f>表2_367162629303891213[[#This Row],[累计净值]]</f>
        <v>1.0998000000000001</v>
      </c>
      <c r="G179" s="20">
        <f>表2_367162629303891213[[#This Row],[累计净值]]/$B$21-1</f>
        <v>9.9580083983203505E-2</v>
      </c>
    </row>
    <row r="180" spans="1:7">
      <c r="A180" s="15">
        <v>44067</v>
      </c>
      <c r="B180" s="112">
        <v>1.1020000000000001</v>
      </c>
      <c r="C180" s="108">
        <f t="shared" si="46"/>
        <v>2.1999999999999797E-3</v>
      </c>
      <c r="D180" s="109" t="str">
        <f t="shared" si="47"/>
        <v>/</v>
      </c>
      <c r="E180" s="109">
        <f ca="1">IF(表2_367162629303891213[[#This Row],[累计净值]]/MAX(INDIRECT("B21:B" &amp; ROW()))-1&lt;E179,表2_367162629303891213[[#This Row],[累计净值]]/MAX(INDIRECT("B21:B" &amp; ROW()))-1,E179)</f>
        <v>-1.8595450049455953E-2</v>
      </c>
      <c r="F180" s="110">
        <f>表2_367162629303891213[[#This Row],[累计净值]]</f>
        <v>1.1020000000000001</v>
      </c>
      <c r="G180" s="20">
        <f>表2_367162629303891213[[#This Row],[累计净值]]/$B$21-1</f>
        <v>0.10177964407118578</v>
      </c>
    </row>
    <row r="181" spans="1:7">
      <c r="A181" s="15">
        <v>44068</v>
      </c>
      <c r="B181" s="112">
        <v>1.1033999999999999</v>
      </c>
      <c r="C181" s="108">
        <f t="shared" si="46"/>
        <v>1.3999999999998458E-3</v>
      </c>
      <c r="D181" s="109" t="str">
        <f t="shared" si="47"/>
        <v>/</v>
      </c>
      <c r="E181" s="109">
        <f ca="1">IF(表2_367162629303891213[[#This Row],[累计净值]]/MAX(INDIRECT("B21:B" &amp; ROW()))-1&lt;E180,表2_367162629303891213[[#This Row],[累计净值]]/MAX(INDIRECT("B21:B" &amp; ROW()))-1,E180)</f>
        <v>-1.8595450049455953E-2</v>
      </c>
      <c r="F181" s="110">
        <f>表2_367162629303891213[[#This Row],[累计净值]]</f>
        <v>1.1033999999999999</v>
      </c>
      <c r="G181" s="20">
        <f>表2_367162629303891213[[#This Row],[累计净值]]/$B$21-1</f>
        <v>0.10317936412717454</v>
      </c>
    </row>
    <row r="182" spans="1:7">
      <c r="A182" s="15">
        <v>44069</v>
      </c>
      <c r="B182" s="112">
        <v>1.0974999999999999</v>
      </c>
      <c r="C182" s="108">
        <f t="shared" ref="C182:C187" si="48">IFERROR(B182-B181,0)</f>
        <v>-5.9000000000000163E-3</v>
      </c>
      <c r="D182" s="109">
        <f t="shared" ref="D182:D187" si="49">IF(C182&lt;0,C182,"/")</f>
        <v>-5.9000000000000163E-3</v>
      </c>
      <c r="E182" s="109">
        <f ca="1">IF(表2_367162629303891213[[#This Row],[累计净值]]/MAX(INDIRECT("B21:B" &amp; ROW()))-1&lt;E181,表2_367162629303891213[[#This Row],[累计净值]]/MAX(INDIRECT("B21:B" &amp; ROW()))-1,E181)</f>
        <v>-1.8595450049455953E-2</v>
      </c>
      <c r="F182" s="110">
        <f>表2_367162629303891213[[#This Row],[累计净值]]</f>
        <v>1.0974999999999999</v>
      </c>
      <c r="G182" s="20">
        <f>表2_367162629303891213[[#This Row],[累计净值]]/$B$21-1</f>
        <v>9.7280543891221649E-2</v>
      </c>
    </row>
    <row r="183" spans="1:7">
      <c r="A183" s="15">
        <v>44070</v>
      </c>
      <c r="B183" s="112">
        <v>1.0966</v>
      </c>
      <c r="C183" s="108">
        <f t="shared" si="48"/>
        <v>-8.9999999999990088E-4</v>
      </c>
      <c r="D183" s="109">
        <f t="shared" si="49"/>
        <v>-8.9999999999990088E-4</v>
      </c>
      <c r="E183" s="109">
        <f ca="1">IF(表2_367162629303891213[[#This Row],[累计净值]]/MAX(INDIRECT("B21:B" &amp; ROW()))-1&lt;E182,表2_367162629303891213[[#This Row],[累计净值]]/MAX(INDIRECT("B21:B" &amp; ROW()))-1,E182)</f>
        <v>-1.8595450049455953E-2</v>
      </c>
      <c r="F183" s="110">
        <f>表2_367162629303891213[[#This Row],[累计净值]]</f>
        <v>1.0966</v>
      </c>
      <c r="G183" s="20">
        <f>表2_367162629303891213[[#This Row],[累计净值]]/$B$21-1</f>
        <v>9.6380723855229E-2</v>
      </c>
    </row>
    <row r="184" spans="1:7">
      <c r="A184" s="15">
        <v>44071</v>
      </c>
      <c r="B184" s="112">
        <v>1.0926</v>
      </c>
      <c r="C184" s="108">
        <f t="shared" si="48"/>
        <v>-4.0000000000000036E-3</v>
      </c>
      <c r="D184" s="109">
        <f t="shared" si="49"/>
        <v>-4.0000000000000036E-3</v>
      </c>
      <c r="E184" s="109">
        <f ca="1">IF(表2_367162629303891213[[#This Row],[累计净值]]/MAX(INDIRECT("B21:B" &amp; ROW()))-1&lt;E183,表2_367162629303891213[[#This Row],[累计净值]]/MAX(INDIRECT("B21:B" &amp; ROW()))-1,E183)</f>
        <v>-1.8595450049455953E-2</v>
      </c>
      <c r="F184" s="110">
        <f>表2_367162629303891213[[#This Row],[累计净值]]</f>
        <v>1.0926</v>
      </c>
      <c r="G184" s="20">
        <f>表2_367162629303891213[[#This Row],[累计净值]]/$B$21-1</f>
        <v>9.2381523695260981E-2</v>
      </c>
    </row>
    <row r="185" spans="1:7">
      <c r="A185" s="15">
        <v>44074</v>
      </c>
      <c r="B185" s="112">
        <v>1.0951</v>
      </c>
      <c r="C185" s="108">
        <f t="shared" si="48"/>
        <v>2.4999999999999467E-3</v>
      </c>
      <c r="D185" s="109" t="str">
        <f t="shared" si="49"/>
        <v>/</v>
      </c>
      <c r="E185" s="109">
        <f ca="1">IF(表2_367162629303891213[[#This Row],[累计净值]]/MAX(INDIRECT("B21:B" &amp; ROW()))-1&lt;E184,表2_367162629303891213[[#This Row],[累计净值]]/MAX(INDIRECT("B21:B" &amp; ROW()))-1,E184)</f>
        <v>-1.8595450049455953E-2</v>
      </c>
      <c r="F185" s="110">
        <f>表2_367162629303891213[[#This Row],[累计净值]]</f>
        <v>1.0951</v>
      </c>
      <c r="G185" s="20">
        <f>表2_367162629303891213[[#This Row],[累计净值]]/$B$21-1</f>
        <v>9.4881023795240882E-2</v>
      </c>
    </row>
    <row r="186" spans="1:7">
      <c r="A186" s="15">
        <v>44075</v>
      </c>
      <c r="B186" s="112">
        <v>1.1001000000000001</v>
      </c>
      <c r="C186" s="108">
        <f t="shared" si="48"/>
        <v>5.0000000000001155E-3</v>
      </c>
      <c r="D186" s="109" t="str">
        <f t="shared" si="49"/>
        <v>/</v>
      </c>
      <c r="E186" s="109">
        <f ca="1">IF(表2_367162629303891213[[#This Row],[累计净值]]/MAX(INDIRECT("B21:B" &amp; ROW()))-1&lt;E185,表2_367162629303891213[[#This Row],[累计净值]]/MAX(INDIRECT("B21:B" &amp; ROW()))-1,E185)</f>
        <v>-1.8595450049455953E-2</v>
      </c>
      <c r="F186" s="110">
        <f>表2_367162629303891213[[#This Row],[累计净值]]</f>
        <v>1.1001000000000001</v>
      </c>
      <c r="G186" s="20">
        <f>表2_367162629303891213[[#This Row],[累计净值]]/$B$21-1</f>
        <v>9.9880023995201128E-2</v>
      </c>
    </row>
    <row r="187" spans="1:7">
      <c r="A187" s="15">
        <v>44076</v>
      </c>
      <c r="B187" s="112">
        <v>1.1004</v>
      </c>
      <c r="C187" s="108">
        <f t="shared" si="48"/>
        <v>2.9999999999996696E-4</v>
      </c>
      <c r="D187" s="109" t="str">
        <f t="shared" si="49"/>
        <v>/</v>
      </c>
      <c r="E187" s="109">
        <f ca="1">IF(表2_367162629303891213[[#This Row],[累计净值]]/MAX(INDIRECT("B21:B" &amp; ROW()))-1&lt;E186,表2_367162629303891213[[#This Row],[累计净值]]/MAX(INDIRECT("B21:B" &amp; ROW()))-1,E186)</f>
        <v>-1.8595450049455953E-2</v>
      </c>
      <c r="F187" s="110">
        <f>表2_367162629303891213[[#This Row],[累计净值]]</f>
        <v>1.1004</v>
      </c>
      <c r="G187" s="20">
        <f>表2_367162629303891213[[#This Row],[累计净值]]/$B$21-1</f>
        <v>0.10017996400719853</v>
      </c>
    </row>
    <row r="188" spans="1:7">
      <c r="A188" s="15">
        <v>44077</v>
      </c>
      <c r="B188" s="112">
        <v>1.1042000000000001</v>
      </c>
      <c r="C188" s="108">
        <f t="shared" ref="C188:C194" si="50">IFERROR(B188-B187,0)</f>
        <v>3.8000000000000256E-3</v>
      </c>
      <c r="D188" s="109" t="str">
        <f t="shared" ref="D188:D194" si="51">IF(C188&lt;0,C188,"/")</f>
        <v>/</v>
      </c>
      <c r="E188" s="109">
        <f ca="1">IF(表2_367162629303891213[[#This Row],[累计净值]]/MAX(INDIRECT("B21:B" &amp; ROW()))-1&lt;E187,表2_367162629303891213[[#This Row],[累计净值]]/MAX(INDIRECT("B21:B" &amp; ROW()))-1,E187)</f>
        <v>-1.8595450049455953E-2</v>
      </c>
      <c r="F188" s="110">
        <f>表2_367162629303891213[[#This Row],[累计净值]]</f>
        <v>1.1042000000000001</v>
      </c>
      <c r="G188" s="20">
        <f>表2_367162629303891213[[#This Row],[累计净值]]/$B$21-1</f>
        <v>0.10397920415916828</v>
      </c>
    </row>
    <row r="189" spans="1:7">
      <c r="A189" s="15">
        <v>44078</v>
      </c>
      <c r="B189" s="112">
        <v>1.1016999999999999</v>
      </c>
      <c r="C189" s="108">
        <f t="shared" si="50"/>
        <v>-2.5000000000001688E-3</v>
      </c>
      <c r="D189" s="109">
        <f t="shared" si="51"/>
        <v>-2.5000000000001688E-3</v>
      </c>
      <c r="E189" s="109">
        <f ca="1">IF(表2_367162629303891213[[#This Row],[累计净值]]/MAX(INDIRECT("B21:B" &amp; ROW()))-1&lt;E188,表2_367162629303891213[[#This Row],[累计净值]]/MAX(INDIRECT("B21:B" &amp; ROW()))-1,E188)</f>
        <v>-1.8595450049455953E-2</v>
      </c>
      <c r="F189" s="110">
        <f>表2_367162629303891213[[#This Row],[累计净值]]</f>
        <v>1.1016999999999999</v>
      </c>
      <c r="G189" s="20">
        <f>表2_367162629303891213[[#This Row],[累计净值]]/$B$21-1</f>
        <v>0.10147970405918816</v>
      </c>
    </row>
    <row r="190" spans="1:7">
      <c r="A190" s="15">
        <v>44081</v>
      </c>
      <c r="B190" s="112">
        <v>1.0949</v>
      </c>
      <c r="C190" s="108">
        <f t="shared" si="50"/>
        <v>-6.7999999999999172E-3</v>
      </c>
      <c r="D190" s="109">
        <f t="shared" si="51"/>
        <v>-6.7999999999999172E-3</v>
      </c>
      <c r="E190" s="109">
        <f ca="1">IF(表2_367162629303891213[[#This Row],[累计净值]]/MAX(INDIRECT("B21:B" &amp; ROW()))-1&lt;E189,表2_367162629303891213[[#This Row],[累计净值]]/MAX(INDIRECT("B21:B" &amp; ROW()))-1,E189)</f>
        <v>-1.8595450049455953E-2</v>
      </c>
      <c r="F190" s="110">
        <f>表2_367162629303891213[[#This Row],[累计净值]]</f>
        <v>1.0949</v>
      </c>
      <c r="G190" s="20">
        <f>表2_367162629303891213[[#This Row],[累计净值]]/$B$21-1</f>
        <v>9.4681063787242614E-2</v>
      </c>
    </row>
    <row r="191" spans="1:7">
      <c r="A191" s="15">
        <v>44082</v>
      </c>
      <c r="B191" s="112">
        <v>1.0889</v>
      </c>
      <c r="C191" s="108">
        <f t="shared" si="50"/>
        <v>-6.0000000000000053E-3</v>
      </c>
      <c r="D191" s="109">
        <f t="shared" si="51"/>
        <v>-6.0000000000000053E-3</v>
      </c>
      <c r="E191" s="109">
        <f ca="1">IF(表2_367162629303891213[[#This Row],[累计净值]]/MAX(INDIRECT("B21:B" &amp; ROW()))-1&lt;E190,表2_367162629303891213[[#This Row],[累计净值]]/MAX(INDIRECT("B21:B" &amp; ROW()))-1,E190)</f>
        <v>-1.8595450049455953E-2</v>
      </c>
      <c r="F191" s="110">
        <f>表2_367162629303891213[[#This Row],[累计净值]]</f>
        <v>1.0889</v>
      </c>
      <c r="G191" s="20">
        <f>表2_367162629303891213[[#This Row],[累计净值]]/$B$21-1</f>
        <v>8.8682263547290585E-2</v>
      </c>
    </row>
    <row r="192" spans="1:7">
      <c r="A192" s="15">
        <v>44083</v>
      </c>
      <c r="B192" s="112">
        <v>1.0831</v>
      </c>
      <c r="C192" s="108">
        <f t="shared" si="50"/>
        <v>-5.8000000000000274E-3</v>
      </c>
      <c r="D192" s="109">
        <f t="shared" si="51"/>
        <v>-5.8000000000000274E-3</v>
      </c>
      <c r="E192" s="109">
        <f ca="1">IF(表2_367162629303891213[[#This Row],[累计净值]]/MAX(INDIRECT("B21:B" &amp; ROW()))-1&lt;E191,表2_367162629303891213[[#This Row],[累计净值]]/MAX(INDIRECT("B21:B" &amp; ROW()))-1,E191)</f>
        <v>-1.9108857091106768E-2</v>
      </c>
      <c r="F192" s="110">
        <f>表2_367162629303891213[[#This Row],[累计净值]]</f>
        <v>1.0831</v>
      </c>
      <c r="G192" s="20">
        <f>表2_367162629303891213[[#This Row],[累计净值]]/$B$21-1</f>
        <v>8.2883423315336824E-2</v>
      </c>
    </row>
    <row r="193" spans="1:7">
      <c r="A193" s="15">
        <v>44084</v>
      </c>
      <c r="B193" s="112">
        <v>1.0781000000000001</v>
      </c>
      <c r="C193" s="108">
        <f t="shared" si="50"/>
        <v>-4.9999999999998934E-3</v>
      </c>
      <c r="D193" s="109">
        <f t="shared" si="51"/>
        <v>-4.9999999999998934E-3</v>
      </c>
      <c r="E193" s="109">
        <f ca="1">IF(表2_367162629303891213[[#This Row],[累计净值]]/MAX(INDIRECT("B21:B" &amp; ROW()))-1&lt;E192,表2_367162629303891213[[#This Row],[累计净值]]/MAX(INDIRECT("B21:B" &amp; ROW()))-1,E192)</f>
        <v>-2.3637022278572783E-2</v>
      </c>
      <c r="F193" s="110">
        <f>表2_367162629303891213[[#This Row],[累计净值]]</f>
        <v>1.0781000000000001</v>
      </c>
      <c r="G193" s="20">
        <f>表2_367162629303891213[[#This Row],[累计净值]]/$B$21-1</f>
        <v>7.7884423115377022E-2</v>
      </c>
    </row>
    <row r="194" spans="1:7">
      <c r="A194" s="15">
        <v>44085</v>
      </c>
      <c r="B194" s="112">
        <v>1.0831</v>
      </c>
      <c r="C194" s="108">
        <f t="shared" si="50"/>
        <v>4.9999999999998934E-3</v>
      </c>
      <c r="D194" s="109" t="str">
        <f t="shared" si="51"/>
        <v>/</v>
      </c>
      <c r="E194" s="109">
        <f ca="1">IF(表2_367162629303891213[[#This Row],[累计净值]]/MAX(INDIRECT("B21:B" &amp; ROW()))-1&lt;E193,表2_367162629303891213[[#This Row],[累计净值]]/MAX(INDIRECT("B21:B" &amp; ROW()))-1,E193)</f>
        <v>-2.3637022278572783E-2</v>
      </c>
      <c r="F194" s="110">
        <f>表2_367162629303891213[[#This Row],[累计净值]]</f>
        <v>1.0831</v>
      </c>
      <c r="G194" s="20">
        <f>表2_367162629303891213[[#This Row],[累计净值]]/$B$21-1</f>
        <v>8.2883423315336824E-2</v>
      </c>
    </row>
    <row r="195" spans="1:7">
      <c r="A195" s="15">
        <v>44088</v>
      </c>
      <c r="B195" s="112">
        <v>1.0880000000000001</v>
      </c>
      <c r="C195" s="108">
        <f t="shared" ref="C195:C201" si="52">IFERROR(B195-B194,0)</f>
        <v>4.9000000000001265E-3</v>
      </c>
      <c r="D195" s="109" t="str">
        <f t="shared" ref="D195:D201" si="53">IF(C195&lt;0,C195,"/")</f>
        <v>/</v>
      </c>
      <c r="E195" s="109">
        <f ca="1">IF(表2_367162629303891213[[#This Row],[累计净值]]/MAX(INDIRECT("B21:B" &amp; ROW()))-1&lt;E194,表2_367162629303891213[[#This Row],[累计净值]]/MAX(INDIRECT("B21:B" &amp; ROW()))-1,E194)</f>
        <v>-2.3637022278572783E-2</v>
      </c>
      <c r="F195" s="110">
        <f>表2_367162629303891213[[#This Row],[累计净值]]</f>
        <v>1.0880000000000001</v>
      </c>
      <c r="G195" s="20">
        <f>表2_367162629303891213[[#This Row],[累计净值]]/$B$21-1</f>
        <v>8.7782443511297936E-2</v>
      </c>
    </row>
    <row r="196" spans="1:7">
      <c r="A196" s="15">
        <v>44089</v>
      </c>
      <c r="B196" s="112">
        <v>1.087</v>
      </c>
      <c r="C196" s="108">
        <f t="shared" si="52"/>
        <v>-1.0000000000001119E-3</v>
      </c>
      <c r="D196" s="109">
        <f t="shared" si="53"/>
        <v>-1.0000000000001119E-3</v>
      </c>
      <c r="E196" s="109">
        <f ca="1">IF(表2_367162629303891213[[#This Row],[累计净值]]/MAX(INDIRECT("B21:B" &amp; ROW()))-1&lt;E195,表2_367162629303891213[[#This Row],[累计净值]]/MAX(INDIRECT("B21:B" &amp; ROW()))-1,E195)</f>
        <v>-2.3637022278572783E-2</v>
      </c>
      <c r="F196" s="110">
        <f>表2_367162629303891213[[#This Row],[累计净值]]</f>
        <v>1.087</v>
      </c>
      <c r="G196" s="20">
        <f>表2_367162629303891213[[#This Row],[累计净值]]/$B$21-1</f>
        <v>8.6782643471305709E-2</v>
      </c>
    </row>
    <row r="197" spans="1:7">
      <c r="A197" s="15">
        <v>44090</v>
      </c>
      <c r="B197" s="112">
        <v>1.0854999999999999</v>
      </c>
      <c r="C197" s="108">
        <f t="shared" si="52"/>
        <v>-1.5000000000000568E-3</v>
      </c>
      <c r="D197" s="109">
        <f t="shared" si="53"/>
        <v>-1.5000000000000568E-3</v>
      </c>
      <c r="E197" s="109">
        <f ca="1">IF(表2_367162629303891213[[#This Row],[累计净值]]/MAX(INDIRECT("B21:B" &amp; ROW()))-1&lt;E196,表2_367162629303891213[[#This Row],[累计净值]]/MAX(INDIRECT("B21:B" &amp; ROW()))-1,E196)</f>
        <v>-2.3637022278572783E-2</v>
      </c>
      <c r="F197" s="110">
        <f>表2_367162629303891213[[#This Row],[累计净值]]</f>
        <v>1.0854999999999999</v>
      </c>
      <c r="G197" s="20">
        <f>表2_367162629303891213[[#This Row],[累计净值]]/$B$21-1</f>
        <v>8.5282943411317591E-2</v>
      </c>
    </row>
    <row r="198" spans="1:7">
      <c r="A198" s="15">
        <v>44091</v>
      </c>
      <c r="B198" s="112">
        <v>1.0767</v>
      </c>
      <c r="C198" s="108">
        <f t="shared" si="52"/>
        <v>-8.799999999999919E-3</v>
      </c>
      <c r="D198" s="109">
        <f t="shared" si="53"/>
        <v>-8.799999999999919E-3</v>
      </c>
      <c r="E198" s="109">
        <f ca="1">IF(表2_367162629303891213[[#This Row],[累计净值]]/MAX(INDIRECT("B21:B" &amp; ROW()))-1&lt;E197,表2_367162629303891213[[#This Row],[累计净值]]/MAX(INDIRECT("B21:B" &amp; ROW()))-1,E197)</f>
        <v>-2.4904908531063308E-2</v>
      </c>
      <c r="F198" s="110">
        <f>表2_367162629303891213[[#This Row],[累计净值]]</f>
        <v>1.0767</v>
      </c>
      <c r="G198" s="20">
        <f>表2_367162629303891213[[#This Row],[累计净值]]/$B$21-1</f>
        <v>7.6484703059388037E-2</v>
      </c>
    </row>
    <row r="199" spans="1:7">
      <c r="A199" s="15">
        <v>44092</v>
      </c>
      <c r="B199" s="112">
        <v>1.0782</v>
      </c>
      <c r="C199" s="108">
        <f t="shared" si="52"/>
        <v>1.5000000000000568E-3</v>
      </c>
      <c r="D199" s="109" t="str">
        <f t="shared" si="53"/>
        <v>/</v>
      </c>
      <c r="E199" s="109">
        <f ca="1">IF(表2_367162629303891213[[#This Row],[累计净值]]/MAX(INDIRECT("B21:B" &amp; ROW()))-1&lt;E198,表2_367162629303891213[[#This Row],[累计净值]]/MAX(INDIRECT("B21:B" &amp; ROW()))-1,E198)</f>
        <v>-2.4904908531063308E-2</v>
      </c>
      <c r="F199" s="110">
        <f>表2_367162629303891213[[#This Row],[累计净值]]</f>
        <v>1.0782</v>
      </c>
      <c r="G199" s="20">
        <f>表2_367162629303891213[[#This Row],[累计净值]]/$B$21-1</f>
        <v>7.7984403119376156E-2</v>
      </c>
    </row>
    <row r="200" spans="1:7">
      <c r="A200" s="15">
        <v>44095</v>
      </c>
      <c r="B200" s="112">
        <v>1.0815999999999999</v>
      </c>
      <c r="C200" s="108">
        <f t="shared" si="52"/>
        <v>3.3999999999998476E-3</v>
      </c>
      <c r="D200" s="109" t="str">
        <f t="shared" si="53"/>
        <v>/</v>
      </c>
      <c r="E200" s="109">
        <f ca="1">IF(表2_367162629303891213[[#This Row],[累计净值]]/MAX(INDIRECT("B21:B" &amp; ROW()))-1&lt;E199,表2_367162629303891213[[#This Row],[累计净值]]/MAX(INDIRECT("B21:B" &amp; ROW()))-1,E199)</f>
        <v>-2.4904908531063308E-2</v>
      </c>
      <c r="F200" s="110">
        <f>表2_367162629303891213[[#This Row],[累计净值]]</f>
        <v>1.0815999999999999</v>
      </c>
      <c r="G200" s="20">
        <f>表2_367162629303891213[[#This Row],[累计净值]]/$B$21-1</f>
        <v>8.1383723255348928E-2</v>
      </c>
    </row>
    <row r="201" spans="1:7">
      <c r="A201" s="15">
        <v>44096</v>
      </c>
      <c r="B201" s="112">
        <v>1.0786</v>
      </c>
      <c r="C201" s="108">
        <f t="shared" si="52"/>
        <v>-2.9999999999998916E-3</v>
      </c>
      <c r="D201" s="109">
        <f t="shared" si="53"/>
        <v>-2.9999999999998916E-3</v>
      </c>
      <c r="E201" s="109">
        <f ca="1">IF(表2_367162629303891213[[#This Row],[累计净值]]/MAX(INDIRECT("B21:B" &amp; ROW()))-1&lt;E200,表2_367162629303891213[[#This Row],[累计净值]]/MAX(INDIRECT("B21:B" &amp; ROW()))-1,E200)</f>
        <v>-2.4904908531063308E-2</v>
      </c>
      <c r="F201" s="110">
        <f>表2_367162629303891213[[#This Row],[累计净值]]</f>
        <v>1.0786</v>
      </c>
      <c r="G201" s="20">
        <f>表2_367162629303891213[[#This Row],[累计净值]]/$B$21-1</f>
        <v>7.8384323135372913E-2</v>
      </c>
    </row>
    <row r="202" spans="1:7">
      <c r="A202" s="15">
        <v>44097</v>
      </c>
      <c r="B202" s="112">
        <v>1.0763</v>
      </c>
      <c r="C202" s="108">
        <f>IFERROR(B202-B201,0)</f>
        <v>-2.2999999999999687E-3</v>
      </c>
      <c r="D202" s="109">
        <f>IF(C202&lt;0,C202,"/")</f>
        <v>-2.2999999999999687E-3</v>
      </c>
      <c r="E202" s="109">
        <f ca="1">IF(表2_367162629303891213[[#This Row],[累计净值]]/MAX(INDIRECT("B21:B" &amp; ROW()))-1&lt;E201,表2_367162629303891213[[#This Row],[累计净值]]/MAX(INDIRECT("B21:B" &amp; ROW()))-1,E201)</f>
        <v>-2.5267161746060474E-2</v>
      </c>
      <c r="F202" s="110">
        <f>表2_367162629303891213[[#This Row],[累计净值]]</f>
        <v>1.0763</v>
      </c>
      <c r="G202" s="20">
        <f>表2_367162629303891213[[#This Row],[累计净值]]/$B$21-1</f>
        <v>7.608478304339128E-2</v>
      </c>
    </row>
    <row r="203" spans="1:7">
      <c r="A203" s="15">
        <v>44098</v>
      </c>
      <c r="B203" s="112">
        <v>1.073</v>
      </c>
      <c r="C203" s="108">
        <f t="shared" ref="C203:C204" si="54">IFERROR(B203-B202,0)</f>
        <v>-3.3000000000000806E-3</v>
      </c>
      <c r="D203" s="109">
        <f t="shared" ref="D203:D204" si="55">IF(C203&lt;0,C203,"/")</f>
        <v>-3.3000000000000806E-3</v>
      </c>
      <c r="E203" s="109">
        <f ca="1">IF(表2_367162629303891213[[#This Row],[累计净值]]/MAX(INDIRECT("B21:B" &amp; ROW()))-1&lt;E202,表2_367162629303891213[[#This Row],[累计净值]]/MAX(INDIRECT("B21:B" &amp; ROW()))-1,E202)</f>
        <v>-2.8255750769788146E-2</v>
      </c>
      <c r="F203" s="110">
        <f>表2_367162629303891213[[#This Row],[累计净值]]</f>
        <v>1.073</v>
      </c>
      <c r="G203" s="20">
        <f>表2_367162629303891213[[#This Row],[累计净值]]/$B$21-1</f>
        <v>7.2785442911417642E-2</v>
      </c>
    </row>
    <row r="204" spans="1:7">
      <c r="A204" s="15">
        <v>44099</v>
      </c>
      <c r="B204" s="112">
        <v>1.0712999999999999</v>
      </c>
      <c r="C204" s="108">
        <f t="shared" si="54"/>
        <v>-1.7000000000000348E-3</v>
      </c>
      <c r="D204" s="109">
        <f t="shared" si="55"/>
        <v>-1.7000000000000348E-3</v>
      </c>
      <c r="E204" s="109">
        <f ca="1">IF(表2_367162629303891213[[#This Row],[累计净值]]/MAX(INDIRECT("B21:B" &amp; ROW()))-1&lt;E203,表2_367162629303891213[[#This Row],[累计净值]]/MAX(INDIRECT("B21:B" &amp; ROW()))-1,E203)</f>
        <v>-2.9795326933526711E-2</v>
      </c>
      <c r="F204" s="110">
        <f>表2_367162629303891213[[#This Row],[累计净值]]</f>
        <v>1.0712999999999999</v>
      </c>
      <c r="G204" s="20">
        <f>表2_367162629303891213[[#This Row],[累计净值]]/$B$21-1</f>
        <v>7.1085782843431256E-2</v>
      </c>
    </row>
    <row r="205" spans="1:7">
      <c r="A205" s="15">
        <v>44102</v>
      </c>
      <c r="B205" s="112">
        <v>1.0689</v>
      </c>
      <c r="C205" s="108">
        <f t="shared" ref="C205:C210" si="56">IFERROR(B205-B204,0)</f>
        <v>-2.3999999999999577E-3</v>
      </c>
      <c r="D205" s="109">
        <f t="shared" ref="D205:D210" si="57">IF(C205&lt;0,C205,"/")</f>
        <v>-2.3999999999999577E-3</v>
      </c>
      <c r="E205" s="109">
        <f ca="1">IF(表2_367162629303891213[[#This Row],[累计净值]]/MAX(INDIRECT("B21:B" &amp; ROW()))-1&lt;E204,表2_367162629303891213[[#This Row],[累计净值]]/MAX(INDIRECT("B21:B" &amp; ROW()))-1,E204)</f>
        <v>-3.1968846223510372E-2</v>
      </c>
      <c r="F205" s="110">
        <f>表2_367162629303891213[[#This Row],[累计净值]]</f>
        <v>1.0689</v>
      </c>
      <c r="G205" s="20">
        <f>表2_367162629303891213[[#This Row],[累计净值]]/$B$21-1</f>
        <v>6.8686262747450488E-2</v>
      </c>
    </row>
    <row r="206" spans="1:7">
      <c r="A206" s="15">
        <v>44103</v>
      </c>
      <c r="B206" s="112">
        <v>1.0668</v>
      </c>
      <c r="C206" s="108">
        <f t="shared" si="56"/>
        <v>-2.0999999999999908E-3</v>
      </c>
      <c r="D206" s="109">
        <f t="shared" si="57"/>
        <v>-2.0999999999999908E-3</v>
      </c>
      <c r="E206" s="109">
        <f ca="1">IF(表2_367162629303891213[[#This Row],[累计净值]]/MAX(INDIRECT("B21:B" &amp; ROW()))-1&lt;E205,表2_367162629303891213[[#This Row],[累计净值]]/MAX(INDIRECT("B21:B" &amp; ROW()))-1,E205)</f>
        <v>-3.3870675602246103E-2</v>
      </c>
      <c r="F206" s="110">
        <f>表2_367162629303891213[[#This Row],[累计净值]]</f>
        <v>1.0668</v>
      </c>
      <c r="G206" s="20">
        <f>表2_367162629303891213[[#This Row],[累计净值]]/$B$21-1</f>
        <v>6.6586682663467345E-2</v>
      </c>
    </row>
    <row r="207" spans="1:7">
      <c r="A207" s="15">
        <v>44104</v>
      </c>
      <c r="B207" s="112">
        <v>1.0720000000000001</v>
      </c>
      <c r="C207" s="108">
        <f t="shared" si="56"/>
        <v>5.2000000000000934E-3</v>
      </c>
      <c r="D207" s="109" t="str">
        <f t="shared" si="57"/>
        <v>/</v>
      </c>
      <c r="E207" s="109">
        <f ca="1">IF(表2_367162629303891213[[#This Row],[累计净值]]/MAX(INDIRECT("B21:B" &amp; ROW()))-1&lt;E206,表2_367162629303891213[[#This Row],[累计净值]]/MAX(INDIRECT("B21:B" &amp; ROW()))-1,E206)</f>
        <v>-3.3870675602246103E-2</v>
      </c>
      <c r="F207" s="110">
        <f>表2_367162629303891213[[#This Row],[累计净值]]</f>
        <v>1.0720000000000001</v>
      </c>
      <c r="G207" s="20">
        <f>表2_367162629303891213[[#This Row],[累计净值]]/$B$21-1</f>
        <v>7.1785642871425859E-2</v>
      </c>
    </row>
    <row r="208" spans="1:7">
      <c r="A208" s="15">
        <v>44113</v>
      </c>
      <c r="B208" s="112">
        <v>1.0740000000000001</v>
      </c>
      <c r="C208" s="108">
        <f t="shared" si="56"/>
        <v>2.0000000000000018E-3</v>
      </c>
      <c r="D208" s="109" t="str">
        <f t="shared" si="57"/>
        <v>/</v>
      </c>
      <c r="E208" s="109">
        <f ca="1">IF(表2_367162629303891213[[#This Row],[累计净值]]/MAX(INDIRECT("B21:B" &amp; ROW()))-1&lt;E207,表2_367162629303891213[[#This Row],[累计净值]]/MAX(INDIRECT("B21:B" &amp; ROW()))-1,E207)</f>
        <v>-3.3870675602246103E-2</v>
      </c>
      <c r="F208" s="110">
        <f>表2_367162629303891213[[#This Row],[累计净值]]</f>
        <v>1.0740000000000001</v>
      </c>
      <c r="G208" s="20">
        <f>表2_367162629303891213[[#This Row],[累计净值]]/$B$21-1</f>
        <v>7.3785242951409868E-2</v>
      </c>
    </row>
    <row r="209" spans="1:9">
      <c r="A209" s="15">
        <v>44116</v>
      </c>
      <c r="B209" s="112">
        <v>1.075</v>
      </c>
      <c r="C209" s="108">
        <f t="shared" si="56"/>
        <v>9.9999999999988987E-4</v>
      </c>
      <c r="D209" s="109" t="str">
        <f t="shared" si="57"/>
        <v>/</v>
      </c>
      <c r="E209" s="109">
        <f ca="1">IF(表2_367162629303891213[[#This Row],[累计净值]]/MAX(INDIRECT("B21:B" &amp; ROW()))-1&lt;E208,表2_367162629303891213[[#This Row],[累计净值]]/MAX(INDIRECT("B21:B" &amp; ROW()))-1,E208)</f>
        <v>-3.3870675602246103E-2</v>
      </c>
      <c r="F209" s="110">
        <f>表2_367162629303891213[[#This Row],[累计净值]]</f>
        <v>1.075</v>
      </c>
      <c r="G209" s="20">
        <f>表2_367162629303891213[[#This Row],[累计净值]]/$B$21-1</f>
        <v>7.4785042991401651E-2</v>
      </c>
    </row>
    <row r="210" spans="1:9">
      <c r="A210" s="15">
        <v>44117</v>
      </c>
      <c r="B210" s="112">
        <v>1.0759000000000001</v>
      </c>
      <c r="C210" s="108">
        <f t="shared" si="56"/>
        <v>9.0000000000012292E-4</v>
      </c>
      <c r="D210" s="109" t="str">
        <f t="shared" si="57"/>
        <v>/</v>
      </c>
      <c r="E210" s="109">
        <f ca="1">IF(表2_367162629303891213[[#This Row],[累计净值]]/MAX(INDIRECT("B21:B" &amp; ROW()))-1&lt;E209,表2_367162629303891213[[#This Row],[累计净值]]/MAX(INDIRECT("B21:B" &amp; ROW()))-1,E209)</f>
        <v>-3.3870675602246103E-2</v>
      </c>
      <c r="F210" s="110">
        <f>表2_367162629303891213[[#This Row],[累计净值]]</f>
        <v>1.0759000000000001</v>
      </c>
      <c r="G210" s="20">
        <f>表2_367162629303891213[[#This Row],[累计净值]]/$B$21-1</f>
        <v>7.5684863027394522E-2</v>
      </c>
    </row>
    <row r="211" spans="1:9">
      <c r="A211" s="15">
        <v>44118</v>
      </c>
      <c r="B211" s="112">
        <v>1.0743</v>
      </c>
      <c r="C211" s="108">
        <f t="shared" ref="C211:C216" si="58">IFERROR(B211-B210,0)</f>
        <v>-1.6000000000000458E-3</v>
      </c>
      <c r="D211" s="109">
        <f t="shared" ref="D211:D216" si="59">IF(C211&lt;0,C211,"/")</f>
        <v>-1.6000000000000458E-3</v>
      </c>
      <c r="E211" s="109">
        <f ca="1">IF(表2_367162629303891213[[#This Row],[累计净值]]/MAX(INDIRECT("B21:B" &amp; ROW()))-1&lt;E210,表2_367162629303891213[[#This Row],[累计净值]]/MAX(INDIRECT("B21:B" &amp; ROW()))-1,E210)</f>
        <v>-3.3870675602246103E-2</v>
      </c>
      <c r="F211" s="110">
        <f>表2_367162629303891213[[#This Row],[累计净值]]</f>
        <v>1.0743</v>
      </c>
      <c r="G211" s="20">
        <f>表2_367162629303891213[[#This Row],[累计净值]]/$B$21-1</f>
        <v>7.408518296340727E-2</v>
      </c>
    </row>
    <row r="212" spans="1:9">
      <c r="A212" s="15">
        <v>44119</v>
      </c>
      <c r="B212" s="112">
        <v>1.0737000000000001</v>
      </c>
      <c r="C212" s="108">
        <f t="shared" si="58"/>
        <v>-5.9999999999993392E-4</v>
      </c>
      <c r="D212" s="109">
        <f t="shared" si="59"/>
        <v>-5.9999999999993392E-4</v>
      </c>
      <c r="E212" s="109">
        <f ca="1">IF(表2_367162629303891213[[#This Row],[累计净值]]/MAX(INDIRECT("B21:B" &amp; ROW()))-1&lt;E211,表2_367162629303891213[[#This Row],[累计净值]]/MAX(INDIRECT("B21:B" &amp; ROW()))-1,E211)</f>
        <v>-3.3870675602246103E-2</v>
      </c>
      <c r="F212" s="110">
        <f>表2_367162629303891213[[#This Row],[累计净值]]</f>
        <v>1.0737000000000001</v>
      </c>
      <c r="G212" s="20">
        <f>表2_367162629303891213[[#This Row],[累计净值]]/$B$21-1</f>
        <v>7.3485302939412245E-2</v>
      </c>
    </row>
    <row r="213" spans="1:9">
      <c r="A213" s="15">
        <v>44120</v>
      </c>
      <c r="B213" s="112">
        <v>1.0773999999999999</v>
      </c>
      <c r="C213" s="108">
        <f t="shared" si="58"/>
        <v>3.6999999999998145E-3</v>
      </c>
      <c r="D213" s="109" t="str">
        <f t="shared" si="59"/>
        <v>/</v>
      </c>
      <c r="E213" s="109">
        <f ca="1">IF(表2_367162629303891213[[#This Row],[累计净值]]/MAX(INDIRECT("B21:B" &amp; ROW()))-1&lt;E212,表2_367162629303891213[[#This Row],[累计净值]]/MAX(INDIRECT("B21:B" &amp; ROW()))-1,E212)</f>
        <v>-3.3870675602246103E-2</v>
      </c>
      <c r="F213" s="110">
        <f>表2_367162629303891213[[#This Row],[累计净值]]</f>
        <v>1.0773999999999999</v>
      </c>
      <c r="G213" s="20">
        <f>表2_367162629303891213[[#This Row],[累计净值]]/$B$21-1</f>
        <v>7.7184563087382418E-2</v>
      </c>
    </row>
    <row r="214" spans="1:9">
      <c r="A214" s="15">
        <v>44123</v>
      </c>
      <c r="B214" s="112">
        <v>1.0820000000000001</v>
      </c>
      <c r="C214" s="108">
        <f t="shared" si="58"/>
        <v>4.6000000000001595E-3</v>
      </c>
      <c r="D214" s="109" t="str">
        <f t="shared" si="59"/>
        <v>/</v>
      </c>
      <c r="E214" s="109">
        <f ca="1">IF(表2_367162629303891213[[#This Row],[累计净值]]/MAX(INDIRECT("B21:B" &amp; ROW()))-1&lt;E213,表2_367162629303891213[[#This Row],[累计净值]]/MAX(INDIRECT("B21:B" &amp; ROW()))-1,E213)</f>
        <v>-3.3870675602246103E-2</v>
      </c>
      <c r="F214" s="110">
        <f>表2_367162629303891213[[#This Row],[累计净值]]</f>
        <v>1.0820000000000001</v>
      </c>
      <c r="G214" s="20">
        <f>表2_367162629303891213[[#This Row],[累计净值]]/$B$21-1</f>
        <v>8.1783643271345907E-2</v>
      </c>
    </row>
    <row r="215" spans="1:9">
      <c r="A215" s="15">
        <v>44124</v>
      </c>
      <c r="B215" s="112">
        <v>1.0792999999999999</v>
      </c>
      <c r="C215" s="108">
        <f t="shared" si="58"/>
        <v>-2.7000000000001467E-3</v>
      </c>
      <c r="D215" s="109">
        <f t="shared" si="59"/>
        <v>-2.7000000000001467E-3</v>
      </c>
      <c r="E215" s="109">
        <f ca="1">IF(表2_367162629303891213[[#This Row],[累计净值]]/MAX(INDIRECT("B21:B" &amp; ROW()))-1&lt;E214,表2_367162629303891213[[#This Row],[累计净值]]/MAX(INDIRECT("B21:B" &amp; ROW()))-1,E214)</f>
        <v>-3.3870675602246103E-2</v>
      </c>
      <c r="F215" s="110">
        <f>表2_367162629303891213[[#This Row],[累计净值]]</f>
        <v>1.0792999999999999</v>
      </c>
      <c r="G215" s="20">
        <f>表2_367162629303891213[[#This Row],[累计净值]]/$B$21-1</f>
        <v>7.9084183163367294E-2</v>
      </c>
    </row>
    <row r="216" spans="1:9">
      <c r="A216" s="15">
        <v>44125</v>
      </c>
      <c r="B216" s="112">
        <v>1.0769</v>
      </c>
      <c r="C216" s="108">
        <f t="shared" si="58"/>
        <v>-2.3999999999999577E-3</v>
      </c>
      <c r="D216" s="109">
        <f t="shared" si="59"/>
        <v>-2.3999999999999577E-3</v>
      </c>
      <c r="E216" s="109">
        <f ca="1">IF(表2_367162629303891213[[#This Row],[累计净值]]/MAX(INDIRECT("B21:B" &amp; ROW()))-1&lt;E215,表2_367162629303891213[[#This Row],[累计净值]]/MAX(INDIRECT("B21:B" &amp; ROW()))-1,E215)</f>
        <v>-3.3870675602246103E-2</v>
      </c>
      <c r="F216" s="110">
        <f>表2_367162629303891213[[#This Row],[累计净值]]</f>
        <v>1.0769</v>
      </c>
      <c r="G216" s="20">
        <f>表2_367162629303891213[[#This Row],[累计净值]]/$B$21-1</f>
        <v>7.6684663067386527E-2</v>
      </c>
    </row>
    <row r="217" spans="1:9">
      <c r="A217" s="15">
        <v>44126</v>
      </c>
      <c r="B217" s="112">
        <v>1.0759000000000001</v>
      </c>
      <c r="C217" s="108">
        <f t="shared" ref="C217:C222" si="60">IFERROR(B217-B216,0)</f>
        <v>-9.9999999999988987E-4</v>
      </c>
      <c r="D217" s="109">
        <f t="shared" ref="D217:D222" si="61">IF(C217&lt;0,C217,"/")</f>
        <v>-9.9999999999988987E-4</v>
      </c>
      <c r="E217" s="109">
        <f ca="1">IF(表2_367162629303891213[[#This Row],[累计净值]]/MAX(INDIRECT("B21:B" &amp; ROW()))-1&lt;E216,表2_367162629303891213[[#This Row],[累计净值]]/MAX(INDIRECT("B21:B" &amp; ROW()))-1,E216)</f>
        <v>-3.3870675602246103E-2</v>
      </c>
      <c r="F217" s="110">
        <f>表2_367162629303891213[[#This Row],[累计净值]]</f>
        <v>1.0759000000000001</v>
      </c>
      <c r="G217" s="20">
        <f>表2_367162629303891213[[#This Row],[累计净值]]/$B$21-1</f>
        <v>7.5684863027394522E-2</v>
      </c>
    </row>
    <row r="218" spans="1:9">
      <c r="A218" s="15">
        <v>44127</v>
      </c>
      <c r="B218" s="112">
        <v>1.0759000000000001</v>
      </c>
      <c r="C218" s="108">
        <f t="shared" si="60"/>
        <v>0</v>
      </c>
      <c r="D218" s="109" t="str">
        <f t="shared" si="61"/>
        <v>/</v>
      </c>
      <c r="E218" s="109">
        <f ca="1">IF(表2_367162629303891213[[#This Row],[累计净值]]/MAX(INDIRECT("B21:B" &amp; ROW()))-1&lt;E217,表2_367162629303891213[[#This Row],[累计净值]]/MAX(INDIRECT("B21:B" &amp; ROW()))-1,E217)</f>
        <v>-3.3870675602246103E-2</v>
      </c>
      <c r="F218" s="110">
        <f>表2_367162629303891213[[#This Row],[累计净值]]</f>
        <v>1.0759000000000001</v>
      </c>
      <c r="G218" s="20">
        <f>表2_367162629303891213[[#This Row],[累计净值]]/$B$21-1</f>
        <v>7.5684863027394522E-2</v>
      </c>
    </row>
    <row r="219" spans="1:9">
      <c r="A219" s="15">
        <v>44130</v>
      </c>
      <c r="B219" s="112">
        <v>1.0780000000000001</v>
      </c>
      <c r="C219" s="108">
        <f t="shared" si="60"/>
        <v>2.0999999999999908E-3</v>
      </c>
      <c r="D219" s="109" t="str">
        <f t="shared" si="61"/>
        <v>/</v>
      </c>
      <c r="E219" s="109">
        <f ca="1">IF(表2_367162629303891213[[#This Row],[累计净值]]/MAX(INDIRECT("B21:B" &amp; ROW()))-1&lt;E218,表2_367162629303891213[[#This Row],[累计净值]]/MAX(INDIRECT("B21:B" &amp; ROW()))-1,E218)</f>
        <v>-3.3870675602246103E-2</v>
      </c>
      <c r="F219" s="110">
        <f>表2_367162629303891213[[#This Row],[累计净值]]</f>
        <v>1.0780000000000001</v>
      </c>
      <c r="G219" s="20">
        <f>表2_367162629303891213[[#This Row],[累计净值]]/$B$21-1</f>
        <v>7.7784443111377888E-2</v>
      </c>
      <c r="I219" s="60">
        <f>B218-B213</f>
        <v>-1.4999999999998348E-3</v>
      </c>
    </row>
    <row r="220" spans="1:9">
      <c r="A220" s="15">
        <v>44131</v>
      </c>
      <c r="B220" s="112">
        <v>1.0804</v>
      </c>
      <c r="C220" s="108">
        <f t="shared" si="60"/>
        <v>2.3999999999999577E-3</v>
      </c>
      <c r="D220" s="109" t="str">
        <f t="shared" si="61"/>
        <v>/</v>
      </c>
      <c r="E220" s="109">
        <f ca="1">IF(表2_367162629303891213[[#This Row],[累计净值]]/MAX(INDIRECT("B21:B" &amp; ROW()))-1&lt;E219,表2_367162629303891213[[#This Row],[累计净值]]/MAX(INDIRECT("B21:B" &amp; ROW()))-1,E219)</f>
        <v>-3.3870675602246103E-2</v>
      </c>
      <c r="F220" s="110">
        <f>表2_367162629303891213[[#This Row],[累计净值]]</f>
        <v>1.0804</v>
      </c>
      <c r="G220" s="20">
        <f>表2_367162629303891213[[#This Row],[累计净值]]/$B$21-1</f>
        <v>8.0183963207358655E-2</v>
      </c>
    </row>
    <row r="221" spans="1:9">
      <c r="A221" s="15">
        <v>44132</v>
      </c>
      <c r="B221" s="112">
        <v>1.0821000000000001</v>
      </c>
      <c r="C221" s="108">
        <f t="shared" si="60"/>
        <v>1.7000000000000348E-3</v>
      </c>
      <c r="D221" s="109" t="str">
        <f t="shared" si="61"/>
        <v>/</v>
      </c>
      <c r="E221" s="109">
        <f ca="1">IF(表2_367162629303891213[[#This Row],[累计净值]]/MAX(INDIRECT("B21:B" &amp; ROW()))-1&lt;E220,表2_367162629303891213[[#This Row],[累计净值]]/MAX(INDIRECT("B21:B" &amp; ROW()))-1,E220)</f>
        <v>-3.3870675602246103E-2</v>
      </c>
      <c r="F221" s="110">
        <f>表2_367162629303891213[[#This Row],[累计净值]]</f>
        <v>1.0821000000000001</v>
      </c>
      <c r="G221" s="20">
        <f>表2_367162629303891213[[#This Row],[累计净值]]/$B$21-1</f>
        <v>8.1883623275345041E-2</v>
      </c>
    </row>
    <row r="222" spans="1:9">
      <c r="A222" s="15">
        <v>44133</v>
      </c>
      <c r="B222" s="112">
        <v>1.0788</v>
      </c>
      <c r="C222" s="108">
        <f t="shared" si="60"/>
        <v>-3.3000000000000806E-3</v>
      </c>
      <c r="D222" s="109">
        <f t="shared" si="61"/>
        <v>-3.3000000000000806E-3</v>
      </c>
      <c r="E222" s="109">
        <f ca="1">IF(表2_367162629303891213[[#This Row],[累计净值]]/MAX(INDIRECT("B21:B" &amp; ROW()))-1&lt;E221,表2_367162629303891213[[#This Row],[累计净值]]/MAX(INDIRECT("B21:B" &amp; ROW()))-1,E221)</f>
        <v>-3.3870675602246103E-2</v>
      </c>
      <c r="F222" s="110">
        <f>表2_367162629303891213[[#This Row],[累计净值]]</f>
        <v>1.0788</v>
      </c>
      <c r="G222" s="20">
        <f>表2_367162629303891213[[#This Row],[累计净值]]/$B$21-1</f>
        <v>7.8584283143371403E-2</v>
      </c>
    </row>
    <row r="223" spans="1:9">
      <c r="A223" s="15">
        <v>44134</v>
      </c>
      <c r="B223" s="112">
        <v>1.0781000000000001</v>
      </c>
      <c r="C223" s="108">
        <f t="shared" ref="C223:C229" si="62">IFERROR(B223-B222,0)</f>
        <v>-6.9999999999992291E-4</v>
      </c>
      <c r="D223" s="109">
        <f t="shared" ref="D223:D229" si="63">IF(C223&lt;0,C223,"/")</f>
        <v>-6.9999999999992291E-4</v>
      </c>
      <c r="E223" s="109">
        <f ca="1">IF(表2_367162629303891213[[#This Row],[累计净值]]/MAX(INDIRECT("B21:B" &amp; ROW()))-1&lt;E222,表2_367162629303891213[[#This Row],[累计净值]]/MAX(INDIRECT("B21:B" &amp; ROW()))-1,E222)</f>
        <v>-3.3870675602246103E-2</v>
      </c>
      <c r="F223" s="110">
        <f>表2_367162629303891213[[#This Row],[累计净值]]</f>
        <v>1.0781000000000001</v>
      </c>
      <c r="G223" s="20">
        <f>表2_367162629303891213[[#This Row],[累计净值]]/$B$21-1</f>
        <v>7.7884423115377022E-2</v>
      </c>
    </row>
    <row r="224" spans="1:9">
      <c r="A224" s="15">
        <v>44137</v>
      </c>
      <c r="B224" s="112">
        <v>1.0782</v>
      </c>
      <c r="C224" s="108">
        <f t="shared" si="62"/>
        <v>9.9999999999988987E-5</v>
      </c>
      <c r="D224" s="109" t="str">
        <f t="shared" si="63"/>
        <v>/</v>
      </c>
      <c r="E224" s="109">
        <f ca="1">IF(表2_367162629303891213[[#This Row],[累计净值]]/MAX(INDIRECT("B21:B" &amp; ROW()))-1&lt;E223,表2_367162629303891213[[#This Row],[累计净值]]/MAX(INDIRECT("B21:B" &amp; ROW()))-1,E223)</f>
        <v>-3.3870675602246103E-2</v>
      </c>
      <c r="F224" s="110">
        <f>表2_367162629303891213[[#This Row],[累计净值]]</f>
        <v>1.0782</v>
      </c>
      <c r="G224" s="20">
        <f>表2_367162629303891213[[#This Row],[累计净值]]/$B$21-1</f>
        <v>7.7984403119376156E-2</v>
      </c>
    </row>
    <row r="225" spans="1:7">
      <c r="A225" s="15">
        <v>44138</v>
      </c>
      <c r="B225" s="112">
        <v>1.0792999999999999</v>
      </c>
      <c r="C225" s="108">
        <f t="shared" si="62"/>
        <v>1.0999999999998789E-3</v>
      </c>
      <c r="D225" s="109" t="str">
        <f t="shared" si="63"/>
        <v>/</v>
      </c>
      <c r="E225" s="109">
        <f ca="1">IF(表2_367162629303891213[[#This Row],[累计净值]]/MAX(INDIRECT("B21:B" &amp; ROW()))-1&lt;E224,表2_367162629303891213[[#This Row],[累计净值]]/MAX(INDIRECT("B21:B" &amp; ROW()))-1,E224)</f>
        <v>-3.3870675602246103E-2</v>
      </c>
      <c r="F225" s="110">
        <f>表2_367162629303891213[[#This Row],[累计净值]]</f>
        <v>1.0792999999999999</v>
      </c>
      <c r="G225" s="20">
        <f>表2_367162629303891213[[#This Row],[累计净值]]/$B$21-1</f>
        <v>7.9084183163367294E-2</v>
      </c>
    </row>
    <row r="226" spans="1:7">
      <c r="A226" s="15">
        <v>44139</v>
      </c>
      <c r="B226" s="112">
        <v>1.0806</v>
      </c>
      <c r="C226" s="108">
        <f t="shared" si="62"/>
        <v>1.3000000000000789E-3</v>
      </c>
      <c r="D226" s="109" t="str">
        <f t="shared" si="63"/>
        <v>/</v>
      </c>
      <c r="E226" s="109">
        <f ca="1">IF(表2_367162629303891213[[#This Row],[累计净值]]/MAX(INDIRECT("B21:B" &amp; ROW()))-1&lt;E225,表2_367162629303891213[[#This Row],[累计净值]]/MAX(INDIRECT("B21:B" &amp; ROW()))-1,E225)</f>
        <v>-3.3870675602246103E-2</v>
      </c>
      <c r="F226" s="110">
        <f>表2_367162629303891213[[#This Row],[累计净值]]</f>
        <v>1.0806</v>
      </c>
      <c r="G226" s="20">
        <f>表2_367162629303891213[[#This Row],[累计净值]]/$B$21-1</f>
        <v>8.0383923215356923E-2</v>
      </c>
    </row>
    <row r="227" spans="1:7">
      <c r="A227" s="15">
        <v>44140</v>
      </c>
      <c r="B227" s="112">
        <v>1.0855999999999999</v>
      </c>
      <c r="C227" s="108">
        <f t="shared" si="62"/>
        <v>4.9999999999998934E-3</v>
      </c>
      <c r="D227" s="109" t="str">
        <f t="shared" si="63"/>
        <v>/</v>
      </c>
      <c r="E227" s="109">
        <f ca="1">IF(表2_367162629303891213[[#This Row],[累计净值]]/MAX(INDIRECT("B21:B" &amp; ROW()))-1&lt;E226,表2_367162629303891213[[#This Row],[累计净值]]/MAX(INDIRECT("B21:B" &amp; ROW()))-1,E226)</f>
        <v>-3.3870675602246103E-2</v>
      </c>
      <c r="F227" s="110">
        <f>表2_367162629303891213[[#This Row],[累计净值]]</f>
        <v>1.0855999999999999</v>
      </c>
      <c r="G227" s="20">
        <f>表2_367162629303891213[[#This Row],[累计净值]]/$B$21-1</f>
        <v>8.5382923415316947E-2</v>
      </c>
    </row>
    <row r="228" spans="1:7">
      <c r="A228" s="15">
        <v>44141</v>
      </c>
      <c r="B228" s="112">
        <v>1.0854999999999999</v>
      </c>
      <c r="C228" s="108">
        <f t="shared" si="62"/>
        <v>-9.9999999999988987E-5</v>
      </c>
      <c r="D228" s="109">
        <f t="shared" si="63"/>
        <v>-9.9999999999988987E-5</v>
      </c>
      <c r="E228" s="109">
        <f ca="1">IF(表2_367162629303891213[[#This Row],[累计净值]]/MAX(INDIRECT("B21:B" &amp; ROW()))-1&lt;E227,表2_367162629303891213[[#This Row],[累计净值]]/MAX(INDIRECT("B21:B" &amp; ROW()))-1,E227)</f>
        <v>-3.3870675602246103E-2</v>
      </c>
      <c r="F228" s="110">
        <f>表2_367162629303891213[[#This Row],[累计净值]]</f>
        <v>1.0854999999999999</v>
      </c>
      <c r="G228" s="20">
        <f>表2_367162629303891213[[#This Row],[累计净值]]/$B$21-1</f>
        <v>8.5282943411317591E-2</v>
      </c>
    </row>
    <row r="229" spans="1:7">
      <c r="A229" s="15">
        <v>44144</v>
      </c>
      <c r="B229" s="112">
        <v>1.0865</v>
      </c>
      <c r="C229" s="108">
        <f t="shared" si="62"/>
        <v>1.0000000000001119E-3</v>
      </c>
      <c r="D229" s="109" t="str">
        <f t="shared" si="63"/>
        <v>/</v>
      </c>
      <c r="E229" s="109">
        <f ca="1">IF(表2_367162629303891213[[#This Row],[累计净值]]/MAX(INDIRECT("B21:B" &amp; ROW()))-1&lt;E228,表2_367162629303891213[[#This Row],[累计净值]]/MAX(INDIRECT("B21:B" &amp; ROW()))-1,E228)</f>
        <v>-3.3870675602246103E-2</v>
      </c>
      <c r="F229" s="110">
        <f>表2_367162629303891213[[#This Row],[累计净值]]</f>
        <v>1.0865</v>
      </c>
      <c r="G229" s="20">
        <f>表2_367162629303891213[[#This Row],[累计净值]]/$B$21-1</f>
        <v>8.6282743451309818E-2</v>
      </c>
    </row>
    <row r="230" spans="1:7">
      <c r="A230" s="15">
        <v>44145</v>
      </c>
      <c r="B230" s="112">
        <v>1.0844</v>
      </c>
      <c r="C230" s="108">
        <f t="shared" ref="C230:C235" si="64">IFERROR(B230-B229,0)</f>
        <v>-2.0999999999999908E-3</v>
      </c>
      <c r="D230" s="109">
        <f t="shared" ref="D230:D235" si="65">IF(C230&lt;0,C230,"/")</f>
        <v>-2.0999999999999908E-3</v>
      </c>
      <c r="E230" s="109">
        <f ca="1">IF(表2_367162629303891213[[#This Row],[累计净值]]/MAX(INDIRECT("B21:B" &amp; ROW()))-1&lt;E229,表2_367162629303891213[[#This Row],[累计净值]]/MAX(INDIRECT("B21:B" &amp; ROW()))-1,E229)</f>
        <v>-3.3870675602246103E-2</v>
      </c>
      <c r="F230" s="110">
        <f>表2_367162629303891213[[#This Row],[累计净值]]</f>
        <v>1.0844</v>
      </c>
      <c r="G230" s="20">
        <f>表2_367162629303891213[[#This Row],[累计净值]]/$B$21-1</f>
        <v>8.4183163367326674E-2</v>
      </c>
    </row>
    <row r="231" spans="1:7">
      <c r="A231" s="15">
        <v>44146</v>
      </c>
      <c r="B231" s="112">
        <v>1.08</v>
      </c>
      <c r="C231" s="108">
        <f t="shared" si="64"/>
        <v>-4.3999999999999595E-3</v>
      </c>
      <c r="D231" s="109">
        <f t="shared" si="65"/>
        <v>-4.3999999999999595E-3</v>
      </c>
      <c r="E231" s="109">
        <f ca="1">IF(表2_367162629303891213[[#This Row],[累计净值]]/MAX(INDIRECT("B21:B" &amp; ROW()))-1&lt;E230,表2_367162629303891213[[#This Row],[累计净值]]/MAX(INDIRECT("B21:B" &amp; ROW()))-1,E230)</f>
        <v>-3.3870675602246103E-2</v>
      </c>
      <c r="F231" s="110">
        <f>表2_367162629303891213[[#This Row],[累计净值]]</f>
        <v>1.08</v>
      </c>
      <c r="G231" s="20">
        <f>表2_367162629303891213[[#This Row],[累计净值]]/$B$21-1</f>
        <v>7.9784043191361897E-2</v>
      </c>
    </row>
    <row r="232" spans="1:7">
      <c r="A232" s="15">
        <v>44147</v>
      </c>
      <c r="B232" s="112">
        <v>1.0808</v>
      </c>
      <c r="C232" s="108">
        <f t="shared" si="64"/>
        <v>7.9999999999991189E-4</v>
      </c>
      <c r="D232" s="109" t="str">
        <f t="shared" si="65"/>
        <v>/</v>
      </c>
      <c r="E232" s="109">
        <f ca="1">IF(表2_367162629303891213[[#This Row],[累计净值]]/MAX(INDIRECT("B21:B" &amp; ROW()))-1&lt;E231,表2_367162629303891213[[#This Row],[累计净值]]/MAX(INDIRECT("B21:B" &amp; ROW()))-1,E231)</f>
        <v>-3.3870675602246103E-2</v>
      </c>
      <c r="F232" s="110">
        <f>表2_367162629303891213[[#This Row],[累计净值]]</f>
        <v>1.0808</v>
      </c>
      <c r="G232" s="20">
        <f>表2_367162629303891213[[#This Row],[累计净值]]/$B$21-1</f>
        <v>8.0583883223355413E-2</v>
      </c>
    </row>
    <row r="233" spans="1:7">
      <c r="A233" s="15">
        <v>44148</v>
      </c>
      <c r="B233" s="112">
        <v>1.083</v>
      </c>
      <c r="C233" s="108">
        <f t="shared" si="64"/>
        <v>2.1999999999999797E-3</v>
      </c>
      <c r="D233" s="109" t="str">
        <f t="shared" si="65"/>
        <v>/</v>
      </c>
      <c r="E233" s="109">
        <f ca="1">IF(表2_367162629303891213[[#This Row],[累计净值]]/MAX(INDIRECT("B21:B" &amp; ROW()))-1&lt;E232,表2_367162629303891213[[#This Row],[累计净值]]/MAX(INDIRECT("B21:B" &amp; ROW()))-1,E232)</f>
        <v>-3.3870675602246103E-2</v>
      </c>
      <c r="F233" s="110">
        <f>表2_367162629303891213[[#This Row],[累计净值]]</f>
        <v>1.083</v>
      </c>
      <c r="G233" s="20">
        <f>表2_367162629303891213[[#This Row],[累计净值]]/$B$21-1</f>
        <v>8.278344331133769E-2</v>
      </c>
    </row>
    <row r="234" spans="1:7">
      <c r="A234" s="15">
        <v>44151</v>
      </c>
      <c r="B234" s="112">
        <v>1.0831</v>
      </c>
      <c r="C234" s="108">
        <f t="shared" si="64"/>
        <v>9.9999999999988987E-5</v>
      </c>
      <c r="D234" s="109" t="str">
        <f t="shared" si="65"/>
        <v>/</v>
      </c>
      <c r="E234" s="109">
        <f ca="1">IF(表2_367162629303891213[[#This Row],[累计净值]]/MAX(INDIRECT("B21:B" &amp; ROW()))-1&lt;E233,表2_367162629303891213[[#This Row],[累计净值]]/MAX(INDIRECT("B21:B" &amp; ROW()))-1,E233)</f>
        <v>-3.3870675602246103E-2</v>
      </c>
      <c r="F234" s="110">
        <f>表2_367162629303891213[[#This Row],[累计净值]]</f>
        <v>1.0831</v>
      </c>
      <c r="G234" s="20">
        <f>表2_367162629303891213[[#This Row],[累计净值]]/$B$21-1</f>
        <v>8.2883423315336824E-2</v>
      </c>
    </row>
    <row r="235" spans="1:7">
      <c r="A235" s="15">
        <v>44152</v>
      </c>
      <c r="B235" s="112">
        <v>1.0827</v>
      </c>
      <c r="C235" s="108">
        <f t="shared" si="64"/>
        <v>-3.9999999999995595E-4</v>
      </c>
      <c r="D235" s="109">
        <f t="shared" si="65"/>
        <v>-3.9999999999995595E-4</v>
      </c>
      <c r="E235" s="109">
        <f ca="1">IF(表2_367162629303891213[[#This Row],[累计净值]]/MAX(INDIRECT("B21:B" &amp; ROW()))-1&lt;E234,表2_367162629303891213[[#This Row],[累计净值]]/MAX(INDIRECT("B21:B" &amp; ROW()))-1,E234)</f>
        <v>-3.3870675602246103E-2</v>
      </c>
      <c r="F235" s="110">
        <f>表2_367162629303891213[[#This Row],[累计净值]]</f>
        <v>1.0827</v>
      </c>
      <c r="G235" s="20">
        <f>表2_367162629303891213[[#This Row],[累计净值]]/$B$21-1</f>
        <v>8.2483503299340066E-2</v>
      </c>
    </row>
    <row r="236" spans="1:7">
      <c r="A236" s="15">
        <v>44153</v>
      </c>
      <c r="B236" s="112">
        <v>1.0819000000000001</v>
      </c>
      <c r="C236" s="108">
        <f t="shared" ref="C236:C241" si="66">IFERROR(B236-B235,0)</f>
        <v>-7.9999999999991189E-4</v>
      </c>
      <c r="D236" s="109">
        <f t="shared" ref="D236:D241" si="67">IF(C236&lt;0,C236,"/")</f>
        <v>-7.9999999999991189E-4</v>
      </c>
      <c r="E236" s="109">
        <f ca="1">IF(表2_367162629303891213[[#This Row],[累计净值]]/MAX(INDIRECT("B21:B" &amp; ROW()))-1&lt;E235,表2_367162629303891213[[#This Row],[累计净值]]/MAX(INDIRECT("B21:B" &amp; ROW()))-1,E235)</f>
        <v>-3.3870675602246103E-2</v>
      </c>
      <c r="F236" s="110">
        <f>表2_367162629303891213[[#This Row],[累计净值]]</f>
        <v>1.0819000000000001</v>
      </c>
      <c r="G236" s="20">
        <f>表2_367162629303891213[[#This Row],[累计净值]]/$B$21-1</f>
        <v>8.1683663267346551E-2</v>
      </c>
    </row>
    <row r="237" spans="1:7">
      <c r="A237" s="15">
        <v>44154</v>
      </c>
      <c r="B237" s="112">
        <v>1.0781000000000001</v>
      </c>
      <c r="C237" s="108">
        <f t="shared" si="66"/>
        <v>-3.8000000000000256E-3</v>
      </c>
      <c r="D237" s="109">
        <f t="shared" si="67"/>
        <v>-3.8000000000000256E-3</v>
      </c>
      <c r="E237" s="109">
        <f ca="1">IF(表2_367162629303891213[[#This Row],[累计净值]]/MAX(INDIRECT("B21:B" &amp; ROW()))-1&lt;E236,表2_367162629303891213[[#This Row],[累计净值]]/MAX(INDIRECT("B21:B" &amp; ROW()))-1,E236)</f>
        <v>-3.3870675602246103E-2</v>
      </c>
      <c r="F237" s="110">
        <f>表2_367162629303891213[[#This Row],[累计净值]]</f>
        <v>1.0781000000000001</v>
      </c>
      <c r="G237" s="20">
        <f>表2_367162629303891213[[#This Row],[累计净值]]/$B$21-1</f>
        <v>7.7884423115377022E-2</v>
      </c>
    </row>
    <row r="238" spans="1:7">
      <c r="A238" s="15">
        <v>44155</v>
      </c>
      <c r="B238" s="112">
        <v>1.0772999999999999</v>
      </c>
      <c r="C238" s="108">
        <f t="shared" si="66"/>
        <v>-8.0000000000013394E-4</v>
      </c>
      <c r="D238" s="109">
        <f t="shared" si="67"/>
        <v>-8.0000000000013394E-4</v>
      </c>
      <c r="E238" s="109">
        <f ca="1">IF(表2_367162629303891213[[#This Row],[累计净值]]/MAX(INDIRECT("B21:B" &amp; ROW()))-1&lt;E237,表2_367162629303891213[[#This Row],[累计净值]]/MAX(INDIRECT("B21:B" &amp; ROW()))-1,E237)</f>
        <v>-3.3870675602246103E-2</v>
      </c>
      <c r="F238" s="110">
        <f>表2_367162629303891213[[#This Row],[累计净值]]</f>
        <v>1.0772999999999999</v>
      </c>
      <c r="G238" s="20">
        <f>表2_367162629303891213[[#This Row],[累计净值]]/$B$21-1</f>
        <v>7.7084583083383285E-2</v>
      </c>
    </row>
    <row r="239" spans="1:7">
      <c r="A239" s="15">
        <v>44158</v>
      </c>
      <c r="B239" s="112">
        <v>1.071</v>
      </c>
      <c r="C239" s="108">
        <f t="shared" si="66"/>
        <v>-6.2999999999999723E-3</v>
      </c>
      <c r="D239" s="109">
        <f t="shared" si="67"/>
        <v>-6.2999999999999723E-3</v>
      </c>
      <c r="E239" s="109">
        <f ca="1">IF(表2_367162629303891213[[#This Row],[累计净值]]/MAX(INDIRECT("B21:B" &amp; ROW()))-1&lt;E238,表2_367162629303891213[[#This Row],[累计净值]]/MAX(INDIRECT("B21:B" &amp; ROW()))-1,E238)</f>
        <v>-3.3870675602246103E-2</v>
      </c>
      <c r="F239" s="110">
        <f>表2_367162629303891213[[#This Row],[累计净值]]</f>
        <v>1.071</v>
      </c>
      <c r="G239" s="20">
        <f>表2_367162629303891213[[#This Row],[累计净值]]/$B$21-1</f>
        <v>7.0785842831433632E-2</v>
      </c>
    </row>
    <row r="240" spans="1:7">
      <c r="A240" s="15">
        <v>44159</v>
      </c>
      <c r="B240" s="112">
        <v>1.0718000000000001</v>
      </c>
      <c r="C240" s="108">
        <f t="shared" si="66"/>
        <v>8.0000000000013394E-4</v>
      </c>
      <c r="D240" s="109" t="str">
        <f t="shared" si="67"/>
        <v>/</v>
      </c>
      <c r="E240" s="109">
        <f ca="1">IF(表2_367162629303891213[[#This Row],[累计净值]]/MAX(INDIRECT("B21:B" &amp; ROW()))-1&lt;E239,表2_367162629303891213[[#This Row],[累计净值]]/MAX(INDIRECT("B21:B" &amp; ROW()))-1,E239)</f>
        <v>-3.3870675602246103E-2</v>
      </c>
      <c r="F240" s="110">
        <f>表2_367162629303891213[[#This Row],[累计净值]]</f>
        <v>1.0718000000000001</v>
      </c>
      <c r="G240" s="20">
        <f>表2_367162629303891213[[#This Row],[累计净值]]/$B$21-1</f>
        <v>7.1585682863427369E-2</v>
      </c>
    </row>
    <row r="241" spans="1:7">
      <c r="A241" s="15">
        <v>44160</v>
      </c>
      <c r="B241" s="112">
        <v>1.0732999999999999</v>
      </c>
      <c r="C241" s="108">
        <f t="shared" si="66"/>
        <v>1.4999999999998348E-3</v>
      </c>
      <c r="D241" s="109" t="str">
        <f t="shared" si="67"/>
        <v>/</v>
      </c>
      <c r="E241" s="109">
        <f ca="1">IF(表2_367162629303891213[[#This Row],[累计净值]]/MAX(INDIRECT("B21:B" &amp; ROW()))-1&lt;E240,表2_367162629303891213[[#This Row],[累计净值]]/MAX(INDIRECT("B21:B" &amp; ROW()))-1,E240)</f>
        <v>-3.3870675602246103E-2</v>
      </c>
      <c r="F241" s="110">
        <f>表2_367162629303891213[[#This Row],[累计净值]]</f>
        <v>1.0732999999999999</v>
      </c>
      <c r="G241" s="20">
        <f>表2_367162629303891213[[#This Row],[累计净值]]/$B$21-1</f>
        <v>7.3085382923415265E-2</v>
      </c>
    </row>
    <row r="242" spans="1:7">
      <c r="A242" s="15">
        <v>44161</v>
      </c>
      <c r="B242" s="112">
        <v>1.069</v>
      </c>
      <c r="C242" s="108">
        <f t="shared" ref="C242:C247" si="68">IFERROR(B242-B241,0)</f>
        <v>-4.2999999999999705E-3</v>
      </c>
      <c r="D242" s="109">
        <f t="shared" ref="D242:D247" si="69">IF(C242&lt;0,C242,"/")</f>
        <v>-4.2999999999999705E-3</v>
      </c>
      <c r="E242" s="109">
        <f ca="1">IF(表2_367162629303891213[[#This Row],[累计净值]]/MAX(INDIRECT("B21:B" &amp; ROW()))-1&lt;E241,表2_367162629303891213[[#This Row],[累计净值]]/MAX(INDIRECT("B21:B" &amp; ROW()))-1,E241)</f>
        <v>-3.3870675602246103E-2</v>
      </c>
      <c r="F242" s="110">
        <f>表2_367162629303891213[[#This Row],[累计净值]]</f>
        <v>1.069</v>
      </c>
      <c r="G242" s="20">
        <f>表2_367162629303891213[[#This Row],[累计净值]]/$B$21-1</f>
        <v>6.8786242751449622E-2</v>
      </c>
    </row>
    <row r="243" spans="1:7">
      <c r="A243" s="15">
        <v>44162</v>
      </c>
      <c r="B243" s="112">
        <v>1.0670999999999999</v>
      </c>
      <c r="C243" s="108">
        <f t="shared" si="68"/>
        <v>-1.9000000000000128E-3</v>
      </c>
      <c r="D243" s="109">
        <f t="shared" si="69"/>
        <v>-1.9000000000000128E-3</v>
      </c>
      <c r="E243" s="109">
        <f ca="1">IF(表2_367162629303891213[[#This Row],[累计净值]]/MAX(INDIRECT("B21:B" &amp; ROW()))-1&lt;E242,表2_367162629303891213[[#This Row],[累计净值]]/MAX(INDIRECT("B21:B" &amp; ROW()))-1,E242)</f>
        <v>-3.3870675602246103E-2</v>
      </c>
      <c r="F243" s="110">
        <f>表2_367162629303891213[[#This Row],[累计净值]]</f>
        <v>1.0670999999999999</v>
      </c>
      <c r="G243" s="20">
        <f>表2_367162629303891213[[#This Row],[累计净值]]/$B$21-1</f>
        <v>6.6886622675464968E-2</v>
      </c>
    </row>
    <row r="244" spans="1:7">
      <c r="A244" s="15">
        <v>44165</v>
      </c>
      <c r="B244" s="112">
        <v>1.0670999999999999</v>
      </c>
      <c r="C244" s="108">
        <f t="shared" si="68"/>
        <v>0</v>
      </c>
      <c r="D244" s="109" t="str">
        <f t="shared" si="69"/>
        <v>/</v>
      </c>
      <c r="E244" s="109">
        <f ca="1">IF(表2_367162629303891213[[#This Row],[累计净值]]/MAX(INDIRECT("B21:B" &amp; ROW()))-1&lt;E243,表2_367162629303891213[[#This Row],[累计净值]]/MAX(INDIRECT("B21:B" &amp; ROW()))-1,E243)</f>
        <v>-3.3870675602246103E-2</v>
      </c>
      <c r="F244" s="110">
        <f>表2_367162629303891213[[#This Row],[累计净值]]</f>
        <v>1.0670999999999999</v>
      </c>
      <c r="G244" s="20">
        <f>表2_367162629303891213[[#This Row],[累计净值]]/$B$21-1</f>
        <v>6.6886622675464968E-2</v>
      </c>
    </row>
    <row r="245" spans="1:7">
      <c r="A245" s="15">
        <v>44166</v>
      </c>
      <c r="B245" s="112">
        <v>1.0633999999999999</v>
      </c>
      <c r="C245" s="108">
        <f t="shared" si="68"/>
        <v>-3.7000000000000366E-3</v>
      </c>
      <c r="D245" s="109">
        <f t="shared" si="69"/>
        <v>-3.7000000000000366E-3</v>
      </c>
      <c r="E245" s="109">
        <f ca="1">IF(表2_367162629303891213[[#This Row],[累计净值]]/MAX(INDIRECT("B21:B" &amp; ROW()))-1&lt;E244,表2_367162629303891213[[#This Row],[累计净值]]/MAX(INDIRECT("B21:B" &amp; ROW()))-1,E244)</f>
        <v>-3.6949827929723011E-2</v>
      </c>
      <c r="F245" s="110">
        <f>表2_367162629303891213[[#This Row],[累计净值]]</f>
        <v>1.0633999999999999</v>
      </c>
      <c r="G245" s="20">
        <f>表2_367162629303891213[[#This Row],[累计净值]]/$B$21-1</f>
        <v>6.3187362527494351E-2</v>
      </c>
    </row>
    <row r="246" spans="1:7">
      <c r="A246" s="15">
        <v>44167</v>
      </c>
      <c r="B246" s="112">
        <v>1.0673999999999999</v>
      </c>
      <c r="C246" s="108">
        <f t="shared" si="68"/>
        <v>4.0000000000000036E-3</v>
      </c>
      <c r="D246" s="109" t="str">
        <f t="shared" si="69"/>
        <v>/</v>
      </c>
      <c r="E246" s="109">
        <f ca="1">IF(表2_367162629303891213[[#This Row],[累计净值]]/MAX(INDIRECT("B21:B" &amp; ROW()))-1&lt;E245,表2_367162629303891213[[#This Row],[累计净值]]/MAX(INDIRECT("B21:B" &amp; ROW()))-1,E245)</f>
        <v>-3.6949827929723011E-2</v>
      </c>
      <c r="F246" s="110">
        <f>表2_367162629303891213[[#This Row],[累计净值]]</f>
        <v>1.0673999999999999</v>
      </c>
      <c r="G246" s="20">
        <f>表2_367162629303891213[[#This Row],[累计净值]]/$B$21-1</f>
        <v>6.718656268746237E-2</v>
      </c>
    </row>
    <row r="247" spans="1:7">
      <c r="A247" s="15">
        <v>44168</v>
      </c>
      <c r="B247" s="112">
        <v>1.0663</v>
      </c>
      <c r="C247" s="108">
        <f t="shared" si="68"/>
        <v>-1.0999999999998789E-3</v>
      </c>
      <c r="D247" s="109">
        <f t="shared" si="69"/>
        <v>-1.0999999999998789E-3</v>
      </c>
      <c r="E247" s="109">
        <f ca="1">IF(表2_367162629303891213[[#This Row],[累计净值]]/MAX(INDIRECT("B21:B" &amp; ROW()))-1&lt;E246,表2_367162629303891213[[#This Row],[累计净值]]/MAX(INDIRECT("B21:B" &amp; ROW()))-1,E246)</f>
        <v>-3.6949827929723011E-2</v>
      </c>
      <c r="F247" s="110">
        <f>表2_367162629303891213[[#This Row],[累计净值]]</f>
        <v>1.0663</v>
      </c>
      <c r="G247" s="20">
        <f>表2_367162629303891213[[#This Row],[累计净值]]/$B$21-1</f>
        <v>6.6086782643471453E-2</v>
      </c>
    </row>
    <row r="248" spans="1:7">
      <c r="A248" s="15">
        <v>44169</v>
      </c>
      <c r="B248" s="112">
        <v>1.0668</v>
      </c>
      <c r="C248" s="108">
        <f>IFERROR(B248-B247,0)</f>
        <v>4.9999999999994493E-4</v>
      </c>
      <c r="D248" s="109" t="str">
        <f>IF(C248&lt;0,C248,"/")</f>
        <v>/</v>
      </c>
      <c r="E248" s="109">
        <f ca="1">IF(表2_367162629303891213[[#This Row],[累计净值]]/MAX(INDIRECT("B21:B" &amp; ROW()))-1&lt;E247,表2_367162629303891213[[#This Row],[累计净值]]/MAX(INDIRECT("B21:B" &amp; ROW()))-1,E247)</f>
        <v>-3.6949827929723011E-2</v>
      </c>
      <c r="F248" s="110">
        <f>表2_367162629303891213[[#This Row],[累计净值]]</f>
        <v>1.0668</v>
      </c>
      <c r="G248" s="20">
        <f>表2_367162629303891213[[#This Row],[累计净值]]/$B$21-1</f>
        <v>6.6586682663467345E-2</v>
      </c>
    </row>
    <row r="249" spans="1:7">
      <c r="A249" s="15">
        <v>44172</v>
      </c>
      <c r="B249" s="112">
        <v>1.0685</v>
      </c>
      <c r="C249" s="108">
        <f>IFERROR(B249-B248,0)</f>
        <v>1.7000000000000348E-3</v>
      </c>
      <c r="D249" s="109" t="str">
        <f>IF(C249&lt;0,C249,"/")</f>
        <v>/</v>
      </c>
      <c r="E249" s="109">
        <f ca="1">IF(表2_367162629303891213[[#This Row],[累计净值]]/MAX(INDIRECT("B21:B" &amp; ROW()))-1&lt;E248,表2_367162629303891213[[#This Row],[累计净值]]/MAX(INDIRECT("B21:B" &amp; ROW()))-1,E248)</f>
        <v>-3.6949827929723011E-2</v>
      </c>
      <c r="F249" s="110">
        <f>表2_367162629303891213[[#This Row],[累计净值]]</f>
        <v>1.0685</v>
      </c>
      <c r="G249" s="20">
        <f>表2_367162629303891213[[#This Row],[累计净值]]/$B$21-1</f>
        <v>6.8286342731453731E-2</v>
      </c>
    </row>
    <row r="250" spans="1:7">
      <c r="A250" s="15">
        <v>44173</v>
      </c>
      <c r="B250" s="112">
        <v>1.0663</v>
      </c>
      <c r="C250" s="108">
        <f>IFERROR(B250-B249,0)</f>
        <v>-2.1999999999999797E-3</v>
      </c>
      <c r="D250" s="109">
        <f>IF(C250&lt;0,C250,"/")</f>
        <v>-2.1999999999999797E-3</v>
      </c>
      <c r="E250" s="109">
        <f ca="1">IF(表2_367162629303891213[[#This Row],[累计净值]]/MAX(INDIRECT("B21:B" &amp; ROW()))-1&lt;E249,表2_367162629303891213[[#This Row],[累计净值]]/MAX(INDIRECT("B21:B" &amp; ROW()))-1,E249)</f>
        <v>-3.6949827929723011E-2</v>
      </c>
      <c r="F250" s="110">
        <f>表2_367162629303891213[[#This Row],[累计净值]]</f>
        <v>1.0663</v>
      </c>
      <c r="G250" s="20">
        <f>表2_367162629303891213[[#This Row],[累计净值]]/$B$21-1</f>
        <v>6.6086782643471453E-2</v>
      </c>
    </row>
    <row r="251" spans="1:7">
      <c r="A251" s="15">
        <v>44174</v>
      </c>
      <c r="B251" s="112">
        <v>1.0617000000000001</v>
      </c>
      <c r="C251" s="108">
        <f t="shared" ref="C251:C252" si="70">IFERROR(B251-B250,0)</f>
        <v>-4.5999999999999375E-3</v>
      </c>
      <c r="D251" s="109">
        <f t="shared" ref="D251:D252" si="71">IF(C251&lt;0,C251,"/")</f>
        <v>-4.5999999999999375E-3</v>
      </c>
      <c r="E251" s="109">
        <f ca="1">IF(表2_367162629303891213[[#This Row],[累计净值]]/MAX(INDIRECT("B21:B" &amp; ROW()))-1&lt;E250,表2_367162629303891213[[#This Row],[累计净值]]/MAX(INDIRECT("B21:B" &amp; ROW()))-1,E250)</f>
        <v>-3.8489404093461355E-2</v>
      </c>
      <c r="F251" s="110">
        <f>表2_367162629303891213[[#This Row],[累计净值]]</f>
        <v>1.0617000000000001</v>
      </c>
      <c r="G251" s="20">
        <f>表2_367162629303891213[[#This Row],[累计净值]]/$B$21-1</f>
        <v>6.1487702459508187E-2</v>
      </c>
    </row>
    <row r="252" spans="1:7">
      <c r="A252" s="15">
        <v>44175</v>
      </c>
      <c r="B252" s="112">
        <v>1.0609999999999999</v>
      </c>
      <c r="C252" s="108">
        <f t="shared" si="70"/>
        <v>-7.0000000000014495E-4</v>
      </c>
      <c r="D252" s="109">
        <f t="shared" si="71"/>
        <v>-7.0000000000014495E-4</v>
      </c>
      <c r="E252" s="109">
        <f ca="1">IF(表2_367162629303891213[[#This Row],[累计净值]]/MAX(INDIRECT("B21:B" &amp; ROW()))-1&lt;E251,表2_367162629303891213[[#This Row],[累计净值]]/MAX(INDIRECT("B21:B" &amp; ROW()))-1,E251)</f>
        <v>-3.9123347219706672E-2</v>
      </c>
      <c r="F252" s="110">
        <f>表2_367162629303891213[[#This Row],[累计净值]]</f>
        <v>1.0609999999999999</v>
      </c>
      <c r="G252" s="20">
        <f>表2_367162629303891213[[#This Row],[累计净值]]/$B$21-1</f>
        <v>6.0787842431513583E-2</v>
      </c>
    </row>
    <row r="253" spans="1:7">
      <c r="A253" s="15">
        <v>44176</v>
      </c>
      <c r="B253" s="112">
        <v>1.0617000000000001</v>
      </c>
      <c r="C253" s="108">
        <f t="shared" ref="C253:C258" si="72">IFERROR(B253-B252,0)</f>
        <v>7.0000000000014495E-4</v>
      </c>
      <c r="D253" s="109" t="str">
        <f t="shared" ref="D253:D258" si="73">IF(C253&lt;0,C253,"/")</f>
        <v>/</v>
      </c>
      <c r="E253" s="109">
        <f ca="1">IF(表2_367162629303891213[[#This Row],[累计净值]]/MAX(INDIRECT("B21:B" &amp; ROW()))-1&lt;E252,表2_367162629303891213[[#This Row],[累计净值]]/MAX(INDIRECT("B21:B" &amp; ROW()))-1,E252)</f>
        <v>-3.9123347219706672E-2</v>
      </c>
      <c r="F253" s="110">
        <f>表2_367162629303891213[[#This Row],[累计净值]]</f>
        <v>1.0617000000000001</v>
      </c>
      <c r="G253" s="20">
        <f>表2_367162629303891213[[#This Row],[累计净值]]/$B$21-1</f>
        <v>6.1487702459508187E-2</v>
      </c>
    </row>
    <row r="254" spans="1:7">
      <c r="A254" s="15">
        <v>44179</v>
      </c>
      <c r="B254" s="112">
        <v>1.0584</v>
      </c>
      <c r="C254" s="108">
        <f t="shared" si="72"/>
        <v>-3.3000000000000806E-3</v>
      </c>
      <c r="D254" s="109">
        <f t="shared" si="73"/>
        <v>-3.3000000000000806E-3</v>
      </c>
      <c r="E254" s="109">
        <f ca="1">IF(表2_367162629303891213[[#This Row],[累计净值]]/MAX(INDIRECT("B21:B" &amp; ROW()))-1&lt;E253,表2_367162629303891213[[#This Row],[累计净值]]/MAX(INDIRECT("B21:B" &amp; ROW()))-1,E253)</f>
        <v>-4.1477993117188916E-2</v>
      </c>
      <c r="F254" s="110">
        <f>表2_367162629303891213[[#This Row],[累计净值]]</f>
        <v>1.0584</v>
      </c>
      <c r="G254" s="20">
        <f>表2_367162629303891213[[#This Row],[累计净值]]/$B$21-1</f>
        <v>5.8188362327534549E-2</v>
      </c>
    </row>
    <row r="255" spans="1:7">
      <c r="A255" s="15">
        <v>44180</v>
      </c>
      <c r="B255" s="112">
        <v>1.0563</v>
      </c>
      <c r="C255" s="108">
        <f t="shared" si="72"/>
        <v>-2.0999999999999908E-3</v>
      </c>
      <c r="D255" s="109">
        <f t="shared" si="73"/>
        <v>-2.0999999999999908E-3</v>
      </c>
      <c r="E255" s="109">
        <f ca="1">IF(表2_367162629303891213[[#This Row],[累计净值]]/MAX(INDIRECT("B21:B" &amp; ROW()))-1&lt;E254,表2_367162629303891213[[#This Row],[累计净值]]/MAX(INDIRECT("B21:B" &amp; ROW()))-1,E254)</f>
        <v>-4.3379822495924647E-2</v>
      </c>
      <c r="F255" s="110">
        <f>表2_367162629303891213[[#This Row],[累计净值]]</f>
        <v>1.0563</v>
      </c>
      <c r="G255" s="20">
        <f>表2_367162629303891213[[#This Row],[累计净值]]/$B$21-1</f>
        <v>5.6088782243551405E-2</v>
      </c>
    </row>
    <row r="256" spans="1:7">
      <c r="A256" s="15">
        <v>44181</v>
      </c>
      <c r="B256" s="112">
        <v>1.0529999999999999</v>
      </c>
      <c r="C256" s="108">
        <f t="shared" si="72"/>
        <v>-3.3000000000000806E-3</v>
      </c>
      <c r="D256" s="109">
        <f t="shared" si="73"/>
        <v>-3.3000000000000806E-3</v>
      </c>
      <c r="E256" s="109">
        <f ca="1">IF(表2_367162629303891213[[#This Row],[累计净值]]/MAX(INDIRECT("B21:B" &amp; ROW()))-1&lt;E255,表2_367162629303891213[[#This Row],[累计净值]]/MAX(INDIRECT("B21:B" &amp; ROW()))-1,E255)</f>
        <v>-4.6368411519652319E-2</v>
      </c>
      <c r="F256" s="110">
        <f>表2_367162629303891213[[#This Row],[累计净值]]</f>
        <v>1.0529999999999999</v>
      </c>
      <c r="G256" s="20">
        <f>表2_367162629303891213[[#This Row],[累计净值]]/$B$21-1</f>
        <v>5.2789442111577545E-2</v>
      </c>
    </row>
    <row r="257" spans="1:7">
      <c r="A257" s="15">
        <v>44182</v>
      </c>
      <c r="B257" s="112">
        <v>1.0467</v>
      </c>
      <c r="C257" s="108">
        <f t="shared" si="72"/>
        <v>-6.2999999999999723E-3</v>
      </c>
      <c r="D257" s="109">
        <f t="shared" si="73"/>
        <v>-6.2999999999999723E-3</v>
      </c>
      <c r="E257" s="109">
        <f ca="1">IF(表2_367162629303891213[[#This Row],[累计净值]]/MAX(INDIRECT("B21:B" &amp; ROW()))-1&lt;E256,表2_367162629303891213[[#This Row],[累计净值]]/MAX(INDIRECT("B21:B" &amp; ROW()))-1,E256)</f>
        <v>-5.2073899655859512E-2</v>
      </c>
      <c r="F257" s="110">
        <f>表2_367162629303891213[[#This Row],[累计净值]]</f>
        <v>1.0467</v>
      </c>
      <c r="G257" s="20">
        <f>表2_367162629303891213[[#This Row],[累计净值]]/$B$21-1</f>
        <v>4.6490701859628114E-2</v>
      </c>
    </row>
    <row r="258" spans="1:7">
      <c r="A258" s="15">
        <v>44183</v>
      </c>
      <c r="B258" s="112">
        <v>1.0444</v>
      </c>
      <c r="C258" s="108">
        <f t="shared" si="72"/>
        <v>-2.2999999999999687E-3</v>
      </c>
      <c r="D258" s="109">
        <f t="shared" si="73"/>
        <v>-2.2999999999999687E-3</v>
      </c>
      <c r="E258" s="109">
        <f ca="1">IF(表2_367162629303891213[[#This Row],[累计净值]]/MAX(INDIRECT("B21:B" &amp; ROW()))-1&lt;E257,表2_367162629303891213[[#This Row],[累计净值]]/MAX(INDIRECT("B21:B" &amp; ROW()))-1,E257)</f>
        <v>-5.4156855642093937E-2</v>
      </c>
      <c r="F258" s="110">
        <f>表2_367162629303891213[[#This Row],[累计净值]]</f>
        <v>1.0444</v>
      </c>
      <c r="G258" s="20">
        <f>表2_367162629303891213[[#This Row],[累计净值]]/$B$21-1</f>
        <v>4.4191161767646481E-2</v>
      </c>
    </row>
    <row r="259" spans="1:7">
      <c r="A259" s="15">
        <v>44186</v>
      </c>
      <c r="B259" s="112">
        <v>1.0364</v>
      </c>
      <c r="C259" s="108">
        <f t="shared" ref="C259:C264" si="74">IFERROR(B259-B258,0)</f>
        <v>-8.0000000000000071E-3</v>
      </c>
      <c r="D259" s="109">
        <f t="shared" ref="D259:D264" si="75">IF(C259&lt;0,C259,"/")</f>
        <v>-8.0000000000000071E-3</v>
      </c>
      <c r="E259" s="109">
        <f ca="1">IF(表2_367162629303891213[[#This Row],[累计净值]]/MAX(INDIRECT("B21:B" &amp; ROW()))-1&lt;E258,表2_367162629303891213[[#This Row],[累计净值]]/MAX(INDIRECT("B21:B" &amp; ROW()))-1,E258)</f>
        <v>-6.1401919942039584E-2</v>
      </c>
      <c r="F259" s="110">
        <f>表2_367162629303891213[[#This Row],[累计净值]]</f>
        <v>1.0364</v>
      </c>
      <c r="G259" s="20">
        <f>表2_367162629303891213[[#This Row],[累计净值]]/$B$21-1</f>
        <v>3.6192761447710442E-2</v>
      </c>
    </row>
    <row r="260" spans="1:7">
      <c r="A260" s="15">
        <v>44187</v>
      </c>
      <c r="B260" s="112">
        <v>1.0310999999999999</v>
      </c>
      <c r="C260" s="108">
        <f t="shared" si="74"/>
        <v>-5.3000000000000824E-3</v>
      </c>
      <c r="D260" s="109">
        <f t="shared" si="75"/>
        <v>-5.3000000000000824E-3</v>
      </c>
      <c r="E260" s="109">
        <f ca="1">IF(表2_367162629303891213[[#This Row],[累计净值]]/MAX(INDIRECT("B21:B" &amp; ROW()))-1&lt;E259,表2_367162629303891213[[#This Row],[累计净值]]/MAX(INDIRECT("B21:B" &amp; ROW()))-1,E259)</f>
        <v>-6.6201775040753641E-2</v>
      </c>
      <c r="F260" s="110">
        <f>表2_367162629303891213[[#This Row],[累计净值]]</f>
        <v>1.0310999999999999</v>
      </c>
      <c r="G260" s="20">
        <f>表2_367162629303891213[[#This Row],[累计净值]]/$B$21-1</f>
        <v>3.0893821235752794E-2</v>
      </c>
    </row>
    <row r="261" spans="1:7">
      <c r="A261" s="15">
        <v>44188</v>
      </c>
      <c r="B261" s="112">
        <v>1.0289999999999999</v>
      </c>
      <c r="C261" s="108">
        <f t="shared" si="74"/>
        <v>-2.0999999999999908E-3</v>
      </c>
      <c r="D261" s="109">
        <f t="shared" si="75"/>
        <v>-2.0999999999999908E-3</v>
      </c>
      <c r="E261" s="109">
        <f ca="1">IF(表2_367162629303891213[[#This Row],[累计净值]]/MAX(INDIRECT("B21:B" &amp; ROW()))-1&lt;E260,表2_367162629303891213[[#This Row],[累计净值]]/MAX(INDIRECT("B21:B" &amp; ROW()))-1,E260)</f>
        <v>-6.8103604419489372E-2</v>
      </c>
      <c r="F261" s="110">
        <f>表2_367162629303891213[[#This Row],[累计净值]]</f>
        <v>1.0289999999999999</v>
      </c>
      <c r="G261" s="20">
        <f>表2_367162629303891213[[#This Row],[累计净值]]/$B$21-1</f>
        <v>2.8794241151769651E-2</v>
      </c>
    </row>
    <row r="262" spans="1:7">
      <c r="A262" s="15">
        <v>44189</v>
      </c>
      <c r="B262" s="112">
        <v>1.026</v>
      </c>
      <c r="C262" s="108">
        <f t="shared" si="74"/>
        <v>-2.9999999999998916E-3</v>
      </c>
      <c r="D262" s="109">
        <f t="shared" si="75"/>
        <v>-2.9999999999998916E-3</v>
      </c>
      <c r="E262" s="109">
        <f ca="1">IF(表2_367162629303891213[[#This Row],[累计净值]]/MAX(INDIRECT("B21:B" &amp; ROW()))-1&lt;E261,表2_367162629303891213[[#This Row],[累计净值]]/MAX(INDIRECT("B21:B" &amp; ROW()))-1,E261)</f>
        <v>-7.0820503531968892E-2</v>
      </c>
      <c r="F262" s="110">
        <f>表2_367162629303891213[[#This Row],[累计净值]]</f>
        <v>1.026</v>
      </c>
      <c r="G262" s="20">
        <f>表2_367162629303891213[[#This Row],[累计净值]]/$B$21-1</f>
        <v>2.5794841031793636E-2</v>
      </c>
    </row>
    <row r="263" spans="1:7">
      <c r="A263" s="15">
        <v>44190</v>
      </c>
      <c r="B263" s="112">
        <v>1.0259</v>
      </c>
      <c r="C263" s="108">
        <f t="shared" si="74"/>
        <v>-9.9999999999988987E-5</v>
      </c>
      <c r="D263" s="109">
        <f t="shared" si="75"/>
        <v>-9.9999999999988987E-5</v>
      </c>
      <c r="E263" s="109">
        <f ca="1">IF(表2_367162629303891213[[#This Row],[累计净值]]/MAX(INDIRECT("B21:B" &amp; ROW()))-1&lt;E262,表2_367162629303891213[[#This Row],[累计净值]]/MAX(INDIRECT("B21:B" &amp; ROW()))-1,E262)</f>
        <v>-7.0911066835718239E-2</v>
      </c>
      <c r="F263" s="110">
        <f>表2_367162629303891213[[#This Row],[累计净值]]</f>
        <v>1.0259</v>
      </c>
      <c r="G263" s="20">
        <f>表2_367162629303891213[[#This Row],[累计净值]]/$B$21-1</f>
        <v>2.5694861027794502E-2</v>
      </c>
    </row>
    <row r="264" spans="1:7">
      <c r="A264" s="15">
        <v>44193</v>
      </c>
      <c r="B264" s="112">
        <v>1.0266999999999999</v>
      </c>
      <c r="C264" s="108">
        <f t="shared" si="74"/>
        <v>7.9999999999991189E-4</v>
      </c>
      <c r="D264" s="109" t="str">
        <f t="shared" si="75"/>
        <v>/</v>
      </c>
      <c r="E264" s="109">
        <f ca="1">IF(表2_367162629303891213[[#This Row],[累计净值]]/MAX(INDIRECT("B21:B" &amp; ROW()))-1&lt;E263,表2_367162629303891213[[#This Row],[累计净值]]/MAX(INDIRECT("B21:B" &amp; ROW()))-1,E263)</f>
        <v>-7.0911066835718239E-2</v>
      </c>
      <c r="F264" s="110">
        <f>表2_367162629303891213[[#This Row],[累计净值]]</f>
        <v>1.0266999999999999</v>
      </c>
      <c r="G264" s="20">
        <f>表2_367162629303891213[[#This Row],[累计净值]]/$B$21-1</f>
        <v>2.6494701059788017E-2</v>
      </c>
    </row>
    <row r="265" spans="1:7">
      <c r="A265" s="15">
        <v>44194</v>
      </c>
      <c r="B265" s="112">
        <v>1.0233000000000001</v>
      </c>
      <c r="C265" s="108">
        <f t="shared" ref="C265:C270" si="76">IFERROR(B265-B264,0)</f>
        <v>-3.3999999999998476E-3</v>
      </c>
      <c r="D265" s="109">
        <f t="shared" ref="D265:D270" si="77">IF(C265&lt;0,C265,"/")</f>
        <v>-3.3999999999998476E-3</v>
      </c>
      <c r="E265" s="109">
        <f ca="1">IF(表2_367162629303891213[[#This Row],[累计净值]]/MAX(INDIRECT("B21:B" &amp; ROW()))-1&lt;E264,表2_367162629303891213[[#This Row],[累计净值]]/MAX(INDIRECT("B21:B" &amp; ROW()))-1,E264)</f>
        <v>-7.3265712733200483E-2</v>
      </c>
      <c r="F265" s="110">
        <f>表2_367162629303891213[[#This Row],[累计净值]]</f>
        <v>1.0233000000000001</v>
      </c>
      <c r="G265" s="20">
        <f>表2_367162629303891213[[#This Row],[累计净值]]/$B$21-1</f>
        <v>2.3095380923815467E-2</v>
      </c>
    </row>
    <row r="266" spans="1:7">
      <c r="A266" s="15">
        <v>44195</v>
      </c>
      <c r="B266" s="112">
        <v>1.0276000000000001</v>
      </c>
      <c r="C266" s="108">
        <f t="shared" si="76"/>
        <v>4.2999999999999705E-3</v>
      </c>
      <c r="D266" s="109" t="str">
        <f t="shared" si="77"/>
        <v>/</v>
      </c>
      <c r="E266" s="109">
        <f ca="1">IF(表2_367162629303891213[[#This Row],[累计净值]]/MAX(INDIRECT("B21:B" &amp; ROW()))-1&lt;E265,表2_367162629303891213[[#This Row],[累计净值]]/MAX(INDIRECT("B21:B" &amp; ROW()))-1,E265)</f>
        <v>-7.3265712733200483E-2</v>
      </c>
      <c r="F266" s="110">
        <f>表2_367162629303891213[[#This Row],[累计净值]]</f>
        <v>1.0276000000000001</v>
      </c>
      <c r="G266" s="20">
        <f>表2_367162629303891213[[#This Row],[累计净值]]/$B$21-1</f>
        <v>2.7394521095780888E-2</v>
      </c>
    </row>
    <row r="267" spans="1:7">
      <c r="A267" s="15">
        <v>44196</v>
      </c>
      <c r="B267" s="112">
        <v>1.0287999999999999</v>
      </c>
      <c r="C267" s="108">
        <f t="shared" si="76"/>
        <v>1.1999999999998678E-3</v>
      </c>
      <c r="D267" s="109" t="str">
        <f t="shared" si="77"/>
        <v>/</v>
      </c>
      <c r="E267" s="109">
        <f ca="1">IF(表2_367162629303891213[[#This Row],[累计净值]]/MAX(INDIRECT("B21:B" &amp; ROW()))-1&lt;E266,表2_367162629303891213[[#This Row],[累计净值]]/MAX(INDIRECT("B21:B" &amp; ROW()))-1,E266)</f>
        <v>-7.3265712733200483E-2</v>
      </c>
      <c r="F267" s="110">
        <f>表2_367162629303891213[[#This Row],[累计净值]]</f>
        <v>1.0287999999999999</v>
      </c>
      <c r="G267" s="20">
        <f>表2_367162629303891213[[#This Row],[累计净值]]/$B$21-1</f>
        <v>2.8594281143771161E-2</v>
      </c>
    </row>
    <row r="268" spans="1:7">
      <c r="A268" s="15">
        <v>44200</v>
      </c>
      <c r="B268" s="112">
        <v>1.0313000000000001</v>
      </c>
      <c r="C268" s="108">
        <f t="shared" si="76"/>
        <v>2.5000000000001688E-3</v>
      </c>
      <c r="D268" s="109" t="str">
        <f t="shared" si="77"/>
        <v>/</v>
      </c>
      <c r="E268" s="109">
        <f ca="1">IF(表2_367162629303891213[[#This Row],[累计净值]]/MAX(INDIRECT("B21:B" &amp; ROW()))-1&lt;E267,表2_367162629303891213[[#This Row],[累计净值]]/MAX(INDIRECT("B21:B" &amp; ROW()))-1,E267)</f>
        <v>-7.3265712733200483E-2</v>
      </c>
      <c r="F268" s="110">
        <f>表2_367162629303891213[[#This Row],[累计净值]]</f>
        <v>1.0313000000000001</v>
      </c>
      <c r="G268" s="20">
        <f>表2_367162629303891213[[#This Row],[累计净值]]/$B$21-1</f>
        <v>3.1093781243751284E-2</v>
      </c>
    </row>
    <row r="269" spans="1:7">
      <c r="A269" s="15">
        <v>44201</v>
      </c>
      <c r="B269" s="112">
        <v>1.0328999999999999</v>
      </c>
      <c r="C269" s="108">
        <f t="shared" si="76"/>
        <v>1.5999999999998238E-3</v>
      </c>
      <c r="D269" s="109" t="str">
        <f t="shared" si="77"/>
        <v>/</v>
      </c>
      <c r="E269" s="109">
        <f ca="1">IF(表2_367162629303891213[[#This Row],[累计净值]]/MAX(INDIRECT("B21:B" &amp; ROW()))-1&lt;E268,表2_367162629303891213[[#This Row],[累计净值]]/MAX(INDIRECT("B21:B" &amp; ROW()))-1,E268)</f>
        <v>-7.3265712733200483E-2</v>
      </c>
      <c r="F269" s="110">
        <f>表2_367162629303891213[[#This Row],[累计净值]]</f>
        <v>1.0328999999999999</v>
      </c>
      <c r="G269" s="20">
        <f>表2_367162629303891213[[#This Row],[累计净值]]/$B$21-1</f>
        <v>3.2693461307738314E-2</v>
      </c>
    </row>
    <row r="270" spans="1:7">
      <c r="A270" s="15">
        <v>44202</v>
      </c>
      <c r="B270" s="112">
        <v>1.0328999999999999</v>
      </c>
      <c r="C270" s="108">
        <f t="shared" si="76"/>
        <v>0</v>
      </c>
      <c r="D270" s="109" t="str">
        <f t="shared" si="77"/>
        <v>/</v>
      </c>
      <c r="E270" s="109">
        <f ca="1">IF(表2_367162629303891213[[#This Row],[累计净值]]/MAX(INDIRECT("B21:B" &amp; ROW()))-1&lt;E269,表2_367162629303891213[[#This Row],[累计净值]]/MAX(INDIRECT("B21:B" &amp; ROW()))-1,E269)</f>
        <v>-7.3265712733200483E-2</v>
      </c>
      <c r="F270" s="110">
        <f>表2_367162629303891213[[#This Row],[累计净值]]</f>
        <v>1.0328999999999999</v>
      </c>
      <c r="G270" s="20">
        <f>表2_367162629303891213[[#This Row],[累计净值]]/$B$21-1</f>
        <v>3.2693461307738314E-2</v>
      </c>
    </row>
    <row r="271" spans="1:7">
      <c r="A271" s="15">
        <v>44203</v>
      </c>
      <c r="B271" s="112">
        <v>1.0367</v>
      </c>
      <c r="C271" s="108">
        <f t="shared" ref="C271:C276" si="78">IFERROR(B271-B270,0)</f>
        <v>3.8000000000000256E-3</v>
      </c>
      <c r="D271" s="109" t="str">
        <f t="shared" ref="D271:D276" si="79">IF(C271&lt;0,C271,"/")</f>
        <v>/</v>
      </c>
      <c r="E271" s="109">
        <f ca="1">IF(表2_367162629303891213[[#This Row],[累计净值]]/MAX(INDIRECT("B21:B" &amp; ROW()))-1&lt;E270,表2_367162629303891213[[#This Row],[累计净值]]/MAX(INDIRECT("B21:B" &amp; ROW()))-1,E270)</f>
        <v>-7.3265712733200483E-2</v>
      </c>
      <c r="F271" s="110">
        <f>表2_367162629303891213[[#This Row],[累计净值]]</f>
        <v>1.0367</v>
      </c>
      <c r="G271" s="20">
        <f>表2_367162629303891213[[#This Row],[累计净值]]/$B$21-1</f>
        <v>3.6492701459708066E-2</v>
      </c>
    </row>
    <row r="272" spans="1:7">
      <c r="A272" s="15">
        <v>44204</v>
      </c>
      <c r="B272" s="112">
        <v>1.0310999999999999</v>
      </c>
      <c r="C272" s="108">
        <f t="shared" si="78"/>
        <v>-5.6000000000000494E-3</v>
      </c>
      <c r="D272" s="109">
        <f t="shared" si="79"/>
        <v>-5.6000000000000494E-3</v>
      </c>
      <c r="E272" s="109">
        <f ca="1">IF(表2_367162629303891213[[#This Row],[累计净值]]/MAX(INDIRECT("B21:B" &amp; ROW()))-1&lt;E271,表2_367162629303891213[[#This Row],[累计净值]]/MAX(INDIRECT("B21:B" &amp; ROW()))-1,E271)</f>
        <v>-7.3265712733200483E-2</v>
      </c>
      <c r="F272" s="110">
        <f>表2_367162629303891213[[#This Row],[累计净值]]</f>
        <v>1.0310999999999999</v>
      </c>
      <c r="G272" s="20">
        <f>表2_367162629303891213[[#This Row],[累计净值]]/$B$21-1</f>
        <v>3.0893821235752794E-2</v>
      </c>
    </row>
    <row r="273" spans="1:7">
      <c r="A273" s="15">
        <v>44207</v>
      </c>
      <c r="B273" s="112">
        <v>1.0374000000000001</v>
      </c>
      <c r="C273" s="108">
        <f t="shared" si="78"/>
        <v>6.3000000000001943E-3</v>
      </c>
      <c r="D273" s="109" t="str">
        <f t="shared" si="79"/>
        <v>/</v>
      </c>
      <c r="E273" s="109">
        <f ca="1">IF(表2_367162629303891213[[#This Row],[累计净值]]/MAX(INDIRECT("B21:B" &amp; ROW()))-1&lt;E272,表2_367162629303891213[[#This Row],[累计净值]]/MAX(INDIRECT("B21:B" &amp; ROW()))-1,E272)</f>
        <v>-7.3265712733200483E-2</v>
      </c>
      <c r="F273" s="110">
        <f>表2_367162629303891213[[#This Row],[累计净值]]</f>
        <v>1.0374000000000001</v>
      </c>
      <c r="G273" s="20">
        <f>表2_367162629303891213[[#This Row],[累计净值]]/$B$21-1</f>
        <v>3.7192561487702669E-2</v>
      </c>
    </row>
    <row r="274" spans="1:7">
      <c r="A274" s="15">
        <v>44208</v>
      </c>
      <c r="B274" s="112">
        <v>1.0398000000000001</v>
      </c>
      <c r="C274" s="108">
        <f t="shared" si="78"/>
        <v>2.3999999999999577E-3</v>
      </c>
      <c r="D274" s="109" t="str">
        <f t="shared" si="79"/>
        <v>/</v>
      </c>
      <c r="E274" s="109">
        <f ca="1">IF(表2_367162629303891213[[#This Row],[累计净值]]/MAX(INDIRECT("B21:B" &amp; ROW()))-1&lt;E273,表2_367162629303891213[[#This Row],[累计净值]]/MAX(INDIRECT("B21:B" &amp; ROW()))-1,E273)</f>
        <v>-7.3265712733200483E-2</v>
      </c>
      <c r="F274" s="110">
        <f>表2_367162629303891213[[#This Row],[累计净值]]</f>
        <v>1.0398000000000001</v>
      </c>
      <c r="G274" s="20">
        <f>表2_367162629303891213[[#This Row],[累计净值]]/$B$21-1</f>
        <v>3.9592081583683436E-2</v>
      </c>
    </row>
    <row r="275" spans="1:7">
      <c r="A275" s="15">
        <v>44209</v>
      </c>
      <c r="B275" s="112">
        <v>1.0461</v>
      </c>
      <c r="C275" s="108">
        <f t="shared" si="78"/>
        <v>6.2999999999999723E-3</v>
      </c>
      <c r="D275" s="109" t="str">
        <f t="shared" si="79"/>
        <v>/</v>
      </c>
      <c r="E275" s="109">
        <f ca="1">IF(表2_367162629303891213[[#This Row],[累计净值]]/MAX(INDIRECT("B21:B" &amp; ROW()))-1&lt;E274,表2_367162629303891213[[#This Row],[累计净值]]/MAX(INDIRECT("B21:B" &amp; ROW()))-1,E274)</f>
        <v>-7.3265712733200483E-2</v>
      </c>
      <c r="F275" s="110">
        <f>表2_367162629303891213[[#This Row],[累计净值]]</f>
        <v>1.0461</v>
      </c>
      <c r="G275" s="20">
        <f>表2_367162629303891213[[#This Row],[累计净值]]/$B$21-1</f>
        <v>4.5890821835632867E-2</v>
      </c>
    </row>
    <row r="276" spans="1:7">
      <c r="A276" s="15">
        <v>44210</v>
      </c>
      <c r="B276" s="112">
        <v>1.0426</v>
      </c>
      <c r="C276" s="108">
        <f t="shared" si="78"/>
        <v>-3.5000000000000586E-3</v>
      </c>
      <c r="D276" s="109">
        <f t="shared" si="79"/>
        <v>-3.5000000000000586E-3</v>
      </c>
      <c r="E276" s="109">
        <f ca="1">IF(表2_367162629303891213[[#This Row],[累计净值]]/MAX(INDIRECT("B21:B" &amp; ROW()))-1&lt;E275,表2_367162629303891213[[#This Row],[累计净值]]/MAX(INDIRECT("B21:B" &amp; ROW()))-1,E275)</f>
        <v>-7.3265712733200483E-2</v>
      </c>
      <c r="F276" s="110">
        <f>表2_367162629303891213[[#This Row],[累计净值]]</f>
        <v>1.0426</v>
      </c>
      <c r="G276" s="20">
        <f>表2_367162629303891213[[#This Row],[累计净值]]/$B$21-1</f>
        <v>4.2391521695660961E-2</v>
      </c>
    </row>
    <row r="277" spans="1:7">
      <c r="A277" s="15">
        <v>44211</v>
      </c>
      <c r="B277" s="112">
        <v>1.0478000000000001</v>
      </c>
      <c r="C277" s="108">
        <f t="shared" ref="C277:C283" si="80">IFERROR(B277-B276,0)</f>
        <v>5.2000000000000934E-3</v>
      </c>
      <c r="D277" s="109" t="str">
        <f t="shared" ref="D277:D283" si="81">IF(C277&lt;0,C277,"/")</f>
        <v>/</v>
      </c>
      <c r="E277" s="109">
        <f ca="1">IF(表2_367162629303891213[[#This Row],[累计净值]]/MAX(INDIRECT("B21:B" &amp; ROW()))-1&lt;E276,表2_367162629303891213[[#This Row],[累计净值]]/MAX(INDIRECT("B21:B" &amp; ROW()))-1,E276)</f>
        <v>-7.3265712733200483E-2</v>
      </c>
      <c r="F277" s="110">
        <f>表2_367162629303891213[[#This Row],[累计净值]]</f>
        <v>1.0478000000000001</v>
      </c>
      <c r="G277" s="20">
        <f>表2_367162629303891213[[#This Row],[累计净值]]/$B$21-1</f>
        <v>4.7590481903619253E-2</v>
      </c>
    </row>
    <row r="278" spans="1:7">
      <c r="A278" s="15">
        <v>44214</v>
      </c>
      <c r="B278" s="112">
        <v>1.0478000000000001</v>
      </c>
      <c r="C278" s="108">
        <f t="shared" si="80"/>
        <v>0</v>
      </c>
      <c r="D278" s="109" t="str">
        <f t="shared" si="81"/>
        <v>/</v>
      </c>
      <c r="E278" s="109">
        <f ca="1">IF(表2_367162629303891213[[#This Row],[累计净值]]/MAX(INDIRECT("B21:B" &amp; ROW()))-1&lt;E277,表2_367162629303891213[[#This Row],[累计净值]]/MAX(INDIRECT("B21:B" &amp; ROW()))-1,E277)</f>
        <v>-7.3265712733200483E-2</v>
      </c>
      <c r="F278" s="110">
        <f>表2_367162629303891213[[#This Row],[累计净值]]</f>
        <v>1.0478000000000001</v>
      </c>
      <c r="G278" s="20">
        <f>表2_367162629303891213[[#This Row],[累计净值]]/$B$21-1</f>
        <v>4.7590481903619253E-2</v>
      </c>
    </row>
    <row r="279" spans="1:7">
      <c r="A279" s="15">
        <v>44215</v>
      </c>
      <c r="B279" s="112">
        <v>1.0479000000000001</v>
      </c>
      <c r="C279" s="108">
        <f t="shared" si="80"/>
        <v>9.9999999999988987E-5</v>
      </c>
      <c r="D279" s="109" t="str">
        <f t="shared" si="81"/>
        <v>/</v>
      </c>
      <c r="E279" s="109">
        <f ca="1">IF(表2_367162629303891213[[#This Row],[累计净值]]/MAX(INDIRECT("B21:B" &amp; ROW()))-1&lt;E278,表2_367162629303891213[[#This Row],[累计净值]]/MAX(INDIRECT("B21:B" &amp; ROW()))-1,E278)</f>
        <v>-7.3265712733200483E-2</v>
      </c>
      <c r="F279" s="110">
        <f>表2_367162629303891213[[#This Row],[累计净值]]</f>
        <v>1.0479000000000001</v>
      </c>
      <c r="G279" s="20">
        <f>表2_367162629303891213[[#This Row],[累计净值]]/$B$21-1</f>
        <v>4.7690461907618609E-2</v>
      </c>
    </row>
    <row r="280" spans="1:7">
      <c r="A280" s="15">
        <v>44216</v>
      </c>
      <c r="B280" s="112">
        <v>1.0479000000000001</v>
      </c>
      <c r="C280" s="108">
        <f t="shared" si="80"/>
        <v>0</v>
      </c>
      <c r="D280" s="109" t="str">
        <f t="shared" si="81"/>
        <v>/</v>
      </c>
      <c r="E280" s="109">
        <f ca="1">IF(表2_367162629303891213[[#This Row],[累计净值]]/MAX(INDIRECT("B21:B" &amp; ROW()))-1&lt;E279,表2_367162629303891213[[#This Row],[累计净值]]/MAX(INDIRECT("B21:B" &amp; ROW()))-1,E279)</f>
        <v>-7.3265712733200483E-2</v>
      </c>
      <c r="F280" s="110">
        <f>表2_367162629303891213[[#This Row],[累计净值]]</f>
        <v>1.0479000000000001</v>
      </c>
      <c r="G280" s="20">
        <f>表2_367162629303891213[[#This Row],[累计净值]]/$B$21-1</f>
        <v>4.7690461907618609E-2</v>
      </c>
    </row>
    <row r="281" spans="1:7">
      <c r="A281" s="15">
        <v>44217</v>
      </c>
      <c r="B281" s="112">
        <v>1.0482</v>
      </c>
      <c r="C281" s="108">
        <f t="shared" si="80"/>
        <v>2.9999999999996696E-4</v>
      </c>
      <c r="D281" s="109" t="str">
        <f t="shared" si="81"/>
        <v>/</v>
      </c>
      <c r="E281" s="109">
        <f ca="1">IF(表2_367162629303891213[[#This Row],[累计净值]]/MAX(INDIRECT("B21:B" &amp; ROW()))-1&lt;E280,表2_367162629303891213[[#This Row],[累计净值]]/MAX(INDIRECT("B21:B" &amp; ROW()))-1,E280)</f>
        <v>-7.3265712733200483E-2</v>
      </c>
      <c r="F281" s="110">
        <f>表2_367162629303891213[[#This Row],[累计净值]]</f>
        <v>1.0482</v>
      </c>
      <c r="G281" s="20">
        <f>表2_367162629303891213[[#This Row],[累计净值]]/$B$21-1</f>
        <v>4.799040191961601E-2</v>
      </c>
    </row>
    <row r="282" spans="1:7">
      <c r="A282" s="15">
        <v>44218</v>
      </c>
      <c r="B282" s="112">
        <v>1.0485</v>
      </c>
      <c r="C282" s="108">
        <f t="shared" si="80"/>
        <v>2.9999999999996696E-4</v>
      </c>
      <c r="D282" s="109" t="str">
        <f t="shared" si="81"/>
        <v>/</v>
      </c>
      <c r="E282" s="109">
        <f ca="1">IF(表2_367162629303891213[[#This Row],[累计净值]]/MAX(INDIRECT("B21:B" &amp; ROW()))-1&lt;E281,表2_367162629303891213[[#This Row],[累计净值]]/MAX(INDIRECT("B21:B" &amp; ROW()))-1,E281)</f>
        <v>-7.3265712733200483E-2</v>
      </c>
      <c r="F282" s="110">
        <f>表2_367162629303891213[[#This Row],[累计净值]]</f>
        <v>1.0485</v>
      </c>
      <c r="G282" s="20">
        <f>表2_367162629303891213[[#This Row],[累计净值]]/$B$21-1</f>
        <v>4.8290341931613634E-2</v>
      </c>
    </row>
    <row r="283" spans="1:7">
      <c r="A283" s="15">
        <v>44221</v>
      </c>
      <c r="B283" s="112">
        <v>1.0488</v>
      </c>
      <c r="C283" s="108">
        <f t="shared" si="80"/>
        <v>2.9999999999996696E-4</v>
      </c>
      <c r="D283" s="109" t="str">
        <f t="shared" si="81"/>
        <v>/</v>
      </c>
      <c r="E283" s="109">
        <f ca="1">IF(表2_367162629303891213[[#This Row],[累计净值]]/MAX(INDIRECT("B21:B" &amp; ROW()))-1&lt;E282,表2_367162629303891213[[#This Row],[累计净值]]/MAX(INDIRECT("B21:B" &amp; ROW()))-1,E282)</f>
        <v>-7.3265712733200483E-2</v>
      </c>
      <c r="F283" s="110">
        <f>表2_367162629303891213[[#This Row],[累计净值]]</f>
        <v>1.0488</v>
      </c>
      <c r="G283" s="20">
        <f>表2_367162629303891213[[#This Row],[累计净值]]/$B$21-1</f>
        <v>4.8590281943611258E-2</v>
      </c>
    </row>
    <row r="284" spans="1:7">
      <c r="A284" s="15">
        <v>44222</v>
      </c>
      <c r="B284" s="112">
        <v>1.0491999999999999</v>
      </c>
      <c r="C284" s="108">
        <f>IFERROR(B284-B283,0)</f>
        <v>3.9999999999995595E-4</v>
      </c>
      <c r="D284" s="109" t="str">
        <f>IF(C284&lt;0,C284,"/")</f>
        <v>/</v>
      </c>
      <c r="E284" s="109">
        <f ca="1">IF(表2_367162629303891213[[#This Row],[累计净值]]/MAX(INDIRECT("B21:B" &amp; ROW()))-1&lt;E283,表2_367162629303891213[[#This Row],[累计净值]]/MAX(INDIRECT("B21:B" &amp; ROW()))-1,E283)</f>
        <v>-7.3265712733200483E-2</v>
      </c>
      <c r="F284" s="110">
        <f>表2_367162629303891213[[#This Row],[累计净值]]</f>
        <v>1.0491999999999999</v>
      </c>
      <c r="G284" s="20">
        <f>表2_367162629303891213[[#This Row],[累计净值]]/$B$21-1</f>
        <v>4.8990201959608015E-2</v>
      </c>
    </row>
    <row r="285" spans="1:7">
      <c r="A285" s="15">
        <v>44223</v>
      </c>
      <c r="B285" s="112">
        <v>1.0495000000000001</v>
      </c>
      <c r="C285" s="108">
        <f>IFERROR(B285-B284,0)</f>
        <v>3.00000000000189E-4</v>
      </c>
      <c r="D285" s="109" t="str">
        <f>IF(C285&lt;0,C285,"/")</f>
        <v>/</v>
      </c>
      <c r="E285" s="109">
        <f ca="1">IF(表2_367162629303891213[[#This Row],[累计净值]]/MAX(INDIRECT("B21:B" &amp; ROW()))-1&lt;E284,表2_367162629303891213[[#This Row],[累计净值]]/MAX(INDIRECT("B21:B" &amp; ROW()))-1,E284)</f>
        <v>-7.3265712733200483E-2</v>
      </c>
      <c r="F285" s="110">
        <f>表2_367162629303891213[[#This Row],[累计净值]]</f>
        <v>1.0495000000000001</v>
      </c>
      <c r="G285" s="20">
        <f>表2_367162629303891213[[#This Row],[累计净值]]/$B$21-1</f>
        <v>4.9290141971605861E-2</v>
      </c>
    </row>
    <row r="286" spans="1:7">
      <c r="A286" s="15">
        <v>44224</v>
      </c>
      <c r="B286" s="112">
        <v>1.0498000000000001</v>
      </c>
      <c r="C286" s="108">
        <f t="shared" ref="C286:C287" si="82">IFERROR(B286-B285,0)</f>
        <v>2.9999999999996696E-4</v>
      </c>
      <c r="D286" s="109" t="str">
        <f t="shared" ref="D286:D287" si="83">IF(C286&lt;0,C286,"/")</f>
        <v>/</v>
      </c>
      <c r="E286" s="109">
        <f ca="1">IF(表2_367162629303891213[[#This Row],[累计净值]]/MAX(INDIRECT("B21:B" &amp; ROW()))-1&lt;E285,表2_367162629303891213[[#This Row],[累计净值]]/MAX(INDIRECT("B21:B" &amp; ROW()))-1,E285)</f>
        <v>-7.3265712733200483E-2</v>
      </c>
      <c r="F286" s="110">
        <f>表2_367162629303891213[[#This Row],[累计净值]]</f>
        <v>1.0498000000000001</v>
      </c>
      <c r="G286" s="20">
        <f>表2_367162629303891213[[#This Row],[累计净值]]/$B$21-1</f>
        <v>4.9590081983603262E-2</v>
      </c>
    </row>
    <row r="287" spans="1:7">
      <c r="A287" s="15">
        <v>44225</v>
      </c>
      <c r="B287" s="112">
        <v>1.0504</v>
      </c>
      <c r="C287" s="108">
        <f t="shared" si="82"/>
        <v>5.9999999999993392E-4</v>
      </c>
      <c r="D287" s="109" t="str">
        <f t="shared" si="83"/>
        <v>/</v>
      </c>
      <c r="E287" s="109">
        <f ca="1">IF(表2_367162629303891213[[#This Row],[累计净值]]/MAX(INDIRECT("B21:B" &amp; ROW()))-1&lt;E286,表2_367162629303891213[[#This Row],[累计净值]]/MAX(INDIRECT("B21:B" &amp; ROW()))-1,E286)</f>
        <v>-7.3265712733200483E-2</v>
      </c>
      <c r="F287" s="110">
        <f>表2_367162629303891213[[#This Row],[累计净值]]</f>
        <v>1.0504</v>
      </c>
      <c r="G287" s="20">
        <f>表2_367162629303891213[[#This Row],[累计净值]]/$B$21-1</f>
        <v>5.018996200759851E-2</v>
      </c>
    </row>
    <row r="288" spans="1:7">
      <c r="A288" s="15">
        <v>44228</v>
      </c>
      <c r="B288" s="112">
        <v>1.0508999999999999</v>
      </c>
      <c r="C288" s="108">
        <f t="shared" ref="C288:C293" si="84">IFERROR(B288-B287,0)</f>
        <v>4.9999999999994493E-4</v>
      </c>
      <c r="D288" s="109" t="str">
        <f t="shared" ref="D288:D293" si="85">IF(C288&lt;0,C288,"/")</f>
        <v>/</v>
      </c>
      <c r="E288" s="109">
        <f ca="1">IF(表2_367162629303891213[[#This Row],[累计净值]]/MAX(INDIRECT("B21:B" &amp; ROW()))-1&lt;E287,表2_367162629303891213[[#This Row],[累计净值]]/MAX(INDIRECT("B21:B" &amp; ROW()))-1,E287)</f>
        <v>-7.3265712733200483E-2</v>
      </c>
      <c r="F288" s="110">
        <f>表2_367162629303891213[[#This Row],[累计净值]]</f>
        <v>1.0508999999999999</v>
      </c>
      <c r="G288" s="20">
        <f>表2_367162629303891213[[#This Row],[累计净值]]/$B$21-1</f>
        <v>5.0689862027594401E-2</v>
      </c>
    </row>
    <row r="289" spans="1:7">
      <c r="A289" s="15">
        <v>44229</v>
      </c>
      <c r="B289" s="112">
        <v>1.0513999999999999</v>
      </c>
      <c r="C289" s="108">
        <f t="shared" si="84"/>
        <v>4.9999999999994493E-4</v>
      </c>
      <c r="D289" s="109" t="str">
        <f t="shared" si="85"/>
        <v>/</v>
      </c>
      <c r="E289" s="109">
        <f ca="1">IF(表2_367162629303891213[[#This Row],[累计净值]]/MAX(INDIRECT("B21:B" &amp; ROW()))-1&lt;E288,表2_367162629303891213[[#This Row],[累计净值]]/MAX(INDIRECT("B21:B" &amp; ROW()))-1,E288)</f>
        <v>-7.3265712733200483E-2</v>
      </c>
      <c r="F289" s="110">
        <f>表2_367162629303891213[[#This Row],[累计净值]]</f>
        <v>1.0513999999999999</v>
      </c>
      <c r="G289" s="20">
        <f>表2_367162629303891213[[#This Row],[累计净值]]/$B$21-1</f>
        <v>5.1189762047590293E-2</v>
      </c>
    </row>
    <row r="290" spans="1:7">
      <c r="A290" s="15">
        <v>44230</v>
      </c>
      <c r="B290" s="112">
        <v>1.0519000000000001</v>
      </c>
      <c r="C290" s="108">
        <f t="shared" si="84"/>
        <v>5.0000000000016698E-4</v>
      </c>
      <c r="D290" s="109" t="str">
        <f t="shared" si="85"/>
        <v>/</v>
      </c>
      <c r="E290" s="109">
        <f ca="1">IF(表2_367162629303891213[[#This Row],[累计净值]]/MAX(INDIRECT("B21:B" &amp; ROW()))-1&lt;E289,表2_367162629303891213[[#This Row],[累计净值]]/MAX(INDIRECT("B21:B" &amp; ROW()))-1,E289)</f>
        <v>-7.3265712733200483E-2</v>
      </c>
      <c r="F290" s="110">
        <f>表2_367162629303891213[[#This Row],[累计净值]]</f>
        <v>1.0519000000000001</v>
      </c>
      <c r="G290" s="20">
        <f>表2_367162629303891213[[#This Row],[累计净值]]/$B$21-1</f>
        <v>5.1689662067586628E-2</v>
      </c>
    </row>
    <row r="291" spans="1:7">
      <c r="A291" s="15">
        <v>44231</v>
      </c>
      <c r="B291" s="112">
        <v>1.0526</v>
      </c>
      <c r="C291" s="108">
        <f t="shared" si="84"/>
        <v>6.9999999999992291E-4</v>
      </c>
      <c r="D291" s="109" t="str">
        <f t="shared" si="85"/>
        <v>/</v>
      </c>
      <c r="E291" s="109">
        <f ca="1">IF(表2_367162629303891213[[#This Row],[累计净值]]/MAX(INDIRECT("B21:B" &amp; ROW()))-1&lt;E290,表2_367162629303891213[[#This Row],[累计净值]]/MAX(INDIRECT("B21:B" &amp; ROW()))-1,E290)</f>
        <v>-7.3265712733200483E-2</v>
      </c>
      <c r="F291" s="110">
        <f>表2_367162629303891213[[#This Row],[累计净值]]</f>
        <v>1.0526</v>
      </c>
      <c r="G291" s="20">
        <f>表2_367162629303891213[[#This Row],[累计净值]]/$B$21-1</f>
        <v>5.2389522095580787E-2</v>
      </c>
    </row>
    <row r="292" spans="1:7">
      <c r="A292" s="15">
        <v>44232</v>
      </c>
      <c r="B292" s="112">
        <v>1.0531999999999999</v>
      </c>
      <c r="C292" s="108">
        <f t="shared" si="84"/>
        <v>5.9999999999993392E-4</v>
      </c>
      <c r="D292" s="109" t="str">
        <f t="shared" si="85"/>
        <v>/</v>
      </c>
      <c r="E292" s="109">
        <f ca="1">IF(表2_367162629303891213[[#This Row],[累计净值]]/MAX(INDIRECT("B21:B" &amp; ROW()))-1&lt;E291,表2_367162629303891213[[#This Row],[累计净值]]/MAX(INDIRECT("B21:B" &amp; ROW()))-1,E291)</f>
        <v>-7.3265712733200483E-2</v>
      </c>
      <c r="F292" s="110">
        <f>表2_367162629303891213[[#This Row],[累计净值]]</f>
        <v>1.0531999999999999</v>
      </c>
      <c r="G292" s="20">
        <f>表2_367162629303891213[[#This Row],[累计净值]]/$B$21-1</f>
        <v>5.2989402119576035E-2</v>
      </c>
    </row>
    <row r="293" spans="1:7">
      <c r="A293" s="15">
        <v>44235</v>
      </c>
      <c r="B293" s="112">
        <v>1.0537000000000001</v>
      </c>
      <c r="C293" s="108">
        <f t="shared" si="84"/>
        <v>5.0000000000016698E-4</v>
      </c>
      <c r="D293" s="109" t="str">
        <f t="shared" si="85"/>
        <v>/</v>
      </c>
      <c r="E293" s="109">
        <f ca="1">IF(表2_367162629303891213[[#This Row],[累计净值]]/MAX(INDIRECT("B21:B" &amp; ROW()))-1&lt;E292,表2_367162629303891213[[#This Row],[累计净值]]/MAX(INDIRECT("B21:B" &amp; ROW()))-1,E292)</f>
        <v>-7.3265712733200483E-2</v>
      </c>
      <c r="F293" s="110">
        <f>表2_367162629303891213[[#This Row],[累计净值]]</f>
        <v>1.0537000000000001</v>
      </c>
      <c r="G293" s="20">
        <f>表2_367162629303891213[[#This Row],[累计净值]]/$B$21-1</f>
        <v>5.3489302139572148E-2</v>
      </c>
    </row>
    <row r="294" spans="1:7">
      <c r="A294" s="15">
        <v>44236</v>
      </c>
      <c r="B294" s="112">
        <v>1.0545</v>
      </c>
      <c r="C294" s="108">
        <f>IFERROR(B294-B293,0)</f>
        <v>7.9999999999991189E-4</v>
      </c>
      <c r="D294" s="109" t="str">
        <f>IF(C294&lt;0,C294,"/")</f>
        <v>/</v>
      </c>
      <c r="E294" s="109">
        <f ca="1">IF(表2_367162629303891213[[#This Row],[累计净值]]/MAX(INDIRECT("B21:B" &amp; ROW()))-1&lt;E293,表2_367162629303891213[[#This Row],[累计净值]]/MAX(INDIRECT("B21:B" &amp; ROW()))-1,E293)</f>
        <v>-7.3265712733200483E-2</v>
      </c>
      <c r="F294" s="110">
        <f>表2_367162629303891213[[#This Row],[累计净值]]</f>
        <v>1.0545</v>
      </c>
      <c r="G294" s="20">
        <f>表2_367162629303891213[[#This Row],[累计净值]]/$B$21-1</f>
        <v>5.4289142171565663E-2</v>
      </c>
    </row>
    <row r="295" spans="1:7">
      <c r="A295" s="15">
        <v>44237</v>
      </c>
      <c r="B295" s="112">
        <v>1.0537000000000001</v>
      </c>
      <c r="C295" s="108">
        <f t="shared" ref="C295:C296" si="86">IFERROR(B295-B294,0)</f>
        <v>-7.9999999999991189E-4</v>
      </c>
      <c r="D295" s="109">
        <f t="shared" ref="D295:D296" si="87">IF(C295&lt;0,C295,"/")</f>
        <v>-7.9999999999991189E-4</v>
      </c>
      <c r="E295" s="109">
        <f ca="1">IF(表2_367162629303891213[[#This Row],[累计净值]]/MAX(INDIRECT("B21:B" &amp; ROW()))-1&lt;E294,表2_367162629303891213[[#This Row],[累计净值]]/MAX(INDIRECT("B21:B" &amp; ROW()))-1,E294)</f>
        <v>-7.3265712733200483E-2</v>
      </c>
      <c r="F295" s="110">
        <f>表2_367162629303891213[[#This Row],[累计净值]]</f>
        <v>1.0537000000000001</v>
      </c>
      <c r="G295" s="20">
        <f>表2_367162629303891213[[#This Row],[累计净值]]/$B$21-1</f>
        <v>5.3489302139572148E-2</v>
      </c>
    </row>
    <row r="296" spans="1:7">
      <c r="A296" s="15">
        <v>44245</v>
      </c>
      <c r="B296" s="112">
        <v>1.0537000000000001</v>
      </c>
      <c r="C296" s="108">
        <f t="shared" si="86"/>
        <v>0</v>
      </c>
      <c r="D296" s="109" t="str">
        <f t="shared" si="87"/>
        <v>/</v>
      </c>
      <c r="E296" s="109">
        <f ca="1">IF(表2_367162629303891213[[#This Row],[累计净值]]/MAX(INDIRECT("B21:B" &amp; ROW()))-1&lt;E295,表2_367162629303891213[[#This Row],[累计净值]]/MAX(INDIRECT("B21:B" &amp; ROW()))-1,E295)</f>
        <v>-7.3265712733200483E-2</v>
      </c>
      <c r="F296" s="110">
        <f>表2_367162629303891213[[#This Row],[累计净值]]</f>
        <v>1.0537000000000001</v>
      </c>
      <c r="G296" s="20">
        <f>表2_367162629303891213[[#This Row],[累计净值]]/$B$21-1</f>
        <v>5.3489302139572148E-2</v>
      </c>
    </row>
    <row r="297" spans="1:7">
      <c r="A297" s="15">
        <v>44246</v>
      </c>
      <c r="B297" s="112">
        <v>1.0532999999999999</v>
      </c>
      <c r="C297" s="108">
        <f>IFERROR(B297-B296,0)</f>
        <v>-4.0000000000017799E-4</v>
      </c>
      <c r="D297" s="109">
        <f>IF(C297&lt;0,C297,"/")</f>
        <v>-4.0000000000017799E-4</v>
      </c>
      <c r="E297" s="109">
        <f ca="1">IF(表2_367162629303891213[[#This Row],[累计净值]]/MAX(INDIRECT("B21:B" &amp; ROW()))-1&lt;E296,表2_367162629303891213[[#This Row],[累计净值]]/MAX(INDIRECT("B21:B" &amp; ROW()))-1,E296)</f>
        <v>-7.3265712733200483E-2</v>
      </c>
      <c r="F297" s="110">
        <f>表2_367162629303891213[[#This Row],[累计净值]]</f>
        <v>1.0532999999999999</v>
      </c>
      <c r="G297" s="20">
        <f>表2_367162629303891213[[#This Row],[累计净值]]/$B$21-1</f>
        <v>5.3089382123575168E-2</v>
      </c>
    </row>
    <row r="298" spans="1:7">
      <c r="A298" s="15">
        <v>44249</v>
      </c>
      <c r="B298" s="112">
        <v>1.0533999999999999</v>
      </c>
      <c r="C298" s="108">
        <f>IFERROR(B298-B297,0)</f>
        <v>9.9999999999988987E-5</v>
      </c>
      <c r="D298" s="109" t="str">
        <f>IF(C298&lt;0,C298,"/")</f>
        <v>/</v>
      </c>
      <c r="E298" s="109">
        <f ca="1">IF(表2_367162629303891213[[#This Row],[累计净值]]/MAX(INDIRECT("B21:B" &amp; ROW()))-1&lt;E297,表2_367162629303891213[[#This Row],[累计净值]]/MAX(INDIRECT("B21:B" &amp; ROW()))-1,E297)</f>
        <v>-7.3265712733200483E-2</v>
      </c>
      <c r="F298" s="110">
        <f>表2_367162629303891213[[#This Row],[累计净值]]</f>
        <v>1.0533999999999999</v>
      </c>
      <c r="G298" s="20">
        <f>表2_367162629303891213[[#This Row],[累计净值]]/$B$21-1</f>
        <v>5.3189362127574302E-2</v>
      </c>
    </row>
    <row r="299" spans="1:7">
      <c r="A299" s="15">
        <v>44250</v>
      </c>
      <c r="B299" s="112">
        <v>1.0528</v>
      </c>
      <c r="C299" s="108">
        <f>IFERROR(B299-B298,0)</f>
        <v>-5.9999999999993392E-4</v>
      </c>
      <c r="D299" s="109">
        <f>IF(C299&lt;0,C299,"/")</f>
        <v>-5.9999999999993392E-4</v>
      </c>
      <c r="E299" s="109">
        <f ca="1">IF(表2_367162629303891213[[#This Row],[累计净值]]/MAX(INDIRECT("B21:B" &amp; ROW()))-1&lt;E298,表2_367162629303891213[[#This Row],[累计净值]]/MAX(INDIRECT("B21:B" &amp; ROW()))-1,E298)</f>
        <v>-7.3265712733200483E-2</v>
      </c>
      <c r="F299" s="110">
        <f>表2_367162629303891213[[#This Row],[累计净值]]</f>
        <v>1.0528</v>
      </c>
      <c r="G299" s="20">
        <f>表2_367162629303891213[[#This Row],[累计净值]]/$B$21-1</f>
        <v>5.2589482103579277E-2</v>
      </c>
    </row>
    <row r="300" spans="1:7">
      <c r="A300" s="15">
        <v>44251</v>
      </c>
      <c r="B300" s="112">
        <v>1.0525</v>
      </c>
      <c r="C300" s="108">
        <f>IFERROR(B300-B299,0)</f>
        <v>-2.9999999999996696E-4</v>
      </c>
      <c r="D300" s="109">
        <f>IF(C300&lt;0,C300,"/")</f>
        <v>-2.9999999999996696E-4</v>
      </c>
      <c r="E300" s="109">
        <f ca="1">IF(表2_367162629303891213[[#This Row],[累计净值]]/MAX(INDIRECT("B21:B" &amp; ROW()))-1&lt;E299,表2_367162629303891213[[#This Row],[累计净值]]/MAX(INDIRECT("B21:B" &amp; ROW()))-1,E299)</f>
        <v>-7.3265712733200483E-2</v>
      </c>
      <c r="F300" s="110">
        <f>表2_367162629303891213[[#This Row],[累计净值]]</f>
        <v>1.0525</v>
      </c>
      <c r="G300" s="20">
        <f>表2_367162629303891213[[#This Row],[累计净值]]/$B$21-1</f>
        <v>5.2289542091581653E-2</v>
      </c>
    </row>
    <row r="301" spans="1:7">
      <c r="A301" s="15">
        <v>44252</v>
      </c>
      <c r="B301" s="112">
        <v>1.0528</v>
      </c>
      <c r="C301" s="108">
        <f t="shared" ref="C301:C302" si="88">IFERROR(B301-B300,0)</f>
        <v>2.9999999999996696E-4</v>
      </c>
      <c r="D301" s="109" t="str">
        <f t="shared" ref="D301:D302" si="89">IF(C301&lt;0,C301,"/")</f>
        <v>/</v>
      </c>
      <c r="E301" s="109">
        <f ca="1">IF(表2_367162629303891213[[#This Row],[累计净值]]/MAX(INDIRECT("B21:B" &amp; ROW()))-1&lt;E300,表2_367162629303891213[[#This Row],[累计净值]]/MAX(INDIRECT("B21:B" &amp; ROW()))-1,E300)</f>
        <v>-7.3265712733200483E-2</v>
      </c>
      <c r="F301" s="110">
        <f>表2_367162629303891213[[#This Row],[累计净值]]</f>
        <v>1.0528</v>
      </c>
      <c r="G301" s="20">
        <f>表2_367162629303891213[[#This Row],[累计净值]]/$B$21-1</f>
        <v>5.2589482103579277E-2</v>
      </c>
    </row>
    <row r="302" spans="1:7">
      <c r="A302" s="15">
        <v>44253</v>
      </c>
      <c r="B302" s="112">
        <v>1.0531999999999999</v>
      </c>
      <c r="C302" s="108">
        <f t="shared" si="88"/>
        <v>3.9999999999995595E-4</v>
      </c>
      <c r="D302" s="109" t="str">
        <f t="shared" si="89"/>
        <v>/</v>
      </c>
      <c r="E302" s="109">
        <f ca="1">IF(表2_367162629303891213[[#This Row],[累计净值]]/MAX(INDIRECT("B21:B" &amp; ROW()))-1&lt;E301,表2_367162629303891213[[#This Row],[累计净值]]/MAX(INDIRECT("B21:B" &amp; ROW()))-1,E301)</f>
        <v>-7.3265712733200483E-2</v>
      </c>
      <c r="F302" s="110">
        <f>表2_367162629303891213[[#This Row],[累计净值]]</f>
        <v>1.0531999999999999</v>
      </c>
      <c r="G302" s="20">
        <f>表2_367162629303891213[[#This Row],[累计净值]]/$B$21-1</f>
        <v>5.2989402119576035E-2</v>
      </c>
    </row>
    <row r="303" spans="1:7">
      <c r="A303" s="15">
        <v>44256</v>
      </c>
      <c r="B303" s="112">
        <v>1.0537000000000001</v>
      </c>
      <c r="C303" s="108">
        <f>IFERROR(B303-B302,0)</f>
        <v>5.0000000000016698E-4</v>
      </c>
      <c r="D303" s="109" t="str">
        <f>IF(C303&lt;0,C303,"/")</f>
        <v>/</v>
      </c>
      <c r="E303" s="109">
        <f ca="1">IF(表2_367162629303891213[[#This Row],[累计净值]]/MAX(INDIRECT("B21:B" &amp; ROW()))-1&lt;E302,表2_367162629303891213[[#This Row],[累计净值]]/MAX(INDIRECT("B21:B" &amp; ROW()))-1,E302)</f>
        <v>-7.3265712733200483E-2</v>
      </c>
      <c r="F303" s="110">
        <f>表2_367162629303891213[[#This Row],[累计净值]]</f>
        <v>1.0537000000000001</v>
      </c>
      <c r="G303" s="20">
        <f>表2_367162629303891213[[#This Row],[累计净值]]/$B$21-1</f>
        <v>5.3489302139572148E-2</v>
      </c>
    </row>
    <row r="304" spans="1:7">
      <c r="A304" s="15">
        <v>44257</v>
      </c>
      <c r="B304" s="112">
        <v>1.0533999999999999</v>
      </c>
      <c r="C304" s="108">
        <f t="shared" ref="C304:C307" si="90">IFERROR(B304-B303,0)</f>
        <v>-3.00000000000189E-4</v>
      </c>
      <c r="D304" s="109">
        <f t="shared" ref="D304:D307" si="91">IF(C304&lt;0,C304,"/")</f>
        <v>-3.00000000000189E-4</v>
      </c>
      <c r="E304" s="109">
        <f ca="1">IF(表2_367162629303891213[[#This Row],[累计净值]]/MAX(INDIRECT("B21:B" &amp; ROW()))-1&lt;E303,表2_367162629303891213[[#This Row],[累计净值]]/MAX(INDIRECT("B21:B" &amp; ROW()))-1,E303)</f>
        <v>-7.3265712733200483E-2</v>
      </c>
      <c r="F304" s="110">
        <f>表2_367162629303891213[[#This Row],[累计净值]]</f>
        <v>1.0533999999999999</v>
      </c>
      <c r="G304" s="20">
        <f>表2_367162629303891213[[#This Row],[累计净值]]/$B$21-1</f>
        <v>5.3189362127574302E-2</v>
      </c>
    </row>
    <row r="305" spans="1:7">
      <c r="A305" s="15">
        <v>44258</v>
      </c>
      <c r="B305" s="112">
        <v>1.0536000000000001</v>
      </c>
      <c r="C305" s="108">
        <f t="shared" si="90"/>
        <v>2.0000000000020002E-4</v>
      </c>
      <c r="D305" s="109" t="str">
        <f t="shared" si="91"/>
        <v>/</v>
      </c>
      <c r="E305" s="109">
        <f ca="1">IF(表2_367162629303891213[[#This Row],[累计净值]]/MAX(INDIRECT("B21:B" &amp; ROW()))-1&lt;E304,表2_367162629303891213[[#This Row],[累计净值]]/MAX(INDIRECT("B21:B" &amp; ROW()))-1,E304)</f>
        <v>-7.3265712733200483E-2</v>
      </c>
      <c r="F305" s="110">
        <f>表2_367162629303891213[[#This Row],[累计净值]]</f>
        <v>1.0536000000000001</v>
      </c>
      <c r="G305" s="20">
        <f>表2_367162629303891213[[#This Row],[累计净值]]/$B$21-1</f>
        <v>5.3389322135573014E-2</v>
      </c>
    </row>
    <row r="306" spans="1:7">
      <c r="A306" s="15">
        <v>44259</v>
      </c>
      <c r="B306" s="112">
        <v>1.0531999999999999</v>
      </c>
      <c r="C306" s="108">
        <f t="shared" si="90"/>
        <v>-4.0000000000017799E-4</v>
      </c>
      <c r="D306" s="109">
        <f t="shared" si="91"/>
        <v>-4.0000000000017799E-4</v>
      </c>
      <c r="E306" s="109">
        <f ca="1">IF(表2_367162629303891213[[#This Row],[累计净值]]/MAX(INDIRECT("B21:B" &amp; ROW()))-1&lt;E305,表2_367162629303891213[[#This Row],[累计净值]]/MAX(INDIRECT("B21:B" &amp; ROW()))-1,E305)</f>
        <v>-7.3265712733200483E-2</v>
      </c>
      <c r="F306" s="110">
        <f>表2_367162629303891213[[#This Row],[累计净值]]</f>
        <v>1.0531999999999999</v>
      </c>
      <c r="G306" s="20">
        <f>表2_367162629303891213[[#This Row],[累计净值]]/$B$21-1</f>
        <v>5.2989402119576035E-2</v>
      </c>
    </row>
    <row r="307" spans="1:7">
      <c r="A307" s="15">
        <v>44260</v>
      </c>
      <c r="B307" s="112">
        <v>1.0538000000000001</v>
      </c>
      <c r="C307" s="108">
        <f t="shared" si="90"/>
        <v>6.0000000000015596E-4</v>
      </c>
      <c r="D307" s="109" t="str">
        <f t="shared" si="91"/>
        <v>/</v>
      </c>
      <c r="E307" s="109">
        <f ca="1">IF(表2_367162629303891213[[#This Row],[累计净值]]/MAX(INDIRECT("B21:B" &amp; ROW()))-1&lt;E306,表2_367162629303891213[[#This Row],[累计净值]]/MAX(INDIRECT("B21:B" &amp; ROW()))-1,E306)</f>
        <v>-7.3265712733200483E-2</v>
      </c>
      <c r="F307" s="110">
        <f>表2_367162629303891213[[#This Row],[累计净值]]</f>
        <v>1.0538000000000001</v>
      </c>
      <c r="G307" s="20">
        <f>表2_367162629303891213[[#This Row],[累计净值]]/$B$21-1</f>
        <v>5.3589282143571282E-2</v>
      </c>
    </row>
    <row r="308" spans="1:7">
      <c r="A308" s="15">
        <v>44263</v>
      </c>
      <c r="B308" s="112">
        <v>1.0546</v>
      </c>
      <c r="C308" s="108">
        <f t="shared" ref="C308:C313" si="92">IFERROR(B308-B307,0)</f>
        <v>7.9999999999991189E-4</v>
      </c>
      <c r="D308" s="109" t="str">
        <f t="shared" ref="D308:D313" si="93">IF(C308&lt;0,C308,"/")</f>
        <v>/</v>
      </c>
      <c r="E308" s="109">
        <f ca="1">IF(表2_367162629303891213[[#This Row],[累计净值]]/MAX(INDIRECT("B21:B" &amp; ROW()))-1&lt;E307,表2_367162629303891213[[#This Row],[累计净值]]/MAX(INDIRECT("B21:B" &amp; ROW()))-1,E307)</f>
        <v>-7.3265712733200483E-2</v>
      </c>
      <c r="F308" s="110">
        <f>表2_367162629303891213[[#This Row],[累计净值]]</f>
        <v>1.0546</v>
      </c>
      <c r="G308" s="20">
        <f>表2_367162629303891213[[#This Row],[累计净值]]/$B$21-1</f>
        <v>5.4389122175564797E-2</v>
      </c>
    </row>
    <row r="309" spans="1:7">
      <c r="A309" s="15">
        <v>44264</v>
      </c>
      <c r="B309" s="112">
        <v>1.0547</v>
      </c>
      <c r="C309" s="108">
        <f t="shared" si="92"/>
        <v>9.9999999999988987E-5</v>
      </c>
      <c r="D309" s="109" t="str">
        <f t="shared" si="93"/>
        <v>/</v>
      </c>
      <c r="E309" s="109">
        <f ca="1">IF(表2_367162629303891213[[#This Row],[累计净值]]/MAX(INDIRECT("B21:B" &amp; ROW()))-1&lt;E308,表2_367162629303891213[[#This Row],[累计净值]]/MAX(INDIRECT("B21:B" &amp; ROW()))-1,E308)</f>
        <v>-7.3265712733200483E-2</v>
      </c>
      <c r="F309" s="110">
        <f>表2_367162629303891213[[#This Row],[累计净值]]</f>
        <v>1.0547</v>
      </c>
      <c r="G309" s="20">
        <f>表2_367162629303891213[[#This Row],[累计净值]]/$B$21-1</f>
        <v>5.4489102179564153E-2</v>
      </c>
    </row>
    <row r="310" spans="1:7">
      <c r="A310" s="15">
        <v>44265</v>
      </c>
      <c r="B310" s="112">
        <v>1.0543</v>
      </c>
      <c r="C310" s="108">
        <f t="shared" si="92"/>
        <v>-3.9999999999995595E-4</v>
      </c>
      <c r="D310" s="109">
        <f t="shared" si="93"/>
        <v>-3.9999999999995595E-4</v>
      </c>
      <c r="E310" s="109">
        <f ca="1">IF(表2_367162629303891213[[#This Row],[累计净值]]/MAX(INDIRECT("B21:B" &amp; ROW()))-1&lt;E309,表2_367162629303891213[[#This Row],[累计净值]]/MAX(INDIRECT("B21:B" &amp; ROW()))-1,E309)</f>
        <v>-7.3265712733200483E-2</v>
      </c>
      <c r="F310" s="110">
        <f>表2_367162629303891213[[#This Row],[累计净值]]</f>
        <v>1.0543</v>
      </c>
      <c r="G310" s="20">
        <f>表2_367162629303891213[[#This Row],[累计净值]]/$B$21-1</f>
        <v>5.4089182163567395E-2</v>
      </c>
    </row>
    <row r="311" spans="1:7">
      <c r="A311" s="15">
        <v>44266</v>
      </c>
      <c r="B311" s="112">
        <v>1.0549999999999999</v>
      </c>
      <c r="C311" s="108">
        <f t="shared" si="92"/>
        <v>6.9999999999992291E-4</v>
      </c>
      <c r="D311" s="109" t="str">
        <f t="shared" si="93"/>
        <v>/</v>
      </c>
      <c r="E311" s="109">
        <f ca="1">IF(表2_367162629303891213[[#This Row],[累计净值]]/MAX(INDIRECT("B21:B" &amp; ROW()))-1&lt;E310,表2_367162629303891213[[#This Row],[累计净值]]/MAX(INDIRECT("B21:B" &amp; ROW()))-1,E310)</f>
        <v>-7.3265712733200483E-2</v>
      </c>
      <c r="F311" s="110">
        <f>表2_367162629303891213[[#This Row],[累计净值]]</f>
        <v>1.0549999999999999</v>
      </c>
      <c r="G311" s="20">
        <f>表2_367162629303891213[[#This Row],[累计净值]]/$B$21-1</f>
        <v>5.4789042191561554E-2</v>
      </c>
    </row>
    <row r="312" spans="1:7">
      <c r="A312" s="15">
        <v>44267</v>
      </c>
      <c r="B312" s="112">
        <v>1.0558000000000001</v>
      </c>
      <c r="C312" s="108">
        <f t="shared" si="92"/>
        <v>8.0000000000013394E-4</v>
      </c>
      <c r="D312" s="109" t="str">
        <f t="shared" si="93"/>
        <v>/</v>
      </c>
      <c r="E312" s="109">
        <f ca="1">IF(表2_367162629303891213[[#This Row],[累计净值]]/MAX(INDIRECT("B21:B" &amp; ROW()))-1&lt;E311,表2_367162629303891213[[#This Row],[累计净值]]/MAX(INDIRECT("B21:B" &amp; ROW()))-1,E311)</f>
        <v>-7.3265712733200483E-2</v>
      </c>
      <c r="F312" s="110">
        <f>表2_367162629303891213[[#This Row],[累计净值]]</f>
        <v>1.0558000000000001</v>
      </c>
      <c r="G312" s="20">
        <f>表2_367162629303891213[[#This Row],[累计净值]]/$B$21-1</f>
        <v>5.5588882223555292E-2</v>
      </c>
    </row>
    <row r="313" spans="1:7">
      <c r="A313" s="15">
        <v>44270</v>
      </c>
      <c r="B313" s="112">
        <v>1.0557000000000001</v>
      </c>
      <c r="C313" s="108">
        <f t="shared" si="92"/>
        <v>-9.9999999999988987E-5</v>
      </c>
      <c r="D313" s="109">
        <f t="shared" si="93"/>
        <v>-9.9999999999988987E-5</v>
      </c>
      <c r="E313" s="109">
        <f ca="1">IF(表2_367162629303891213[[#This Row],[累计净值]]/MAX(INDIRECT("B21:B" &amp; ROW()))-1&lt;E312,表2_367162629303891213[[#This Row],[累计净值]]/MAX(INDIRECT("B21:B" &amp; ROW()))-1,E312)</f>
        <v>-7.3265712733200483E-2</v>
      </c>
      <c r="F313" s="110">
        <f>表2_367162629303891213[[#This Row],[累计净值]]</f>
        <v>1.0557000000000001</v>
      </c>
      <c r="G313" s="20">
        <f>表2_367162629303891213[[#This Row],[累计净值]]/$B$21-1</f>
        <v>5.5488902219556158E-2</v>
      </c>
    </row>
    <row r="314" spans="1:7">
      <c r="A314" s="15">
        <v>44271</v>
      </c>
      <c r="B314" s="112">
        <v>1.0566</v>
      </c>
      <c r="C314" s="108">
        <f>IFERROR(B314-B313,0)</f>
        <v>8.9999999999990088E-4</v>
      </c>
      <c r="D314" s="109" t="str">
        <f>IF(C314&lt;0,C314,"/")</f>
        <v>/</v>
      </c>
      <c r="E314" s="109">
        <f ca="1">IF(表2_367162629303891213[[#This Row],[累计净值]]/MAX(INDIRECT("B21:B" &amp; ROW()))-1&lt;E313,表2_367162629303891213[[#This Row],[累计净值]]/MAX(INDIRECT("B21:B" &amp; ROW()))-1,E313)</f>
        <v>-7.3265712733200483E-2</v>
      </c>
      <c r="F314" s="110">
        <f>表2_367162629303891213[[#This Row],[累计净值]]</f>
        <v>1.0566</v>
      </c>
      <c r="G314" s="20">
        <f>表2_367162629303891213[[#This Row],[累计净值]]/$B$21-1</f>
        <v>5.6388722255548807E-2</v>
      </c>
    </row>
    <row r="315" spans="1:7">
      <c r="A315" s="15">
        <v>44272</v>
      </c>
      <c r="B315" s="112">
        <v>1.0570999999999999</v>
      </c>
      <c r="C315" s="108">
        <f>IFERROR(B315-B314,0)</f>
        <v>4.9999999999994493E-4</v>
      </c>
      <c r="D315" s="109" t="str">
        <f>IF(C315&lt;0,C315,"/")</f>
        <v>/</v>
      </c>
      <c r="E315" s="109">
        <f ca="1">IF(表2_367162629303891213[[#This Row],[累计净值]]/MAX(INDIRECT("B21:B" &amp; ROW()))-1&lt;E314,表2_367162629303891213[[#This Row],[累计净值]]/MAX(INDIRECT("B21:B" &amp; ROW()))-1,E314)</f>
        <v>-7.3265712733200483E-2</v>
      </c>
      <c r="F315" s="110">
        <f>表2_367162629303891213[[#This Row],[累计净值]]</f>
        <v>1.0570999999999999</v>
      </c>
      <c r="G315" s="20">
        <f>表2_367162629303891213[[#This Row],[累计净值]]/$B$21-1</f>
        <v>5.688862227554492E-2</v>
      </c>
    </row>
    <row r="316" spans="1:7">
      <c r="A316" s="15">
        <v>44273</v>
      </c>
      <c r="B316" s="112">
        <v>1.0581</v>
      </c>
      <c r="C316" s="108">
        <f>IFERROR(B316-B315,0)</f>
        <v>1.0000000000001119E-3</v>
      </c>
      <c r="D316" s="109" t="str">
        <f>IF(C316&lt;0,C316,"/")</f>
        <v>/</v>
      </c>
      <c r="E316" s="109">
        <f ca="1">IF(表2_367162629303891213[[#This Row],[累计净值]]/MAX(INDIRECT("B21:B" &amp; ROW()))-1&lt;E315,表2_367162629303891213[[#This Row],[累计净值]]/MAX(INDIRECT("B21:B" &amp; ROW()))-1,E315)</f>
        <v>-7.3265712733200483E-2</v>
      </c>
      <c r="F316" s="110">
        <f>表2_367162629303891213[[#This Row],[累计净值]]</f>
        <v>1.0581</v>
      </c>
      <c r="G316" s="20">
        <f>表2_367162629303891213[[#This Row],[累计净值]]/$B$21-1</f>
        <v>5.7888422315536925E-2</v>
      </c>
    </row>
    <row r="317" spans="1:7">
      <c r="A317" s="15">
        <v>44274</v>
      </c>
      <c r="B317" s="112">
        <v>1.0592999999999999</v>
      </c>
      <c r="C317" s="108">
        <f>IFERROR(B317-B316,0)</f>
        <v>1.1999999999998678E-3</v>
      </c>
      <c r="D317" s="109" t="str">
        <f>IF(C317&lt;0,C317,"/")</f>
        <v>/</v>
      </c>
      <c r="E317" s="109">
        <f ca="1">IF(表2_367162629303891213[[#This Row],[累计净值]]/MAX(INDIRECT("B21:B" &amp; ROW()))-1&lt;E316,表2_367162629303891213[[#This Row],[累计净值]]/MAX(INDIRECT("B21:B" &amp; ROW()))-1,E316)</f>
        <v>-7.3265712733200483E-2</v>
      </c>
      <c r="F317" s="110">
        <f>表2_367162629303891213[[#This Row],[累计净值]]</f>
        <v>1.0592999999999999</v>
      </c>
      <c r="G317" s="20">
        <f>表2_367162629303891213[[#This Row],[累计净值]]/$B$21-1</f>
        <v>5.9088182363527197E-2</v>
      </c>
    </row>
    <row r="318" spans="1:7">
      <c r="A318" s="15">
        <v>44277</v>
      </c>
      <c r="B318" s="112">
        <v>1.0606</v>
      </c>
      <c r="C318" s="108">
        <f>IFERROR(B318-B317,0)</f>
        <v>1.3000000000000789E-3</v>
      </c>
      <c r="D318" s="109" t="str">
        <f>IF(C318&lt;0,C318,"/")</f>
        <v>/</v>
      </c>
      <c r="E318" s="109">
        <f ca="1">IF(表2_367162629303891213[[#This Row],[累计净值]]/MAX(INDIRECT("B21:B" &amp; ROW()))-1&lt;E317,表2_367162629303891213[[#This Row],[累计净值]]/MAX(INDIRECT("B21:B" &amp; ROW()))-1,E317)</f>
        <v>-7.3265712733200483E-2</v>
      </c>
      <c r="F318" s="110">
        <f>表2_367162629303891213[[#This Row],[累计净值]]</f>
        <v>1.0606</v>
      </c>
      <c r="G318" s="20">
        <f>表2_367162629303891213[[#This Row],[累计净值]]/$B$21-1</f>
        <v>6.0387922415516826E-2</v>
      </c>
    </row>
    <row r="319" spans="1:7">
      <c r="A319" s="15">
        <v>44278</v>
      </c>
      <c r="B319" s="112">
        <v>1.0619000000000001</v>
      </c>
      <c r="C319" s="108">
        <f t="shared" ref="C319:C322" si="94">IFERROR(B319-B318,0)</f>
        <v>1.3000000000000789E-3</v>
      </c>
      <c r="D319" s="109" t="str">
        <f t="shared" ref="D319:D322" si="95">IF(C319&lt;0,C319,"/")</f>
        <v>/</v>
      </c>
      <c r="E319" s="109">
        <f ca="1">IF(表2_367162629303891213[[#This Row],[累计净值]]/MAX(INDIRECT("B21:B" &amp; ROW()))-1&lt;E318,表2_367162629303891213[[#This Row],[累计净值]]/MAX(INDIRECT("B21:B" &amp; ROW()))-1,E318)</f>
        <v>-7.3265712733200483E-2</v>
      </c>
      <c r="F319" s="110">
        <f>表2_367162629303891213[[#This Row],[累计净值]]</f>
        <v>1.0619000000000001</v>
      </c>
      <c r="G319" s="20">
        <f>表2_367162629303891213[[#This Row],[累计净值]]/$B$21-1</f>
        <v>6.1687662467506676E-2</v>
      </c>
    </row>
    <row r="320" spans="1:7">
      <c r="A320" s="15">
        <v>44279</v>
      </c>
      <c r="B320" s="112">
        <v>1.0606</v>
      </c>
      <c r="C320" s="108">
        <f t="shared" si="94"/>
        <v>-1.3000000000000789E-3</v>
      </c>
      <c r="D320" s="109">
        <f t="shared" si="95"/>
        <v>-1.3000000000000789E-3</v>
      </c>
      <c r="E320" s="109">
        <f ca="1">IF(表2_367162629303891213[[#This Row],[累计净值]]/MAX(INDIRECT("B21:B" &amp; ROW()))-1&lt;E319,表2_367162629303891213[[#This Row],[累计净值]]/MAX(INDIRECT("B21:B" &amp; ROW()))-1,E319)</f>
        <v>-7.3265712733200483E-2</v>
      </c>
      <c r="F320" s="110">
        <f>表2_367162629303891213[[#This Row],[累计净值]]</f>
        <v>1.0606</v>
      </c>
      <c r="G320" s="20">
        <f>表2_367162629303891213[[#This Row],[累计净值]]/$B$21-1</f>
        <v>6.0387922415516826E-2</v>
      </c>
    </row>
    <row r="321" spans="1:7">
      <c r="A321" s="15">
        <v>44280</v>
      </c>
      <c r="B321" s="112">
        <v>1.0610999999999999</v>
      </c>
      <c r="C321" s="108">
        <f t="shared" si="94"/>
        <v>4.9999999999994493E-4</v>
      </c>
      <c r="D321" s="109" t="str">
        <f t="shared" si="95"/>
        <v>/</v>
      </c>
      <c r="E321" s="109">
        <f ca="1">IF(表2_367162629303891213[[#This Row],[累计净值]]/MAX(INDIRECT("B21:B" &amp; ROW()))-1&lt;E320,表2_367162629303891213[[#This Row],[累计净值]]/MAX(INDIRECT("B21:B" &amp; ROW()))-1,E320)</f>
        <v>-7.3265712733200483E-2</v>
      </c>
      <c r="F321" s="110">
        <f>表2_367162629303891213[[#This Row],[累计净值]]</f>
        <v>1.0610999999999999</v>
      </c>
      <c r="G321" s="20">
        <f>表2_367162629303891213[[#This Row],[累计净值]]/$B$21-1</f>
        <v>6.0887822435512939E-2</v>
      </c>
    </row>
    <row r="322" spans="1:7">
      <c r="A322" s="15">
        <v>44281</v>
      </c>
      <c r="B322" s="112">
        <v>1.0605</v>
      </c>
      <c r="C322" s="108">
        <f t="shared" si="94"/>
        <v>-5.9999999999993392E-4</v>
      </c>
      <c r="D322" s="109">
        <f t="shared" si="95"/>
        <v>-5.9999999999993392E-4</v>
      </c>
      <c r="E322" s="109">
        <f ca="1">IF(表2_367162629303891213[[#This Row],[累计净值]]/MAX(INDIRECT("B21:B" &amp; ROW()))-1&lt;E321,表2_367162629303891213[[#This Row],[累计净值]]/MAX(INDIRECT("B21:B" &amp; ROW()))-1,E321)</f>
        <v>-7.3265712733200483E-2</v>
      </c>
      <c r="F322" s="110">
        <f>表2_367162629303891213[[#This Row],[累计净值]]</f>
        <v>1.0605</v>
      </c>
      <c r="G322" s="20">
        <f>表2_367162629303891213[[#This Row],[累计净值]]/$B$21-1</f>
        <v>6.0287942411517692E-2</v>
      </c>
    </row>
    <row r="323" spans="1:7">
      <c r="A323" s="15">
        <v>44284</v>
      </c>
      <c r="B323" s="112">
        <v>1.0619000000000001</v>
      </c>
      <c r="C323" s="108">
        <f>IFERROR(B323-B322,0)</f>
        <v>1.4000000000000679E-3</v>
      </c>
      <c r="D323" s="109" t="str">
        <f>IF(C323&lt;0,C323,"/")</f>
        <v>/</v>
      </c>
      <c r="E323" s="109">
        <f ca="1">IF(表2_367162629303891213[[#This Row],[累计净值]]/MAX(INDIRECT("B21:B" &amp; ROW()))-1&lt;E322,表2_367162629303891213[[#This Row],[累计净值]]/MAX(INDIRECT("B21:B" &amp; ROW()))-1,E322)</f>
        <v>-7.3265712733200483E-2</v>
      </c>
      <c r="F323" s="110">
        <f>表2_367162629303891213[[#This Row],[累计净值]]</f>
        <v>1.0619000000000001</v>
      </c>
      <c r="G323" s="20">
        <f>表2_367162629303891213[[#This Row],[累计净值]]/$B$21-1</f>
        <v>6.1687662467506676E-2</v>
      </c>
    </row>
    <row r="324" spans="1:7">
      <c r="A324" s="15">
        <v>44285</v>
      </c>
      <c r="B324" s="112">
        <v>1.0609</v>
      </c>
      <c r="C324" s="108">
        <f>IFERROR(B324-B323,0)</f>
        <v>-1.0000000000001119E-3</v>
      </c>
      <c r="D324" s="109">
        <f>IF(C324&lt;0,C324,"/")</f>
        <v>-1.0000000000001119E-3</v>
      </c>
      <c r="E324" s="109">
        <f ca="1">IF(表2_367162629303891213[[#This Row],[累计净值]]/MAX(INDIRECT("B21:B" &amp; ROW()))-1&lt;E323,表2_367162629303891213[[#This Row],[累计净值]]/MAX(INDIRECT("B21:B" &amp; ROW()))-1,E323)</f>
        <v>-7.3265712733200483E-2</v>
      </c>
      <c r="F324" s="110">
        <f>表2_367162629303891213[[#This Row],[累计净值]]</f>
        <v>1.0609</v>
      </c>
      <c r="G324" s="20">
        <f>表2_367162629303891213[[#This Row],[累计净值]]/$B$21-1</f>
        <v>6.068786242751445E-2</v>
      </c>
    </row>
    <row r="325" spans="1:7">
      <c r="A325" s="15">
        <v>44286</v>
      </c>
      <c r="B325" s="112">
        <v>1.0610999999999999</v>
      </c>
      <c r="C325" s="108">
        <f>IFERROR(B325-B324,0)</f>
        <v>1.9999999999997797E-4</v>
      </c>
      <c r="D325" s="109" t="str">
        <f>IF(C325&lt;0,C325,"/")</f>
        <v>/</v>
      </c>
      <c r="E325" s="109">
        <f ca="1">IF(表2_367162629303891213[[#This Row],[累计净值]]/MAX(INDIRECT("B21:B" &amp; ROW()))-1&lt;E324,表2_367162629303891213[[#This Row],[累计净值]]/MAX(INDIRECT("B21:B" &amp; ROW()))-1,E324)</f>
        <v>-7.3265712733200483E-2</v>
      </c>
      <c r="F325" s="110">
        <f>表2_367162629303891213[[#This Row],[累计净值]]</f>
        <v>1.0610999999999999</v>
      </c>
      <c r="G325" s="20">
        <f>表2_367162629303891213[[#This Row],[累计净值]]/$B$21-1</f>
        <v>6.0887822435512939E-2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0">
    <tabColor theme="1"/>
  </sheetPr>
  <dimension ref="A1:J83"/>
  <sheetViews>
    <sheetView workbookViewId="0">
      <pane xSplit="1" ySplit="20" topLeftCell="B73" activePane="bottomRight" state="frozen"/>
      <selection pane="topRight" activeCell="B1" sqref="B1"/>
      <selection pane="bottomLeft" activeCell="A21" sqref="A21"/>
      <selection pane="bottomRight" activeCell="I86" sqref="I86"/>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COUNT(表2_367162629303891213141523242526272831323334[每日盈亏])</f>
        <v>63</v>
      </c>
      <c r="C2" s="27"/>
      <c r="D2" s="3" t="s">
        <v>1</v>
      </c>
      <c r="E2" s="28"/>
      <c r="F2" s="1" t="s">
        <v>2</v>
      </c>
      <c r="G2" s="400" t="s">
        <v>3</v>
      </c>
    </row>
    <row r="3" spans="1:7">
      <c r="A3" s="25" t="s">
        <v>4</v>
      </c>
      <c r="B3" s="26">
        <f>COUNTIF(表2_367162629303891213141523242526272831323334[每日盈亏],"&gt;0")</f>
        <v>18</v>
      </c>
      <c r="C3" s="29"/>
      <c r="D3" s="30" t="s">
        <v>5</v>
      </c>
      <c r="E3" s="31">
        <f>245^0.5*(B10-0.025/365)/E10</f>
        <v>-1.2535772338945286</v>
      </c>
      <c r="G3" s="400"/>
    </row>
    <row r="4" spans="1:7">
      <c r="A4" s="25" t="s">
        <v>6</v>
      </c>
      <c r="B4" s="26">
        <f>COUNTIF(表2_367162629303891213141523242526272831323334[每日盈亏],"&lt;0")</f>
        <v>38</v>
      </c>
      <c r="C4" s="29"/>
      <c r="D4" s="32" t="s">
        <v>7</v>
      </c>
      <c r="E4" s="31">
        <f ca="1">-B9/E8</f>
        <v>-1.8892779052141631</v>
      </c>
      <c r="G4" s="2">
        <f>LOOKUP(999^10,表2_367162629303891213141523242526272831323334[累计净值])</f>
        <v>0.95599999999999996</v>
      </c>
    </row>
    <row r="5" spans="1:7">
      <c r="A5" s="25" t="s">
        <v>8</v>
      </c>
      <c r="B5" s="26">
        <f>B2-B3-B4</f>
        <v>7</v>
      </c>
      <c r="C5" s="29"/>
      <c r="D5" s="33" t="s">
        <v>9</v>
      </c>
      <c r="E5" s="4">
        <f>245^0.5*(B10-0.025/365)/E9</f>
        <v>-1.9351193200074794</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LOOKUP(999^10,表2_367162629303891213141523242526272831323334[累计净值])/$B$21-1</f>
        <v>-4.7808764940239112E-2</v>
      </c>
      <c r="C8" s="40"/>
      <c r="D8" s="30" t="s">
        <v>13</v>
      </c>
      <c r="E8" s="41">
        <f ca="1">MIN(表2_367162629303891213141523242526272831323334[最大回撤])</f>
        <v>-9.8409542743538747E-2</v>
      </c>
    </row>
    <row r="9" spans="1:7">
      <c r="A9" s="25" t="s">
        <v>14</v>
      </c>
      <c r="B9" s="32">
        <f>B8*245/B2</f>
        <v>-0.18592297476759653</v>
      </c>
      <c r="C9" s="40"/>
      <c r="D9" s="33" t="s">
        <v>15</v>
      </c>
      <c r="E9" s="6">
        <f>STDEV(表2_367162629303891213141523242526272831323334[下跌幅度])</f>
        <v>6.7167864700049375E-3</v>
      </c>
    </row>
    <row r="10" spans="1:7">
      <c r="A10" s="42" t="s">
        <v>16</v>
      </c>
      <c r="B10" s="43">
        <f>AVERAGE(表2_367162629303891213141523242526272831323334[每日盈亏])</f>
        <v>-7.6190476190476258E-4</v>
      </c>
      <c r="C10" s="44"/>
      <c r="D10" s="33" t="s">
        <v>17</v>
      </c>
      <c r="E10" s="6">
        <f>STDEV(表2_367162629303891213141523242526272831323334[每日盈亏])</f>
        <v>1.0368554018878248E-2</v>
      </c>
    </row>
    <row r="11" spans="1:7">
      <c r="A11" s="7" t="s">
        <v>18</v>
      </c>
      <c r="B11" s="32">
        <f>B3/B2</f>
        <v>0.2857142857142857</v>
      </c>
      <c r="C11" s="40"/>
      <c r="D11" s="32" t="s">
        <v>19</v>
      </c>
      <c r="E11" s="41">
        <f>245^0.5*E10</f>
        <v>0.1622935413021328</v>
      </c>
    </row>
    <row r="12" spans="1:7" ht="16" thickBot="1">
      <c r="A12" s="45" t="s">
        <v>20</v>
      </c>
      <c r="B12" s="46">
        <f>-(SUMIF(表2_367162629303891213141523242526272831323334[每日盈亏],"&gt;=0")/B3)/(SUMIF(表2_367162629303891213141523242526272831323334[每日盈亏],"&lt;0")/B4)</f>
        <v>1.6958105646630237</v>
      </c>
      <c r="C12" s="47"/>
      <c r="D12" s="48"/>
      <c r="E12" s="49"/>
    </row>
    <row r="14" spans="1:7" ht="32">
      <c r="A14" s="50" t="s">
        <v>21</v>
      </c>
      <c r="B14" s="50" t="s">
        <v>14</v>
      </c>
      <c r="C14" s="51" t="s">
        <v>19</v>
      </c>
      <c r="D14" s="51" t="s">
        <v>13</v>
      </c>
      <c r="E14" s="51" t="s">
        <v>5</v>
      </c>
      <c r="F14" s="51" t="s">
        <v>7</v>
      </c>
    </row>
    <row r="15" spans="1:7">
      <c r="A15" s="78">
        <f>B2</f>
        <v>63</v>
      </c>
      <c r="B15" s="53">
        <f>B9</f>
        <v>-0.18592297476759653</v>
      </c>
      <c r="C15" s="53">
        <f>E11</f>
        <v>0.1622935413021328</v>
      </c>
      <c r="D15" s="53">
        <f ca="1">E8</f>
        <v>-9.8409542743538747E-2</v>
      </c>
      <c r="E15" s="54">
        <f>E3</f>
        <v>-1.2535772338945286</v>
      </c>
      <c r="F15" s="54">
        <f ca="1">E4</f>
        <v>-1.8892779052141631</v>
      </c>
    </row>
    <row r="19" spans="1:7">
      <c r="A19" s="8"/>
      <c r="B19" s="1" t="s">
        <v>22</v>
      </c>
    </row>
    <row r="20" spans="1:7" ht="16">
      <c r="A20" s="22" t="s">
        <v>23</v>
      </c>
      <c r="B20" s="22" t="s">
        <v>24</v>
      </c>
      <c r="C20" s="22" t="s">
        <v>25</v>
      </c>
      <c r="D20" s="22" t="s">
        <v>26</v>
      </c>
      <c r="E20" s="22" t="s">
        <v>27</v>
      </c>
      <c r="F20" s="22" t="s">
        <v>28</v>
      </c>
      <c r="G20" s="22" t="s">
        <v>29</v>
      </c>
    </row>
    <row r="21" spans="1:7">
      <c r="A21" s="15">
        <v>44169</v>
      </c>
      <c r="B21" s="112">
        <v>1.004</v>
      </c>
      <c r="C21" s="11">
        <f t="shared" ref="C21:C24" si="0">IFERROR(B21-B20,0)</f>
        <v>0</v>
      </c>
      <c r="D21" s="12" t="str">
        <f t="shared" ref="D21:D24" si="1">IF(C21&lt;0,C21,"/")</f>
        <v>/</v>
      </c>
      <c r="E21" s="12">
        <f ca="1">IF(表2_367162629303891213141523242526272831323334[[#This Row],[累计净值]]/MAX(INDIRECT("B21:B" &amp; ROW()))-1&lt;E20,表2_367162629303891213141523242526272831323334[[#This Row],[累计净值]]/MAX(INDIRECT("B21:B" &amp; ROW()))-1,E20)</f>
        <v>0</v>
      </c>
      <c r="F21" s="13">
        <f>表2_367162629303891213141523242526272831323334[[#This Row],[累计净值]]</f>
        <v>1.004</v>
      </c>
      <c r="G21" s="194" t="s">
        <v>30</v>
      </c>
    </row>
    <row r="22" spans="1:7">
      <c r="A22" s="15">
        <v>44172</v>
      </c>
      <c r="B22" s="112">
        <v>1.0029999999999999</v>
      </c>
      <c r="C22" s="17">
        <f t="shared" si="0"/>
        <v>-1.0000000000001119E-3</v>
      </c>
      <c r="D22" s="18">
        <f t="shared" si="1"/>
        <v>-1.0000000000001119E-3</v>
      </c>
      <c r="E22" s="18">
        <f ca="1">IF(表2_367162629303891213141523242526272831323334[[#This Row],[累计净值]]/MAX(INDIRECT("B21:B" &amp; ROW()))-1&lt;E21,表2_367162629303891213141523242526272831323334[[#This Row],[累计净值]]/MAX(INDIRECT("B21:B" &amp; ROW()))-1,E21)</f>
        <v>-9.9601593625509022E-4</v>
      </c>
      <c r="F22" s="19">
        <f>表2_367162629303891213141523242526272831323334[[#This Row],[累计净值]]</f>
        <v>1.0029999999999999</v>
      </c>
      <c r="G22" s="20">
        <f>IF(表2_367162629303891213141523242526272831323334[[#This Row],[累计净值]]&gt;1.004,0.8*(表2_367162629303891213141523242526272831323334[[#This Row],[累计净值]]/$B$21-1),表2_367162629303891213141523242526272831323334[[#This Row],[累计净值]]/$B$21-1)</f>
        <v>-9.9601593625509022E-4</v>
      </c>
    </row>
    <row r="23" spans="1:7">
      <c r="A23" s="15">
        <v>44173</v>
      </c>
      <c r="B23" s="112">
        <v>1.004</v>
      </c>
      <c r="C23" s="108">
        <f t="shared" si="0"/>
        <v>1.0000000000001119E-3</v>
      </c>
      <c r="D23" s="109" t="str">
        <f t="shared" si="1"/>
        <v>/</v>
      </c>
      <c r="E23" s="109">
        <f ca="1">IF(表2_367162629303891213141523242526272831323334[[#This Row],[累计净值]]/MAX(INDIRECT("B21:B" &amp; ROW()))-1&lt;E22,表2_367162629303891213141523242526272831323334[[#This Row],[累计净值]]/MAX(INDIRECT("B21:B" &amp; ROW()))-1,E22)</f>
        <v>-9.9601593625509022E-4</v>
      </c>
      <c r="F23" s="110">
        <f>表2_367162629303891213141523242526272831323334[[#This Row],[累计净值]]</f>
        <v>1.004</v>
      </c>
      <c r="G23" s="20">
        <f>IF(表2_367162629303891213141523242526272831323334[[#This Row],[累计净值]]&gt;1.004,0.8*(表2_367162629303891213141523242526272831323334[[#This Row],[累计净值]]/$B$21-1),表2_367162629303891213141523242526272831323334[[#This Row],[累计净值]]/$B$21-1)</f>
        <v>0</v>
      </c>
    </row>
    <row r="24" spans="1:7">
      <c r="A24" s="15">
        <v>44174</v>
      </c>
      <c r="B24" s="112">
        <v>1.004</v>
      </c>
      <c r="C24" s="108">
        <f t="shared" si="0"/>
        <v>0</v>
      </c>
      <c r="D24" s="109" t="str">
        <f t="shared" si="1"/>
        <v>/</v>
      </c>
      <c r="E24" s="109">
        <f ca="1">IF(表2_367162629303891213141523242526272831323334[[#This Row],[累计净值]]/MAX(INDIRECT("B21:B" &amp; ROW()))-1&lt;E23,表2_367162629303891213141523242526272831323334[[#This Row],[累计净值]]/MAX(INDIRECT("B21:B" &amp; ROW()))-1,E23)</f>
        <v>-9.9601593625509022E-4</v>
      </c>
      <c r="F24" s="110">
        <f>表2_367162629303891213141523242526272831323334[[#This Row],[累计净值]]</f>
        <v>1.004</v>
      </c>
      <c r="G24" s="20">
        <f>IF(表2_367162629303891213141523242526272831323334[[#This Row],[累计净值]]&gt;1.004,0.8*(表2_367162629303891213141523242526272831323334[[#This Row],[累计净值]]/$B$21-1),表2_367162629303891213141523242526272831323334[[#This Row],[累计净值]]/$B$21-1)</f>
        <v>0</v>
      </c>
    </row>
    <row r="25" spans="1:7">
      <c r="A25" s="15">
        <v>44175</v>
      </c>
      <c r="B25" s="112">
        <v>1.0029999999999999</v>
      </c>
      <c r="C25" s="108">
        <f t="shared" ref="C25:C30" si="2">IFERROR(B25-B24,0)</f>
        <v>-1.0000000000001119E-3</v>
      </c>
      <c r="D25" s="109">
        <f t="shared" ref="D25:D30" si="3">IF(C25&lt;0,C25,"/")</f>
        <v>-1.0000000000001119E-3</v>
      </c>
      <c r="E25" s="109">
        <f ca="1">IF(表2_367162629303891213141523242526272831323334[[#This Row],[累计净值]]/MAX(INDIRECT("B21:B" &amp; ROW()))-1&lt;E24,表2_367162629303891213141523242526272831323334[[#This Row],[累计净值]]/MAX(INDIRECT("B21:B" &amp; ROW()))-1,E24)</f>
        <v>-9.9601593625509022E-4</v>
      </c>
      <c r="F25" s="110">
        <f>表2_367162629303891213141523242526272831323334[[#This Row],[累计净值]]</f>
        <v>1.0029999999999999</v>
      </c>
      <c r="G25" s="20">
        <f>IF(表2_367162629303891213141523242526272831323334[[#This Row],[累计净值]]&gt;1.004,0.8*(表2_367162629303891213141523242526272831323334[[#This Row],[累计净值]]/$B$21-1),表2_367162629303891213141523242526272831323334[[#This Row],[累计净值]]/$B$21-1)</f>
        <v>-9.9601593625509022E-4</v>
      </c>
    </row>
    <row r="26" spans="1:7">
      <c r="A26" s="15">
        <v>44176</v>
      </c>
      <c r="B26" s="112">
        <v>0.997</v>
      </c>
      <c r="C26" s="108">
        <f t="shared" si="2"/>
        <v>-5.9999999999998943E-3</v>
      </c>
      <c r="D26" s="109">
        <f t="shared" si="3"/>
        <v>-5.9999999999998943E-3</v>
      </c>
      <c r="E26" s="109">
        <f ca="1">IF(表2_367162629303891213141523242526272831323334[[#This Row],[累计净值]]/MAX(INDIRECT("B21:B" &amp; ROW()))-1&lt;E25,表2_367162629303891213141523242526272831323334[[#This Row],[累计净值]]/MAX(INDIRECT("B21:B" &amp; ROW()))-1,E25)</f>
        <v>-6.9721115537848544E-3</v>
      </c>
      <c r="F26" s="110">
        <f>表2_367162629303891213141523242526272831323334[[#This Row],[累计净值]]</f>
        <v>0.997</v>
      </c>
      <c r="G26" s="20">
        <f>IF(表2_367162629303891213141523242526272831323334[[#This Row],[累计净值]]&gt;1.004,0.8*(表2_367162629303891213141523242526272831323334[[#This Row],[累计净值]]/$B$21-1),表2_367162629303891213141523242526272831323334[[#This Row],[累计净值]]/$B$21-1)</f>
        <v>-6.9721115537848544E-3</v>
      </c>
    </row>
    <row r="27" spans="1:7">
      <c r="A27" s="15">
        <v>44179</v>
      </c>
      <c r="B27" s="112">
        <v>1.002</v>
      </c>
      <c r="C27" s="108">
        <f t="shared" si="2"/>
        <v>5.0000000000000044E-3</v>
      </c>
      <c r="D27" s="109" t="str">
        <f t="shared" si="3"/>
        <v>/</v>
      </c>
      <c r="E27" s="109">
        <f ca="1">IF(表2_367162629303891213141523242526272831323334[[#This Row],[累计净值]]/MAX(INDIRECT("B21:B" &amp; ROW()))-1&lt;E26,表2_367162629303891213141523242526272831323334[[#This Row],[累计净值]]/MAX(INDIRECT("B21:B" &amp; ROW()))-1,E26)</f>
        <v>-6.9721115537848544E-3</v>
      </c>
      <c r="F27" s="110">
        <f>表2_367162629303891213141523242526272831323334[[#This Row],[累计净值]]</f>
        <v>1.002</v>
      </c>
      <c r="G27" s="20">
        <f>IF(表2_367162629303891213141523242526272831323334[[#This Row],[累计净值]]&gt;1.004,0.8*(表2_367162629303891213141523242526272831323334[[#This Row],[累计净值]]/$B$21-1),表2_367162629303891213141523242526272831323334[[#This Row],[累计净值]]/$B$21-1)</f>
        <v>-1.9920318725099584E-3</v>
      </c>
    </row>
    <row r="28" spans="1:7">
      <c r="A28" s="15">
        <v>44180</v>
      </c>
      <c r="B28" s="112">
        <v>1.004</v>
      </c>
      <c r="C28" s="108">
        <f t="shared" si="2"/>
        <v>2.0000000000000018E-3</v>
      </c>
      <c r="D28" s="109" t="str">
        <f t="shared" si="3"/>
        <v>/</v>
      </c>
      <c r="E28" s="109">
        <f ca="1">IF(表2_367162629303891213141523242526272831323334[[#This Row],[累计净值]]/MAX(INDIRECT("B21:B" &amp; ROW()))-1&lt;E27,表2_367162629303891213141523242526272831323334[[#This Row],[累计净值]]/MAX(INDIRECT("B21:B" &amp; ROW()))-1,E27)</f>
        <v>-6.9721115537848544E-3</v>
      </c>
      <c r="F28" s="110">
        <f>表2_367162629303891213141523242526272831323334[[#This Row],[累计净值]]</f>
        <v>1.004</v>
      </c>
      <c r="G28" s="20">
        <f>IF(表2_367162629303891213141523242526272831323334[[#This Row],[累计净值]]&gt;1.004,0.8*(表2_367162629303891213141523242526272831323334[[#This Row],[累计净值]]/$B$21-1),表2_367162629303891213141523242526272831323334[[#This Row],[累计净值]]/$B$21-1)</f>
        <v>0</v>
      </c>
    </row>
    <row r="29" spans="1:7">
      <c r="A29" s="15">
        <v>44181</v>
      </c>
      <c r="B29" s="112">
        <v>1.002</v>
      </c>
      <c r="C29" s="108">
        <f t="shared" si="2"/>
        <v>-2.0000000000000018E-3</v>
      </c>
      <c r="D29" s="109">
        <f t="shared" si="3"/>
        <v>-2.0000000000000018E-3</v>
      </c>
      <c r="E29" s="109">
        <f ca="1">IF(表2_367162629303891213141523242526272831323334[[#This Row],[累计净值]]/MAX(INDIRECT("B21:B" &amp; ROW()))-1&lt;E28,表2_367162629303891213141523242526272831323334[[#This Row],[累计净值]]/MAX(INDIRECT("B21:B" &amp; ROW()))-1,E28)</f>
        <v>-6.9721115537848544E-3</v>
      </c>
      <c r="F29" s="110">
        <f>表2_367162629303891213141523242526272831323334[[#This Row],[累计净值]]</f>
        <v>1.002</v>
      </c>
      <c r="G29" s="20">
        <f>IF(表2_367162629303891213141523242526272831323334[[#This Row],[累计净值]]&gt;1.004,0.8*(表2_367162629303891213141523242526272831323334[[#This Row],[累计净值]]/$B$21-1),表2_367162629303891213141523242526272831323334[[#This Row],[累计净值]]/$B$21-1)</f>
        <v>-1.9920318725099584E-3</v>
      </c>
    </row>
    <row r="30" spans="1:7">
      <c r="A30" s="15">
        <v>44182</v>
      </c>
      <c r="B30" s="112">
        <v>1.006</v>
      </c>
      <c r="C30" s="108">
        <f t="shared" si="2"/>
        <v>4.0000000000000036E-3</v>
      </c>
      <c r="D30" s="109" t="str">
        <f t="shared" si="3"/>
        <v>/</v>
      </c>
      <c r="E30" s="109">
        <f ca="1">IF(表2_367162629303891213141523242526272831323334[[#This Row],[累计净值]]/MAX(INDIRECT("B21:B" &amp; ROW()))-1&lt;E29,表2_367162629303891213141523242526272831323334[[#This Row],[累计净值]]/MAX(INDIRECT("B21:B" &amp; ROW()))-1,E29)</f>
        <v>-6.9721115537848544E-3</v>
      </c>
      <c r="F30" s="110">
        <f>表2_367162629303891213141523242526272831323334[[#This Row],[累计净值]]</f>
        <v>1.006</v>
      </c>
      <c r="G30" s="20">
        <f>IF(表2_367162629303891213141523242526272831323334[[#This Row],[累计净值]]&gt;1.004,0.8*(表2_367162629303891213141523242526272831323334[[#This Row],[累计净值]]/$B$21-1),表2_367162629303891213141523242526272831323334[[#This Row],[累计净值]]/$B$21-1)</f>
        <v>1.5936254980079669E-3</v>
      </c>
    </row>
    <row r="31" spans="1:7">
      <c r="A31" s="15">
        <v>44183</v>
      </c>
      <c r="B31" s="112">
        <v>1.002</v>
      </c>
      <c r="C31" s="108">
        <f>IFERROR(B31-B30,0)</f>
        <v>-4.0000000000000036E-3</v>
      </c>
      <c r="D31" s="109">
        <f>IF(C31&lt;0,C31,"/")</f>
        <v>-4.0000000000000036E-3</v>
      </c>
      <c r="E31" s="109">
        <f ca="1">IF(表2_367162629303891213141523242526272831323334[[#This Row],[累计净值]]/MAX(INDIRECT("B21:B" &amp; ROW()))-1&lt;E30,表2_367162629303891213141523242526272831323334[[#This Row],[累计净值]]/MAX(INDIRECT("B21:B" &amp; ROW()))-1,E30)</f>
        <v>-6.9721115537848544E-3</v>
      </c>
      <c r="F31" s="110">
        <f>表2_367162629303891213141523242526272831323334[[#This Row],[累计净值]]</f>
        <v>1.002</v>
      </c>
      <c r="G31" s="20">
        <f>IF(表2_367162629303891213141523242526272831323334[[#This Row],[累计净值]]&gt;1.004,0.8*(表2_367162629303891213141523242526272831323334[[#This Row],[累计净值]]/$B$21-1),表2_367162629303891213141523242526272831323334[[#This Row],[累计净值]]/$B$21-1)</f>
        <v>-1.9920318725099584E-3</v>
      </c>
    </row>
    <row r="32" spans="1:7">
      <c r="A32" s="15">
        <v>44186</v>
      </c>
      <c r="B32" s="112">
        <v>1.0009999999999999</v>
      </c>
      <c r="C32" s="108">
        <f>IFERROR(B32-B31,0)</f>
        <v>-1.0000000000001119E-3</v>
      </c>
      <c r="D32" s="109">
        <f>IF(C32&lt;0,C32,"/")</f>
        <v>-1.0000000000001119E-3</v>
      </c>
      <c r="E32" s="109">
        <f ca="1">IF(表2_367162629303891213141523242526272831323334[[#This Row],[累计净值]]/MAX(INDIRECT("B21:B" &amp; ROW()))-1&lt;E31,表2_367162629303891213141523242526272831323334[[#This Row],[累计净值]]/MAX(INDIRECT("B21:B" &amp; ROW()))-1,E31)</f>
        <v>-6.9721115537848544E-3</v>
      </c>
      <c r="F32" s="110">
        <f>表2_367162629303891213141523242526272831323334[[#This Row],[累计净值]]</f>
        <v>1.0009999999999999</v>
      </c>
      <c r="G32" s="20">
        <f>IF(表2_367162629303891213141523242526272831323334[[#This Row],[累计净值]]&gt;1.004,0.8*(表2_367162629303891213141523242526272831323334[[#This Row],[累计净值]]/$B$21-1),表2_367162629303891213141523242526272831323334[[#This Row],[累计净值]]/$B$21-1)</f>
        <v>-2.9880478087650486E-3</v>
      </c>
    </row>
    <row r="33" spans="1:8">
      <c r="A33" s="15">
        <v>44187</v>
      </c>
      <c r="B33" s="112">
        <v>0.997</v>
      </c>
      <c r="C33" s="108">
        <f>IFERROR(B33-B32,0)</f>
        <v>-3.9999999999998925E-3</v>
      </c>
      <c r="D33" s="109">
        <f>IF(C33&lt;0,C33,"/")</f>
        <v>-3.9999999999998925E-3</v>
      </c>
      <c r="E33" s="109">
        <f ca="1">IF(表2_367162629303891213141523242526272831323334[[#This Row],[累计净值]]/MAX(INDIRECT("B21:B" &amp; ROW()))-1&lt;E32,表2_367162629303891213141523242526272831323334[[#This Row],[累计净值]]/MAX(INDIRECT("B21:B" &amp; ROW()))-1,E32)</f>
        <v>-8.9463220675944921E-3</v>
      </c>
      <c r="F33" s="110">
        <f>表2_367162629303891213141523242526272831323334[[#This Row],[累计净值]]</f>
        <v>0.997</v>
      </c>
      <c r="G33" s="20">
        <f>IF(表2_367162629303891213141523242526272831323334[[#This Row],[累计净值]]&gt;1.004,0.8*(表2_367162629303891213141523242526272831323334[[#This Row],[累计净值]]/$B$21-1),表2_367162629303891213141523242526272831323334[[#This Row],[累计净值]]/$B$21-1)</f>
        <v>-6.9721115537848544E-3</v>
      </c>
    </row>
    <row r="34" spans="1:8">
      <c r="A34" s="15">
        <v>44188</v>
      </c>
      <c r="B34" s="112">
        <v>0.995</v>
      </c>
      <c r="C34" s="108">
        <f>IFERROR(B34-B33,0)</f>
        <v>-2.0000000000000018E-3</v>
      </c>
      <c r="D34" s="109">
        <f>IF(C34&lt;0,C34,"/")</f>
        <v>-2.0000000000000018E-3</v>
      </c>
      <c r="E34" s="109">
        <f ca="1">IF(表2_367162629303891213141523242526272831323334[[#This Row],[累计净值]]/MAX(INDIRECT("B21:B" &amp; ROW()))-1&lt;E33,表2_367162629303891213141523242526272831323334[[#This Row],[累计净值]]/MAX(INDIRECT("B21:B" &amp; ROW()))-1,E33)</f>
        <v>-1.0934393638170947E-2</v>
      </c>
      <c r="F34" s="110">
        <f>表2_367162629303891213141523242526272831323334[[#This Row],[累计净值]]</f>
        <v>0.995</v>
      </c>
      <c r="G34" s="20">
        <f>IF(表2_367162629303891213141523242526272831323334[[#This Row],[累计净值]]&gt;1.004,0.8*(表2_367162629303891213141523242526272831323334[[#This Row],[累计净值]]/$B$21-1),表2_367162629303891213141523242526272831323334[[#This Row],[累计净值]]/$B$21-1)</f>
        <v>-8.9641434262948128E-3</v>
      </c>
    </row>
    <row r="35" spans="1:8">
      <c r="A35" s="15">
        <v>44189</v>
      </c>
      <c r="B35" s="112">
        <v>0.98899999999999999</v>
      </c>
      <c r="C35" s="108">
        <f t="shared" ref="C35:C36" si="4">IFERROR(B35-B34,0)</f>
        <v>-6.0000000000000053E-3</v>
      </c>
      <c r="D35" s="109">
        <f t="shared" ref="D35:D36" si="5">IF(C35&lt;0,C35,"/")</f>
        <v>-6.0000000000000053E-3</v>
      </c>
      <c r="E35" s="109">
        <f ca="1">IF(表2_367162629303891213141523242526272831323334[[#This Row],[累计净值]]/MAX(INDIRECT("B21:B" &amp; ROW()))-1&lt;E34,表2_367162629303891213141523242526272831323334[[#This Row],[累计净值]]/MAX(INDIRECT("B21:B" &amp; ROW()))-1,E34)</f>
        <v>-1.6898608349900646E-2</v>
      </c>
      <c r="F35" s="110">
        <f>表2_367162629303891213141523242526272831323334[[#This Row],[累计净值]]</f>
        <v>0.98899999999999999</v>
      </c>
      <c r="G35" s="20">
        <f>IF(表2_367162629303891213141523242526272831323334[[#This Row],[累计净值]]&gt;1.004,0.8*(表2_367162629303891213141523242526272831323334[[#This Row],[累计净值]]/$B$21-1),表2_367162629303891213141523242526272831323334[[#This Row],[累计净值]]/$B$21-1)</f>
        <v>-1.4940239043824688E-2</v>
      </c>
    </row>
    <row r="36" spans="1:8">
      <c r="A36" s="15">
        <v>44190</v>
      </c>
      <c r="B36" s="112">
        <v>0.99399999999999999</v>
      </c>
      <c r="C36" s="108">
        <f t="shared" si="4"/>
        <v>5.0000000000000044E-3</v>
      </c>
      <c r="D36" s="109" t="str">
        <f t="shared" si="5"/>
        <v>/</v>
      </c>
      <c r="E36" s="109">
        <f ca="1">IF(表2_367162629303891213141523242526272831323334[[#This Row],[累计净值]]/MAX(INDIRECT("B21:B" &amp; ROW()))-1&lt;E35,表2_367162629303891213141523242526272831323334[[#This Row],[累计净值]]/MAX(INDIRECT("B21:B" &amp; ROW()))-1,E35)</f>
        <v>-1.6898608349900646E-2</v>
      </c>
      <c r="F36" s="110">
        <f>表2_367162629303891213141523242526272831323334[[#This Row],[累计净值]]</f>
        <v>0.99399999999999999</v>
      </c>
      <c r="G36" s="20">
        <f>IF(表2_367162629303891213141523242526272831323334[[#This Row],[累计净值]]&gt;1.004,0.8*(表2_367162629303891213141523242526272831323334[[#This Row],[累计净值]]/$B$21-1),表2_367162629303891213141523242526272831323334[[#This Row],[累计净值]]/$B$21-1)</f>
        <v>-9.960159362549792E-3</v>
      </c>
    </row>
    <row r="37" spans="1:8">
      <c r="A37" s="15">
        <v>44193</v>
      </c>
      <c r="B37" s="112">
        <v>0.98599999999999999</v>
      </c>
      <c r="C37" s="108">
        <f t="shared" ref="C37:C42" si="6">IFERROR(B37-B36,0)</f>
        <v>-8.0000000000000071E-3</v>
      </c>
      <c r="D37" s="109">
        <f t="shared" ref="D37:D42" si="7">IF(C37&lt;0,C37,"/")</f>
        <v>-8.0000000000000071E-3</v>
      </c>
      <c r="E37" s="109">
        <f ca="1">IF(表2_367162629303891213141523242526272831323334[[#This Row],[累计净值]]/MAX(INDIRECT("B21:B" &amp; ROW()))-1&lt;E36,表2_367162629303891213141523242526272831323334[[#This Row],[累计净值]]/MAX(INDIRECT("B21:B" &amp; ROW()))-1,E36)</f>
        <v>-1.9880715705765439E-2</v>
      </c>
      <c r="F37" s="110">
        <f>表2_367162629303891213141523242526272831323334[[#This Row],[累计净值]]</f>
        <v>0.98599999999999999</v>
      </c>
      <c r="G37" s="20">
        <f>IF(表2_367162629303891213141523242526272831323334[[#This Row],[累计净值]]&gt;1.004,0.8*(表2_367162629303891213141523242526272831323334[[#This Row],[累计净值]]/$B$21-1),表2_367162629303891213141523242526272831323334[[#This Row],[累计净值]]/$B$21-1)</f>
        <v>-1.7928286852589626E-2</v>
      </c>
    </row>
    <row r="38" spans="1:8">
      <c r="A38" s="15">
        <v>44194</v>
      </c>
      <c r="B38" s="112">
        <v>0.98099999999999998</v>
      </c>
      <c r="C38" s="108">
        <f t="shared" si="6"/>
        <v>-5.0000000000000044E-3</v>
      </c>
      <c r="D38" s="109">
        <f t="shared" si="7"/>
        <v>-5.0000000000000044E-3</v>
      </c>
      <c r="E38" s="109">
        <f ca="1">IF(表2_367162629303891213141523242526272831323334[[#This Row],[累计净值]]/MAX(INDIRECT("B21:B" &amp; ROW()))-1&lt;E37,表2_367162629303891213141523242526272831323334[[#This Row],[累计净值]]/MAX(INDIRECT("B21:B" &amp; ROW()))-1,E37)</f>
        <v>-2.4850894632206799E-2</v>
      </c>
      <c r="F38" s="110">
        <f>表2_367162629303891213141523242526272831323334[[#This Row],[累计净值]]</f>
        <v>0.98099999999999998</v>
      </c>
      <c r="G38" s="20">
        <f>IF(表2_367162629303891213141523242526272831323334[[#This Row],[累计净值]]&gt;1.004,0.8*(表2_367162629303891213141523242526272831323334[[#This Row],[累计净值]]/$B$21-1),表2_367162629303891213141523242526272831323334[[#This Row],[累计净值]]/$B$21-1)</f>
        <v>-2.2908366533864521E-2</v>
      </c>
    </row>
    <row r="39" spans="1:8">
      <c r="A39" s="15">
        <v>44195</v>
      </c>
      <c r="B39" s="112">
        <v>0.97899999999999998</v>
      </c>
      <c r="C39" s="108">
        <f t="shared" si="6"/>
        <v>-2.0000000000000018E-3</v>
      </c>
      <c r="D39" s="109">
        <f t="shared" si="7"/>
        <v>-2.0000000000000018E-3</v>
      </c>
      <c r="E39" s="109">
        <f ca="1">IF(表2_367162629303891213141523242526272831323334[[#This Row],[累计净值]]/MAX(INDIRECT("B21:B" &amp; ROW()))-1&lt;E38,表2_367162629303891213141523242526272831323334[[#This Row],[累计净值]]/MAX(INDIRECT("B21:B" &amp; ROW()))-1,E38)</f>
        <v>-2.6838966202783365E-2</v>
      </c>
      <c r="F39" s="110">
        <f>表2_367162629303891213141523242526272831323334[[#This Row],[累计净值]]</f>
        <v>0.97899999999999998</v>
      </c>
      <c r="G39" s="20">
        <f>IF(表2_367162629303891213141523242526272831323334[[#This Row],[累计净值]]&gt;1.004,0.8*(表2_367162629303891213141523242526272831323334[[#This Row],[累计净值]]/$B$21-1),表2_367162629303891213141523242526272831323334[[#This Row],[累计净值]]/$B$21-1)</f>
        <v>-2.490039840637448E-2</v>
      </c>
    </row>
    <row r="40" spans="1:8">
      <c r="A40" s="15">
        <v>44196</v>
      </c>
      <c r="B40" s="112">
        <v>0.98699999999999999</v>
      </c>
      <c r="C40" s="108">
        <f t="shared" si="6"/>
        <v>8.0000000000000071E-3</v>
      </c>
      <c r="D40" s="109" t="str">
        <f t="shared" si="7"/>
        <v>/</v>
      </c>
      <c r="E40" s="109">
        <f ca="1">IF(表2_367162629303891213141523242526272831323334[[#This Row],[累计净值]]/MAX(INDIRECT("B21:B" &amp; ROW()))-1&lt;E39,表2_367162629303891213141523242526272831323334[[#This Row],[累计净值]]/MAX(INDIRECT("B21:B" &amp; ROW()))-1,E39)</f>
        <v>-2.6838966202783365E-2</v>
      </c>
      <c r="F40" s="110">
        <f>表2_367162629303891213141523242526272831323334[[#This Row],[累计净值]]</f>
        <v>0.98699999999999999</v>
      </c>
      <c r="G40" s="20">
        <f>IF(表2_367162629303891213141523242526272831323334[[#This Row],[累计净值]]&gt;1.004,0.8*(表2_367162629303891213141523242526272831323334[[#This Row],[累计净值]]/$B$21-1),表2_367162629303891213141523242526272831323334[[#This Row],[累计净值]]/$B$21-1)</f>
        <v>-1.6932270916334646E-2</v>
      </c>
    </row>
    <row r="41" spans="1:8">
      <c r="A41" s="15">
        <v>44200</v>
      </c>
      <c r="B41" s="112">
        <v>1.002</v>
      </c>
      <c r="C41" s="108">
        <f t="shared" si="6"/>
        <v>1.5000000000000013E-2</v>
      </c>
      <c r="D41" s="109" t="str">
        <f t="shared" si="7"/>
        <v>/</v>
      </c>
      <c r="E41" s="109">
        <f ca="1">IF(表2_367162629303891213141523242526272831323334[[#This Row],[累计净值]]/MAX(INDIRECT("B21:B" &amp; ROW()))-1&lt;E40,表2_367162629303891213141523242526272831323334[[#This Row],[累计净值]]/MAX(INDIRECT("B21:B" &amp; ROW()))-1,E40)</f>
        <v>-2.6838966202783365E-2</v>
      </c>
      <c r="F41" s="110">
        <f>表2_367162629303891213141523242526272831323334[[#This Row],[累计净值]]</f>
        <v>1.002</v>
      </c>
      <c r="G41" s="20">
        <f>IF(表2_367162629303891213141523242526272831323334[[#This Row],[累计净值]]&gt;1.004,0.8*(表2_367162629303891213141523242526272831323334[[#This Row],[累计净值]]/$B$21-1),表2_367162629303891213141523242526272831323334[[#This Row],[累计净值]]/$B$21-1)</f>
        <v>-1.9920318725099584E-3</v>
      </c>
    </row>
    <row r="42" spans="1:8">
      <c r="A42" s="15">
        <v>44201</v>
      </c>
      <c r="B42" s="112">
        <v>0.995</v>
      </c>
      <c r="C42" s="108">
        <f t="shared" si="6"/>
        <v>-7.0000000000000062E-3</v>
      </c>
      <c r="D42" s="109">
        <f t="shared" si="7"/>
        <v>-7.0000000000000062E-3</v>
      </c>
      <c r="E42" s="109">
        <f ca="1">IF(表2_367162629303891213141523242526272831323334[[#This Row],[累计净值]]/MAX(INDIRECT("B21:B" &amp; ROW()))-1&lt;E41,表2_367162629303891213141523242526272831323334[[#This Row],[累计净值]]/MAX(INDIRECT("B21:B" &amp; ROW()))-1,E41)</f>
        <v>-2.6838966202783365E-2</v>
      </c>
      <c r="F42" s="110">
        <f>表2_367162629303891213141523242526272831323334[[#This Row],[累计净值]]</f>
        <v>0.995</v>
      </c>
      <c r="G42" s="20">
        <f>IF(表2_367162629303891213141523242526272831323334[[#This Row],[累计净值]]&gt;1.004,0.8*(表2_367162629303891213141523242526272831323334[[#This Row],[累计净值]]/$B$21-1),表2_367162629303891213141523242526272831323334[[#This Row],[累计净值]]/$B$21-1)</f>
        <v>-8.9641434262948128E-3</v>
      </c>
      <c r="H42" s="211" t="s">
        <v>48</v>
      </c>
    </row>
    <row r="43" spans="1:8">
      <c r="A43" s="15">
        <v>44202</v>
      </c>
      <c r="B43" s="112">
        <v>0.99199999999999999</v>
      </c>
      <c r="C43" s="108">
        <f>IFERROR(B43-B42,0)</f>
        <v>-3.0000000000000027E-3</v>
      </c>
      <c r="D43" s="109">
        <f>IF(C43&lt;0,C43,"/")</f>
        <v>-3.0000000000000027E-3</v>
      </c>
      <c r="E43" s="109">
        <f ca="1">IF(表2_367162629303891213141523242526272831323334[[#This Row],[累计净值]]/MAX(INDIRECT("B21:B" &amp; ROW()))-1&lt;E42,表2_367162629303891213141523242526272831323334[[#This Row],[累计净值]]/MAX(INDIRECT("B21:B" &amp; ROW()))-1,E42)</f>
        <v>-2.6838966202783365E-2</v>
      </c>
      <c r="F43" s="110">
        <f>表2_367162629303891213141523242526272831323334[[#This Row],[累计净值]]</f>
        <v>0.99199999999999999</v>
      </c>
      <c r="G43" s="20">
        <f>IF(表2_367162629303891213141523242526272831323334[[#This Row],[累计净值]]&gt;1.004,0.8*(表2_367162629303891213141523242526272831323334[[#This Row],[累计净值]]/$B$21-1),表2_367162629303891213141523242526272831323334[[#This Row],[累计净值]]/$B$21-1)</f>
        <v>-1.195219123505975E-2</v>
      </c>
    </row>
    <row r="44" spans="1:8">
      <c r="A44" s="15">
        <v>44203</v>
      </c>
      <c r="B44" s="112">
        <v>0.99199999999999999</v>
      </c>
      <c r="C44" s="108">
        <f t="shared" ref="C44:C45" si="8">IFERROR(B44-B43,0)</f>
        <v>0</v>
      </c>
      <c r="D44" s="109" t="str">
        <f t="shared" ref="D44:D45" si="9">IF(C44&lt;0,C44,"/")</f>
        <v>/</v>
      </c>
      <c r="E44" s="109">
        <f ca="1">IF(表2_367162629303891213141523242526272831323334[[#This Row],[累计净值]]/MAX(INDIRECT("B21:B" &amp; ROW()))-1&lt;E43,表2_367162629303891213141523242526272831323334[[#This Row],[累计净值]]/MAX(INDIRECT("B21:B" &amp; ROW()))-1,E43)</f>
        <v>-2.6838966202783365E-2</v>
      </c>
      <c r="F44" s="110">
        <f>表2_367162629303891213141523242526272831323334[[#This Row],[累计净值]]</f>
        <v>0.99199999999999999</v>
      </c>
      <c r="G44" s="20">
        <f>IF(表2_367162629303891213141523242526272831323334[[#This Row],[累计净值]]&gt;1.004,0.8*(表2_367162629303891213141523242526272831323334[[#This Row],[累计净值]]/$B$21-1),表2_367162629303891213141523242526272831323334[[#This Row],[累计净值]]/$B$21-1)</f>
        <v>-1.195219123505975E-2</v>
      </c>
    </row>
    <row r="45" spans="1:8">
      <c r="A45" s="15">
        <v>44204</v>
      </c>
      <c r="B45" s="112">
        <v>0.98699999999999999</v>
      </c>
      <c r="C45" s="108">
        <f t="shared" si="8"/>
        <v>-5.0000000000000044E-3</v>
      </c>
      <c r="D45" s="109">
        <f t="shared" si="9"/>
        <v>-5.0000000000000044E-3</v>
      </c>
      <c r="E45" s="109">
        <f ca="1">IF(表2_367162629303891213141523242526272831323334[[#This Row],[累计净值]]/MAX(INDIRECT("B21:B" &amp; ROW()))-1&lt;E44,表2_367162629303891213141523242526272831323334[[#This Row],[累计净值]]/MAX(INDIRECT("B21:B" &amp; ROW()))-1,E44)</f>
        <v>-2.6838966202783365E-2</v>
      </c>
      <c r="F45" s="110">
        <f>表2_367162629303891213141523242526272831323334[[#This Row],[累计净值]]</f>
        <v>0.98699999999999999</v>
      </c>
      <c r="G45" s="20">
        <f>IF(表2_367162629303891213141523242526272831323334[[#This Row],[累计净值]]&gt;1.004,0.8*(表2_367162629303891213141523242526272831323334[[#This Row],[累计净值]]/$B$21-1),表2_367162629303891213141523242526272831323334[[#This Row],[累计净值]]/$B$21-1)</f>
        <v>-1.6932270916334646E-2</v>
      </c>
    </row>
    <row r="46" spans="1:8">
      <c r="A46" s="15">
        <v>44207</v>
      </c>
      <c r="B46" s="112">
        <v>0.97499999999999998</v>
      </c>
      <c r="C46" s="108">
        <f t="shared" ref="C46:C52" si="10">IFERROR(B46-B45,0)</f>
        <v>-1.2000000000000011E-2</v>
      </c>
      <c r="D46" s="109">
        <f t="shared" ref="D46:D52" si="11">IF(C46&lt;0,C46,"/")</f>
        <v>-1.2000000000000011E-2</v>
      </c>
      <c r="E46" s="109">
        <f ca="1">IF(表2_367162629303891213141523242526272831323334[[#This Row],[累计净值]]/MAX(INDIRECT("B21:B" &amp; ROW()))-1&lt;E45,表2_367162629303891213141523242526272831323334[[#This Row],[累计净值]]/MAX(INDIRECT("B21:B" &amp; ROW()))-1,E45)</f>
        <v>-3.0815109343936387E-2</v>
      </c>
      <c r="F46" s="110">
        <f>表2_367162629303891213141523242526272831323334[[#This Row],[累计净值]]</f>
        <v>0.97499999999999998</v>
      </c>
      <c r="G46" s="20">
        <f>IF(表2_367162629303891213141523242526272831323334[[#This Row],[累计净值]]&gt;1.004,0.8*(表2_367162629303891213141523242526272831323334[[#This Row],[累计净值]]/$B$21-1),表2_367162629303891213141523242526272831323334[[#This Row],[累计净值]]/$B$21-1)</f>
        <v>-2.8884462151394397E-2</v>
      </c>
    </row>
    <row r="47" spans="1:8">
      <c r="A47" s="15">
        <v>44208</v>
      </c>
      <c r="B47" s="112">
        <v>0.97199999999999998</v>
      </c>
      <c r="C47" s="108">
        <f t="shared" si="10"/>
        <v>-3.0000000000000027E-3</v>
      </c>
      <c r="D47" s="109">
        <f t="shared" si="11"/>
        <v>-3.0000000000000027E-3</v>
      </c>
      <c r="E47" s="109">
        <f ca="1">IF(表2_367162629303891213141523242526272831323334[[#This Row],[累计净值]]/MAX(INDIRECT("B21:B" &amp; ROW()))-1&lt;E46,表2_367162629303891213141523242526272831323334[[#This Row],[累计净值]]/MAX(INDIRECT("B21:B" &amp; ROW()))-1,E46)</f>
        <v>-3.379721669980118E-2</v>
      </c>
      <c r="F47" s="110">
        <f>表2_367162629303891213141523242526272831323334[[#This Row],[累计净值]]</f>
        <v>0.97199999999999998</v>
      </c>
      <c r="G47" s="20">
        <f>IF(表2_367162629303891213141523242526272831323334[[#This Row],[累计净值]]&gt;1.004,0.8*(表2_367162629303891213141523242526272831323334[[#This Row],[累计净值]]/$B$21-1),表2_367162629303891213141523242526272831323334[[#This Row],[累计净值]]/$B$21-1)</f>
        <v>-3.1872509960159445E-2</v>
      </c>
    </row>
    <row r="48" spans="1:8">
      <c r="A48" s="15">
        <v>44209</v>
      </c>
      <c r="B48" s="112">
        <v>0.95599999999999996</v>
      </c>
      <c r="C48" s="108">
        <f t="shared" si="10"/>
        <v>-1.6000000000000014E-2</v>
      </c>
      <c r="D48" s="109">
        <f t="shared" si="11"/>
        <v>-1.6000000000000014E-2</v>
      </c>
      <c r="E48" s="109">
        <f ca="1">IF(表2_367162629303891213141523242526272831323334[[#This Row],[累计净值]]/MAX(INDIRECT("B21:B" &amp; ROW()))-1&lt;E47,表2_367162629303891213141523242526272831323334[[#This Row],[累计净值]]/MAX(INDIRECT("B21:B" &amp; ROW()))-1,E47)</f>
        <v>-4.9701789264413598E-2</v>
      </c>
      <c r="F48" s="110">
        <f>表2_367162629303891213141523242526272831323334[[#This Row],[累计净值]]</f>
        <v>0.95599999999999996</v>
      </c>
      <c r="G48" s="20">
        <f>IF(表2_367162629303891213141523242526272831323334[[#This Row],[累计净值]]&gt;1.004,0.8*(表2_367162629303891213141523242526272831323334[[#This Row],[累计净值]]/$B$21-1),表2_367162629303891213141523242526272831323334[[#This Row],[累计净值]]/$B$21-1)</f>
        <v>-4.7808764940239112E-2</v>
      </c>
    </row>
    <row r="49" spans="1:7">
      <c r="A49" s="15">
        <v>44210</v>
      </c>
      <c r="B49" s="112">
        <v>0.95499999999999996</v>
      </c>
      <c r="C49" s="108">
        <f t="shared" si="10"/>
        <v>-1.0000000000000009E-3</v>
      </c>
      <c r="D49" s="109">
        <f t="shared" si="11"/>
        <v>-1.0000000000000009E-3</v>
      </c>
      <c r="E49" s="109">
        <f ca="1">IF(表2_367162629303891213141523242526272831323334[[#This Row],[累计净值]]/MAX(INDIRECT("B21:B" &amp; ROW()))-1&lt;E48,表2_367162629303891213141523242526272831323334[[#This Row],[累计净值]]/MAX(INDIRECT("B21:B" &amp; ROW()))-1,E48)</f>
        <v>-5.0695825049701826E-2</v>
      </c>
      <c r="F49" s="110">
        <f>表2_367162629303891213141523242526272831323334[[#This Row],[累计净值]]</f>
        <v>0.95499999999999996</v>
      </c>
      <c r="G49" s="20">
        <f>IF(表2_367162629303891213141523242526272831323334[[#This Row],[累计净值]]&gt;1.004,0.8*(表2_367162629303891213141523242526272831323334[[#This Row],[累计净值]]/$B$21-1),表2_367162629303891213141523242526272831323334[[#This Row],[累计净值]]/$B$21-1)</f>
        <v>-4.8804780876494092E-2</v>
      </c>
    </row>
    <row r="50" spans="1:7">
      <c r="A50" s="15">
        <v>44211</v>
      </c>
      <c r="B50" s="112">
        <v>0.97499999999999998</v>
      </c>
      <c r="C50" s="108">
        <f t="shared" si="10"/>
        <v>2.0000000000000018E-2</v>
      </c>
      <c r="D50" s="109" t="str">
        <f t="shared" si="11"/>
        <v>/</v>
      </c>
      <c r="E50" s="109">
        <f ca="1">IF(表2_367162629303891213141523242526272831323334[[#This Row],[累计净值]]/MAX(INDIRECT("B21:B" &amp; ROW()))-1&lt;E49,表2_367162629303891213141523242526272831323334[[#This Row],[累计净值]]/MAX(INDIRECT("B21:B" &amp; ROW()))-1,E49)</f>
        <v>-5.0695825049701826E-2</v>
      </c>
      <c r="F50" s="110">
        <f>表2_367162629303891213141523242526272831323334[[#This Row],[累计净值]]</f>
        <v>0.97499999999999998</v>
      </c>
      <c r="G50" s="20">
        <f>IF(表2_367162629303891213141523242526272831323334[[#This Row],[累计净值]]&gt;1.004,0.8*(表2_367162629303891213141523242526272831323334[[#This Row],[累计净值]]/$B$21-1),表2_367162629303891213141523242526272831323334[[#This Row],[累计净值]]/$B$21-1)</f>
        <v>-2.8884462151394397E-2</v>
      </c>
    </row>
    <row r="51" spans="1:7">
      <c r="A51" s="15">
        <v>44214</v>
      </c>
      <c r="B51" s="112">
        <v>0.99099999999999999</v>
      </c>
      <c r="C51" s="108">
        <f t="shared" si="10"/>
        <v>1.6000000000000014E-2</v>
      </c>
      <c r="D51" s="109" t="str">
        <f t="shared" si="11"/>
        <v>/</v>
      </c>
      <c r="E51" s="109">
        <f ca="1">IF(表2_367162629303891213141523242526272831323334[[#This Row],[累计净值]]/MAX(INDIRECT("B21:B" &amp; ROW()))-1&lt;E50,表2_367162629303891213141523242526272831323334[[#This Row],[累计净值]]/MAX(INDIRECT("B21:B" &amp; ROW()))-1,E50)</f>
        <v>-5.0695825049701826E-2</v>
      </c>
      <c r="F51" s="110">
        <f>表2_367162629303891213141523242526272831323334[[#This Row],[累计净值]]</f>
        <v>0.99099999999999999</v>
      </c>
      <c r="G51" s="20">
        <f>IF(表2_367162629303891213141523242526272831323334[[#This Row],[累计净值]]&gt;1.004,0.8*(表2_367162629303891213141523242526272831323334[[#This Row],[累计净值]]/$B$21-1),表2_367162629303891213141523242526272831323334[[#This Row],[累计净值]]/$B$21-1)</f>
        <v>-1.294820717131473E-2</v>
      </c>
    </row>
    <row r="52" spans="1:7">
      <c r="A52" s="15">
        <v>44215</v>
      </c>
      <c r="B52" s="112">
        <v>0.99199999999999999</v>
      </c>
      <c r="C52" s="108">
        <f t="shared" si="10"/>
        <v>1.0000000000000009E-3</v>
      </c>
      <c r="D52" s="109" t="str">
        <f t="shared" si="11"/>
        <v>/</v>
      </c>
      <c r="E52" s="109">
        <f ca="1">IF(表2_367162629303891213141523242526272831323334[[#This Row],[累计净值]]/MAX(INDIRECT("B21:B" &amp; ROW()))-1&lt;E51,表2_367162629303891213141523242526272831323334[[#This Row],[累计净值]]/MAX(INDIRECT("B21:B" &amp; ROW()))-1,E51)</f>
        <v>-5.0695825049701826E-2</v>
      </c>
      <c r="F52" s="110">
        <f>表2_367162629303891213141523242526272831323334[[#This Row],[累计净值]]</f>
        <v>0.99199999999999999</v>
      </c>
      <c r="G52" s="20">
        <f>IF(表2_367162629303891213141523242526272831323334[[#This Row],[累计净值]]&gt;1.004,0.8*(表2_367162629303891213141523242526272831323334[[#This Row],[累计净值]]/$B$21-1),表2_367162629303891213141523242526272831323334[[#This Row],[累计净值]]/$B$21-1)</f>
        <v>-1.195219123505975E-2</v>
      </c>
    </row>
    <row r="53" spans="1:7">
      <c r="A53" s="15">
        <v>44216</v>
      </c>
      <c r="B53" s="112">
        <v>0.99099999999999999</v>
      </c>
      <c r="C53" s="108">
        <f t="shared" ref="C53:C58" si="12">IFERROR(B53-B52,0)</f>
        <v>-1.0000000000000009E-3</v>
      </c>
      <c r="D53" s="109">
        <f t="shared" ref="D53:D58" si="13">IF(C53&lt;0,C53,"/")</f>
        <v>-1.0000000000000009E-3</v>
      </c>
      <c r="E53" s="109">
        <f ca="1">IF(表2_367162629303891213141523242526272831323334[[#This Row],[累计净值]]/MAX(INDIRECT("B21:B" &amp; ROW()))-1&lt;E52,表2_367162629303891213141523242526272831323334[[#This Row],[累计净值]]/MAX(INDIRECT("B21:B" &amp; ROW()))-1,E52)</f>
        <v>-5.0695825049701826E-2</v>
      </c>
      <c r="F53" s="110">
        <f>表2_367162629303891213141523242526272831323334[[#This Row],[累计净值]]</f>
        <v>0.99099999999999999</v>
      </c>
      <c r="G53" s="20">
        <f>IF(表2_367162629303891213141523242526272831323334[[#This Row],[累计净值]]&gt;1.004,0.8*(表2_367162629303891213141523242526272831323334[[#This Row],[累计净值]]/$B$21-1),表2_367162629303891213141523242526272831323334[[#This Row],[累计净值]]/$B$21-1)</f>
        <v>-1.294820717131473E-2</v>
      </c>
    </row>
    <row r="54" spans="1:7">
      <c r="A54" s="15">
        <v>44217</v>
      </c>
      <c r="B54" s="112">
        <v>0.99</v>
      </c>
      <c r="C54" s="108">
        <f t="shared" si="12"/>
        <v>-1.0000000000000009E-3</v>
      </c>
      <c r="D54" s="109">
        <f t="shared" si="13"/>
        <v>-1.0000000000000009E-3</v>
      </c>
      <c r="E54" s="109">
        <f ca="1">IF(表2_367162629303891213141523242526272831323334[[#This Row],[累计净值]]/MAX(INDIRECT("B21:B" &amp; ROW()))-1&lt;E53,表2_367162629303891213141523242526272831323334[[#This Row],[累计净值]]/MAX(INDIRECT("B21:B" &amp; ROW()))-1,E53)</f>
        <v>-5.0695825049701826E-2</v>
      </c>
      <c r="F54" s="110">
        <f>表2_367162629303891213141523242526272831323334[[#This Row],[累计净值]]</f>
        <v>0.99</v>
      </c>
      <c r="G54" s="20">
        <f>IF(表2_367162629303891213141523242526272831323334[[#This Row],[累计净值]]&gt;1.004,0.8*(表2_367162629303891213141523242526272831323334[[#This Row],[累计净值]]/$B$21-1),表2_367162629303891213141523242526272831323334[[#This Row],[累计净值]]/$B$21-1)</f>
        <v>-1.3944223107569709E-2</v>
      </c>
    </row>
    <row r="55" spans="1:7">
      <c r="A55" s="15">
        <v>44218</v>
      </c>
      <c r="B55" s="112">
        <v>0.98299999999999998</v>
      </c>
      <c r="C55" s="108">
        <f t="shared" si="12"/>
        <v>-7.0000000000000062E-3</v>
      </c>
      <c r="D55" s="109">
        <f t="shared" si="13"/>
        <v>-7.0000000000000062E-3</v>
      </c>
      <c r="E55" s="109">
        <f ca="1">IF(表2_367162629303891213141523242526272831323334[[#This Row],[累计净值]]/MAX(INDIRECT("B21:B" &amp; ROW()))-1&lt;E54,表2_367162629303891213141523242526272831323334[[#This Row],[累计净值]]/MAX(INDIRECT("B21:B" &amp; ROW()))-1,E54)</f>
        <v>-5.0695825049701826E-2</v>
      </c>
      <c r="F55" s="110">
        <f>表2_367162629303891213141523242526272831323334[[#This Row],[累计净值]]</f>
        <v>0.98299999999999998</v>
      </c>
      <c r="G55" s="20">
        <f>IF(表2_367162629303891213141523242526272831323334[[#This Row],[累计净值]]&gt;1.004,0.8*(表2_367162629303891213141523242526272831323334[[#This Row],[累计净值]]/$B$21-1),表2_367162629303891213141523242526272831323334[[#This Row],[累计净值]]/$B$21-1)</f>
        <v>-2.0916334661354563E-2</v>
      </c>
    </row>
    <row r="56" spans="1:7">
      <c r="A56" s="15">
        <v>44221</v>
      </c>
      <c r="B56" s="112">
        <v>0.98299999999999998</v>
      </c>
      <c r="C56" s="108">
        <f t="shared" si="12"/>
        <v>0</v>
      </c>
      <c r="D56" s="109" t="str">
        <f t="shared" si="13"/>
        <v>/</v>
      </c>
      <c r="E56" s="109">
        <f ca="1">IF(表2_367162629303891213141523242526272831323334[[#This Row],[累计净值]]/MAX(INDIRECT("B21:B" &amp; ROW()))-1&lt;E55,表2_367162629303891213141523242526272831323334[[#This Row],[累计净值]]/MAX(INDIRECT("B21:B" &amp; ROW()))-1,E55)</f>
        <v>-5.0695825049701826E-2</v>
      </c>
      <c r="F56" s="110">
        <f>表2_367162629303891213141523242526272831323334[[#This Row],[累计净值]]</f>
        <v>0.98299999999999998</v>
      </c>
      <c r="G56" s="20">
        <f>IF(表2_367162629303891213141523242526272831323334[[#This Row],[累计净值]]&gt;1.004,0.8*(表2_367162629303891213141523242526272831323334[[#This Row],[累计净值]]/$B$21-1),表2_367162629303891213141523242526272831323334[[#This Row],[累计净值]]/$B$21-1)</f>
        <v>-2.0916334661354563E-2</v>
      </c>
    </row>
    <row r="57" spans="1:7">
      <c r="A57" s="15">
        <v>44222</v>
      </c>
      <c r="B57" s="112">
        <v>0.97499999999999998</v>
      </c>
      <c r="C57" s="108">
        <f t="shared" si="12"/>
        <v>-8.0000000000000071E-3</v>
      </c>
      <c r="D57" s="109">
        <f t="shared" si="13"/>
        <v>-8.0000000000000071E-3</v>
      </c>
      <c r="E57" s="109">
        <f ca="1">IF(表2_367162629303891213141523242526272831323334[[#This Row],[累计净值]]/MAX(INDIRECT("B21:B" &amp; ROW()))-1&lt;E56,表2_367162629303891213141523242526272831323334[[#This Row],[累计净值]]/MAX(INDIRECT("B21:B" &amp; ROW()))-1,E56)</f>
        <v>-5.0695825049701826E-2</v>
      </c>
      <c r="F57" s="110">
        <f>表2_367162629303891213141523242526272831323334[[#This Row],[累计净值]]</f>
        <v>0.97499999999999998</v>
      </c>
      <c r="G57" s="20">
        <f>IF(表2_367162629303891213141523242526272831323334[[#This Row],[累计净值]]&gt;1.004,0.8*(表2_367162629303891213141523242526272831323334[[#This Row],[累计净值]]/$B$21-1),表2_367162629303891213141523242526272831323334[[#This Row],[累计净值]]/$B$21-1)</f>
        <v>-2.8884462151394397E-2</v>
      </c>
    </row>
    <row r="58" spans="1:7">
      <c r="A58" s="15">
        <v>44223</v>
      </c>
      <c r="B58" s="112">
        <v>0.97399999999999998</v>
      </c>
      <c r="C58" s="108">
        <f t="shared" si="12"/>
        <v>-1.0000000000000009E-3</v>
      </c>
      <c r="D58" s="109">
        <f t="shared" si="13"/>
        <v>-1.0000000000000009E-3</v>
      </c>
      <c r="E58" s="109">
        <f ca="1">IF(表2_367162629303891213141523242526272831323334[[#This Row],[累计净值]]/MAX(INDIRECT("B21:B" &amp; ROW()))-1&lt;E57,表2_367162629303891213141523242526272831323334[[#This Row],[累计净值]]/MAX(INDIRECT("B21:B" &amp; ROW()))-1,E57)</f>
        <v>-5.0695825049701826E-2</v>
      </c>
      <c r="F58" s="110">
        <f>表2_367162629303891213141523242526272831323334[[#This Row],[累计净值]]</f>
        <v>0.97399999999999998</v>
      </c>
      <c r="G58" s="20">
        <f>IF(表2_367162629303891213141523242526272831323334[[#This Row],[累计净值]]&gt;1.004,0.8*(表2_367162629303891213141523242526272831323334[[#This Row],[累计净值]]/$B$21-1),表2_367162629303891213141523242526272831323334[[#This Row],[累计净值]]/$B$21-1)</f>
        <v>-2.9880478087649376E-2</v>
      </c>
    </row>
    <row r="59" spans="1:7">
      <c r="A59" s="15">
        <v>44224</v>
      </c>
      <c r="B59" s="112">
        <v>0.96599999999999997</v>
      </c>
      <c r="C59" s="108">
        <f t="shared" ref="C59:C64" si="14">IFERROR(B59-B58,0)</f>
        <v>-8.0000000000000071E-3</v>
      </c>
      <c r="D59" s="109">
        <f t="shared" ref="D59:D64" si="15">IF(C59&lt;0,C59,"/")</f>
        <v>-8.0000000000000071E-3</v>
      </c>
      <c r="E59" s="109">
        <f ca="1">IF(表2_367162629303891213141523242526272831323334[[#This Row],[累计净值]]/MAX(INDIRECT("B21:B" &amp; ROW()))-1&lt;E58,表2_367162629303891213141523242526272831323334[[#This Row],[累计净值]]/MAX(INDIRECT("B21:B" &amp; ROW()))-1,E58)</f>
        <v>-5.0695825049701826E-2</v>
      </c>
      <c r="F59" s="110">
        <f>表2_367162629303891213141523242526272831323334[[#This Row],[累计净值]]</f>
        <v>0.96599999999999997</v>
      </c>
      <c r="G59" s="20">
        <f>IF(表2_367162629303891213141523242526272831323334[[#This Row],[累计净值]]&gt;1.004,0.8*(表2_367162629303891213141523242526272831323334[[#This Row],[累计净值]]/$B$21-1),表2_367162629303891213141523242526272831323334[[#This Row],[累计净值]]/$B$21-1)</f>
        <v>-3.784860557768932E-2</v>
      </c>
    </row>
    <row r="60" spans="1:7">
      <c r="A60" s="15">
        <v>44225</v>
      </c>
      <c r="B60" s="112">
        <v>0.96</v>
      </c>
      <c r="C60" s="108">
        <f t="shared" si="14"/>
        <v>-6.0000000000000053E-3</v>
      </c>
      <c r="D60" s="109">
        <f t="shared" si="15"/>
        <v>-6.0000000000000053E-3</v>
      </c>
      <c r="E60" s="109">
        <f ca="1">IF(表2_367162629303891213141523242526272831323334[[#This Row],[累计净值]]/MAX(INDIRECT("B21:B" &amp; ROW()))-1&lt;E59,表2_367162629303891213141523242526272831323334[[#This Row],[累计净值]]/MAX(INDIRECT("B21:B" &amp; ROW()))-1,E59)</f>
        <v>-5.0695825049701826E-2</v>
      </c>
      <c r="F60" s="110">
        <f>表2_367162629303891213141523242526272831323334[[#This Row],[累计净值]]</f>
        <v>0.96</v>
      </c>
      <c r="G60" s="20">
        <f>IF(表2_367162629303891213141523242526272831323334[[#This Row],[累计净值]]&gt;1.004,0.8*(表2_367162629303891213141523242526272831323334[[#This Row],[累计净值]]/$B$21-1),表2_367162629303891213141523242526272831323334[[#This Row],[累计净值]]/$B$21-1)</f>
        <v>-4.3824701195219196E-2</v>
      </c>
    </row>
    <row r="61" spans="1:7">
      <c r="A61" s="15">
        <v>44228</v>
      </c>
      <c r="B61" s="112">
        <v>0.95899999999999996</v>
      </c>
      <c r="C61" s="108">
        <f t="shared" si="14"/>
        <v>-1.0000000000000009E-3</v>
      </c>
      <c r="D61" s="109">
        <f t="shared" si="15"/>
        <v>-1.0000000000000009E-3</v>
      </c>
      <c r="E61" s="109">
        <f ca="1">IF(表2_367162629303891213141523242526272831323334[[#This Row],[累计净值]]/MAX(INDIRECT("B21:B" &amp; ROW()))-1&lt;E60,表2_367162629303891213141523242526272831323334[[#This Row],[累计净值]]/MAX(INDIRECT("B21:B" &amp; ROW()))-1,E60)</f>
        <v>-5.0695825049701826E-2</v>
      </c>
      <c r="F61" s="110">
        <f>表2_367162629303891213141523242526272831323334[[#This Row],[累计净值]]</f>
        <v>0.95899999999999996</v>
      </c>
      <c r="G61" s="20">
        <f>IF(表2_367162629303891213141523242526272831323334[[#This Row],[累计净值]]&gt;1.004,0.8*(表2_367162629303891213141523242526272831323334[[#This Row],[累计净值]]/$B$21-1),表2_367162629303891213141523242526272831323334[[#This Row],[累计净值]]/$B$21-1)</f>
        <v>-4.4820717131474175E-2</v>
      </c>
    </row>
    <row r="62" spans="1:7">
      <c r="A62" s="15">
        <v>44229</v>
      </c>
      <c r="B62" s="112">
        <v>0.95699999999999996</v>
      </c>
      <c r="C62" s="108">
        <f t="shared" si="14"/>
        <v>-2.0000000000000018E-3</v>
      </c>
      <c r="D62" s="109">
        <f t="shared" si="15"/>
        <v>-2.0000000000000018E-3</v>
      </c>
      <c r="E62" s="109">
        <f ca="1">IF(表2_367162629303891213141523242526272831323334[[#This Row],[累计净值]]/MAX(INDIRECT("B21:B" &amp; ROW()))-1&lt;E61,表2_367162629303891213141523242526272831323334[[#This Row],[累计净值]]/MAX(INDIRECT("B21:B" &amp; ROW()))-1,E61)</f>
        <v>-5.0695825049701826E-2</v>
      </c>
      <c r="F62" s="110">
        <f>表2_367162629303891213141523242526272831323334[[#This Row],[累计净值]]</f>
        <v>0.95699999999999996</v>
      </c>
      <c r="G62" s="20">
        <f>IF(表2_367162629303891213141523242526272831323334[[#This Row],[累计净值]]&gt;1.004,0.8*(表2_367162629303891213141523242526272831323334[[#This Row],[累计净值]]/$B$21-1),表2_367162629303891213141523242526272831323334[[#This Row],[累计净值]]/$B$21-1)</f>
        <v>-4.6812749003984133E-2</v>
      </c>
    </row>
    <row r="63" spans="1:7">
      <c r="A63" s="15">
        <v>44230</v>
      </c>
      <c r="B63" s="112">
        <v>0.95199999999999996</v>
      </c>
      <c r="C63" s="108">
        <f t="shared" si="14"/>
        <v>-5.0000000000000044E-3</v>
      </c>
      <c r="D63" s="109">
        <f t="shared" si="15"/>
        <v>-5.0000000000000044E-3</v>
      </c>
      <c r="E63" s="109">
        <f ca="1">IF(表2_367162629303891213141523242526272831323334[[#This Row],[累计净值]]/MAX(INDIRECT("B21:B" &amp; ROW()))-1&lt;E62,表2_367162629303891213141523242526272831323334[[#This Row],[累计净值]]/MAX(INDIRECT("B21:B" &amp; ROW()))-1,E62)</f>
        <v>-5.367793240556662E-2</v>
      </c>
      <c r="F63" s="110">
        <f>表2_367162629303891213141523242526272831323334[[#This Row],[累计净值]]</f>
        <v>0.95199999999999996</v>
      </c>
      <c r="G63" s="20">
        <f>IF(表2_367162629303891213141523242526272831323334[[#This Row],[累计净值]]&gt;1.004,0.8*(表2_367162629303891213141523242526272831323334[[#This Row],[累计净值]]/$B$21-1),表2_367162629303891213141523242526272831323334[[#This Row],[累计净值]]/$B$21-1)</f>
        <v>-5.1792828685259029E-2</v>
      </c>
    </row>
    <row r="64" spans="1:7">
      <c r="A64" s="15">
        <v>44231</v>
      </c>
      <c r="B64" s="112">
        <v>0.95199999999999996</v>
      </c>
      <c r="C64" s="108">
        <f t="shared" si="14"/>
        <v>0</v>
      </c>
      <c r="D64" s="109" t="str">
        <f t="shared" si="15"/>
        <v>/</v>
      </c>
      <c r="E64" s="109">
        <f ca="1">IF(表2_367162629303891213141523242526272831323334[[#This Row],[累计净值]]/MAX(INDIRECT("B21:B" &amp; ROW()))-1&lt;E63,表2_367162629303891213141523242526272831323334[[#This Row],[累计净值]]/MAX(INDIRECT("B21:B" &amp; ROW()))-1,E63)</f>
        <v>-5.367793240556662E-2</v>
      </c>
      <c r="F64" s="110">
        <f>表2_367162629303891213141523242526272831323334[[#This Row],[累计净值]]</f>
        <v>0.95199999999999996</v>
      </c>
      <c r="G64" s="20">
        <f>IF(表2_367162629303891213141523242526272831323334[[#This Row],[累计净值]]&gt;1.004,0.8*(表2_367162629303891213141523242526272831323334[[#This Row],[累计净值]]/$B$21-1),表2_367162629303891213141523242526272831323334[[#This Row],[累计净值]]/$B$21-1)</f>
        <v>-5.1792828685259029E-2</v>
      </c>
    </row>
    <row r="65" spans="1:10">
      <c r="A65" s="15">
        <v>44232</v>
      </c>
      <c r="B65" s="112">
        <v>0.91700000000000004</v>
      </c>
      <c r="C65" s="108">
        <f>IFERROR(B65-B64,0)</f>
        <v>-3.499999999999992E-2</v>
      </c>
      <c r="D65" s="109">
        <f>IF(C65&lt;0,C65,"/")</f>
        <v>-3.499999999999992E-2</v>
      </c>
      <c r="E65" s="109">
        <f ca="1">IF(表2_367162629303891213141523242526272831323334[[#This Row],[累计净值]]/MAX(INDIRECT("B21:B" &amp; ROW()))-1&lt;E64,表2_367162629303891213141523242526272831323334[[#This Row],[累计净值]]/MAX(INDIRECT("B21:B" &amp; ROW()))-1,E64)</f>
        <v>-8.8469184890656027E-2</v>
      </c>
      <c r="F65" s="110">
        <f>表2_367162629303891213141523242526272831323334[[#This Row],[累计净值]]</f>
        <v>0.91700000000000004</v>
      </c>
      <c r="G65" s="20">
        <f>IF(表2_367162629303891213141523242526272831323334[[#This Row],[累计净值]]&gt;1.004,0.8*(表2_367162629303891213141523242526272831323334[[#This Row],[累计净值]]/$B$21-1),表2_367162629303891213141523242526272831323334[[#This Row],[累计净值]]/$B$21-1)</f>
        <v>-8.665338645418319E-2</v>
      </c>
    </row>
    <row r="66" spans="1:10">
      <c r="A66" s="15">
        <v>44235</v>
      </c>
      <c r="B66" s="112">
        <v>0.90700000000000003</v>
      </c>
      <c r="C66" s="108">
        <f>IFERROR(B66-B65,0)</f>
        <v>-1.0000000000000009E-2</v>
      </c>
      <c r="D66" s="109">
        <f>IF(C66&lt;0,C66,"/")</f>
        <v>-1.0000000000000009E-2</v>
      </c>
      <c r="E66" s="109">
        <f ca="1">IF(表2_367162629303891213141523242526272831323334[[#This Row],[累计净值]]/MAX(INDIRECT("B21:B" &amp; ROW()))-1&lt;E65,表2_367162629303891213141523242526272831323334[[#This Row],[累计净值]]/MAX(INDIRECT("B21:B" &amp; ROW()))-1,E65)</f>
        <v>-9.8409542743538747E-2</v>
      </c>
      <c r="F66" s="110">
        <f>表2_367162629303891213141523242526272831323334[[#This Row],[累计净值]]</f>
        <v>0.90700000000000003</v>
      </c>
      <c r="G66" s="20">
        <f>IF(表2_367162629303891213141523242526272831323334[[#This Row],[累计净值]]&gt;1.004,0.8*(表2_367162629303891213141523242526272831323334[[#This Row],[累计净值]]/$B$21-1),表2_367162629303891213141523242526272831323334[[#This Row],[累计净值]]/$B$21-1)</f>
        <v>-9.6613545816733093E-2</v>
      </c>
    </row>
    <row r="67" spans="1:10">
      <c r="A67" s="15">
        <v>44236</v>
      </c>
      <c r="B67" s="112">
        <v>0.92100000000000004</v>
      </c>
      <c r="C67" s="108">
        <f t="shared" ref="C67:C69" si="16">IFERROR(B67-B66,0)</f>
        <v>1.4000000000000012E-2</v>
      </c>
      <c r="D67" s="109" t="str">
        <f t="shared" ref="D67:D69" si="17">IF(C67&lt;0,C67,"/")</f>
        <v>/</v>
      </c>
      <c r="E67" s="109">
        <f ca="1">IF(表2_367162629303891213141523242526272831323334[[#This Row],[累计净值]]/MAX(INDIRECT("B21:B" &amp; ROW()))-1&lt;E66,表2_367162629303891213141523242526272831323334[[#This Row],[累计净值]]/MAX(INDIRECT("B21:B" &amp; ROW()))-1,E66)</f>
        <v>-9.8409542743538747E-2</v>
      </c>
      <c r="F67" s="110">
        <f>表2_367162629303891213141523242526272831323334[[#This Row],[累计净值]]</f>
        <v>0.92100000000000004</v>
      </c>
      <c r="G67" s="20">
        <f>IF(表2_367162629303891213141523242526272831323334[[#This Row],[累计净值]]&gt;1.004,0.8*(表2_367162629303891213141523242526272831323334[[#This Row],[累计净值]]/$B$21-1),表2_367162629303891213141523242526272831323334[[#This Row],[累计净值]]/$B$21-1)</f>
        <v>-8.2669322709163273E-2</v>
      </c>
    </row>
    <row r="68" spans="1:10">
      <c r="A68" s="15">
        <v>44237</v>
      </c>
      <c r="B68" s="112">
        <v>0.92400000000000004</v>
      </c>
      <c r="C68" s="108">
        <f t="shared" si="16"/>
        <v>3.0000000000000027E-3</v>
      </c>
      <c r="D68" s="109" t="str">
        <f t="shared" si="17"/>
        <v>/</v>
      </c>
      <c r="E68" s="109">
        <f ca="1">IF(表2_367162629303891213141523242526272831323334[[#This Row],[累计净值]]/MAX(INDIRECT("B21:B" &amp; ROW()))-1&lt;E67,表2_367162629303891213141523242526272831323334[[#This Row],[累计净值]]/MAX(INDIRECT("B21:B" &amp; ROW()))-1,E67)</f>
        <v>-9.8409542743538747E-2</v>
      </c>
      <c r="F68" s="110">
        <f>表2_367162629303891213141523242526272831323334[[#This Row],[累计净值]]</f>
        <v>0.92400000000000004</v>
      </c>
      <c r="G68" s="20">
        <f>IF(表2_367162629303891213141523242526272831323334[[#This Row],[累计净值]]&gt;1.004,0.8*(表2_367162629303891213141523242526272831323334[[#This Row],[累计净值]]/$B$21-1),表2_367162629303891213141523242526272831323334[[#This Row],[累计净值]]/$B$21-1)</f>
        <v>-7.9681274900398336E-2</v>
      </c>
      <c r="J68" s="221"/>
    </row>
    <row r="69" spans="1:10">
      <c r="A69" s="15">
        <v>44245</v>
      </c>
      <c r="B69" s="112">
        <v>0.94299999999999995</v>
      </c>
      <c r="C69" s="108">
        <f t="shared" si="16"/>
        <v>1.8999999999999906E-2</v>
      </c>
      <c r="D69" s="109" t="str">
        <f t="shared" si="17"/>
        <v>/</v>
      </c>
      <c r="E69" s="109">
        <f ca="1">IF(表2_367162629303891213141523242526272831323334[[#This Row],[累计净值]]/MAX(INDIRECT("B21:B" &amp; ROW()))-1&lt;E68,表2_367162629303891213141523242526272831323334[[#This Row],[累计净值]]/MAX(INDIRECT("B21:B" &amp; ROW()))-1,E68)</f>
        <v>-9.8409542743538747E-2</v>
      </c>
      <c r="F69" s="110">
        <f>表2_367162629303891213141523242526272831323334[[#This Row],[累计净值]]</f>
        <v>0.94299999999999995</v>
      </c>
      <c r="G69" s="20">
        <f>IF(表2_367162629303891213141523242526272831323334[[#This Row],[累计净值]]&gt;1.004,0.8*(表2_367162629303891213141523242526272831323334[[#This Row],[累计净值]]/$B$21-1),表2_367162629303891213141523242526272831323334[[#This Row],[累计净值]]/$B$21-1)</f>
        <v>-6.0756972111553842E-2</v>
      </c>
    </row>
    <row r="70" spans="1:10">
      <c r="A70" s="15">
        <v>44246</v>
      </c>
      <c r="B70" s="112">
        <v>0.97399999999999998</v>
      </c>
      <c r="C70" s="108">
        <f>IFERROR(B70-B69,0)</f>
        <v>3.1000000000000028E-2</v>
      </c>
      <c r="D70" s="109" t="str">
        <f>IF(C70&lt;0,C70,"/")</f>
        <v>/</v>
      </c>
      <c r="E70" s="109">
        <f ca="1">IF(表2_367162629303891213141523242526272831323334[[#This Row],[累计净值]]/MAX(INDIRECT("B21:B" &amp; ROW()))-1&lt;E69,表2_367162629303891213141523242526272831323334[[#This Row],[累计净值]]/MAX(INDIRECT("B21:B" &amp; ROW()))-1,E69)</f>
        <v>-9.8409542743538747E-2</v>
      </c>
      <c r="F70" s="110">
        <f>表2_367162629303891213141523242526272831323334[[#This Row],[累计净值]]</f>
        <v>0.97399999999999998</v>
      </c>
      <c r="G70" s="20">
        <f>IF(表2_367162629303891213141523242526272831323334[[#This Row],[累计净值]]&gt;1.004,0.8*(表2_367162629303891213141523242526272831323334[[#This Row],[累计净值]]/$B$21-1),表2_367162629303891213141523242526272831323334[[#This Row],[累计净值]]/$B$21-1)</f>
        <v>-2.9880478087649376E-2</v>
      </c>
    </row>
    <row r="71" spans="1:10">
      <c r="A71" s="15">
        <v>44249</v>
      </c>
      <c r="B71" s="112">
        <v>0.98399999999999999</v>
      </c>
      <c r="C71" s="108">
        <f>IFERROR(B71-B70,0)</f>
        <v>1.0000000000000009E-2</v>
      </c>
      <c r="D71" s="109" t="str">
        <f>IF(C71&lt;0,C71,"/")</f>
        <v>/</v>
      </c>
      <c r="E71" s="109">
        <f ca="1">IF(表2_367162629303891213141523242526272831323334[[#This Row],[累计净值]]/MAX(INDIRECT("B21:B" &amp; ROW()))-1&lt;E70,表2_367162629303891213141523242526272831323334[[#This Row],[累计净值]]/MAX(INDIRECT("B21:B" &amp; ROW()))-1,E70)</f>
        <v>-9.8409542743538747E-2</v>
      </c>
      <c r="F71" s="110">
        <f>表2_367162629303891213141523242526272831323334[[#This Row],[累计净值]]</f>
        <v>0.98399999999999999</v>
      </c>
      <c r="G71" s="20">
        <f>IF(表2_367162629303891213141523242526272831323334[[#This Row],[累计净值]]&gt;1.004,0.8*(表2_367162629303891213141523242526272831323334[[#This Row],[累计净值]]/$B$21-1),表2_367162629303891213141523242526272831323334[[#This Row],[累计净值]]/$B$21-1)</f>
        <v>-1.9920318725099584E-2</v>
      </c>
    </row>
    <row r="72" spans="1:10">
      <c r="A72" s="15">
        <v>44250</v>
      </c>
      <c r="B72" s="112">
        <v>0.97499999999999998</v>
      </c>
      <c r="C72" s="108">
        <f t="shared" ref="C72:C76" si="18">IFERROR(B72-B71,0)</f>
        <v>-9.000000000000008E-3</v>
      </c>
      <c r="D72" s="109">
        <f t="shared" ref="D72:D76" si="19">IF(C72&lt;0,C72,"/")</f>
        <v>-9.000000000000008E-3</v>
      </c>
      <c r="E72" s="109">
        <f ca="1">IF(表2_367162629303891213141523242526272831323334[[#This Row],[累计净值]]/MAX(INDIRECT("B21:B" &amp; ROW()))-1&lt;E71,表2_367162629303891213141523242526272831323334[[#This Row],[累计净值]]/MAX(INDIRECT("B21:B" &amp; ROW()))-1,E71)</f>
        <v>-9.8409542743538747E-2</v>
      </c>
      <c r="F72" s="110">
        <f>表2_367162629303891213141523242526272831323334[[#This Row],[累计净值]]</f>
        <v>0.97499999999999998</v>
      </c>
      <c r="G72" s="20">
        <f>IF(表2_367162629303891213141523242526272831323334[[#This Row],[累计净值]]&gt;1.004,0.8*(表2_367162629303891213141523242526272831323334[[#This Row],[累计净值]]/$B$21-1),表2_367162629303891213141523242526272831323334[[#This Row],[累计净值]]/$B$21-1)</f>
        <v>-2.8884462151394397E-2</v>
      </c>
    </row>
    <row r="73" spans="1:10">
      <c r="A73" s="15">
        <v>44251</v>
      </c>
      <c r="B73" s="112">
        <v>0.97099999999999997</v>
      </c>
      <c r="C73" s="108">
        <f t="shared" si="18"/>
        <v>-4.0000000000000036E-3</v>
      </c>
      <c r="D73" s="109">
        <f t="shared" si="19"/>
        <v>-4.0000000000000036E-3</v>
      </c>
      <c r="E73" s="109">
        <f ca="1">IF(表2_367162629303891213141523242526272831323334[[#This Row],[累计净值]]/MAX(INDIRECT("B21:B" &amp; ROW()))-1&lt;E72,表2_367162629303891213141523242526272831323334[[#This Row],[累计净值]]/MAX(INDIRECT("B21:B" &amp; ROW()))-1,E72)</f>
        <v>-9.8409542743538747E-2</v>
      </c>
      <c r="F73" s="110">
        <f>表2_367162629303891213141523242526272831323334[[#This Row],[累计净值]]</f>
        <v>0.97099999999999997</v>
      </c>
      <c r="G73" s="20">
        <f>IF(表2_367162629303891213141523242526272831323334[[#This Row],[累计净值]]&gt;1.004,0.8*(表2_367162629303891213141523242526272831323334[[#This Row],[累计净值]]/$B$21-1),表2_367162629303891213141523242526272831323334[[#This Row],[累计净值]]/$B$21-1)</f>
        <v>-3.2868525896414424E-2</v>
      </c>
    </row>
    <row r="74" spans="1:10">
      <c r="A74" s="15">
        <v>44252</v>
      </c>
      <c r="B74" s="112">
        <v>0.96299999999999997</v>
      </c>
      <c r="C74" s="108">
        <f t="shared" si="18"/>
        <v>-8.0000000000000071E-3</v>
      </c>
      <c r="D74" s="109">
        <f t="shared" si="19"/>
        <v>-8.0000000000000071E-3</v>
      </c>
      <c r="E74" s="109">
        <f ca="1">IF(表2_367162629303891213141523242526272831323334[[#This Row],[累计净值]]/MAX(INDIRECT("B21:B" &amp; ROW()))-1&lt;E73,表2_367162629303891213141523242526272831323334[[#This Row],[累计净值]]/MAX(INDIRECT("B21:B" &amp; ROW()))-1,E73)</f>
        <v>-9.8409542743538747E-2</v>
      </c>
      <c r="F74" s="110">
        <f>表2_367162629303891213141523242526272831323334[[#This Row],[累计净值]]</f>
        <v>0.96299999999999997</v>
      </c>
      <c r="G74" s="20">
        <f>IF(表2_367162629303891213141523242526272831323334[[#This Row],[累计净值]]&gt;1.004,0.8*(表2_367162629303891213141523242526272831323334[[#This Row],[累计净值]]/$B$21-1),表2_367162629303891213141523242526272831323334[[#This Row],[累计净值]]/$B$21-1)</f>
        <v>-4.0836653386454258E-2</v>
      </c>
    </row>
    <row r="75" spans="1:10">
      <c r="A75" s="15">
        <v>44253</v>
      </c>
      <c r="B75" s="112">
        <v>0.96299999999999997</v>
      </c>
      <c r="C75" s="108">
        <f t="shared" si="18"/>
        <v>0</v>
      </c>
      <c r="D75" s="109" t="str">
        <f t="shared" si="19"/>
        <v>/</v>
      </c>
      <c r="E75" s="109">
        <f ca="1">IF(表2_367162629303891213141523242526272831323334[[#This Row],[累计净值]]/MAX(INDIRECT("B21:B" &amp; ROW()))-1&lt;E74,表2_367162629303891213141523242526272831323334[[#This Row],[累计净值]]/MAX(INDIRECT("B21:B" &amp; ROW()))-1,E74)</f>
        <v>-9.8409542743538747E-2</v>
      </c>
      <c r="F75" s="110">
        <f>表2_367162629303891213141523242526272831323334[[#This Row],[累计净值]]</f>
        <v>0.96299999999999997</v>
      </c>
      <c r="G75" s="20">
        <f>IF(表2_367162629303891213141523242526272831323334[[#This Row],[累计净值]]&gt;1.004,0.8*(表2_367162629303891213141523242526272831323334[[#This Row],[累计净值]]/$B$21-1),表2_367162629303891213141523242526272831323334[[#This Row],[累计净值]]/$B$21-1)</f>
        <v>-4.0836653386454258E-2</v>
      </c>
    </row>
    <row r="76" spans="1:10">
      <c r="A76" s="15">
        <v>44256</v>
      </c>
      <c r="B76" s="112">
        <v>0.98899999999999999</v>
      </c>
      <c r="C76" s="108">
        <f t="shared" si="18"/>
        <v>2.6000000000000023E-2</v>
      </c>
      <c r="D76" s="109" t="str">
        <f t="shared" si="19"/>
        <v>/</v>
      </c>
      <c r="E76" s="109">
        <f ca="1">IF(表2_367162629303891213141523242526272831323334[[#This Row],[累计净值]]/MAX(INDIRECT("B21:B" &amp; ROW()))-1&lt;E75,表2_367162629303891213141523242526272831323334[[#This Row],[累计净值]]/MAX(INDIRECT("B21:B" &amp; ROW()))-1,E75)</f>
        <v>-9.8409542743538747E-2</v>
      </c>
      <c r="F76" s="110">
        <f>表2_367162629303891213141523242526272831323334[[#This Row],[累计净值]]</f>
        <v>0.98899999999999999</v>
      </c>
      <c r="G76" s="20">
        <f>IF(表2_367162629303891213141523242526272831323334[[#This Row],[累计净值]]&gt;1.004,0.8*(表2_367162629303891213141523242526272831323334[[#This Row],[累计净值]]/$B$21-1),表2_367162629303891213141523242526272831323334[[#This Row],[累计净值]]/$B$21-1)</f>
        <v>-1.4940239043824688E-2</v>
      </c>
    </row>
    <row r="77" spans="1:10">
      <c r="A77" s="15">
        <v>44257</v>
      </c>
      <c r="B77" s="112">
        <v>0.98099999999999998</v>
      </c>
      <c r="C77" s="108">
        <f t="shared" ref="C77" si="20">IFERROR(B77-B76,0)</f>
        <v>-8.0000000000000071E-3</v>
      </c>
      <c r="D77" s="109">
        <f t="shared" ref="D77" si="21">IF(C77&lt;0,C77,"/")</f>
        <v>-8.0000000000000071E-3</v>
      </c>
      <c r="E77" s="109">
        <f ca="1">IF(表2_367162629303891213141523242526272831323334[[#This Row],[累计净值]]/MAX(INDIRECT("B21:B" &amp; ROW()))-1&lt;E76,表2_367162629303891213141523242526272831323334[[#This Row],[累计净值]]/MAX(INDIRECT("B21:B" &amp; ROW()))-1,E76)</f>
        <v>-9.8409542743538747E-2</v>
      </c>
      <c r="F77" s="110">
        <f>表2_367162629303891213141523242526272831323334[[#This Row],[累计净值]]</f>
        <v>0.98099999999999998</v>
      </c>
      <c r="G77" s="20">
        <f>IF(表2_367162629303891213141523242526272831323334[[#This Row],[累计净值]]&gt;1.004,0.8*(表2_367162629303891213141523242526272831323334[[#This Row],[累计净值]]/$B$21-1),表2_367162629303891213141523242526272831323334[[#This Row],[累计净值]]/$B$21-1)</f>
        <v>-2.2908366533864521E-2</v>
      </c>
    </row>
    <row r="78" spans="1:10">
      <c r="A78" s="15">
        <v>44258</v>
      </c>
      <c r="B78" s="112">
        <v>0.98599999999999999</v>
      </c>
      <c r="C78" s="108">
        <f t="shared" ref="C78" si="22">IFERROR(B78-B77,0)</f>
        <v>5.0000000000000044E-3</v>
      </c>
      <c r="D78" s="109" t="str">
        <f t="shared" ref="D78" si="23">IF(C78&lt;0,C78,"/")</f>
        <v>/</v>
      </c>
      <c r="E78" s="109">
        <f ca="1">IF(表2_367162629303891213141523242526272831323334[[#This Row],[累计净值]]/MAX(INDIRECT("B21:B" &amp; ROW()))-1&lt;E77,表2_367162629303891213141523242526272831323334[[#This Row],[累计净值]]/MAX(INDIRECT("B21:B" &amp; ROW()))-1,E77)</f>
        <v>-9.8409542743538747E-2</v>
      </c>
      <c r="F78" s="110">
        <f>表2_367162629303891213141523242526272831323334[[#This Row],[累计净值]]</f>
        <v>0.98599999999999999</v>
      </c>
      <c r="G78" s="20">
        <f>IF(表2_367162629303891213141523242526272831323334[[#This Row],[累计净值]]&gt;1.004,0.8*(表2_367162629303891213141523242526272831323334[[#This Row],[累计净值]]/$B$21-1),表2_367162629303891213141523242526272831323334[[#This Row],[累计净值]]/$B$21-1)</f>
        <v>-1.7928286852589626E-2</v>
      </c>
    </row>
    <row r="79" spans="1:10">
      <c r="A79" s="15">
        <v>44259</v>
      </c>
      <c r="B79" s="112">
        <v>0.96899999999999997</v>
      </c>
      <c r="C79" s="108">
        <f t="shared" ref="C79:C83" si="24">IFERROR(B79-B78,0)</f>
        <v>-1.7000000000000015E-2</v>
      </c>
      <c r="D79" s="109">
        <f t="shared" ref="D79:D83" si="25">IF(C79&lt;0,C79,"/")</f>
        <v>-1.7000000000000015E-2</v>
      </c>
      <c r="E79" s="109">
        <f ca="1">IF(表2_367162629303891213141523242526272831323334[[#This Row],[累计净值]]/MAX(INDIRECT("B21:B" &amp; ROW()))-1&lt;E78,表2_367162629303891213141523242526272831323334[[#This Row],[累计净值]]/MAX(INDIRECT("B21:B" &amp; ROW()))-1,E78)</f>
        <v>-9.8409542743538747E-2</v>
      </c>
      <c r="F79" s="110">
        <f>表2_367162629303891213141523242526272831323334[[#This Row],[累计净值]]</f>
        <v>0.96899999999999997</v>
      </c>
      <c r="G79" s="20">
        <f>IF(表2_367162629303891213141523242526272831323334[[#This Row],[累计净值]]&gt;1.004,0.8*(表2_367162629303891213141523242526272831323334[[#This Row],[累计净值]]/$B$21-1),表2_367162629303891213141523242526272831323334[[#This Row],[累计净值]]/$B$21-1)</f>
        <v>-3.4860557768924383E-2</v>
      </c>
    </row>
    <row r="80" spans="1:10">
      <c r="A80" s="15">
        <v>44260</v>
      </c>
      <c r="B80" s="112">
        <v>0.98</v>
      </c>
      <c r="C80" s="108">
        <f t="shared" si="24"/>
        <v>1.100000000000001E-2</v>
      </c>
      <c r="D80" s="109" t="str">
        <f t="shared" si="25"/>
        <v>/</v>
      </c>
      <c r="E80" s="109">
        <f ca="1">IF(表2_367162629303891213141523242526272831323334[[#This Row],[累计净值]]/MAX(INDIRECT("B21:B" &amp; ROW()))-1&lt;E79,表2_367162629303891213141523242526272831323334[[#This Row],[累计净值]]/MAX(INDIRECT("B21:B" &amp; ROW()))-1,E79)</f>
        <v>-9.8409542743538747E-2</v>
      </c>
      <c r="F80" s="110">
        <f>表2_367162629303891213141523242526272831323334[[#This Row],[累计净值]]</f>
        <v>0.98</v>
      </c>
      <c r="G80" s="20">
        <f>IF(表2_367162629303891213141523242526272831323334[[#This Row],[累计净值]]&gt;1.004,0.8*(表2_367162629303891213141523242526272831323334[[#This Row],[累计净值]]/$B$21-1),表2_367162629303891213141523242526272831323334[[#This Row],[累计净值]]/$B$21-1)</f>
        <v>-2.3904382470119501E-2</v>
      </c>
    </row>
    <row r="81" spans="1:7">
      <c r="A81" s="15">
        <v>44263</v>
      </c>
      <c r="B81" s="112">
        <v>0.95899999999999996</v>
      </c>
      <c r="C81" s="108">
        <f t="shared" si="24"/>
        <v>-2.1000000000000019E-2</v>
      </c>
      <c r="D81" s="109">
        <f t="shared" si="25"/>
        <v>-2.1000000000000019E-2</v>
      </c>
      <c r="E81" s="109">
        <f ca="1">IF(表2_367162629303891213141523242526272831323334[[#This Row],[累计净值]]/MAX(INDIRECT("B21:B" &amp; ROW()))-1&lt;E80,表2_367162629303891213141523242526272831323334[[#This Row],[累计净值]]/MAX(INDIRECT("B21:B" &amp; ROW()))-1,E80)</f>
        <v>-9.8409542743538747E-2</v>
      </c>
      <c r="F81" s="110">
        <f>表2_367162629303891213141523242526272831323334[[#This Row],[累计净值]]</f>
        <v>0.95899999999999996</v>
      </c>
      <c r="G81" s="20">
        <f>IF(表2_367162629303891213141523242526272831323334[[#This Row],[累计净值]]&gt;1.004,0.8*(表2_367162629303891213141523242526272831323334[[#This Row],[累计净值]]/$B$21-1),表2_367162629303891213141523242526272831323334[[#This Row],[累计净值]]/$B$21-1)</f>
        <v>-4.4820717131474175E-2</v>
      </c>
    </row>
    <row r="82" spans="1:7">
      <c r="A82" s="15">
        <v>44264</v>
      </c>
      <c r="B82" s="112">
        <v>0.95599999999999996</v>
      </c>
      <c r="C82" s="108">
        <f t="shared" si="24"/>
        <v>-3.0000000000000027E-3</v>
      </c>
      <c r="D82" s="109">
        <f t="shared" si="25"/>
        <v>-3.0000000000000027E-3</v>
      </c>
      <c r="E82" s="109">
        <f ca="1">IF(表2_367162629303891213141523242526272831323334[[#This Row],[累计净值]]/MAX(INDIRECT("B21:B" &amp; ROW()))-1&lt;E81,表2_367162629303891213141523242526272831323334[[#This Row],[累计净值]]/MAX(INDIRECT("B21:B" &amp; ROW()))-1,E81)</f>
        <v>-9.8409542743538747E-2</v>
      </c>
      <c r="F82" s="110">
        <f>表2_367162629303891213141523242526272831323334[[#This Row],[累计净值]]</f>
        <v>0.95599999999999996</v>
      </c>
      <c r="G82" s="20">
        <f>IF(表2_367162629303891213141523242526272831323334[[#This Row],[累计净值]]&gt;1.004,0.8*(表2_367162629303891213141523242526272831323334[[#This Row],[累计净值]]/$B$21-1),表2_367162629303891213141523242526272831323334[[#This Row],[累计净值]]/$B$21-1)</f>
        <v>-4.7808764940239112E-2</v>
      </c>
    </row>
    <row r="83" spans="1:7">
      <c r="A83" s="15">
        <v>44265</v>
      </c>
      <c r="B83" s="112">
        <v>0.95599999999999996</v>
      </c>
      <c r="C83" s="108">
        <f t="shared" si="24"/>
        <v>0</v>
      </c>
      <c r="D83" s="109" t="str">
        <f t="shared" si="25"/>
        <v>/</v>
      </c>
      <c r="E83" s="109">
        <f ca="1">IF(表2_367162629303891213141523242526272831323334[[#This Row],[累计净值]]/MAX(INDIRECT("B21:B" &amp; ROW()))-1&lt;E82,表2_367162629303891213141523242526272831323334[[#This Row],[累计净值]]/MAX(INDIRECT("B21:B" &amp; ROW()))-1,E82)</f>
        <v>-9.8409542743538747E-2</v>
      </c>
      <c r="F83" s="110">
        <f>表2_367162629303891213141523242526272831323334[[#This Row],[累计净值]]</f>
        <v>0.95599999999999996</v>
      </c>
      <c r="G83" s="20">
        <f>IF(表2_367162629303891213141523242526272831323334[[#This Row],[累计净值]]&gt;1.004,0.8*(表2_367162629303891213141523242526272831323334[[#This Row],[累计净值]]/$B$21-1),表2_367162629303891213141523242526272831323334[[#This Row],[累计净值]]/$B$21-1)</f>
        <v>-4.7808764940239112E-2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1">
    <tabColor theme="1"/>
  </sheetPr>
  <dimension ref="A1:G213"/>
  <sheetViews>
    <sheetView workbookViewId="0">
      <pane xSplit="1" ySplit="20" topLeftCell="B201" activePane="bottomRight" state="frozen"/>
      <selection pane="topRight" activeCell="B1" sqref="B1"/>
      <selection pane="bottomLeft" activeCell="A21" sqref="A21"/>
      <selection pane="bottomRight" activeCell="L212" sqref="L212"/>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4.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COUNT(表2_36716262930389121314151819[每日盈亏])</f>
        <v>193</v>
      </c>
      <c r="C2" s="27"/>
      <c r="D2" s="3" t="s">
        <v>1</v>
      </c>
      <c r="E2" s="28"/>
      <c r="F2" s="1" t="s">
        <v>2</v>
      </c>
      <c r="G2" s="400" t="s">
        <v>3</v>
      </c>
    </row>
    <row r="3" spans="1:7">
      <c r="A3" s="25" t="s">
        <v>4</v>
      </c>
      <c r="B3" s="26">
        <f>COUNTIF(表2_36716262930389121314151819[每日盈亏],"&gt;0")</f>
        <v>85</v>
      </c>
      <c r="C3" s="29"/>
      <c r="D3" s="30" t="s">
        <v>5</v>
      </c>
      <c r="E3" s="31">
        <f>245^0.5*(B10-0.025/365)/E10</f>
        <v>0.79221126965838229</v>
      </c>
      <c r="G3" s="400"/>
    </row>
    <row r="4" spans="1:7">
      <c r="A4" s="25" t="s">
        <v>6</v>
      </c>
      <c r="B4" s="26">
        <f>COUNTIF(表2_36716262930389121314151819[每日盈亏],"&lt;0")</f>
        <v>98</v>
      </c>
      <c r="C4" s="29"/>
      <c r="D4" s="32" t="s">
        <v>7</v>
      </c>
      <c r="E4" s="31">
        <f ca="1">-B9/E8</f>
        <v>1.6470004857512972</v>
      </c>
      <c r="G4" s="2">
        <f>LOOKUP(999^10,表2_36716262930389121314151819[累计净值])</f>
        <v>1.3420000000000001</v>
      </c>
    </row>
    <row r="5" spans="1:7">
      <c r="A5" s="25" t="s">
        <v>8</v>
      </c>
      <c r="B5" s="26">
        <f>B2-B3-B4</f>
        <v>10</v>
      </c>
      <c r="C5" s="29"/>
      <c r="D5" s="33" t="s">
        <v>9</v>
      </c>
      <c r="E5" s="4">
        <f>245^0.5*(B10-0.025/365)/E9</f>
        <v>1.6082859376114562</v>
      </c>
    </row>
    <row r="6" spans="1:7" ht="16" thickBot="1">
      <c r="A6" s="34"/>
      <c r="B6" s="35"/>
      <c r="C6" s="35"/>
      <c r="D6" s="35"/>
      <c r="E6" s="36"/>
    </row>
    <row r="7" spans="1:7" ht="16" thickBot="1">
      <c r="A7" s="5" t="s">
        <v>10</v>
      </c>
      <c r="B7" s="35"/>
      <c r="C7" s="35"/>
      <c r="D7" s="3" t="s">
        <v>11</v>
      </c>
      <c r="E7" s="37"/>
    </row>
    <row r="8" spans="1:7">
      <c r="A8" s="38" t="s">
        <v>12</v>
      </c>
      <c r="B8" s="39">
        <f>LOOKUP(999^10,表2_36716262930389121314151819[累计净值])/$B$21-1</f>
        <v>8.9285714285714413E-2</v>
      </c>
      <c r="C8" s="40"/>
      <c r="D8" s="30" t="s">
        <v>13</v>
      </c>
      <c r="E8" s="41">
        <f ca="1">MIN(表2_36716262930389121314151819[最大回撤])</f>
        <v>-6.8817204301075297E-2</v>
      </c>
    </row>
    <row r="9" spans="1:7">
      <c r="A9" s="25" t="s">
        <v>14</v>
      </c>
      <c r="B9" s="32">
        <f>B8*245/B2</f>
        <v>0.11334196891191727</v>
      </c>
      <c r="C9" s="40"/>
      <c r="D9" s="33" t="s">
        <v>15</v>
      </c>
      <c r="E9" s="6">
        <f>STDEV(表2_36716262930389121314151819[下跌幅度])</f>
        <v>4.880359052506303E-3</v>
      </c>
    </row>
    <row r="10" spans="1:7">
      <c r="A10" s="42" t="s">
        <v>16</v>
      </c>
      <c r="B10" s="43">
        <f>AVERAGE(表2_36716262930389121314151819[每日盈亏])</f>
        <v>5.6994818652849797E-4</v>
      </c>
      <c r="C10" s="44"/>
      <c r="D10" s="33" t="s">
        <v>17</v>
      </c>
      <c r="E10" s="6">
        <f>STDEV(表2_36716262930389121314151819[每日盈亏])</f>
        <v>9.9077268088161793E-3</v>
      </c>
    </row>
    <row r="11" spans="1:7">
      <c r="A11" s="7" t="s">
        <v>18</v>
      </c>
      <c r="B11" s="32">
        <f>B3/B2</f>
        <v>0.44041450777202074</v>
      </c>
      <c r="C11" s="40"/>
      <c r="D11" s="32" t="s">
        <v>19</v>
      </c>
      <c r="E11" s="41">
        <f>245^0.5*E10</f>
        <v>0.15508045452907029</v>
      </c>
    </row>
    <row r="12" spans="1:7" ht="16" thickBot="1">
      <c r="A12" s="45" t="s">
        <v>20</v>
      </c>
      <c r="B12" s="46">
        <f>-(SUMIF(表2_36716262930389121314151819[每日盈亏],"&gt;=0")/B3)/(SUMIF(表2_36716262930389121314151819[每日盈亏],"&lt;0")/B4)</f>
        <v>1.3507937964577408</v>
      </c>
      <c r="C12" s="47"/>
      <c r="D12" s="48"/>
      <c r="E12" s="49"/>
    </row>
    <row r="14" spans="1:7" ht="32">
      <c r="A14" s="50" t="s">
        <v>21</v>
      </c>
      <c r="B14" s="50" t="s">
        <v>14</v>
      </c>
      <c r="C14" s="51" t="s">
        <v>19</v>
      </c>
      <c r="D14" s="51" t="s">
        <v>13</v>
      </c>
      <c r="E14" s="51" t="s">
        <v>5</v>
      </c>
      <c r="F14" s="51" t="s">
        <v>7</v>
      </c>
    </row>
    <row r="15" spans="1:7">
      <c r="A15" s="78">
        <f>B2</f>
        <v>193</v>
      </c>
      <c r="B15" s="53">
        <f>B9</f>
        <v>0.11334196891191727</v>
      </c>
      <c r="C15" s="53">
        <f>E11</f>
        <v>0.15508045452907029</v>
      </c>
      <c r="D15" s="53">
        <f ca="1">E8</f>
        <v>-6.8817204301075297E-2</v>
      </c>
      <c r="E15" s="54">
        <f>E3</f>
        <v>0.79221126965838229</v>
      </c>
      <c r="F15" s="54">
        <f ca="1">E4</f>
        <v>1.6470004857512972</v>
      </c>
    </row>
    <row r="19" spans="1:7">
      <c r="A19" s="8"/>
      <c r="B19" s="1" t="s">
        <v>22</v>
      </c>
    </row>
    <row r="20" spans="1:7" ht="16">
      <c r="A20" s="22" t="s">
        <v>23</v>
      </c>
      <c r="B20" s="22" t="s">
        <v>24</v>
      </c>
      <c r="C20" s="22" t="s">
        <v>25</v>
      </c>
      <c r="D20" s="22" t="s">
        <v>26</v>
      </c>
      <c r="E20" s="22" t="s">
        <v>27</v>
      </c>
      <c r="F20" s="22" t="s">
        <v>28</v>
      </c>
      <c r="G20" s="22" t="s">
        <v>29</v>
      </c>
    </row>
    <row r="21" spans="1:7">
      <c r="A21" s="15">
        <v>43983</v>
      </c>
      <c r="B21" s="104">
        <v>1.232</v>
      </c>
      <c r="C21" s="11">
        <f>IFERROR(B21-B20,0)</f>
        <v>0</v>
      </c>
      <c r="D21" s="12" t="str">
        <f>IF(C21&lt;0,C21,"/")</f>
        <v>/</v>
      </c>
      <c r="E21" s="12">
        <f ca="1">IF(表2_36716262930389121314151819[[#This Row],[累计净值]]/MAX(INDIRECT("B21:B" &amp; ROW()))-1&lt;E20,表2_36716262930389121314151819[[#This Row],[累计净值]]/MAX(INDIRECT("B21:B" &amp; ROW()))-1,E20)</f>
        <v>0</v>
      </c>
      <c r="F21" s="13">
        <f>表2_36716262930389121314151819[[#This Row],[累计净值]]-0.144</f>
        <v>1.0880000000000001</v>
      </c>
      <c r="G21" s="14" t="s">
        <v>30</v>
      </c>
    </row>
    <row r="22" spans="1:7">
      <c r="A22" s="15">
        <v>43984</v>
      </c>
      <c r="B22" s="104">
        <v>1.234</v>
      </c>
      <c r="C22" s="17">
        <f>IFERROR(B22-B21,0)</f>
        <v>2.0000000000000018E-3</v>
      </c>
      <c r="D22" s="18" t="str">
        <f>IF(C22&lt;0,C22,"/")</f>
        <v>/</v>
      </c>
      <c r="E22" s="18">
        <f ca="1">IF(表2_36716262930389121314151819[[#This Row],[累计净值]]/MAX(INDIRECT("B21:B" &amp; ROW()))-1&lt;E21,表2_36716262930389121314151819[[#This Row],[累计净值]]/MAX(INDIRECT("B21:B" &amp; ROW()))-1,E21)</f>
        <v>0</v>
      </c>
      <c r="F22" s="19">
        <f>表2_36716262930389121314151819[[#This Row],[累计净值]]-0.144</f>
        <v>1.0900000000000001</v>
      </c>
      <c r="G22" s="20">
        <f>IF(表2_36716262930389121314151819[[#This Row],[单位净值]]&gt;1.088,0.8*(表2_36716262930389121314151819[[#This Row],[单位净值]]-1.088)/1.088,(表2_36716262930389121314151819[[#This Row],[单位净值]]-1.088)/1.088)</f>
        <v>1.4705882352941189E-3</v>
      </c>
    </row>
    <row r="23" spans="1:7">
      <c r="A23" s="15">
        <v>43985</v>
      </c>
      <c r="B23" s="112">
        <v>1.244</v>
      </c>
      <c r="C23" s="101">
        <f>IFERROR(B23-B22,0)</f>
        <v>1.0000000000000009E-2</v>
      </c>
      <c r="D23" s="102" t="str">
        <f>IF(C23&lt;0,C23,"/")</f>
        <v>/</v>
      </c>
      <c r="E23" s="102">
        <f ca="1">IF(表2_36716262930389121314151819[[#This Row],[累计净值]]/MAX(INDIRECT("B21:B" &amp; ROW()))-1&lt;E22,表2_36716262930389121314151819[[#This Row],[累计净值]]/MAX(INDIRECT("B21:B" &amp; ROW()))-1,E22)</f>
        <v>0</v>
      </c>
      <c r="F23" s="103">
        <f>表2_36716262930389121314151819[[#This Row],[累计净值]]-0.144</f>
        <v>1.1000000000000001</v>
      </c>
      <c r="G23" s="20">
        <f>IF(表2_36716262930389121314151819[[#This Row],[单位净值]]&gt;1.088,0.8*(表2_36716262930389121314151819[[#This Row],[单位净值]]-1.088)/1.088,(表2_36716262930389121314151819[[#This Row],[单位净值]]-1.088)/1.088)</f>
        <v>8.8235294117647144E-3</v>
      </c>
    </row>
    <row r="24" spans="1:7">
      <c r="A24" s="15">
        <v>43986</v>
      </c>
      <c r="B24" s="112">
        <v>1.25</v>
      </c>
      <c r="C24" s="108">
        <f t="shared" ref="C24:C29" si="0">IFERROR(B24-B23,0)</f>
        <v>6.0000000000000053E-3</v>
      </c>
      <c r="D24" s="109" t="str">
        <f t="shared" ref="D24:D29" si="1">IF(C24&lt;0,C24,"/")</f>
        <v>/</v>
      </c>
      <c r="E24" s="109">
        <f ca="1">IF(表2_36716262930389121314151819[[#This Row],[累计净值]]/MAX(INDIRECT("B21:B" &amp; ROW()))-1&lt;E23,表2_36716262930389121314151819[[#This Row],[累计净值]]/MAX(INDIRECT("B21:B" &amp; ROW()))-1,E23)</f>
        <v>0</v>
      </c>
      <c r="F24" s="103">
        <f>表2_36716262930389121314151819[[#This Row],[累计净值]]-0.144</f>
        <v>1.1060000000000001</v>
      </c>
      <c r="G24" s="20">
        <f>IF(表2_36716262930389121314151819[[#This Row],[单位净值]]&gt;1.088,0.8*(表2_36716262930389121314151819[[#This Row],[单位净值]]-1.088)/1.088,(表2_36716262930389121314151819[[#This Row],[单位净值]]-1.088)/1.088)</f>
        <v>1.3235294117647071E-2</v>
      </c>
    </row>
    <row r="25" spans="1:7">
      <c r="A25" s="15">
        <v>43987</v>
      </c>
      <c r="B25" s="112">
        <v>1.248</v>
      </c>
      <c r="C25" s="108">
        <f t="shared" si="0"/>
        <v>-2.0000000000000018E-3</v>
      </c>
      <c r="D25" s="109">
        <f t="shared" si="1"/>
        <v>-2.0000000000000018E-3</v>
      </c>
      <c r="E25" s="109">
        <f ca="1">IF(表2_36716262930389121314151819[[#This Row],[累计净值]]/MAX(INDIRECT("B21:B" &amp; ROW()))-1&lt;E24,表2_36716262930389121314151819[[#This Row],[累计净值]]/MAX(INDIRECT("B21:B" &amp; ROW()))-1,E24)</f>
        <v>-1.6000000000000458E-3</v>
      </c>
      <c r="F25" s="103">
        <f>表2_36716262930389121314151819[[#This Row],[累计净值]]-0.144</f>
        <v>1.1040000000000001</v>
      </c>
      <c r="G25" s="20">
        <f>IF(表2_36716262930389121314151819[[#This Row],[单位净值]]&gt;1.088,0.8*(表2_36716262930389121314151819[[#This Row],[单位净值]]-1.088)/1.088,(表2_36716262930389121314151819[[#This Row],[单位净值]]-1.088)/1.088)</f>
        <v>1.1764705882352951E-2</v>
      </c>
    </row>
    <row r="26" spans="1:7">
      <c r="A26" s="15">
        <v>43990</v>
      </c>
      <c r="B26" s="112">
        <v>1.242</v>
      </c>
      <c r="C26" s="108">
        <f t="shared" si="0"/>
        <v>-6.0000000000000053E-3</v>
      </c>
      <c r="D26" s="109">
        <f t="shared" si="1"/>
        <v>-6.0000000000000053E-3</v>
      </c>
      <c r="E26" s="109">
        <f ca="1">IF(表2_36716262930389121314151819[[#This Row],[累计净值]]/MAX(INDIRECT("B21:B" &amp; ROW()))-1&lt;E25,表2_36716262930389121314151819[[#This Row],[累计净值]]/MAX(INDIRECT("B21:B" &amp; ROW()))-1,E25)</f>
        <v>-6.3999999999999613E-3</v>
      </c>
      <c r="F26" s="110">
        <f>表2_36716262930389121314151819[[#This Row],[累计净值]]-0.144</f>
        <v>1.0980000000000001</v>
      </c>
      <c r="G26" s="20">
        <f>IF(表2_36716262930389121314151819[[#This Row],[单位净值]]&gt;1.088,0.8*(表2_36716262930389121314151819[[#This Row],[单位净值]]-1.088)/1.088,(表2_36716262930389121314151819[[#This Row],[单位净值]]-1.088)/1.088)</f>
        <v>7.3529411764705942E-3</v>
      </c>
    </row>
    <row r="27" spans="1:7">
      <c r="A27" s="15">
        <v>43991</v>
      </c>
      <c r="B27" s="112">
        <v>1.2390000000000001</v>
      </c>
      <c r="C27" s="108">
        <f t="shared" si="0"/>
        <v>-2.9999999999998916E-3</v>
      </c>
      <c r="D27" s="109">
        <f t="shared" si="1"/>
        <v>-2.9999999999998916E-3</v>
      </c>
      <c r="E27" s="109">
        <f ca="1">IF(表2_36716262930389121314151819[[#This Row],[累计净值]]/MAX(INDIRECT("B21:B" &amp; ROW()))-1&lt;E26,表2_36716262930389121314151819[[#This Row],[累计净值]]/MAX(INDIRECT("B21:B" &amp; ROW()))-1,E26)</f>
        <v>-8.799999999999919E-3</v>
      </c>
      <c r="F27" s="110">
        <f>表2_36716262930389121314151819[[#This Row],[累计净值]]-0.144</f>
        <v>1.0950000000000002</v>
      </c>
      <c r="G27" s="20">
        <f>IF(表2_36716262930389121314151819[[#This Row],[单位净值]]&gt;1.088,0.8*(表2_36716262930389121314151819[[#This Row],[单位净值]]-1.088)/1.088,(表2_36716262930389121314151819[[#This Row],[单位净值]]-1.088)/1.088)</f>
        <v>5.1470588235294984E-3</v>
      </c>
    </row>
    <row r="28" spans="1:7">
      <c r="A28" s="15">
        <v>43992</v>
      </c>
      <c r="B28" s="112">
        <v>1.2470000000000001</v>
      </c>
      <c r="C28" s="108">
        <f t="shared" si="0"/>
        <v>8.0000000000000071E-3</v>
      </c>
      <c r="D28" s="109" t="str">
        <f t="shared" si="1"/>
        <v>/</v>
      </c>
      <c r="E28" s="109">
        <f ca="1">IF(表2_36716262930389121314151819[[#This Row],[累计净值]]/MAX(INDIRECT("B21:B" &amp; ROW()))-1&lt;E27,表2_36716262930389121314151819[[#This Row],[累计净值]]/MAX(INDIRECT("B21:B" &amp; ROW()))-1,E27)</f>
        <v>-8.799999999999919E-3</v>
      </c>
      <c r="F28" s="110">
        <f>表2_36716262930389121314151819[[#This Row],[累计净值]]-0.144</f>
        <v>1.1030000000000002</v>
      </c>
      <c r="G28" s="20">
        <f>IF(表2_36716262930389121314151819[[#This Row],[单位净值]]&gt;1.088,0.8*(表2_36716262930389121314151819[[#This Row],[单位净值]]-1.088)/1.088,(表2_36716262930389121314151819[[#This Row],[单位净值]]-1.088)/1.088)</f>
        <v>1.1029411764705975E-2</v>
      </c>
    </row>
    <row r="29" spans="1:7">
      <c r="A29" s="15">
        <v>43993</v>
      </c>
      <c r="B29" s="112">
        <v>1.2390000000000001</v>
      </c>
      <c r="C29" s="108">
        <f t="shared" si="0"/>
        <v>-8.0000000000000071E-3</v>
      </c>
      <c r="D29" s="109">
        <f t="shared" si="1"/>
        <v>-8.0000000000000071E-3</v>
      </c>
      <c r="E29" s="109">
        <f ca="1">IF(表2_36716262930389121314151819[[#This Row],[累计净值]]/MAX(INDIRECT("B21:B" &amp; ROW()))-1&lt;E28,表2_36716262930389121314151819[[#This Row],[累计净值]]/MAX(INDIRECT("B21:B" &amp; ROW()))-1,E28)</f>
        <v>-8.799999999999919E-3</v>
      </c>
      <c r="F29" s="110">
        <f>表2_36716262930389121314151819[[#This Row],[累计净值]]-0.144</f>
        <v>1.0950000000000002</v>
      </c>
      <c r="G29" s="20">
        <f>IF(表2_36716262930389121314151819[[#This Row],[单位净值]]&gt;1.088,0.8*(表2_36716262930389121314151819[[#This Row],[单位净值]]-1.088)/1.088,(表2_36716262930389121314151819[[#This Row],[单位净值]]-1.088)/1.088)</f>
        <v>5.1470588235294984E-3</v>
      </c>
    </row>
    <row r="30" spans="1:7">
      <c r="A30" s="15">
        <v>43994</v>
      </c>
      <c r="B30" s="117">
        <v>1.2689999999999999</v>
      </c>
      <c r="C30" s="108">
        <f t="shared" ref="C30:C35" si="2">IFERROR(B30-B29,0)</f>
        <v>2.9999999999999805E-2</v>
      </c>
      <c r="D30" s="109" t="str">
        <f t="shared" ref="D30:D35" si="3">IF(C30&lt;0,C30,"/")</f>
        <v>/</v>
      </c>
      <c r="E30" s="109">
        <f ca="1">IF(表2_36716262930389121314151819[[#This Row],[累计净值]]/MAX(INDIRECT("B21:B" &amp; ROW()))-1&lt;E29,表2_36716262930389121314151819[[#This Row],[累计净值]]/MAX(INDIRECT("B21:B" &amp; ROW()))-1,E29)</f>
        <v>-8.799999999999919E-3</v>
      </c>
      <c r="F30" s="110">
        <f>表2_36716262930389121314151819[[#This Row],[累计净值]]-0.144</f>
        <v>1.125</v>
      </c>
      <c r="G30" s="20">
        <f>IF(表2_36716262930389121314151819[[#This Row],[单位净值]]&gt;1.088,0.8*(表2_36716262930389121314151819[[#This Row],[单位净值]]-1.088)/1.088,(表2_36716262930389121314151819[[#This Row],[单位净值]]-1.088)/1.088)</f>
        <v>2.7205882352941118E-2</v>
      </c>
    </row>
    <row r="31" spans="1:7">
      <c r="A31" s="15">
        <v>43997</v>
      </c>
      <c r="B31" s="112">
        <v>1.25</v>
      </c>
      <c r="C31" s="108">
        <f t="shared" si="2"/>
        <v>-1.8999999999999906E-2</v>
      </c>
      <c r="D31" s="109">
        <f t="shared" si="3"/>
        <v>-1.8999999999999906E-2</v>
      </c>
      <c r="E31" s="109">
        <f ca="1">IF(表2_36716262930389121314151819[[#This Row],[累计净值]]/MAX(INDIRECT("B21:B" &amp; ROW()))-1&lt;E30,表2_36716262930389121314151819[[#This Row],[累计净值]]/MAX(INDIRECT("B21:B" &amp; ROW()))-1,E30)</f>
        <v>-1.4972419227738287E-2</v>
      </c>
      <c r="F31" s="110">
        <f>表2_36716262930389121314151819[[#This Row],[累计净值]]-0.144</f>
        <v>1.1060000000000001</v>
      </c>
      <c r="G31" s="20">
        <f>IF(表2_36716262930389121314151819[[#This Row],[单位净值]]&gt;1.088,0.8*(表2_36716262930389121314151819[[#This Row],[单位净值]]-1.088)/1.088,(表2_36716262930389121314151819[[#This Row],[单位净值]]-1.088)/1.088)</f>
        <v>1.3235294117647071E-2</v>
      </c>
    </row>
    <row r="32" spans="1:7">
      <c r="A32" s="15">
        <v>43998</v>
      </c>
      <c r="B32" s="112">
        <v>1.2350000000000001</v>
      </c>
      <c r="C32" s="108">
        <f t="shared" si="2"/>
        <v>-1.4999999999999902E-2</v>
      </c>
      <c r="D32" s="109">
        <f t="shared" si="3"/>
        <v>-1.4999999999999902E-2</v>
      </c>
      <c r="E32" s="109">
        <f ca="1">IF(表2_36716262930389121314151819[[#This Row],[累计净值]]/MAX(INDIRECT("B21:B" &amp; ROW()))-1&lt;E31,表2_36716262930389121314151819[[#This Row],[累计净值]]/MAX(INDIRECT("B21:B" &amp; ROW()))-1,E31)</f>
        <v>-2.6792750197005333E-2</v>
      </c>
      <c r="F32" s="110">
        <f>表2_36716262930389121314151819[[#This Row],[累计净值]]-0.144</f>
        <v>1.0910000000000002</v>
      </c>
      <c r="G32" s="20">
        <f>IF(表2_36716262930389121314151819[[#This Row],[单位净值]]&gt;1.088,0.8*(表2_36716262930389121314151819[[#This Row],[单位净值]]-1.088)/1.088,(表2_36716262930389121314151819[[#This Row],[单位净值]]-1.088)/1.088)</f>
        <v>2.2058823529412601E-3</v>
      </c>
    </row>
    <row r="33" spans="1:7">
      <c r="A33" s="15">
        <v>43999</v>
      </c>
      <c r="B33" s="112">
        <v>1.228</v>
      </c>
      <c r="C33" s="108">
        <f t="shared" si="2"/>
        <v>-7.0000000000001172E-3</v>
      </c>
      <c r="D33" s="109">
        <f t="shared" si="3"/>
        <v>-7.0000000000001172E-3</v>
      </c>
      <c r="E33" s="109">
        <f ca="1">IF(表2_36716262930389121314151819[[#This Row],[累计净值]]/MAX(INDIRECT("B21:B" &amp; ROW()))-1&lt;E32,表2_36716262930389121314151819[[#This Row],[累计净值]]/MAX(INDIRECT("B21:B" &amp; ROW()))-1,E32)</f>
        <v>-3.2308904649330117E-2</v>
      </c>
      <c r="F33" s="110">
        <f>表2_36716262930389121314151819[[#This Row],[累计净值]]-0.144</f>
        <v>1.0840000000000001</v>
      </c>
      <c r="G33" s="20">
        <f>IF(表2_36716262930389121314151819[[#This Row],[单位净值]]&gt;1.088,0.8*(表2_36716262930389121314151819[[#This Row],[单位净值]]-1.088)/1.088,(表2_36716262930389121314151819[[#This Row],[单位净值]]-1.088)/1.088)</f>
        <v>-3.6764705882352971E-3</v>
      </c>
    </row>
    <row r="34" spans="1:7">
      <c r="A34" s="15">
        <v>44000</v>
      </c>
      <c r="B34" s="112">
        <v>1.2170000000000001</v>
      </c>
      <c r="C34" s="108">
        <f t="shared" si="2"/>
        <v>-1.0999999999999899E-2</v>
      </c>
      <c r="D34" s="109">
        <f t="shared" si="3"/>
        <v>-1.0999999999999899E-2</v>
      </c>
      <c r="E34" s="109">
        <f ca="1">IF(表2_36716262930389121314151819[[#This Row],[累计净值]]/MAX(INDIRECT("B21:B" &amp; ROW()))-1&lt;E33,表2_36716262930389121314151819[[#This Row],[累计净值]]/MAX(INDIRECT("B21:B" &amp; ROW()))-1,E33)</f>
        <v>-4.0977147360125921E-2</v>
      </c>
      <c r="F34" s="110">
        <f>表2_36716262930389121314151819[[#This Row],[累计净值]]-0.144</f>
        <v>1.0730000000000002</v>
      </c>
      <c r="G34" s="20">
        <f>IF(表2_36716262930389121314151819[[#This Row],[单位净值]]&gt;1.088,0.8*(表2_36716262930389121314151819[[#This Row],[单位净值]]-1.088)/1.088,(表2_36716262930389121314151819[[#This Row],[单位净值]]-1.088)/1.088)</f>
        <v>-1.3786764705882262E-2</v>
      </c>
    </row>
    <row r="35" spans="1:7">
      <c r="A35" s="15">
        <v>44001</v>
      </c>
      <c r="B35" s="112">
        <v>1.2250000000000001</v>
      </c>
      <c r="C35" s="108">
        <f t="shared" si="2"/>
        <v>8.0000000000000071E-3</v>
      </c>
      <c r="D35" s="109" t="str">
        <f t="shared" si="3"/>
        <v>/</v>
      </c>
      <c r="E35" s="109">
        <f ca="1">IF(表2_36716262930389121314151819[[#This Row],[累计净值]]/MAX(INDIRECT("B21:B" &amp; ROW()))-1&lt;E34,表2_36716262930389121314151819[[#This Row],[累计净值]]/MAX(INDIRECT("B21:B" &amp; ROW()))-1,E34)</f>
        <v>-4.0977147360125921E-2</v>
      </c>
      <c r="F35" s="110">
        <f>表2_36716262930389121314151819[[#This Row],[累计净值]]-0.144</f>
        <v>1.0810000000000002</v>
      </c>
      <c r="G35" s="20">
        <f>IF(表2_36716262930389121314151819[[#This Row],[单位净值]]&gt;1.088,0.8*(表2_36716262930389121314151819[[#This Row],[单位净值]]-1.088)/1.088,(表2_36716262930389121314151819[[#This Row],[单位净值]]-1.088)/1.088)</f>
        <v>-6.4338235294116681E-3</v>
      </c>
    </row>
    <row r="36" spans="1:7">
      <c r="A36" s="15">
        <v>44004</v>
      </c>
      <c r="B36" s="112">
        <v>1.218</v>
      </c>
      <c r="C36" s="108">
        <f t="shared" ref="C36:C41" si="4">IFERROR(B36-B35,0)</f>
        <v>-7.0000000000001172E-3</v>
      </c>
      <c r="D36" s="109">
        <f t="shared" ref="D36:D41" si="5">IF(C36&lt;0,C36,"/")</f>
        <v>-7.0000000000001172E-3</v>
      </c>
      <c r="E36" s="109">
        <f ca="1">IF(表2_36716262930389121314151819[[#This Row],[累计净值]]/MAX(INDIRECT("B21:B" &amp; ROW()))-1&lt;E35,表2_36716262930389121314151819[[#This Row],[累计净值]]/MAX(INDIRECT("B21:B" &amp; ROW()))-1,E35)</f>
        <v>-4.0977147360125921E-2</v>
      </c>
      <c r="F36" s="110">
        <f>表2_36716262930389121314151819[[#This Row],[累计净值]]-0.144</f>
        <v>1.0740000000000001</v>
      </c>
      <c r="G36" s="20">
        <f>IF(表2_36716262930389121314151819[[#This Row],[单位净值]]&gt;1.088,0.8*(表2_36716262930389121314151819[[#This Row],[单位净值]]-1.088)/1.088,(表2_36716262930389121314151819[[#This Row],[单位净值]]-1.088)/1.088)</f>
        <v>-1.2867647058823539E-2</v>
      </c>
    </row>
    <row r="37" spans="1:7">
      <c r="A37" s="15">
        <v>44005</v>
      </c>
      <c r="B37" s="112">
        <v>1.2130000000000001</v>
      </c>
      <c r="C37" s="108">
        <f t="shared" si="4"/>
        <v>-4.9999999999998934E-3</v>
      </c>
      <c r="D37" s="109">
        <f t="shared" si="5"/>
        <v>-4.9999999999998934E-3</v>
      </c>
      <c r="E37" s="109">
        <f ca="1">IF(表2_36716262930389121314151819[[#This Row],[累计净值]]/MAX(INDIRECT("B21:B" &amp; ROW()))-1&lt;E36,表2_36716262930389121314151819[[#This Row],[累计净值]]/MAX(INDIRECT("B21:B" &amp; ROW()))-1,E36)</f>
        <v>-4.4129235618597162E-2</v>
      </c>
      <c r="F37" s="110">
        <f>表2_36716262930389121314151819[[#This Row],[累计净值]]-0.144</f>
        <v>1.0690000000000002</v>
      </c>
      <c r="G37" s="20">
        <f>IF(表2_36716262930389121314151819[[#This Row],[单位净值]]&gt;1.088,0.8*(表2_36716262930389121314151819[[#This Row],[单位净值]]-1.088)/1.088,(表2_36716262930389121314151819[[#This Row],[单位净值]]-1.088)/1.088)</f>
        <v>-1.7463235294117561E-2</v>
      </c>
    </row>
    <row r="38" spans="1:7">
      <c r="A38" s="15">
        <v>44006</v>
      </c>
      <c r="B38" s="112">
        <v>1.2090000000000001</v>
      </c>
      <c r="C38" s="108">
        <f t="shared" si="4"/>
        <v>-4.0000000000000036E-3</v>
      </c>
      <c r="D38" s="109">
        <f t="shared" si="5"/>
        <v>-4.0000000000000036E-3</v>
      </c>
      <c r="E38" s="109">
        <f ca="1">IF(表2_36716262930389121314151819[[#This Row],[累计净值]]/MAX(INDIRECT("B21:B" &amp; ROW()))-1&lt;E37,表2_36716262930389121314151819[[#This Row],[累计净值]]/MAX(INDIRECT("B21:B" &amp; ROW()))-1,E37)</f>
        <v>-4.7281323877068404E-2</v>
      </c>
      <c r="F38" s="110">
        <f>表2_36716262930389121314151819[[#This Row],[累计净值]]-0.144</f>
        <v>1.0650000000000002</v>
      </c>
      <c r="G38" s="20">
        <f>IF(表2_36716262930389121314151819[[#This Row],[单位净值]]&gt;1.088,0.8*(表2_36716262930389121314151819[[#This Row],[单位净值]]-1.088)/1.088,(表2_36716262930389121314151819[[#This Row],[单位净值]]-1.088)/1.088)</f>
        <v>-2.1139705882352856E-2</v>
      </c>
    </row>
    <row r="39" spans="1:7">
      <c r="A39" s="15">
        <v>44011</v>
      </c>
      <c r="B39" s="112">
        <v>1.2130000000000001</v>
      </c>
      <c r="C39" s="108">
        <f t="shared" si="4"/>
        <v>4.0000000000000036E-3</v>
      </c>
      <c r="D39" s="109" t="str">
        <f t="shared" si="5"/>
        <v>/</v>
      </c>
      <c r="E39" s="109">
        <f ca="1">IF(表2_36716262930389121314151819[[#This Row],[累计净值]]/MAX(INDIRECT("B21:B" &amp; ROW()))-1&lt;E38,表2_36716262930389121314151819[[#This Row],[累计净值]]/MAX(INDIRECT("B21:B" &amp; ROW()))-1,E38)</f>
        <v>-4.7281323877068404E-2</v>
      </c>
      <c r="F39" s="110">
        <f>表2_36716262930389121314151819[[#This Row],[累计净值]]-0.144</f>
        <v>1.0690000000000002</v>
      </c>
      <c r="G39" s="20">
        <f>IF(表2_36716262930389121314151819[[#This Row],[单位净值]]&gt;1.088,0.8*(表2_36716262930389121314151819[[#This Row],[单位净值]]-1.088)/1.088,(表2_36716262930389121314151819[[#This Row],[单位净值]]-1.088)/1.088)</f>
        <v>-1.7463235294117561E-2</v>
      </c>
    </row>
    <row r="40" spans="1:7">
      <c r="A40" s="15">
        <v>44012</v>
      </c>
      <c r="B40" s="112">
        <v>1.2110000000000001</v>
      </c>
      <c r="C40" s="108">
        <f t="shared" si="4"/>
        <v>-2.0000000000000018E-3</v>
      </c>
      <c r="D40" s="109">
        <f t="shared" si="5"/>
        <v>-2.0000000000000018E-3</v>
      </c>
      <c r="E40" s="109">
        <f ca="1">IF(表2_36716262930389121314151819[[#This Row],[累计净值]]/MAX(INDIRECT("B21:B" &amp; ROW()))-1&lt;E39,表2_36716262930389121314151819[[#This Row],[累计净值]]/MAX(INDIRECT("B21:B" &amp; ROW()))-1,E39)</f>
        <v>-4.7281323877068404E-2</v>
      </c>
      <c r="F40" s="110">
        <f>表2_36716262930389121314151819[[#This Row],[累计净值]]-0.144</f>
        <v>1.0670000000000002</v>
      </c>
      <c r="G40" s="20">
        <f>IF(表2_36716262930389121314151819[[#This Row],[单位净值]]&gt;1.088,0.8*(表2_36716262930389121314151819[[#This Row],[单位净值]]-1.088)/1.088,(表2_36716262930389121314151819[[#This Row],[单位净值]]-1.088)/1.088)</f>
        <v>-1.9301470588235208E-2</v>
      </c>
    </row>
    <row r="41" spans="1:7">
      <c r="A41" s="15">
        <v>44013</v>
      </c>
      <c r="B41" s="112">
        <v>1.2110000000000001</v>
      </c>
      <c r="C41" s="108">
        <f t="shared" si="4"/>
        <v>0</v>
      </c>
      <c r="D41" s="109" t="str">
        <f t="shared" si="5"/>
        <v>/</v>
      </c>
      <c r="E41" s="109">
        <f ca="1">IF(表2_36716262930389121314151819[[#This Row],[累计净值]]/MAX(INDIRECT("B21:B" &amp; ROW()))-1&lt;E40,表2_36716262930389121314151819[[#This Row],[累计净值]]/MAX(INDIRECT("B21:B" &amp; ROW()))-1,E40)</f>
        <v>-4.7281323877068404E-2</v>
      </c>
      <c r="F41" s="110">
        <f>表2_36716262930389121314151819[[#This Row],[累计净值]]-0.144</f>
        <v>1.0670000000000002</v>
      </c>
      <c r="G41" s="20">
        <f>IF(表2_36716262930389121314151819[[#This Row],[单位净值]]&gt;1.088,0.8*(表2_36716262930389121314151819[[#This Row],[单位净值]]-1.088)/1.088,(表2_36716262930389121314151819[[#This Row],[单位净值]]-1.088)/1.088)</f>
        <v>-1.9301470588235208E-2</v>
      </c>
    </row>
    <row r="42" spans="1:7">
      <c r="A42" s="15">
        <v>44014</v>
      </c>
      <c r="B42" s="112">
        <v>1.21</v>
      </c>
      <c r="C42" s="108">
        <f>IFERROR(B42-B41,0)</f>
        <v>-1.0000000000001119E-3</v>
      </c>
      <c r="D42" s="109">
        <f>IF(C42&lt;0,C42,"/")</f>
        <v>-1.0000000000001119E-3</v>
      </c>
      <c r="E42" s="109">
        <f ca="1">IF(表2_36716262930389121314151819[[#This Row],[累计净值]]/MAX(INDIRECT("B21:B" &amp; ROW()))-1&lt;E41,表2_36716262930389121314151819[[#This Row],[累计净值]]/MAX(INDIRECT("B21:B" &amp; ROW()))-1,E41)</f>
        <v>-4.7281323877068404E-2</v>
      </c>
      <c r="F42" s="110">
        <f>表2_36716262930389121314151819[[#This Row],[累计净值]]-0.144</f>
        <v>1.0660000000000001</v>
      </c>
      <c r="G42" s="20">
        <f>IF(表2_36716262930389121314151819[[#This Row],[单位净值]]&gt;1.088,0.8*(表2_36716262930389121314151819[[#This Row],[单位净值]]-1.088)/1.088,(表2_36716262930389121314151819[[#This Row],[单位净值]]-1.088)/1.088)</f>
        <v>-2.0220588235294133E-2</v>
      </c>
    </row>
    <row r="43" spans="1:7">
      <c r="A43" s="15">
        <v>44015</v>
      </c>
      <c r="B43" s="112">
        <v>1.2130000000000001</v>
      </c>
      <c r="C43" s="108">
        <f>IFERROR(B43-B42,0)</f>
        <v>3.0000000000001137E-3</v>
      </c>
      <c r="D43" s="109" t="str">
        <f>IF(C43&lt;0,C43,"/")</f>
        <v>/</v>
      </c>
      <c r="E43" s="109">
        <f ca="1">IF(表2_36716262930389121314151819[[#This Row],[累计净值]]/MAX(INDIRECT("B21:B" &amp; ROW()))-1&lt;E42,表2_36716262930389121314151819[[#This Row],[累计净值]]/MAX(INDIRECT("B21:B" &amp; ROW()))-1,E42)</f>
        <v>-4.7281323877068404E-2</v>
      </c>
      <c r="F43" s="110">
        <f>表2_36716262930389121314151819[[#This Row],[累计净值]]-0.144</f>
        <v>1.0690000000000002</v>
      </c>
      <c r="G43" s="20">
        <f>IF(表2_36716262930389121314151819[[#This Row],[单位净值]]&gt;1.088,0.8*(表2_36716262930389121314151819[[#This Row],[单位净值]]-1.088)/1.088,(表2_36716262930389121314151819[[#This Row],[单位净值]]-1.088)/1.088)</f>
        <v>-1.7463235294117561E-2</v>
      </c>
    </row>
    <row r="44" spans="1:7">
      <c r="A44" s="15">
        <v>44018</v>
      </c>
      <c r="B44" s="112">
        <v>1.214</v>
      </c>
      <c r="C44" s="108">
        <f t="shared" ref="C44:C49" si="6">IFERROR(B44-B43,0)</f>
        <v>9.9999999999988987E-4</v>
      </c>
      <c r="D44" s="109" t="str">
        <f t="shared" ref="D44:D49" si="7">IF(C44&lt;0,C44,"/")</f>
        <v>/</v>
      </c>
      <c r="E44" s="109">
        <f ca="1">IF(表2_36716262930389121314151819[[#This Row],[累计净值]]/MAX(INDIRECT("B21:B" &amp; ROW()))-1&lt;E43,表2_36716262930389121314151819[[#This Row],[累计净值]]/MAX(INDIRECT("B21:B" &amp; ROW()))-1,E43)</f>
        <v>-4.7281323877068404E-2</v>
      </c>
      <c r="F44" s="110">
        <f>表2_36716262930389121314151819[[#This Row],[累计净值]]-0.144</f>
        <v>1.07</v>
      </c>
      <c r="G44" s="20">
        <f>IF(表2_36716262930389121314151819[[#This Row],[单位净值]]&gt;1.088,0.8*(表2_36716262930389121314151819[[#This Row],[单位净值]]-1.088)/1.088,(表2_36716262930389121314151819[[#This Row],[单位净值]]-1.088)/1.088)</f>
        <v>-1.6544117647058838E-2</v>
      </c>
    </row>
    <row r="45" spans="1:7">
      <c r="A45" s="15">
        <v>44019</v>
      </c>
      <c r="B45" s="112">
        <v>1.2130000000000001</v>
      </c>
      <c r="C45" s="108">
        <f t="shared" si="6"/>
        <v>-9.9999999999988987E-4</v>
      </c>
      <c r="D45" s="109">
        <f t="shared" si="7"/>
        <v>-9.9999999999988987E-4</v>
      </c>
      <c r="E45" s="109">
        <f ca="1">IF(表2_36716262930389121314151819[[#This Row],[累计净值]]/MAX(INDIRECT("B21:B" &amp; ROW()))-1&lt;E44,表2_36716262930389121314151819[[#This Row],[累计净值]]/MAX(INDIRECT("B21:B" &amp; ROW()))-1,E44)</f>
        <v>-4.7281323877068404E-2</v>
      </c>
      <c r="F45" s="110">
        <f>表2_36716262930389121314151819[[#This Row],[累计净值]]-0.144</f>
        <v>1.0690000000000002</v>
      </c>
      <c r="G45" s="20">
        <f>IF(表2_36716262930389121314151819[[#This Row],[单位净值]]&gt;1.088,0.8*(表2_36716262930389121314151819[[#This Row],[单位净值]]-1.088)/1.088,(表2_36716262930389121314151819[[#This Row],[单位净值]]-1.088)/1.088)</f>
        <v>-1.7463235294117561E-2</v>
      </c>
    </row>
    <row r="46" spans="1:7">
      <c r="A46" s="15">
        <v>44020</v>
      </c>
      <c r="B46" s="112">
        <v>1.2150000000000001</v>
      </c>
      <c r="C46" s="108">
        <f t="shared" si="6"/>
        <v>2.0000000000000018E-3</v>
      </c>
      <c r="D46" s="109" t="str">
        <f t="shared" si="7"/>
        <v>/</v>
      </c>
      <c r="E46" s="109">
        <f ca="1">IF(表2_36716262930389121314151819[[#This Row],[累计净值]]/MAX(INDIRECT("B21:B" &amp; ROW()))-1&lt;E45,表2_36716262930389121314151819[[#This Row],[累计净值]]/MAX(INDIRECT("B21:B" &amp; ROW()))-1,E45)</f>
        <v>-4.7281323877068404E-2</v>
      </c>
      <c r="F46" s="110">
        <f>表2_36716262930389121314151819[[#This Row],[累计净值]]-0.144</f>
        <v>1.0710000000000002</v>
      </c>
      <c r="G46" s="20">
        <f>IF(表2_36716262930389121314151819[[#This Row],[单位净值]]&gt;1.088,0.8*(表2_36716262930389121314151819[[#This Row],[单位净值]]-1.088)/1.088,(表2_36716262930389121314151819[[#This Row],[单位净值]]-1.088)/1.088)</f>
        <v>-1.5624999999999912E-2</v>
      </c>
    </row>
    <row r="47" spans="1:7">
      <c r="A47" s="15">
        <v>44021</v>
      </c>
      <c r="B47" s="112">
        <v>1.214</v>
      </c>
      <c r="C47" s="108">
        <f t="shared" si="6"/>
        <v>-1.0000000000001119E-3</v>
      </c>
      <c r="D47" s="109">
        <f t="shared" si="7"/>
        <v>-1.0000000000001119E-3</v>
      </c>
      <c r="E47" s="109">
        <f ca="1">IF(表2_36716262930389121314151819[[#This Row],[累计净值]]/MAX(INDIRECT("B21:B" &amp; ROW()))-1&lt;E46,表2_36716262930389121314151819[[#This Row],[累计净值]]/MAX(INDIRECT("B21:B" &amp; ROW()))-1,E46)</f>
        <v>-4.7281323877068404E-2</v>
      </c>
      <c r="F47" s="110">
        <f>表2_36716262930389121314151819[[#This Row],[累计净值]]-0.144</f>
        <v>1.07</v>
      </c>
      <c r="G47" s="20">
        <f>IF(表2_36716262930389121314151819[[#This Row],[单位净值]]&gt;1.088,0.8*(表2_36716262930389121314151819[[#This Row],[单位净值]]-1.088)/1.088,(表2_36716262930389121314151819[[#This Row],[单位净值]]-1.088)/1.088)</f>
        <v>-1.6544117647058838E-2</v>
      </c>
    </row>
    <row r="48" spans="1:7">
      <c r="A48" s="15">
        <v>44022</v>
      </c>
      <c r="B48" s="112">
        <v>1.216</v>
      </c>
      <c r="C48" s="108">
        <f t="shared" si="6"/>
        <v>2.0000000000000018E-3</v>
      </c>
      <c r="D48" s="109" t="str">
        <f t="shared" si="7"/>
        <v>/</v>
      </c>
      <c r="E48" s="109">
        <f ca="1">IF(表2_36716262930389121314151819[[#This Row],[累计净值]]/MAX(INDIRECT("B21:B" &amp; ROW()))-1&lt;E47,表2_36716262930389121314151819[[#This Row],[累计净值]]/MAX(INDIRECT("B21:B" &amp; ROW()))-1,E47)</f>
        <v>-4.7281323877068404E-2</v>
      </c>
      <c r="F48" s="110">
        <f>表2_36716262930389121314151819[[#This Row],[累计净值]]-0.144</f>
        <v>1.0720000000000001</v>
      </c>
      <c r="G48" s="20">
        <f>IF(表2_36716262930389121314151819[[#This Row],[单位净值]]&gt;1.088,0.8*(表2_36716262930389121314151819[[#This Row],[单位净值]]-1.088)/1.088,(表2_36716262930389121314151819[[#This Row],[单位净值]]-1.088)/1.088)</f>
        <v>-1.4705882352941188E-2</v>
      </c>
    </row>
    <row r="49" spans="1:7">
      <c r="A49" s="15">
        <v>44025</v>
      </c>
      <c r="B49" s="112">
        <v>1.2130000000000001</v>
      </c>
      <c r="C49" s="108">
        <f t="shared" si="6"/>
        <v>-2.9999999999998916E-3</v>
      </c>
      <c r="D49" s="109">
        <f t="shared" si="7"/>
        <v>-2.9999999999998916E-3</v>
      </c>
      <c r="E49" s="109">
        <f ca="1">IF(表2_36716262930389121314151819[[#This Row],[累计净值]]/MAX(INDIRECT("B21:B" &amp; ROW()))-1&lt;E48,表2_36716262930389121314151819[[#This Row],[累计净值]]/MAX(INDIRECT("B21:B" &amp; ROW()))-1,E48)</f>
        <v>-4.7281323877068404E-2</v>
      </c>
      <c r="F49" s="110">
        <f>表2_36716262930389121314151819[[#This Row],[累计净值]]-0.144</f>
        <v>1.0690000000000002</v>
      </c>
      <c r="G49" s="20">
        <f>IF(表2_36716262930389121314151819[[#This Row],[单位净值]]&gt;1.088,0.8*(表2_36716262930389121314151819[[#This Row],[单位净值]]-1.088)/1.088,(表2_36716262930389121314151819[[#This Row],[单位净值]]-1.088)/1.088)</f>
        <v>-1.7463235294117561E-2</v>
      </c>
    </row>
    <row r="50" spans="1:7">
      <c r="A50" s="15">
        <v>44026</v>
      </c>
      <c r="B50" s="112">
        <v>1.21</v>
      </c>
      <c r="C50" s="108">
        <f t="shared" ref="C50:C55" si="8">IFERROR(B50-B49,0)</f>
        <v>-3.0000000000001137E-3</v>
      </c>
      <c r="D50" s="109">
        <f t="shared" ref="D50:D55" si="9">IF(C50&lt;0,C50,"/")</f>
        <v>-3.0000000000001137E-3</v>
      </c>
      <c r="E50" s="109">
        <f ca="1">IF(表2_36716262930389121314151819[[#This Row],[累计净值]]/MAX(INDIRECT("B21:B" &amp; ROW()))-1&lt;E49,表2_36716262930389121314151819[[#This Row],[累计净值]]/MAX(INDIRECT("B21:B" &amp; ROW()))-1,E49)</f>
        <v>-4.7281323877068404E-2</v>
      </c>
      <c r="F50" s="110">
        <f>表2_36716262930389121314151819[[#This Row],[累计净值]]-0.144</f>
        <v>1.0660000000000001</v>
      </c>
      <c r="G50" s="20">
        <f>IF(表2_36716262930389121314151819[[#This Row],[单位净值]]&gt;1.088,0.8*(表2_36716262930389121314151819[[#This Row],[单位净值]]-1.088)/1.088,(表2_36716262930389121314151819[[#This Row],[单位净值]]-1.088)/1.088)</f>
        <v>-2.0220588235294133E-2</v>
      </c>
    </row>
    <row r="51" spans="1:7">
      <c r="A51" s="15">
        <v>44027</v>
      </c>
      <c r="B51" s="112">
        <v>1.21</v>
      </c>
      <c r="C51" s="108">
        <f t="shared" si="8"/>
        <v>0</v>
      </c>
      <c r="D51" s="109" t="str">
        <f t="shared" si="9"/>
        <v>/</v>
      </c>
      <c r="E51" s="109">
        <f ca="1">IF(表2_36716262930389121314151819[[#This Row],[累计净值]]/MAX(INDIRECT("B21:B" &amp; ROW()))-1&lt;E50,表2_36716262930389121314151819[[#This Row],[累计净值]]/MAX(INDIRECT("B21:B" &amp; ROW()))-1,E50)</f>
        <v>-4.7281323877068404E-2</v>
      </c>
      <c r="F51" s="110">
        <f>表2_36716262930389121314151819[[#This Row],[累计净值]]-0.144</f>
        <v>1.0660000000000001</v>
      </c>
      <c r="G51" s="20">
        <f>IF(表2_36716262930389121314151819[[#This Row],[单位净值]]&gt;1.088,0.8*(表2_36716262930389121314151819[[#This Row],[单位净值]]-1.088)/1.088,(表2_36716262930389121314151819[[#This Row],[单位净值]]-1.088)/1.088)</f>
        <v>-2.0220588235294133E-2</v>
      </c>
    </row>
    <row r="52" spans="1:7">
      <c r="A52" s="15">
        <v>44028</v>
      </c>
      <c r="B52" s="112">
        <v>1.2030000000000001</v>
      </c>
      <c r="C52" s="108">
        <f t="shared" si="8"/>
        <v>-6.9999999999998952E-3</v>
      </c>
      <c r="D52" s="109">
        <f t="shared" si="9"/>
        <v>-6.9999999999998952E-3</v>
      </c>
      <c r="E52" s="109">
        <f ca="1">IF(表2_36716262930389121314151819[[#This Row],[累计净值]]/MAX(INDIRECT("B21:B" &amp; ROW()))-1&lt;E51,表2_36716262930389121314151819[[#This Row],[累计净值]]/MAX(INDIRECT("B21:B" &amp; ROW()))-1,E51)</f>
        <v>-5.2009456264775267E-2</v>
      </c>
      <c r="F52" s="110">
        <f>表2_36716262930389121314151819[[#This Row],[累计净值]]-0.144</f>
        <v>1.0590000000000002</v>
      </c>
      <c r="G52" s="20">
        <f>IF(表2_36716262930389121314151819[[#This Row],[单位净值]]&gt;1.088,0.8*(表2_36716262930389121314151819[[#This Row],[单位净值]]-1.088)/1.088,(表2_36716262930389121314151819[[#This Row],[单位净值]]-1.088)/1.088)</f>
        <v>-2.6654411764705802E-2</v>
      </c>
    </row>
    <row r="53" spans="1:7">
      <c r="A53" s="15">
        <v>44029</v>
      </c>
      <c r="B53" s="112">
        <v>1.2030000000000001</v>
      </c>
      <c r="C53" s="108">
        <f t="shared" si="8"/>
        <v>0</v>
      </c>
      <c r="D53" s="109" t="str">
        <f t="shared" si="9"/>
        <v>/</v>
      </c>
      <c r="E53" s="109">
        <f ca="1">IF(表2_36716262930389121314151819[[#This Row],[累计净值]]/MAX(INDIRECT("B21:B" &amp; ROW()))-1&lt;E52,表2_36716262930389121314151819[[#This Row],[累计净值]]/MAX(INDIRECT("B21:B" &amp; ROW()))-1,E52)</f>
        <v>-5.2009456264775267E-2</v>
      </c>
      <c r="F53" s="110">
        <f>表2_36716262930389121314151819[[#This Row],[累计净值]]-0.144</f>
        <v>1.0590000000000002</v>
      </c>
      <c r="G53" s="20">
        <f>IF(表2_36716262930389121314151819[[#This Row],[单位净值]]&gt;1.088,0.8*(表2_36716262930389121314151819[[#This Row],[单位净值]]-1.088)/1.088,(表2_36716262930389121314151819[[#This Row],[单位净值]]-1.088)/1.088)</f>
        <v>-2.6654411764705802E-2</v>
      </c>
    </row>
    <row r="54" spans="1:7">
      <c r="A54" s="15">
        <v>44032</v>
      </c>
      <c r="B54" s="112">
        <v>1.204</v>
      </c>
      <c r="C54" s="108">
        <f t="shared" si="8"/>
        <v>9.9999999999988987E-4</v>
      </c>
      <c r="D54" s="109" t="str">
        <f t="shared" si="9"/>
        <v>/</v>
      </c>
      <c r="E54" s="109">
        <f ca="1">IF(表2_36716262930389121314151819[[#This Row],[累计净值]]/MAX(INDIRECT("B21:B" &amp; ROW()))-1&lt;E53,表2_36716262930389121314151819[[#This Row],[累计净值]]/MAX(INDIRECT("B21:B" &amp; ROW()))-1,E53)</f>
        <v>-5.2009456264775267E-2</v>
      </c>
      <c r="F54" s="110">
        <f>表2_36716262930389121314151819[[#This Row],[累计净值]]-0.144</f>
        <v>1.06</v>
      </c>
      <c r="G54" s="20">
        <f>IF(表2_36716262930389121314151819[[#This Row],[单位净值]]&gt;1.088,0.8*(表2_36716262930389121314151819[[#This Row],[单位净值]]-1.088)/1.088,(表2_36716262930389121314151819[[#This Row],[单位净值]]-1.088)/1.088)</f>
        <v>-2.5735294117647078E-2</v>
      </c>
    </row>
    <row r="55" spans="1:7">
      <c r="A55" s="15">
        <v>44033</v>
      </c>
      <c r="B55" s="112">
        <v>1.2050000000000001</v>
      </c>
      <c r="C55" s="108">
        <f t="shared" si="8"/>
        <v>1.0000000000001119E-3</v>
      </c>
      <c r="D55" s="109" t="str">
        <f t="shared" si="9"/>
        <v>/</v>
      </c>
      <c r="E55" s="109">
        <f ca="1">IF(表2_36716262930389121314151819[[#This Row],[累计净值]]/MAX(INDIRECT("B21:B" &amp; ROW()))-1&lt;E54,表2_36716262930389121314151819[[#This Row],[累计净值]]/MAX(INDIRECT("B21:B" &amp; ROW()))-1,E54)</f>
        <v>-5.2009456264775267E-2</v>
      </c>
      <c r="F55" s="110">
        <f>表2_36716262930389121314151819[[#This Row],[累计净值]]-0.144</f>
        <v>1.0610000000000002</v>
      </c>
      <c r="G55" s="20">
        <f>IF(表2_36716262930389121314151819[[#This Row],[单位净值]]&gt;1.088,0.8*(表2_36716262930389121314151819[[#This Row],[单位净值]]-1.088)/1.088,(表2_36716262930389121314151819[[#This Row],[单位净值]]-1.088)/1.088)</f>
        <v>-2.4816176470588154E-2</v>
      </c>
    </row>
    <row r="56" spans="1:7">
      <c r="A56" s="15">
        <v>44034</v>
      </c>
      <c r="B56" s="112">
        <v>1.2090000000000001</v>
      </c>
      <c r="C56" s="108">
        <f>IFERROR(B56-B55,0)</f>
        <v>4.0000000000000036E-3</v>
      </c>
      <c r="D56" s="109" t="str">
        <f>IF(C56&lt;0,C56,"/")</f>
        <v>/</v>
      </c>
      <c r="E56" s="109">
        <f ca="1">IF(表2_36716262930389121314151819[[#This Row],[累计净值]]/MAX(INDIRECT("B21:B" &amp; ROW()))-1&lt;E55,表2_36716262930389121314151819[[#This Row],[累计净值]]/MAX(INDIRECT("B21:B" &amp; ROW()))-1,E55)</f>
        <v>-5.2009456264775267E-2</v>
      </c>
      <c r="F56" s="110">
        <f>表2_36716262930389121314151819[[#This Row],[累计净值]]-0.144</f>
        <v>1.0650000000000002</v>
      </c>
      <c r="G56" s="20">
        <f>IF(表2_36716262930389121314151819[[#This Row],[单位净值]]&gt;1.088,0.8*(表2_36716262930389121314151819[[#This Row],[单位净值]]-1.088)/1.088,(表2_36716262930389121314151819[[#This Row],[单位净值]]-1.088)/1.088)</f>
        <v>-2.1139705882352856E-2</v>
      </c>
    </row>
    <row r="57" spans="1:7">
      <c r="A57" s="15">
        <v>44035</v>
      </c>
      <c r="B57" s="112">
        <v>1.2050000000000001</v>
      </c>
      <c r="C57" s="108">
        <f>IFERROR(B57-B56,0)</f>
        <v>-4.0000000000000036E-3</v>
      </c>
      <c r="D57" s="109">
        <f>IF(C57&lt;0,C57,"/")</f>
        <v>-4.0000000000000036E-3</v>
      </c>
      <c r="E57" s="109">
        <f ca="1">IF(表2_36716262930389121314151819[[#This Row],[累计净值]]/MAX(INDIRECT("B21:B" &amp; ROW()))-1&lt;E56,表2_36716262930389121314151819[[#This Row],[累计净值]]/MAX(INDIRECT("B21:B" &amp; ROW()))-1,E56)</f>
        <v>-5.2009456264775267E-2</v>
      </c>
      <c r="F57" s="110">
        <f>表2_36716262930389121314151819[[#This Row],[累计净值]]-0.144</f>
        <v>1.0610000000000002</v>
      </c>
      <c r="G57" s="20">
        <f>IF(表2_36716262930389121314151819[[#This Row],[单位净值]]&gt;1.088,0.8*(表2_36716262930389121314151819[[#This Row],[单位净值]]-1.088)/1.088,(表2_36716262930389121314151819[[#This Row],[单位净值]]-1.088)/1.088)</f>
        <v>-2.4816176470588154E-2</v>
      </c>
    </row>
    <row r="58" spans="1:7">
      <c r="A58" s="15">
        <v>44036</v>
      </c>
      <c r="B58" s="112">
        <v>1.204</v>
      </c>
      <c r="C58" s="108">
        <f>IFERROR(B58-B57,0)</f>
        <v>-1.0000000000001119E-3</v>
      </c>
      <c r="D58" s="109">
        <f>IF(C58&lt;0,C58,"/")</f>
        <v>-1.0000000000001119E-3</v>
      </c>
      <c r="E58" s="109">
        <f ca="1">IF(表2_36716262930389121314151819[[#This Row],[累计净值]]/MAX(INDIRECT("B21:B" &amp; ROW()))-1&lt;E57,表2_36716262930389121314151819[[#This Row],[累计净值]]/MAX(INDIRECT("B21:B" &amp; ROW()))-1,E57)</f>
        <v>-5.2009456264775267E-2</v>
      </c>
      <c r="F58" s="110">
        <f>表2_36716262930389121314151819[[#This Row],[累计净值]]-0.144</f>
        <v>1.06</v>
      </c>
      <c r="G58" s="20">
        <f>IF(表2_36716262930389121314151819[[#This Row],[单位净值]]&gt;1.088,0.8*(表2_36716262930389121314151819[[#This Row],[单位净值]]-1.088)/1.088,(表2_36716262930389121314151819[[#This Row],[单位净值]]-1.088)/1.088)</f>
        <v>-2.5735294117647078E-2</v>
      </c>
    </row>
    <row r="59" spans="1:7">
      <c r="A59" s="15">
        <v>44039</v>
      </c>
      <c r="B59" s="112">
        <v>1.2010000000000001</v>
      </c>
      <c r="C59" s="108">
        <f t="shared" ref="C59:C64" si="10">IFERROR(B59-B58,0)</f>
        <v>-2.9999999999998916E-3</v>
      </c>
      <c r="D59" s="109">
        <f t="shared" ref="D59:D64" si="11">IF(C59&lt;0,C59,"/")</f>
        <v>-2.9999999999998916E-3</v>
      </c>
      <c r="E59" s="109">
        <f ca="1">IF(表2_36716262930389121314151819[[#This Row],[累计净值]]/MAX(INDIRECT("B21:B" &amp; ROW()))-1&lt;E58,表2_36716262930389121314151819[[#This Row],[累计净值]]/MAX(INDIRECT("B21:B" &amp; ROW()))-1,E58)</f>
        <v>-5.3585500394010888E-2</v>
      </c>
      <c r="F59" s="110">
        <f>表2_36716262930389121314151819[[#This Row],[累计净值]]-0.144</f>
        <v>1.0570000000000002</v>
      </c>
      <c r="G59" s="20">
        <f>IF(表2_36716262930389121314151819[[#This Row],[单位净值]]&gt;1.088,0.8*(表2_36716262930389121314151819[[#This Row],[单位净值]]-1.088)/1.088,(表2_36716262930389121314151819[[#This Row],[单位净值]]-1.088)/1.088)</f>
        <v>-2.8492647058823449E-2</v>
      </c>
    </row>
    <row r="60" spans="1:7">
      <c r="A60" s="15">
        <v>44040</v>
      </c>
      <c r="B60" s="112">
        <v>1.2090000000000001</v>
      </c>
      <c r="C60" s="108">
        <f t="shared" si="10"/>
        <v>8.0000000000000071E-3</v>
      </c>
      <c r="D60" s="109" t="str">
        <f t="shared" si="11"/>
        <v>/</v>
      </c>
      <c r="E60" s="109">
        <f ca="1">IF(表2_36716262930389121314151819[[#This Row],[累计净值]]/MAX(INDIRECT("B21:B" &amp; ROW()))-1&lt;E59,表2_36716262930389121314151819[[#This Row],[累计净值]]/MAX(INDIRECT("B21:B" &amp; ROW()))-1,E59)</f>
        <v>-5.3585500394010888E-2</v>
      </c>
      <c r="F60" s="110">
        <f>表2_36716262930389121314151819[[#This Row],[累计净值]]-0.144</f>
        <v>1.0650000000000002</v>
      </c>
      <c r="G60" s="20">
        <f>IF(表2_36716262930389121314151819[[#This Row],[单位净值]]&gt;1.088,0.8*(表2_36716262930389121314151819[[#This Row],[单位净值]]-1.088)/1.088,(表2_36716262930389121314151819[[#This Row],[单位净值]]-1.088)/1.088)</f>
        <v>-2.1139705882352856E-2</v>
      </c>
    </row>
    <row r="61" spans="1:7">
      <c r="A61" s="15">
        <v>44041</v>
      </c>
      <c r="B61" s="112">
        <v>1.2050000000000001</v>
      </c>
      <c r="C61" s="108">
        <f t="shared" si="10"/>
        <v>-4.0000000000000036E-3</v>
      </c>
      <c r="D61" s="109">
        <f t="shared" si="11"/>
        <v>-4.0000000000000036E-3</v>
      </c>
      <c r="E61" s="109">
        <f ca="1">IF(表2_36716262930389121314151819[[#This Row],[累计净值]]/MAX(INDIRECT("B21:B" &amp; ROW()))-1&lt;E60,表2_36716262930389121314151819[[#This Row],[累计净值]]/MAX(INDIRECT("B21:B" &amp; ROW()))-1,E60)</f>
        <v>-5.3585500394010888E-2</v>
      </c>
      <c r="F61" s="110">
        <f>表2_36716262930389121314151819[[#This Row],[累计净值]]-0.144</f>
        <v>1.0610000000000002</v>
      </c>
      <c r="G61" s="20">
        <f>IF(表2_36716262930389121314151819[[#This Row],[单位净值]]&gt;1.088,0.8*(表2_36716262930389121314151819[[#This Row],[单位净值]]-1.088)/1.088,(表2_36716262930389121314151819[[#This Row],[单位净值]]-1.088)/1.088)</f>
        <v>-2.4816176470588154E-2</v>
      </c>
    </row>
    <row r="62" spans="1:7">
      <c r="A62" s="15">
        <v>44042</v>
      </c>
      <c r="B62" s="112">
        <v>1.2030000000000001</v>
      </c>
      <c r="C62" s="108">
        <f t="shared" si="10"/>
        <v>-2.0000000000000018E-3</v>
      </c>
      <c r="D62" s="109">
        <f t="shared" si="11"/>
        <v>-2.0000000000000018E-3</v>
      </c>
      <c r="E62" s="109">
        <f ca="1">IF(表2_36716262930389121314151819[[#This Row],[累计净值]]/MAX(INDIRECT("B21:B" &amp; ROW()))-1&lt;E61,表2_36716262930389121314151819[[#This Row],[累计净值]]/MAX(INDIRECT("B21:B" &amp; ROW()))-1,E61)</f>
        <v>-5.3585500394010888E-2</v>
      </c>
      <c r="F62" s="110">
        <f>表2_36716262930389121314151819[[#This Row],[累计净值]]-0.144</f>
        <v>1.0590000000000002</v>
      </c>
      <c r="G62" s="20">
        <f>IF(表2_36716262930389121314151819[[#This Row],[单位净值]]&gt;1.088,0.8*(表2_36716262930389121314151819[[#This Row],[单位净值]]-1.088)/1.088,(表2_36716262930389121314151819[[#This Row],[单位净值]]-1.088)/1.088)</f>
        <v>-2.6654411764705802E-2</v>
      </c>
    </row>
    <row r="63" spans="1:7">
      <c r="A63" s="15">
        <v>44043</v>
      </c>
      <c r="B63" s="112">
        <v>1.202</v>
      </c>
      <c r="C63" s="108">
        <f t="shared" si="10"/>
        <v>-1.0000000000001119E-3</v>
      </c>
      <c r="D63" s="109">
        <f t="shared" si="11"/>
        <v>-1.0000000000001119E-3</v>
      </c>
      <c r="E63" s="109">
        <f ca="1">IF(表2_36716262930389121314151819[[#This Row],[累计净值]]/MAX(INDIRECT("B21:B" &amp; ROW()))-1&lt;E62,表2_36716262930389121314151819[[#This Row],[累计净值]]/MAX(INDIRECT("B21:B" &amp; ROW()))-1,E62)</f>
        <v>-5.3585500394010888E-2</v>
      </c>
      <c r="F63" s="110">
        <f>表2_36716262930389121314151819[[#This Row],[累计净值]]-0.144</f>
        <v>1.0580000000000001</v>
      </c>
      <c r="G63" s="20">
        <f>IF(表2_36716262930389121314151819[[#This Row],[单位净值]]&gt;1.088,0.8*(表2_36716262930389121314151819[[#This Row],[单位净值]]-1.088)/1.088,(表2_36716262930389121314151819[[#This Row],[单位净值]]-1.088)/1.088)</f>
        <v>-2.7573529411764729E-2</v>
      </c>
    </row>
    <row r="64" spans="1:7">
      <c r="A64" s="15">
        <v>44046</v>
      </c>
      <c r="B64" s="112">
        <v>1.208</v>
      </c>
      <c r="C64" s="108">
        <f t="shared" si="10"/>
        <v>6.0000000000000053E-3</v>
      </c>
      <c r="D64" s="109" t="str">
        <f t="shared" si="11"/>
        <v>/</v>
      </c>
      <c r="E64" s="109">
        <f ca="1">IF(表2_36716262930389121314151819[[#This Row],[累计净值]]/MAX(INDIRECT("B21:B" &amp; ROW()))-1&lt;E63,表2_36716262930389121314151819[[#This Row],[累计净值]]/MAX(INDIRECT("B21:B" &amp; ROW()))-1,E63)</f>
        <v>-5.3585500394010888E-2</v>
      </c>
      <c r="F64" s="110">
        <f>表2_36716262930389121314151819[[#This Row],[累计净值]]-0.144</f>
        <v>1.0640000000000001</v>
      </c>
      <c r="G64" s="20">
        <f>IF(表2_36716262930389121314151819[[#This Row],[单位净值]]&gt;1.088,0.8*(表2_36716262930389121314151819[[#This Row],[单位净值]]-1.088)/1.088,(表2_36716262930389121314151819[[#This Row],[单位净值]]-1.088)/1.088)</f>
        <v>-2.2058823529411783E-2</v>
      </c>
    </row>
    <row r="65" spans="1:7">
      <c r="A65" s="15">
        <v>44047</v>
      </c>
      <c r="B65" s="112">
        <v>1.21</v>
      </c>
      <c r="C65" s="108">
        <f t="shared" ref="C65:C70" si="12">IFERROR(B65-B64,0)</f>
        <v>2.0000000000000018E-3</v>
      </c>
      <c r="D65" s="109" t="str">
        <f t="shared" ref="D65:D70" si="13">IF(C65&lt;0,C65,"/")</f>
        <v>/</v>
      </c>
      <c r="E65" s="109">
        <f ca="1">IF(表2_36716262930389121314151819[[#This Row],[累计净值]]/MAX(INDIRECT("B21:B" &amp; ROW()))-1&lt;E64,表2_36716262930389121314151819[[#This Row],[累计净值]]/MAX(INDIRECT("B21:B" &amp; ROW()))-1,E64)</f>
        <v>-5.3585500394010888E-2</v>
      </c>
      <c r="F65" s="110">
        <f>表2_36716262930389121314151819[[#This Row],[累计净值]]-0.144</f>
        <v>1.0660000000000001</v>
      </c>
      <c r="G65" s="20">
        <f>IF(表2_36716262930389121314151819[[#This Row],[单位净值]]&gt;1.088,0.8*(表2_36716262930389121314151819[[#This Row],[单位净值]]-1.088)/1.088,(表2_36716262930389121314151819[[#This Row],[单位净值]]-1.088)/1.088)</f>
        <v>-2.0220588235294133E-2</v>
      </c>
    </row>
    <row r="66" spans="1:7">
      <c r="A66" s="15">
        <v>44048</v>
      </c>
      <c r="B66" s="112">
        <v>1.2150000000000001</v>
      </c>
      <c r="C66" s="108">
        <f t="shared" si="12"/>
        <v>5.0000000000001155E-3</v>
      </c>
      <c r="D66" s="109" t="str">
        <f t="shared" si="13"/>
        <v>/</v>
      </c>
      <c r="E66" s="109">
        <f ca="1">IF(表2_36716262930389121314151819[[#This Row],[累计净值]]/MAX(INDIRECT("B21:B" &amp; ROW()))-1&lt;E65,表2_36716262930389121314151819[[#This Row],[累计净值]]/MAX(INDIRECT("B21:B" &amp; ROW()))-1,E65)</f>
        <v>-5.3585500394010888E-2</v>
      </c>
      <c r="F66" s="110">
        <f>表2_36716262930389121314151819[[#This Row],[累计净值]]-0.144</f>
        <v>1.0710000000000002</v>
      </c>
      <c r="G66" s="20">
        <f>IF(表2_36716262930389121314151819[[#This Row],[单位净值]]&gt;1.088,0.8*(表2_36716262930389121314151819[[#This Row],[单位净值]]-1.088)/1.088,(表2_36716262930389121314151819[[#This Row],[单位净值]]-1.088)/1.088)</f>
        <v>-1.5624999999999912E-2</v>
      </c>
    </row>
    <row r="67" spans="1:7">
      <c r="A67" s="15">
        <v>44049</v>
      </c>
      <c r="B67" s="112">
        <v>1.2190000000000001</v>
      </c>
      <c r="C67" s="108">
        <f t="shared" si="12"/>
        <v>4.0000000000000036E-3</v>
      </c>
      <c r="D67" s="109" t="str">
        <f t="shared" si="13"/>
        <v>/</v>
      </c>
      <c r="E67" s="109">
        <f ca="1">IF(表2_36716262930389121314151819[[#This Row],[累计净值]]/MAX(INDIRECT("B21:B" &amp; ROW()))-1&lt;E66,表2_36716262930389121314151819[[#This Row],[累计净值]]/MAX(INDIRECT("B21:B" &amp; ROW()))-1,E66)</f>
        <v>-5.3585500394010888E-2</v>
      </c>
      <c r="F67" s="110">
        <f>表2_36716262930389121314151819[[#This Row],[累计净值]]-0.144</f>
        <v>1.0750000000000002</v>
      </c>
      <c r="G67" s="20">
        <f>IF(表2_36716262930389121314151819[[#This Row],[单位净值]]&gt;1.088,0.8*(表2_36716262930389121314151819[[#This Row],[单位净值]]-1.088)/1.088,(表2_36716262930389121314151819[[#This Row],[单位净值]]-1.088)/1.088)</f>
        <v>-1.1948529411764613E-2</v>
      </c>
    </row>
    <row r="68" spans="1:7">
      <c r="A68" s="15">
        <v>44050</v>
      </c>
      <c r="B68" s="112">
        <v>1.2210000000000001</v>
      </c>
      <c r="C68" s="108">
        <f t="shared" si="12"/>
        <v>2.0000000000000018E-3</v>
      </c>
      <c r="D68" s="109" t="str">
        <f t="shared" si="13"/>
        <v>/</v>
      </c>
      <c r="E68" s="109">
        <f ca="1">IF(表2_36716262930389121314151819[[#This Row],[累计净值]]/MAX(INDIRECT("B21:B" &amp; ROW()))-1&lt;E67,表2_36716262930389121314151819[[#This Row],[累计净值]]/MAX(INDIRECT("B21:B" &amp; ROW()))-1,E67)</f>
        <v>-5.3585500394010888E-2</v>
      </c>
      <c r="F68" s="110">
        <f>表2_36716262930389121314151819[[#This Row],[累计净值]]-0.144</f>
        <v>1.0770000000000002</v>
      </c>
      <c r="G68" s="20">
        <f>IF(表2_36716262930389121314151819[[#This Row],[单位净值]]&gt;1.088,0.8*(表2_36716262930389121314151819[[#This Row],[单位净值]]-1.088)/1.088,(表2_36716262930389121314151819[[#This Row],[单位净值]]-1.088)/1.088)</f>
        <v>-1.0110294117646966E-2</v>
      </c>
    </row>
    <row r="69" spans="1:7">
      <c r="A69" s="15">
        <v>44053</v>
      </c>
      <c r="B69" s="112">
        <v>1.222</v>
      </c>
      <c r="C69" s="108">
        <f t="shared" si="12"/>
        <v>9.9999999999988987E-4</v>
      </c>
      <c r="D69" s="109" t="str">
        <f t="shared" si="13"/>
        <v>/</v>
      </c>
      <c r="E69" s="109">
        <f ca="1">IF(表2_36716262930389121314151819[[#This Row],[累计净值]]/MAX(INDIRECT("B21:B" &amp; ROW()))-1&lt;E68,表2_36716262930389121314151819[[#This Row],[累计净值]]/MAX(INDIRECT("B21:B" &amp; ROW()))-1,E68)</f>
        <v>-5.3585500394010888E-2</v>
      </c>
      <c r="F69" s="110">
        <f>表2_36716262930389121314151819[[#This Row],[累计净值]]-0.144</f>
        <v>1.0780000000000001</v>
      </c>
      <c r="G69" s="20">
        <f>IF(表2_36716262930389121314151819[[#This Row],[单位净值]]&gt;1.088,0.8*(表2_36716262930389121314151819[[#This Row],[单位净值]]-1.088)/1.088,(表2_36716262930389121314151819[[#This Row],[单位净值]]-1.088)/1.088)</f>
        <v>-9.1911764705882425E-3</v>
      </c>
    </row>
    <row r="70" spans="1:7">
      <c r="A70" s="15">
        <v>44054</v>
      </c>
      <c r="B70" s="112">
        <v>1.2250000000000001</v>
      </c>
      <c r="C70" s="108">
        <f t="shared" si="12"/>
        <v>3.0000000000001137E-3</v>
      </c>
      <c r="D70" s="109" t="str">
        <f t="shared" si="13"/>
        <v>/</v>
      </c>
      <c r="E70" s="109">
        <f ca="1">IF(表2_36716262930389121314151819[[#This Row],[累计净值]]/MAX(INDIRECT("B21:B" &amp; ROW()))-1&lt;E69,表2_36716262930389121314151819[[#This Row],[累计净值]]/MAX(INDIRECT("B21:B" &amp; ROW()))-1,E69)</f>
        <v>-5.3585500394010888E-2</v>
      </c>
      <c r="F70" s="110">
        <f>表2_36716262930389121314151819[[#This Row],[累计净值]]-0.144</f>
        <v>1.0810000000000002</v>
      </c>
      <c r="G70" s="20">
        <f>IF(表2_36716262930389121314151819[[#This Row],[单位净值]]&gt;1.088,0.8*(表2_36716262930389121314151819[[#This Row],[单位净值]]-1.088)/1.088,(表2_36716262930389121314151819[[#This Row],[单位净值]]-1.088)/1.088)</f>
        <v>-6.4338235294116681E-3</v>
      </c>
    </row>
    <row r="71" spans="1:7">
      <c r="A71" s="15">
        <v>44055</v>
      </c>
      <c r="B71" s="112">
        <v>1.228</v>
      </c>
      <c r="C71" s="108">
        <f t="shared" ref="C71:C76" si="14">IFERROR(B71-B70,0)</f>
        <v>2.9999999999998916E-3</v>
      </c>
      <c r="D71" s="109" t="str">
        <f t="shared" ref="D71:D76" si="15">IF(C71&lt;0,C71,"/")</f>
        <v>/</v>
      </c>
      <c r="E71" s="109">
        <f ca="1">IF(表2_36716262930389121314151819[[#This Row],[累计净值]]/MAX(INDIRECT("B21:B" &amp; ROW()))-1&lt;E70,表2_36716262930389121314151819[[#This Row],[累计净值]]/MAX(INDIRECT("B21:B" &amp; ROW()))-1,E70)</f>
        <v>-5.3585500394010888E-2</v>
      </c>
      <c r="F71" s="110">
        <f>表2_36716262930389121314151819[[#This Row],[累计净值]]-0.144</f>
        <v>1.0840000000000001</v>
      </c>
      <c r="G71" s="20">
        <f>IF(表2_36716262930389121314151819[[#This Row],[单位净值]]&gt;1.088,0.8*(表2_36716262930389121314151819[[#This Row],[单位净值]]-1.088)/1.088,(表2_36716262930389121314151819[[#This Row],[单位净值]]-1.088)/1.088)</f>
        <v>-3.6764705882352971E-3</v>
      </c>
    </row>
    <row r="72" spans="1:7">
      <c r="A72" s="15">
        <v>44056</v>
      </c>
      <c r="B72" s="112">
        <v>1.226</v>
      </c>
      <c r="C72" s="108">
        <f t="shared" si="14"/>
        <v>-2.0000000000000018E-3</v>
      </c>
      <c r="D72" s="109">
        <f t="shared" si="15"/>
        <v>-2.0000000000000018E-3</v>
      </c>
      <c r="E72" s="109">
        <f ca="1">IF(表2_36716262930389121314151819[[#This Row],[累计净值]]/MAX(INDIRECT("B21:B" &amp; ROW()))-1&lt;E71,表2_36716262930389121314151819[[#This Row],[累计净值]]/MAX(INDIRECT("B21:B" &amp; ROW()))-1,E71)</f>
        <v>-5.3585500394010888E-2</v>
      </c>
      <c r="F72" s="110">
        <f>表2_36716262930389121314151819[[#This Row],[累计净值]]-0.144</f>
        <v>1.0820000000000001</v>
      </c>
      <c r="G72" s="20">
        <f>IF(表2_36716262930389121314151819[[#This Row],[单位净值]]&gt;1.088,0.8*(表2_36716262930389121314151819[[#This Row],[单位净值]]-1.088)/1.088,(表2_36716262930389121314151819[[#This Row],[单位净值]]-1.088)/1.088)</f>
        <v>-5.5147058823529459E-3</v>
      </c>
    </row>
    <row r="73" spans="1:7">
      <c r="A73" s="15">
        <v>44057</v>
      </c>
      <c r="B73" s="112">
        <v>1.2250000000000001</v>
      </c>
      <c r="C73" s="108">
        <f t="shared" si="14"/>
        <v>-9.9999999999988987E-4</v>
      </c>
      <c r="D73" s="109">
        <f t="shared" si="15"/>
        <v>-9.9999999999988987E-4</v>
      </c>
      <c r="E73" s="109">
        <f ca="1">IF(表2_36716262930389121314151819[[#This Row],[累计净值]]/MAX(INDIRECT("B21:B" &amp; ROW()))-1&lt;E72,表2_36716262930389121314151819[[#This Row],[累计净值]]/MAX(INDIRECT("B21:B" &amp; ROW()))-1,E72)</f>
        <v>-5.3585500394010888E-2</v>
      </c>
      <c r="F73" s="110">
        <f>表2_36716262930389121314151819[[#This Row],[累计净值]]-0.144</f>
        <v>1.0810000000000002</v>
      </c>
      <c r="G73" s="20">
        <f>IF(表2_36716262930389121314151819[[#This Row],[单位净值]]&gt;1.088,0.8*(表2_36716262930389121314151819[[#This Row],[单位净值]]-1.088)/1.088,(表2_36716262930389121314151819[[#This Row],[单位净值]]-1.088)/1.088)</f>
        <v>-6.4338235294116681E-3</v>
      </c>
    </row>
    <row r="74" spans="1:7">
      <c r="A74" s="15">
        <v>44060</v>
      </c>
      <c r="B74" s="112">
        <v>1.2230000000000001</v>
      </c>
      <c r="C74" s="108">
        <f t="shared" si="14"/>
        <v>-2.0000000000000018E-3</v>
      </c>
      <c r="D74" s="109">
        <f t="shared" si="15"/>
        <v>-2.0000000000000018E-3</v>
      </c>
      <c r="E74" s="109">
        <f ca="1">IF(表2_36716262930389121314151819[[#This Row],[累计净值]]/MAX(INDIRECT("B21:B" &amp; ROW()))-1&lt;E73,表2_36716262930389121314151819[[#This Row],[累计净值]]/MAX(INDIRECT("B21:B" &amp; ROW()))-1,E73)</f>
        <v>-5.3585500394010888E-2</v>
      </c>
      <c r="F74" s="110">
        <f>表2_36716262930389121314151819[[#This Row],[累计净值]]-0.144</f>
        <v>1.0790000000000002</v>
      </c>
      <c r="G74" s="20">
        <f>IF(表2_36716262930389121314151819[[#This Row],[单位净值]]&gt;1.088,0.8*(表2_36716262930389121314151819[[#This Row],[单位净值]]-1.088)/1.088,(表2_36716262930389121314151819[[#This Row],[单位净值]]-1.088)/1.088)</f>
        <v>-8.2720588235293165E-3</v>
      </c>
    </row>
    <row r="75" spans="1:7">
      <c r="A75" s="15">
        <v>44061</v>
      </c>
      <c r="B75" s="112">
        <v>1.226</v>
      </c>
      <c r="C75" s="108">
        <f t="shared" si="14"/>
        <v>2.9999999999998916E-3</v>
      </c>
      <c r="D75" s="109" t="str">
        <f t="shared" si="15"/>
        <v>/</v>
      </c>
      <c r="E75" s="109">
        <f ca="1">IF(表2_36716262930389121314151819[[#This Row],[累计净值]]/MAX(INDIRECT("B21:B" &amp; ROW()))-1&lt;E74,表2_36716262930389121314151819[[#This Row],[累计净值]]/MAX(INDIRECT("B21:B" &amp; ROW()))-1,E74)</f>
        <v>-5.3585500394010888E-2</v>
      </c>
      <c r="F75" s="110">
        <f>表2_36716262930389121314151819[[#This Row],[累计净值]]-0.144</f>
        <v>1.0820000000000001</v>
      </c>
      <c r="G75" s="20">
        <f>IF(表2_36716262930389121314151819[[#This Row],[单位净值]]&gt;1.088,0.8*(表2_36716262930389121314151819[[#This Row],[单位净值]]-1.088)/1.088,(表2_36716262930389121314151819[[#This Row],[单位净值]]-1.088)/1.088)</f>
        <v>-5.5147058823529459E-3</v>
      </c>
    </row>
    <row r="76" spans="1:7">
      <c r="A76" s="15">
        <v>44062</v>
      </c>
      <c r="B76" s="112">
        <v>1.2290000000000001</v>
      </c>
      <c r="C76" s="108">
        <f t="shared" si="14"/>
        <v>3.0000000000001137E-3</v>
      </c>
      <c r="D76" s="109" t="str">
        <f t="shared" si="15"/>
        <v>/</v>
      </c>
      <c r="E76" s="109">
        <f ca="1">IF(表2_36716262930389121314151819[[#This Row],[累计净值]]/MAX(INDIRECT("B21:B" &amp; ROW()))-1&lt;E75,表2_36716262930389121314151819[[#This Row],[累计净值]]/MAX(INDIRECT("B21:B" &amp; ROW()))-1,E75)</f>
        <v>-5.3585500394010888E-2</v>
      </c>
      <c r="F76" s="110">
        <f>表2_36716262930389121314151819[[#This Row],[累计净值]]-0.144</f>
        <v>1.0850000000000002</v>
      </c>
      <c r="G76" s="20">
        <f>IF(表2_36716262930389121314151819[[#This Row],[单位净值]]&gt;1.088,0.8*(表2_36716262930389121314151819[[#This Row],[单位净值]]-1.088)/1.088,(表2_36716262930389121314151819[[#This Row],[单位净值]]-1.088)/1.088)</f>
        <v>-2.7573529411763706E-3</v>
      </c>
    </row>
    <row r="77" spans="1:7">
      <c r="A77" s="15">
        <v>44063</v>
      </c>
      <c r="B77" s="112">
        <v>1.232</v>
      </c>
      <c r="C77" s="108">
        <f t="shared" ref="C77:C83" si="16">IFERROR(B77-B76,0)</f>
        <v>2.9999999999998916E-3</v>
      </c>
      <c r="D77" s="109" t="str">
        <f t="shared" ref="D77:D83" si="17">IF(C77&lt;0,C77,"/")</f>
        <v>/</v>
      </c>
      <c r="E77" s="109">
        <f ca="1">IF(表2_36716262930389121314151819[[#This Row],[累计净值]]/MAX(INDIRECT("B21:B" &amp; ROW()))-1&lt;E76,表2_36716262930389121314151819[[#This Row],[累计净值]]/MAX(INDIRECT("B21:B" &amp; ROW()))-1,E76)</f>
        <v>-5.3585500394010888E-2</v>
      </c>
      <c r="F77" s="110">
        <f>表2_36716262930389121314151819[[#This Row],[累计净值]]-0.144</f>
        <v>1.0880000000000001</v>
      </c>
      <c r="G77" s="20">
        <f>IF(表2_36716262930389121314151819[[#This Row],[单位净值]]&gt;1.088,0.8*(表2_36716262930389121314151819[[#This Row],[单位净值]]-1.088)/1.088,(表2_36716262930389121314151819[[#This Row],[单位净值]]-1.088)/1.088)</f>
        <v>0</v>
      </c>
    </row>
    <row r="78" spans="1:7">
      <c r="A78" s="15">
        <v>44064</v>
      </c>
      <c r="B78" s="112">
        <v>1.2390000000000001</v>
      </c>
      <c r="C78" s="108">
        <f t="shared" si="16"/>
        <v>7.0000000000001172E-3</v>
      </c>
      <c r="D78" s="109" t="str">
        <f t="shared" si="17"/>
        <v>/</v>
      </c>
      <c r="E78" s="109">
        <f ca="1">IF(表2_36716262930389121314151819[[#This Row],[累计净值]]/MAX(INDIRECT("B21:B" &amp; ROW()))-1&lt;E77,表2_36716262930389121314151819[[#This Row],[累计净值]]/MAX(INDIRECT("B21:B" &amp; ROW()))-1,E77)</f>
        <v>-5.3585500394010888E-2</v>
      </c>
      <c r="F78" s="110">
        <f>表2_36716262930389121314151819[[#This Row],[累计净值]]-0.144</f>
        <v>1.0950000000000002</v>
      </c>
      <c r="G78" s="20">
        <f>IF(表2_36716262930389121314151819[[#This Row],[单位净值]]&gt;1.088,0.8*(表2_36716262930389121314151819[[#This Row],[单位净值]]-1.088)/1.088,(表2_36716262930389121314151819[[#This Row],[单位净值]]-1.088)/1.088)</f>
        <v>5.1470588235294984E-3</v>
      </c>
    </row>
    <row r="79" spans="1:7">
      <c r="A79" s="15">
        <v>44067</v>
      </c>
      <c r="B79" s="112">
        <v>1.2310000000000001</v>
      </c>
      <c r="C79" s="108">
        <f t="shared" si="16"/>
        <v>-8.0000000000000071E-3</v>
      </c>
      <c r="D79" s="109">
        <f t="shared" si="17"/>
        <v>-8.0000000000000071E-3</v>
      </c>
      <c r="E79" s="109">
        <f ca="1">IF(表2_36716262930389121314151819[[#This Row],[累计净值]]/MAX(INDIRECT("B21:B" &amp; ROW()))-1&lt;E78,表2_36716262930389121314151819[[#This Row],[累计净值]]/MAX(INDIRECT("B21:B" &amp; ROW()))-1,E78)</f>
        <v>-5.3585500394010888E-2</v>
      </c>
      <c r="F79" s="110">
        <f>表2_36716262930389121314151819[[#This Row],[累计净值]]-0.144</f>
        <v>1.0870000000000002</v>
      </c>
      <c r="G79" s="20">
        <f>IF(表2_36716262930389121314151819[[#This Row],[单位净值]]&gt;1.088,0.8*(表2_36716262930389121314151819[[#This Row],[单位净值]]-1.088)/1.088,(表2_36716262930389121314151819[[#This Row],[单位净值]]-1.088)/1.088)</f>
        <v>-9.1911764705872225E-4</v>
      </c>
    </row>
    <row r="80" spans="1:7">
      <c r="A80" s="15">
        <v>44068</v>
      </c>
      <c r="B80" s="112">
        <v>1.23</v>
      </c>
      <c r="C80" s="108">
        <f t="shared" si="16"/>
        <v>-1.0000000000001119E-3</v>
      </c>
      <c r="D80" s="109">
        <f t="shared" si="17"/>
        <v>-1.0000000000001119E-3</v>
      </c>
      <c r="E80" s="109">
        <f ca="1">IF(表2_36716262930389121314151819[[#This Row],[累计净值]]/MAX(INDIRECT("B21:B" &amp; ROW()))-1&lt;E79,表2_36716262930389121314151819[[#This Row],[累计净值]]/MAX(INDIRECT("B21:B" &amp; ROW()))-1,E79)</f>
        <v>-5.3585500394010888E-2</v>
      </c>
      <c r="F80" s="110">
        <f>表2_36716262930389121314151819[[#This Row],[累计净值]]-0.144</f>
        <v>1.0860000000000001</v>
      </c>
      <c r="G80" s="20">
        <f>IF(表2_36716262930389121314151819[[#This Row],[单位净值]]&gt;1.088,0.8*(表2_36716262930389121314151819[[#This Row],[单位净值]]-1.088)/1.088,(表2_36716262930389121314151819[[#This Row],[单位净值]]-1.088)/1.088)</f>
        <v>-1.8382352941176486E-3</v>
      </c>
    </row>
    <row r="81" spans="1:7">
      <c r="A81" s="15">
        <v>44069</v>
      </c>
      <c r="B81" s="112">
        <v>1.226</v>
      </c>
      <c r="C81" s="108">
        <f t="shared" si="16"/>
        <v>-4.0000000000000036E-3</v>
      </c>
      <c r="D81" s="109">
        <f t="shared" si="17"/>
        <v>-4.0000000000000036E-3</v>
      </c>
      <c r="E81" s="109">
        <f ca="1">IF(表2_36716262930389121314151819[[#This Row],[累计净值]]/MAX(INDIRECT("B21:B" &amp; ROW()))-1&lt;E80,表2_36716262930389121314151819[[#This Row],[累计净值]]/MAX(INDIRECT("B21:B" &amp; ROW()))-1,E80)</f>
        <v>-5.3585500394010888E-2</v>
      </c>
      <c r="F81" s="110">
        <f>表2_36716262930389121314151819[[#This Row],[累计净值]]-0.144</f>
        <v>1.0820000000000001</v>
      </c>
      <c r="G81" s="20">
        <f>IF(表2_36716262930389121314151819[[#This Row],[单位净值]]&gt;1.088,0.8*(表2_36716262930389121314151819[[#This Row],[单位净值]]-1.088)/1.088,(表2_36716262930389121314151819[[#This Row],[单位净值]]-1.088)/1.088)</f>
        <v>-5.5147058823529459E-3</v>
      </c>
    </row>
    <row r="82" spans="1:7">
      <c r="A82" s="15">
        <v>44070</v>
      </c>
      <c r="B82" s="112">
        <v>1.22</v>
      </c>
      <c r="C82" s="108">
        <f t="shared" si="16"/>
        <v>-6.0000000000000053E-3</v>
      </c>
      <c r="D82" s="109">
        <f t="shared" si="17"/>
        <v>-6.0000000000000053E-3</v>
      </c>
      <c r="E82" s="109">
        <f ca="1">IF(表2_36716262930389121314151819[[#This Row],[累计净值]]/MAX(INDIRECT("B21:B" &amp; ROW()))-1&lt;E81,表2_36716262930389121314151819[[#This Row],[累计净值]]/MAX(INDIRECT("B21:B" &amp; ROW()))-1,E81)</f>
        <v>-5.3585500394010888E-2</v>
      </c>
      <c r="F82" s="110">
        <f>表2_36716262930389121314151819[[#This Row],[累计净值]]-0.144</f>
        <v>1.0760000000000001</v>
      </c>
      <c r="G82" s="20">
        <f>IF(表2_36716262930389121314151819[[#This Row],[单位净值]]&gt;1.088,0.8*(表2_36716262930389121314151819[[#This Row],[单位净值]]-1.088)/1.088,(表2_36716262930389121314151819[[#This Row],[单位净值]]-1.088)/1.088)</f>
        <v>-1.1029411764705892E-2</v>
      </c>
    </row>
    <row r="83" spans="1:7">
      <c r="A83" s="15">
        <v>44071</v>
      </c>
      <c r="B83" s="112">
        <v>1.222</v>
      </c>
      <c r="C83" s="108">
        <f t="shared" si="16"/>
        <v>2.0000000000000018E-3</v>
      </c>
      <c r="D83" s="109" t="str">
        <f t="shared" si="17"/>
        <v>/</v>
      </c>
      <c r="E83" s="109">
        <f ca="1">IF(表2_36716262930389121314151819[[#This Row],[累计净值]]/MAX(INDIRECT("B21:B" &amp; ROW()))-1&lt;E82,表2_36716262930389121314151819[[#This Row],[累计净值]]/MAX(INDIRECT("B21:B" &amp; ROW()))-1,E82)</f>
        <v>-5.3585500394010888E-2</v>
      </c>
      <c r="F83" s="110">
        <f>表2_36716262930389121314151819[[#This Row],[累计净值]]-0.144</f>
        <v>1.0780000000000001</v>
      </c>
      <c r="G83" s="20">
        <f>IF(表2_36716262930389121314151819[[#This Row],[单位净值]]&gt;1.088,0.8*(表2_36716262930389121314151819[[#This Row],[单位净值]]-1.088)/1.088,(表2_36716262930389121314151819[[#This Row],[单位净值]]-1.088)/1.088)</f>
        <v>-9.1911764705882425E-3</v>
      </c>
    </row>
    <row r="84" spans="1:7">
      <c r="A84" s="15">
        <v>44074</v>
      </c>
      <c r="B84" s="112">
        <v>1.2270000000000001</v>
      </c>
      <c r="C84" s="108">
        <f t="shared" ref="C84:C90" si="18">IFERROR(B84-B83,0)</f>
        <v>5.0000000000001155E-3</v>
      </c>
      <c r="D84" s="109" t="str">
        <f t="shared" ref="D84:D90" si="19">IF(C84&lt;0,C84,"/")</f>
        <v>/</v>
      </c>
      <c r="E84" s="109">
        <f ca="1">IF(表2_36716262930389121314151819[[#This Row],[累计净值]]/MAX(INDIRECT("B21:B" &amp; ROW()))-1&lt;E83,表2_36716262930389121314151819[[#This Row],[累计净值]]/MAX(INDIRECT("B21:B" &amp; ROW()))-1,E83)</f>
        <v>-5.3585500394010888E-2</v>
      </c>
      <c r="F84" s="110">
        <f>表2_36716262930389121314151819[[#This Row],[累计净值]]-0.144</f>
        <v>1.0830000000000002</v>
      </c>
      <c r="G84" s="20">
        <f>IF(表2_36716262930389121314151819[[#This Row],[单位净值]]&gt;1.088,0.8*(表2_36716262930389121314151819[[#This Row],[单位净值]]-1.088)/1.088,(表2_36716262930389121314151819[[#This Row],[单位净值]]-1.088)/1.088)</f>
        <v>-4.5955882352940198E-3</v>
      </c>
    </row>
    <row r="85" spans="1:7">
      <c r="A85" s="15">
        <v>44075</v>
      </c>
      <c r="B85" s="112">
        <v>1.23</v>
      </c>
      <c r="C85" s="108">
        <f t="shared" si="18"/>
        <v>2.9999999999998916E-3</v>
      </c>
      <c r="D85" s="109" t="str">
        <f t="shared" si="19"/>
        <v>/</v>
      </c>
      <c r="E85" s="109">
        <f ca="1">IF(表2_36716262930389121314151819[[#This Row],[累计净值]]/MAX(INDIRECT("B21:B" &amp; ROW()))-1&lt;E84,表2_36716262930389121314151819[[#This Row],[累计净值]]/MAX(INDIRECT("B21:B" &amp; ROW()))-1,E84)</f>
        <v>-5.3585500394010888E-2</v>
      </c>
      <c r="F85" s="110">
        <f>表2_36716262930389121314151819[[#This Row],[累计净值]]-0.144</f>
        <v>1.0860000000000001</v>
      </c>
      <c r="G85" s="20">
        <f>IF(表2_36716262930389121314151819[[#This Row],[单位净值]]&gt;1.088,0.8*(表2_36716262930389121314151819[[#This Row],[单位净值]]-1.088)/1.088,(表2_36716262930389121314151819[[#This Row],[单位净值]]-1.088)/1.088)</f>
        <v>-1.8382352941176486E-3</v>
      </c>
    </row>
    <row r="86" spans="1:7">
      <c r="A86" s="15">
        <v>44076</v>
      </c>
      <c r="B86" s="112">
        <v>1.24</v>
      </c>
      <c r="C86" s="108">
        <f t="shared" si="18"/>
        <v>1.0000000000000009E-2</v>
      </c>
      <c r="D86" s="109" t="str">
        <f t="shared" si="19"/>
        <v>/</v>
      </c>
      <c r="E86" s="109">
        <f ca="1">IF(表2_36716262930389121314151819[[#This Row],[累计净值]]/MAX(INDIRECT("B21:B" &amp; ROW()))-1&lt;E85,表2_36716262930389121314151819[[#This Row],[累计净值]]/MAX(INDIRECT("B21:B" &amp; ROW()))-1,E85)</f>
        <v>-5.3585500394010888E-2</v>
      </c>
      <c r="F86" s="110">
        <f>表2_36716262930389121314151819[[#This Row],[累计净值]]-0.144</f>
        <v>1.0960000000000001</v>
      </c>
      <c r="G86" s="20">
        <f>IF(表2_36716262930389121314151819[[#This Row],[单位净值]]&gt;1.088,0.8*(表2_36716262930389121314151819[[#This Row],[单位净值]]-1.088)/1.088,(表2_36716262930389121314151819[[#This Row],[单位净值]]-1.088)/1.088)</f>
        <v>5.8823529411764757E-3</v>
      </c>
    </row>
    <row r="87" spans="1:7">
      <c r="A87" s="15">
        <v>44077</v>
      </c>
      <c r="B87" s="112">
        <v>1.256</v>
      </c>
      <c r="C87" s="108">
        <f t="shared" si="18"/>
        <v>1.6000000000000014E-2</v>
      </c>
      <c r="D87" s="109" t="str">
        <f t="shared" si="19"/>
        <v>/</v>
      </c>
      <c r="E87" s="109">
        <f ca="1">IF(表2_36716262930389121314151819[[#This Row],[累计净值]]/MAX(INDIRECT("B21:B" &amp; ROW()))-1&lt;E86,表2_36716262930389121314151819[[#This Row],[累计净值]]/MAX(INDIRECT("B21:B" &amp; ROW()))-1,E86)</f>
        <v>-5.3585500394010888E-2</v>
      </c>
      <c r="F87" s="110">
        <f>表2_36716262930389121314151819[[#This Row],[累计净值]]-0.144</f>
        <v>1.1120000000000001</v>
      </c>
      <c r="G87" s="20">
        <f>IF(表2_36716262930389121314151819[[#This Row],[单位净值]]&gt;1.088,0.8*(表2_36716262930389121314151819[[#This Row],[单位净值]]-1.088)/1.088,(表2_36716262930389121314151819[[#This Row],[单位净值]]-1.088)/1.088)</f>
        <v>1.7647058823529429E-2</v>
      </c>
    </row>
    <row r="88" spans="1:7">
      <c r="A88" s="15">
        <v>44078</v>
      </c>
      <c r="B88" s="112">
        <v>1.2589999999999999</v>
      </c>
      <c r="C88" s="108">
        <f t="shared" si="18"/>
        <v>2.9999999999998916E-3</v>
      </c>
      <c r="D88" s="109" t="str">
        <f t="shared" si="19"/>
        <v>/</v>
      </c>
      <c r="E88" s="109">
        <f ca="1">IF(表2_36716262930389121314151819[[#This Row],[累计净值]]/MAX(INDIRECT("B21:B" &amp; ROW()))-1&lt;E87,表2_36716262930389121314151819[[#This Row],[累计净值]]/MAX(INDIRECT("B21:B" &amp; ROW()))-1,E87)</f>
        <v>-5.3585500394010888E-2</v>
      </c>
      <c r="F88" s="110">
        <f>表2_36716262930389121314151819[[#This Row],[累计净值]]-0.144</f>
        <v>1.115</v>
      </c>
      <c r="G88" s="20">
        <f>IF(表2_36716262930389121314151819[[#This Row],[单位净值]]&gt;1.088,0.8*(表2_36716262930389121314151819[[#This Row],[单位净值]]-1.088)/1.088,(表2_36716262930389121314151819[[#This Row],[单位净值]]-1.088)/1.088)</f>
        <v>1.9852941176470525E-2</v>
      </c>
    </row>
    <row r="89" spans="1:7">
      <c r="A89" s="15">
        <v>44081</v>
      </c>
      <c r="B89" s="112">
        <v>1.262</v>
      </c>
      <c r="C89" s="108">
        <f t="shared" si="18"/>
        <v>3.0000000000001137E-3</v>
      </c>
      <c r="D89" s="109" t="str">
        <f t="shared" si="19"/>
        <v>/</v>
      </c>
      <c r="E89" s="109">
        <f ca="1">IF(表2_36716262930389121314151819[[#This Row],[累计净值]]/MAX(INDIRECT("B21:B" &amp; ROW()))-1&lt;E88,表2_36716262930389121314151819[[#This Row],[累计净值]]/MAX(INDIRECT("B21:B" &amp; ROW()))-1,E88)</f>
        <v>-5.3585500394010888E-2</v>
      </c>
      <c r="F89" s="110">
        <f>表2_36716262930389121314151819[[#This Row],[累计净值]]-0.144</f>
        <v>1.1180000000000001</v>
      </c>
      <c r="G89" s="20">
        <f>IF(表2_36716262930389121314151819[[#This Row],[单位净值]]&gt;1.088,0.8*(表2_36716262930389121314151819[[#This Row],[单位净值]]-1.088)/1.088,(表2_36716262930389121314151819[[#This Row],[单位净值]]-1.088)/1.088)</f>
        <v>2.2058823529411783E-2</v>
      </c>
    </row>
    <row r="90" spans="1:7">
      <c r="A90" s="15">
        <v>44082</v>
      </c>
      <c r="B90" s="112">
        <v>1.2649999999999999</v>
      </c>
      <c r="C90" s="108">
        <f t="shared" si="18"/>
        <v>2.9999999999998916E-3</v>
      </c>
      <c r="D90" s="109" t="str">
        <f t="shared" si="19"/>
        <v>/</v>
      </c>
      <c r="E90" s="109">
        <f ca="1">IF(表2_36716262930389121314151819[[#This Row],[累计净值]]/MAX(INDIRECT("B21:B" &amp; ROW()))-1&lt;E89,表2_36716262930389121314151819[[#This Row],[累计净值]]/MAX(INDIRECT("B21:B" &amp; ROW()))-1,E89)</f>
        <v>-5.3585500394010888E-2</v>
      </c>
      <c r="F90" s="110">
        <f>表2_36716262930389121314151819[[#This Row],[累计净值]]-0.144</f>
        <v>1.121</v>
      </c>
      <c r="G90" s="20">
        <f>IF(表2_36716262930389121314151819[[#This Row],[单位净值]]&gt;1.088,0.8*(表2_36716262930389121314151819[[#This Row],[单位净值]]-1.088)/1.088,(表2_36716262930389121314151819[[#This Row],[单位净值]]-1.088)/1.088)</f>
        <v>2.4264705882352883E-2</v>
      </c>
    </row>
    <row r="91" spans="1:7">
      <c r="A91" s="15">
        <v>44083</v>
      </c>
      <c r="B91" s="112">
        <v>1.3</v>
      </c>
      <c r="C91" s="108">
        <f t="shared" ref="C91:C96" si="20">IFERROR(B91-B90,0)</f>
        <v>3.5000000000000142E-2</v>
      </c>
      <c r="D91" s="109" t="str">
        <f t="shared" ref="D91:D96" si="21">IF(C91&lt;0,C91,"/")</f>
        <v>/</v>
      </c>
      <c r="E91" s="109">
        <f ca="1">IF(表2_36716262930389121314151819[[#This Row],[累计净值]]/MAX(INDIRECT("B21:B" &amp; ROW()))-1&lt;E90,表2_36716262930389121314151819[[#This Row],[累计净值]]/MAX(INDIRECT("B21:B" &amp; ROW()))-1,E90)</f>
        <v>-5.3585500394010888E-2</v>
      </c>
      <c r="F91" s="110">
        <f>表2_36716262930389121314151819[[#This Row],[累计净值]]-0.144</f>
        <v>1.1560000000000001</v>
      </c>
      <c r="G91" s="20">
        <f>IF(表2_36716262930389121314151819[[#This Row],[单位净值]]&gt;1.088,0.8*(表2_36716262930389121314151819[[#This Row],[单位净值]]-1.088)/1.088,(表2_36716262930389121314151819[[#This Row],[单位净值]]-1.088)/1.088)</f>
        <v>5.0000000000000044E-2</v>
      </c>
    </row>
    <row r="92" spans="1:7">
      <c r="A92" s="15">
        <v>44084</v>
      </c>
      <c r="B92" s="112">
        <v>1.3029999999999999</v>
      </c>
      <c r="C92" s="108">
        <f t="shared" si="20"/>
        <v>2.9999999999998916E-3</v>
      </c>
      <c r="D92" s="109" t="str">
        <f t="shared" si="21"/>
        <v>/</v>
      </c>
      <c r="E92" s="109">
        <f ca="1">IF(表2_36716262930389121314151819[[#This Row],[累计净值]]/MAX(INDIRECT("B21:B" &amp; ROW()))-1&lt;E91,表2_36716262930389121314151819[[#This Row],[累计净值]]/MAX(INDIRECT("B21:B" &amp; ROW()))-1,E91)</f>
        <v>-5.3585500394010888E-2</v>
      </c>
      <c r="F92" s="110">
        <f>表2_36716262930389121314151819[[#This Row],[累计净值]]-0.144</f>
        <v>1.159</v>
      </c>
      <c r="G92" s="20">
        <f>IF(表2_36716262930389121314151819[[#This Row],[单位净值]]&gt;1.088,0.8*(表2_36716262930389121314151819[[#This Row],[单位净值]]-1.088)/1.088,(表2_36716262930389121314151819[[#This Row],[单位净值]]-1.088)/1.088)</f>
        <v>5.2205882352941137E-2</v>
      </c>
    </row>
    <row r="93" spans="1:7">
      <c r="A93" s="15">
        <v>44085</v>
      </c>
      <c r="B93" s="112">
        <v>1.2989999999999999</v>
      </c>
      <c r="C93" s="108">
        <f t="shared" si="20"/>
        <v>-4.0000000000000036E-3</v>
      </c>
      <c r="D93" s="109">
        <f t="shared" si="21"/>
        <v>-4.0000000000000036E-3</v>
      </c>
      <c r="E93" s="109">
        <f ca="1">IF(表2_36716262930389121314151819[[#This Row],[累计净值]]/MAX(INDIRECT("B21:B" &amp; ROW()))-1&lt;E92,表2_36716262930389121314151819[[#This Row],[累计净值]]/MAX(INDIRECT("B21:B" &amp; ROW()))-1,E92)</f>
        <v>-5.3585500394010888E-2</v>
      </c>
      <c r="F93" s="110">
        <f>表2_36716262930389121314151819[[#This Row],[累计净值]]-0.144</f>
        <v>1.155</v>
      </c>
      <c r="G93" s="20">
        <f>IF(表2_36716262930389121314151819[[#This Row],[单位净值]]&gt;1.088,0.8*(表2_36716262930389121314151819[[#This Row],[单位净值]]-1.088)/1.088,(表2_36716262930389121314151819[[#This Row],[单位净值]]-1.088)/1.088)</f>
        <v>4.9264705882352898E-2</v>
      </c>
    </row>
    <row r="94" spans="1:7">
      <c r="A94" s="15">
        <v>44088</v>
      </c>
      <c r="B94" s="112">
        <v>1.3</v>
      </c>
      <c r="C94" s="108">
        <f t="shared" si="20"/>
        <v>1.0000000000001119E-3</v>
      </c>
      <c r="D94" s="109" t="str">
        <f t="shared" si="21"/>
        <v>/</v>
      </c>
      <c r="E94" s="109">
        <f ca="1">IF(表2_36716262930389121314151819[[#This Row],[累计净值]]/MAX(INDIRECT("B21:B" &amp; ROW()))-1&lt;E93,表2_36716262930389121314151819[[#This Row],[累计净值]]/MAX(INDIRECT("B21:B" &amp; ROW()))-1,E93)</f>
        <v>-5.3585500394010888E-2</v>
      </c>
      <c r="F94" s="110">
        <f>表2_36716262930389121314151819[[#This Row],[累计净值]]-0.144</f>
        <v>1.1560000000000001</v>
      </c>
      <c r="G94" s="20">
        <f>IF(表2_36716262930389121314151819[[#This Row],[单位净值]]&gt;1.088,0.8*(表2_36716262930389121314151819[[#This Row],[单位净值]]-1.088)/1.088,(表2_36716262930389121314151819[[#This Row],[单位净值]]-1.088)/1.088)</f>
        <v>5.0000000000000044E-2</v>
      </c>
    </row>
    <row r="95" spans="1:7">
      <c r="A95" s="15">
        <v>44089</v>
      </c>
      <c r="B95" s="112">
        <v>1.2989999999999999</v>
      </c>
      <c r="C95" s="108">
        <f t="shared" si="20"/>
        <v>-1.0000000000001119E-3</v>
      </c>
      <c r="D95" s="109">
        <f t="shared" si="21"/>
        <v>-1.0000000000001119E-3</v>
      </c>
      <c r="E95" s="109">
        <f ca="1">IF(表2_36716262930389121314151819[[#This Row],[累计净值]]/MAX(INDIRECT("B21:B" &amp; ROW()))-1&lt;E94,表2_36716262930389121314151819[[#This Row],[累计净值]]/MAX(INDIRECT("B21:B" &amp; ROW()))-1,E94)</f>
        <v>-5.3585500394010888E-2</v>
      </c>
      <c r="F95" s="110">
        <f>表2_36716262930389121314151819[[#This Row],[累计净值]]-0.144</f>
        <v>1.155</v>
      </c>
      <c r="G95" s="20">
        <f>IF(表2_36716262930389121314151819[[#This Row],[单位净值]]&gt;1.088,0.8*(表2_36716262930389121314151819[[#This Row],[单位净值]]-1.088)/1.088,(表2_36716262930389121314151819[[#This Row],[单位净值]]-1.088)/1.088)</f>
        <v>4.9264705882352898E-2</v>
      </c>
    </row>
    <row r="96" spans="1:7">
      <c r="A96" s="15">
        <v>44090</v>
      </c>
      <c r="B96" s="112">
        <v>1.28</v>
      </c>
      <c r="C96" s="108">
        <f t="shared" si="20"/>
        <v>-1.8999999999999906E-2</v>
      </c>
      <c r="D96" s="109">
        <f t="shared" si="21"/>
        <v>-1.8999999999999906E-2</v>
      </c>
      <c r="E96" s="109">
        <f ca="1">IF(表2_36716262930389121314151819[[#This Row],[累计净值]]/MAX(INDIRECT("B21:B" &amp; ROW()))-1&lt;E95,表2_36716262930389121314151819[[#This Row],[累计净值]]/MAX(INDIRECT("B21:B" &amp; ROW()))-1,E95)</f>
        <v>-5.3585500394010888E-2</v>
      </c>
      <c r="F96" s="110">
        <f>表2_36716262930389121314151819[[#This Row],[累计净值]]-0.144</f>
        <v>1.1360000000000001</v>
      </c>
      <c r="G96" s="20">
        <f>IF(表2_36716262930389121314151819[[#This Row],[单位净值]]&gt;1.088,0.8*(表2_36716262930389121314151819[[#This Row],[单位净值]]-1.088)/1.088,(表2_36716262930389121314151819[[#This Row],[单位净值]]-1.088)/1.088)</f>
        <v>3.5294117647058858E-2</v>
      </c>
    </row>
    <row r="97" spans="1:7">
      <c r="A97" s="15">
        <v>44091</v>
      </c>
      <c r="B97" s="112">
        <v>1.2689999999999999</v>
      </c>
      <c r="C97" s="108">
        <f t="shared" ref="C97:C102" si="22">IFERROR(B97-B96,0)</f>
        <v>-1.1000000000000121E-2</v>
      </c>
      <c r="D97" s="109">
        <f t="shared" ref="D97:D102" si="23">IF(C97&lt;0,C97,"/")</f>
        <v>-1.1000000000000121E-2</v>
      </c>
      <c r="E97" s="109">
        <f ca="1">IF(表2_36716262930389121314151819[[#This Row],[累计净值]]/MAX(INDIRECT("B21:B" &amp; ROW()))-1&lt;E96,表2_36716262930389121314151819[[#This Row],[累计净值]]/MAX(INDIRECT("B21:B" &amp; ROW()))-1,E96)</f>
        <v>-5.3585500394010888E-2</v>
      </c>
      <c r="F97" s="110">
        <f>表2_36716262930389121314151819[[#This Row],[累计净值]]-0.144</f>
        <v>1.125</v>
      </c>
      <c r="G97" s="20">
        <f>IF(表2_36716262930389121314151819[[#This Row],[单位净值]]&gt;1.088,0.8*(表2_36716262930389121314151819[[#This Row],[单位净值]]-1.088)/1.088,(表2_36716262930389121314151819[[#This Row],[单位净值]]-1.088)/1.088)</f>
        <v>2.7205882352941118E-2</v>
      </c>
    </row>
    <row r="98" spans="1:7">
      <c r="A98" s="15">
        <v>44092</v>
      </c>
      <c r="B98" s="112">
        <v>1.2629999999999999</v>
      </c>
      <c r="C98" s="108">
        <f t="shared" si="22"/>
        <v>-6.0000000000000053E-3</v>
      </c>
      <c r="D98" s="109">
        <f t="shared" si="23"/>
        <v>-6.0000000000000053E-3</v>
      </c>
      <c r="E98" s="109">
        <f ca="1">IF(表2_36716262930389121314151819[[#This Row],[累计净值]]/MAX(INDIRECT("B21:B" &amp; ROW()))-1&lt;E97,表2_36716262930389121314151819[[#This Row],[累计净值]]/MAX(INDIRECT("B21:B" &amp; ROW()))-1,E97)</f>
        <v>-5.3585500394010888E-2</v>
      </c>
      <c r="F98" s="110">
        <f>表2_36716262930389121314151819[[#This Row],[累计净值]]-0.144</f>
        <v>1.119</v>
      </c>
      <c r="G98" s="20">
        <f>IF(表2_36716262930389121314151819[[#This Row],[单位净值]]&gt;1.088,0.8*(表2_36716262930389121314151819[[#This Row],[单位净值]]-1.088)/1.088,(表2_36716262930389121314151819[[#This Row],[单位净值]]-1.088)/1.088)</f>
        <v>2.279411764705876E-2</v>
      </c>
    </row>
    <row r="99" spans="1:7">
      <c r="A99" s="15">
        <v>44095</v>
      </c>
      <c r="B99" s="112">
        <v>1.256</v>
      </c>
      <c r="C99" s="108">
        <f t="shared" si="22"/>
        <v>-6.9999999999998952E-3</v>
      </c>
      <c r="D99" s="109">
        <f t="shared" si="23"/>
        <v>-6.9999999999998952E-3</v>
      </c>
      <c r="E99" s="109">
        <f ca="1">IF(表2_36716262930389121314151819[[#This Row],[累计净值]]/MAX(INDIRECT("B21:B" &amp; ROW()))-1&lt;E98,表2_36716262930389121314151819[[#This Row],[累计净值]]/MAX(INDIRECT("B21:B" &amp; ROW()))-1,E98)</f>
        <v>-5.3585500394010888E-2</v>
      </c>
      <c r="F99" s="110">
        <f>表2_36716262930389121314151819[[#This Row],[累计净值]]-0.144</f>
        <v>1.1120000000000001</v>
      </c>
      <c r="G99" s="20">
        <f>IF(表2_36716262930389121314151819[[#This Row],[单位净值]]&gt;1.088,0.8*(表2_36716262930389121314151819[[#This Row],[单位净值]]-1.088)/1.088,(表2_36716262930389121314151819[[#This Row],[单位净值]]-1.088)/1.088)</f>
        <v>1.7647058823529429E-2</v>
      </c>
    </row>
    <row r="100" spans="1:7">
      <c r="A100" s="15">
        <v>44096</v>
      </c>
      <c r="B100" s="112">
        <v>1.266</v>
      </c>
      <c r="C100" s="108">
        <f t="shared" si="22"/>
        <v>1.0000000000000009E-2</v>
      </c>
      <c r="D100" s="109" t="str">
        <f t="shared" si="23"/>
        <v>/</v>
      </c>
      <c r="E100" s="109">
        <f ca="1">IF(表2_36716262930389121314151819[[#This Row],[累计净值]]/MAX(INDIRECT("B21:B" &amp; ROW()))-1&lt;E99,表2_36716262930389121314151819[[#This Row],[累计净值]]/MAX(INDIRECT("B21:B" &amp; ROW()))-1,E99)</f>
        <v>-5.3585500394010888E-2</v>
      </c>
      <c r="F100" s="110">
        <f>表2_36716262930389121314151819[[#This Row],[累计净值]]-0.144</f>
        <v>1.1220000000000001</v>
      </c>
      <c r="G100" s="20">
        <f>IF(表2_36716262930389121314151819[[#This Row],[单位净值]]&gt;1.088,0.8*(表2_36716262930389121314151819[[#This Row],[单位净值]]-1.088)/1.088,(表2_36716262930389121314151819[[#This Row],[单位净值]]-1.088)/1.088)</f>
        <v>2.5000000000000022E-2</v>
      </c>
    </row>
    <row r="101" spans="1:7">
      <c r="A101" s="15">
        <v>44097</v>
      </c>
      <c r="B101" s="112">
        <v>1.2709999999999999</v>
      </c>
      <c r="C101" s="108">
        <f t="shared" si="22"/>
        <v>4.9999999999998934E-3</v>
      </c>
      <c r="D101" s="109" t="str">
        <f t="shared" si="23"/>
        <v>/</v>
      </c>
      <c r="E101" s="109">
        <f ca="1">IF(表2_36716262930389121314151819[[#This Row],[累计净值]]/MAX(INDIRECT("B21:B" &amp; ROW()))-1&lt;E100,表2_36716262930389121314151819[[#This Row],[累计净值]]/MAX(INDIRECT("B21:B" &amp; ROW()))-1,E100)</f>
        <v>-5.3585500394010888E-2</v>
      </c>
      <c r="F101" s="110">
        <f>表2_36716262930389121314151819[[#This Row],[累计净值]]-0.144</f>
        <v>1.127</v>
      </c>
      <c r="G101" s="20">
        <f>IF(表2_36716262930389121314151819[[#This Row],[单位净值]]&gt;1.088,0.8*(表2_36716262930389121314151819[[#This Row],[单位净值]]-1.088)/1.088,(表2_36716262930389121314151819[[#This Row],[单位净值]]-1.088)/1.088)</f>
        <v>2.8676470588235237E-2</v>
      </c>
    </row>
    <row r="102" spans="1:7">
      <c r="A102" s="15">
        <v>44098</v>
      </c>
      <c r="B102" s="112">
        <v>1.2749999999999999</v>
      </c>
      <c r="C102" s="108">
        <f t="shared" si="22"/>
        <v>4.0000000000000036E-3</v>
      </c>
      <c r="D102" s="109" t="str">
        <f t="shared" si="23"/>
        <v>/</v>
      </c>
      <c r="E102" s="109">
        <f ca="1">IF(表2_36716262930389121314151819[[#This Row],[累计净值]]/MAX(INDIRECT("B21:B" &amp; ROW()))-1&lt;E101,表2_36716262930389121314151819[[#This Row],[累计净值]]/MAX(INDIRECT("B21:B" &amp; ROW()))-1,E101)</f>
        <v>-5.3585500394010888E-2</v>
      </c>
      <c r="F102" s="110">
        <f>表2_36716262930389121314151819[[#This Row],[累计净值]]-0.144</f>
        <v>1.131</v>
      </c>
      <c r="G102" s="20">
        <f>IF(表2_36716262930389121314151819[[#This Row],[单位净值]]&gt;1.088,0.8*(表2_36716262930389121314151819[[#This Row],[单位净值]]-1.088)/1.088,(表2_36716262930389121314151819[[#This Row],[单位净值]]-1.088)/1.088)</f>
        <v>3.161764705882348E-2</v>
      </c>
    </row>
    <row r="103" spans="1:7">
      <c r="A103" s="15">
        <v>44099</v>
      </c>
      <c r="B103" s="112">
        <v>1.2689999999999999</v>
      </c>
      <c r="C103" s="108">
        <f>IFERROR(B103-B102,0)</f>
        <v>-6.0000000000000053E-3</v>
      </c>
      <c r="D103" s="109">
        <f>IF(C103&lt;0,C103,"/")</f>
        <v>-6.0000000000000053E-3</v>
      </c>
      <c r="E103" s="109">
        <f ca="1">IF(表2_36716262930389121314151819[[#This Row],[累计净值]]/MAX(INDIRECT("B21:B" &amp; ROW()))-1&lt;E102,表2_36716262930389121314151819[[#This Row],[累计净值]]/MAX(INDIRECT("B21:B" &amp; ROW()))-1,E102)</f>
        <v>-5.3585500394010888E-2</v>
      </c>
      <c r="F103" s="110">
        <f>表2_36716262930389121314151819[[#This Row],[累计净值]]-0.144</f>
        <v>1.125</v>
      </c>
      <c r="G103" s="20">
        <f>IF(表2_36716262930389121314151819[[#This Row],[单位净值]]&gt;1.088,0.8*(表2_36716262930389121314151819[[#This Row],[单位净值]]-1.088)/1.088,(表2_36716262930389121314151819[[#This Row],[单位净值]]-1.088)/1.088)</f>
        <v>2.7205882352941118E-2</v>
      </c>
    </row>
    <row r="104" spans="1:7">
      <c r="A104" s="15">
        <v>44102</v>
      </c>
      <c r="B104" s="112">
        <v>1.2609999999999999</v>
      </c>
      <c r="C104" s="108">
        <f>IFERROR(B104-B103,0)</f>
        <v>-8.0000000000000071E-3</v>
      </c>
      <c r="D104" s="109">
        <f>IF(C104&lt;0,C104,"/")</f>
        <v>-8.0000000000000071E-3</v>
      </c>
      <c r="E104" s="109">
        <f ca="1">IF(表2_36716262930389121314151819[[#This Row],[累计净值]]/MAX(INDIRECT("B21:B" &amp; ROW()))-1&lt;E103,表2_36716262930389121314151819[[#This Row],[累计净值]]/MAX(INDIRECT("B21:B" &amp; ROW()))-1,E103)</f>
        <v>-5.3585500394010888E-2</v>
      </c>
      <c r="F104" s="110">
        <f>表2_36716262930389121314151819[[#This Row],[累计净值]]-0.144</f>
        <v>1.117</v>
      </c>
      <c r="G104" s="20">
        <f>IF(表2_36716262930389121314151819[[#This Row],[单位净值]]&gt;1.088,0.8*(表2_36716262930389121314151819[[#This Row],[单位净值]]-1.088)/1.088,(表2_36716262930389121314151819[[#This Row],[单位净值]]-1.088)/1.088)</f>
        <v>2.1323529411764644E-2</v>
      </c>
    </row>
    <row r="105" spans="1:7">
      <c r="A105" s="15">
        <v>44103</v>
      </c>
      <c r="B105" s="112">
        <v>1.264</v>
      </c>
      <c r="C105" s="108">
        <f t="shared" ref="C105:C106" si="24">IFERROR(B105-B104,0)</f>
        <v>3.0000000000001137E-3</v>
      </c>
      <c r="D105" s="109" t="str">
        <f t="shared" ref="D105:D106" si="25">IF(C105&lt;0,C105,"/")</f>
        <v>/</v>
      </c>
      <c r="E105" s="109">
        <f ca="1">IF(表2_36716262930389121314151819[[#This Row],[累计净值]]/MAX(INDIRECT("B21:B" &amp; ROW()))-1&lt;E104,表2_36716262930389121314151819[[#This Row],[累计净值]]/MAX(INDIRECT("B21:B" &amp; ROW()))-1,E104)</f>
        <v>-5.3585500394010888E-2</v>
      </c>
      <c r="F105" s="110">
        <f>表2_36716262930389121314151819[[#This Row],[累计净值]]-0.144</f>
        <v>1.1200000000000001</v>
      </c>
      <c r="G105" s="20">
        <f>IF(表2_36716262930389121314151819[[#This Row],[单位净值]]&gt;1.088,0.8*(表2_36716262930389121314151819[[#This Row],[单位净值]]-1.088)/1.088,(表2_36716262930389121314151819[[#This Row],[单位净值]]-1.088)/1.088)</f>
        <v>2.3529411764705903E-2</v>
      </c>
    </row>
    <row r="106" spans="1:7">
      <c r="A106" s="15">
        <v>44104</v>
      </c>
      <c r="B106" s="112">
        <v>1.2689999999999999</v>
      </c>
      <c r="C106" s="108">
        <f t="shared" si="24"/>
        <v>4.9999999999998934E-3</v>
      </c>
      <c r="D106" s="109" t="str">
        <f t="shared" si="25"/>
        <v>/</v>
      </c>
      <c r="E106" s="109">
        <f ca="1">IF(表2_36716262930389121314151819[[#This Row],[累计净值]]/MAX(INDIRECT("B21:B" &amp; ROW()))-1&lt;E105,表2_36716262930389121314151819[[#This Row],[累计净值]]/MAX(INDIRECT("B21:B" &amp; ROW()))-1,E105)</f>
        <v>-5.3585500394010888E-2</v>
      </c>
      <c r="F106" s="110">
        <f>表2_36716262930389121314151819[[#This Row],[累计净值]]-0.144</f>
        <v>1.125</v>
      </c>
      <c r="G106" s="20">
        <f>IF(表2_36716262930389121314151819[[#This Row],[单位净值]]&gt;1.088,0.8*(表2_36716262930389121314151819[[#This Row],[单位净值]]-1.088)/1.088,(表2_36716262930389121314151819[[#This Row],[单位净值]]-1.088)/1.088)</f>
        <v>2.7205882352941118E-2</v>
      </c>
    </row>
    <row r="107" spans="1:7">
      <c r="A107" s="15">
        <v>44113</v>
      </c>
      <c r="B107" s="112">
        <v>1.258</v>
      </c>
      <c r="C107" s="108">
        <f t="shared" ref="C107:C112" si="26">IFERROR(B107-B106,0)</f>
        <v>-1.0999999999999899E-2</v>
      </c>
      <c r="D107" s="109">
        <f t="shared" ref="D107:D112" si="27">IF(C107&lt;0,C107,"/")</f>
        <v>-1.0999999999999899E-2</v>
      </c>
      <c r="E107" s="109">
        <f ca="1">IF(表2_36716262930389121314151819[[#This Row],[累计净值]]/MAX(INDIRECT("B21:B" &amp; ROW()))-1&lt;E106,表2_36716262930389121314151819[[#This Row],[累计净值]]/MAX(INDIRECT("B21:B" &amp; ROW()))-1,E106)</f>
        <v>-5.3585500394010888E-2</v>
      </c>
      <c r="F107" s="110">
        <f>表2_36716262930389121314151819[[#This Row],[累计净值]]-0.144</f>
        <v>1.1140000000000001</v>
      </c>
      <c r="G107" s="20">
        <f>IF(表2_36716262930389121314151819[[#This Row],[单位净值]]&gt;1.088,0.8*(表2_36716262930389121314151819[[#This Row],[单位净值]]-1.088)/1.088,(表2_36716262930389121314151819[[#This Row],[单位净值]]-1.088)/1.088)</f>
        <v>1.9117647058823545E-2</v>
      </c>
    </row>
    <row r="108" spans="1:7">
      <c r="A108" s="15">
        <v>44116</v>
      </c>
      <c r="B108" s="112">
        <v>1.274</v>
      </c>
      <c r="C108" s="108">
        <f t="shared" si="26"/>
        <v>1.6000000000000014E-2</v>
      </c>
      <c r="D108" s="109" t="str">
        <f t="shared" si="27"/>
        <v>/</v>
      </c>
      <c r="E108" s="109">
        <f ca="1">IF(表2_36716262930389121314151819[[#This Row],[累计净值]]/MAX(INDIRECT("B21:B" &amp; ROW()))-1&lt;E107,表2_36716262930389121314151819[[#This Row],[累计净值]]/MAX(INDIRECT("B21:B" &amp; ROW()))-1,E107)</f>
        <v>-5.3585500394010888E-2</v>
      </c>
      <c r="F108" s="110">
        <f>表2_36716262930389121314151819[[#This Row],[累计净值]]-0.144</f>
        <v>1.1300000000000001</v>
      </c>
      <c r="G108" s="20">
        <f>IF(表2_36716262930389121314151819[[#This Row],[单位净值]]&gt;1.088,0.8*(表2_36716262930389121314151819[[#This Row],[单位净值]]-1.088)/1.088,(表2_36716262930389121314151819[[#This Row],[单位净值]]-1.088)/1.088)</f>
        <v>3.08823529411765E-2</v>
      </c>
    </row>
    <row r="109" spans="1:7">
      <c r="A109" s="15">
        <v>44117</v>
      </c>
      <c r="B109" s="112">
        <v>1.2709999999999999</v>
      </c>
      <c r="C109" s="108">
        <f t="shared" si="26"/>
        <v>-3.0000000000001137E-3</v>
      </c>
      <c r="D109" s="109">
        <f t="shared" si="27"/>
        <v>-3.0000000000001137E-3</v>
      </c>
      <c r="E109" s="109">
        <f ca="1">IF(表2_36716262930389121314151819[[#This Row],[累计净值]]/MAX(INDIRECT("B21:B" &amp; ROW()))-1&lt;E108,表2_36716262930389121314151819[[#This Row],[累计净值]]/MAX(INDIRECT("B21:B" &amp; ROW()))-1,E108)</f>
        <v>-5.3585500394010888E-2</v>
      </c>
      <c r="F109" s="110">
        <f>表2_36716262930389121314151819[[#This Row],[累计净值]]-0.144</f>
        <v>1.127</v>
      </c>
      <c r="G109" s="20">
        <f>IF(表2_36716262930389121314151819[[#This Row],[单位净值]]&gt;1.088,0.8*(表2_36716262930389121314151819[[#This Row],[单位净值]]-1.088)/1.088,(表2_36716262930389121314151819[[#This Row],[单位净值]]-1.088)/1.088)</f>
        <v>2.8676470588235237E-2</v>
      </c>
    </row>
    <row r="110" spans="1:7">
      <c r="A110" s="15">
        <v>44118</v>
      </c>
      <c r="B110" s="112">
        <v>1.2689999999999999</v>
      </c>
      <c r="C110" s="108">
        <f t="shared" si="26"/>
        <v>-2.0000000000000018E-3</v>
      </c>
      <c r="D110" s="109">
        <f t="shared" si="27"/>
        <v>-2.0000000000000018E-3</v>
      </c>
      <c r="E110" s="109">
        <f ca="1">IF(表2_36716262930389121314151819[[#This Row],[累计净值]]/MAX(INDIRECT("B21:B" &amp; ROW()))-1&lt;E109,表2_36716262930389121314151819[[#This Row],[累计净值]]/MAX(INDIRECT("B21:B" &amp; ROW()))-1,E109)</f>
        <v>-5.3585500394010888E-2</v>
      </c>
      <c r="F110" s="110">
        <f>表2_36716262930389121314151819[[#This Row],[累计净值]]-0.144</f>
        <v>1.125</v>
      </c>
      <c r="G110" s="20">
        <f>IF(表2_36716262930389121314151819[[#This Row],[单位净值]]&gt;1.088,0.8*(表2_36716262930389121314151819[[#This Row],[单位净值]]-1.088)/1.088,(表2_36716262930389121314151819[[#This Row],[单位净值]]-1.088)/1.088)</f>
        <v>2.7205882352941118E-2</v>
      </c>
    </row>
    <row r="111" spans="1:7">
      <c r="A111" s="15">
        <v>44119</v>
      </c>
      <c r="B111" s="112">
        <v>1.2589999999999999</v>
      </c>
      <c r="C111" s="108">
        <f t="shared" si="26"/>
        <v>-1.0000000000000009E-2</v>
      </c>
      <c r="D111" s="109">
        <f t="shared" si="27"/>
        <v>-1.0000000000000009E-2</v>
      </c>
      <c r="E111" s="109">
        <f ca="1">IF(表2_36716262930389121314151819[[#This Row],[累计净值]]/MAX(INDIRECT("B21:B" &amp; ROW()))-1&lt;E110,表2_36716262930389121314151819[[#This Row],[累计净值]]/MAX(INDIRECT("B21:B" &amp; ROW()))-1,E110)</f>
        <v>-5.3585500394010888E-2</v>
      </c>
      <c r="F111" s="110">
        <f>表2_36716262930389121314151819[[#This Row],[累计净值]]-0.144</f>
        <v>1.115</v>
      </c>
      <c r="G111" s="20">
        <f>IF(表2_36716262930389121314151819[[#This Row],[单位净值]]&gt;1.088,0.8*(表2_36716262930389121314151819[[#This Row],[单位净值]]-1.088)/1.088,(表2_36716262930389121314151819[[#This Row],[单位净值]]-1.088)/1.088)</f>
        <v>1.9852941176470525E-2</v>
      </c>
    </row>
    <row r="112" spans="1:7">
      <c r="A112" s="15">
        <v>44120</v>
      </c>
      <c r="B112" s="112">
        <v>1.2529999999999999</v>
      </c>
      <c r="C112" s="108">
        <f t="shared" si="26"/>
        <v>-6.0000000000000053E-3</v>
      </c>
      <c r="D112" s="109">
        <f t="shared" si="27"/>
        <v>-6.0000000000000053E-3</v>
      </c>
      <c r="E112" s="109">
        <f ca="1">IF(表2_36716262930389121314151819[[#This Row],[累计净值]]/MAX(INDIRECT("B21:B" &amp; ROW()))-1&lt;E111,表2_36716262930389121314151819[[#This Row],[累计净值]]/MAX(INDIRECT("B21:B" &amp; ROW()))-1,E111)</f>
        <v>-5.3585500394010888E-2</v>
      </c>
      <c r="F112" s="110">
        <f>表2_36716262930389121314151819[[#This Row],[累计净值]]-0.144</f>
        <v>1.109</v>
      </c>
      <c r="G112" s="20">
        <f>IF(表2_36716262930389121314151819[[#This Row],[单位净值]]&gt;1.088,0.8*(表2_36716262930389121314151819[[#This Row],[单位净值]]-1.088)/1.088,(表2_36716262930389121314151819[[#This Row],[单位净值]]-1.088)/1.088)</f>
        <v>1.5441176470588167E-2</v>
      </c>
    </row>
    <row r="113" spans="1:7">
      <c r="A113" s="15">
        <v>44123</v>
      </c>
      <c r="B113" s="112">
        <v>1.2529999999999999</v>
      </c>
      <c r="C113" s="108">
        <f t="shared" ref="C113:C118" si="28">IFERROR(B113-B112,0)</f>
        <v>0</v>
      </c>
      <c r="D113" s="109" t="str">
        <f t="shared" ref="D113:D118" si="29">IF(C113&lt;0,C113,"/")</f>
        <v>/</v>
      </c>
      <c r="E113" s="109">
        <f ca="1">IF(表2_36716262930389121314151819[[#This Row],[累计净值]]/MAX(INDIRECT("B21:B" &amp; ROW()))-1&lt;E112,表2_36716262930389121314151819[[#This Row],[累计净值]]/MAX(INDIRECT("B21:B" &amp; ROW()))-1,E112)</f>
        <v>-5.3585500394010888E-2</v>
      </c>
      <c r="F113" s="110">
        <f>表2_36716262930389121314151819[[#This Row],[累计净值]]-0.144</f>
        <v>1.109</v>
      </c>
      <c r="G113" s="20">
        <f>IF(表2_36716262930389121314151819[[#This Row],[单位净值]]&gt;1.088,0.8*(表2_36716262930389121314151819[[#This Row],[单位净值]]-1.088)/1.088,(表2_36716262930389121314151819[[#This Row],[单位净值]]-1.088)/1.088)</f>
        <v>1.5441176470588167E-2</v>
      </c>
    </row>
    <row r="114" spans="1:7">
      <c r="A114" s="15">
        <v>44124</v>
      </c>
      <c r="B114" s="112">
        <v>1.2490000000000001</v>
      </c>
      <c r="C114" s="108">
        <f t="shared" si="28"/>
        <v>-3.9999999999997815E-3</v>
      </c>
      <c r="D114" s="109">
        <f t="shared" si="29"/>
        <v>-3.9999999999997815E-3</v>
      </c>
      <c r="E114" s="109">
        <f ca="1">IF(表2_36716262930389121314151819[[#This Row],[累计净值]]/MAX(INDIRECT("B21:B" &amp; ROW()))-1&lt;E113,表2_36716262930389121314151819[[#This Row],[累计净值]]/MAX(INDIRECT("B21:B" &amp; ROW()))-1,E113)</f>
        <v>-5.3585500394010888E-2</v>
      </c>
      <c r="F114" s="110">
        <f>表2_36716262930389121314151819[[#This Row],[累计净值]]-0.144</f>
        <v>1.1050000000000002</v>
      </c>
      <c r="G114" s="20">
        <f>IF(表2_36716262930389121314151819[[#This Row],[单位净值]]&gt;1.088,0.8*(表2_36716262930389121314151819[[#This Row],[单位净值]]-1.088)/1.088,(表2_36716262930389121314151819[[#This Row],[单位净值]]-1.088)/1.088)</f>
        <v>1.2500000000000093E-2</v>
      </c>
    </row>
    <row r="115" spans="1:7">
      <c r="A115" s="15">
        <v>44125</v>
      </c>
      <c r="B115" s="112">
        <v>1.244</v>
      </c>
      <c r="C115" s="108">
        <f t="shared" si="28"/>
        <v>-5.0000000000001155E-3</v>
      </c>
      <c r="D115" s="109">
        <f t="shared" si="29"/>
        <v>-5.0000000000001155E-3</v>
      </c>
      <c r="E115" s="109">
        <f ca="1">IF(表2_36716262930389121314151819[[#This Row],[累计净值]]/MAX(INDIRECT("B21:B" &amp; ROW()))-1&lt;E114,表2_36716262930389121314151819[[#This Row],[累计净值]]/MAX(INDIRECT("B21:B" &amp; ROW()))-1,E114)</f>
        <v>-5.3585500394010888E-2</v>
      </c>
      <c r="F115" s="110">
        <f>表2_36716262930389121314151819[[#This Row],[累计净值]]-0.144</f>
        <v>1.1000000000000001</v>
      </c>
      <c r="G115" s="20">
        <f>IF(表2_36716262930389121314151819[[#This Row],[单位净值]]&gt;1.088,0.8*(表2_36716262930389121314151819[[#This Row],[单位净值]]-1.088)/1.088,(表2_36716262930389121314151819[[#This Row],[单位净值]]-1.088)/1.088)</f>
        <v>8.8235294117647144E-3</v>
      </c>
    </row>
    <row r="116" spans="1:7">
      <c r="A116" s="15">
        <v>44126</v>
      </c>
      <c r="B116" s="112">
        <v>1.246</v>
      </c>
      <c r="C116" s="108">
        <f t="shared" si="28"/>
        <v>2.0000000000000018E-3</v>
      </c>
      <c r="D116" s="109" t="str">
        <f t="shared" si="29"/>
        <v>/</v>
      </c>
      <c r="E116" s="109">
        <f ca="1">IF(表2_36716262930389121314151819[[#This Row],[累计净值]]/MAX(INDIRECT("B21:B" &amp; ROW()))-1&lt;E115,表2_36716262930389121314151819[[#This Row],[累计净值]]/MAX(INDIRECT("B21:B" &amp; ROW()))-1,E115)</f>
        <v>-5.3585500394010888E-2</v>
      </c>
      <c r="F116" s="110">
        <f>表2_36716262930389121314151819[[#This Row],[累计净值]]-0.144</f>
        <v>1.1020000000000001</v>
      </c>
      <c r="G116" s="20">
        <f>IF(表2_36716262930389121314151819[[#This Row],[单位净值]]&gt;1.088,0.8*(表2_36716262930389121314151819[[#This Row],[单位净值]]-1.088)/1.088,(表2_36716262930389121314151819[[#This Row],[单位净值]]-1.088)/1.088)</f>
        <v>1.0294117647058832E-2</v>
      </c>
    </row>
    <row r="117" spans="1:7">
      <c r="A117" s="15">
        <v>44127</v>
      </c>
      <c r="B117" s="112">
        <v>1.236</v>
      </c>
      <c r="C117" s="108">
        <f t="shared" si="28"/>
        <v>-1.0000000000000009E-2</v>
      </c>
      <c r="D117" s="109">
        <f t="shared" si="29"/>
        <v>-1.0000000000000009E-2</v>
      </c>
      <c r="E117" s="109">
        <f ca="1">IF(表2_36716262930389121314151819[[#This Row],[累计净值]]/MAX(INDIRECT("B21:B" &amp; ROW()))-1&lt;E116,表2_36716262930389121314151819[[#This Row],[累计净值]]/MAX(INDIRECT("B21:B" &amp; ROW()))-1,E116)</f>
        <v>-5.3585500394010888E-2</v>
      </c>
      <c r="F117" s="110">
        <f>表2_36716262930389121314151819[[#This Row],[累计净值]]-0.144</f>
        <v>1.0920000000000001</v>
      </c>
      <c r="G117" s="20">
        <f>IF(表2_36716262930389121314151819[[#This Row],[单位净值]]&gt;1.088,0.8*(表2_36716262930389121314151819[[#This Row],[单位净值]]-1.088)/1.088,(表2_36716262930389121314151819[[#This Row],[单位净值]]-1.088)/1.088)</f>
        <v>2.9411764705882379E-3</v>
      </c>
    </row>
    <row r="118" spans="1:7">
      <c r="A118" s="15">
        <v>44130</v>
      </c>
      <c r="B118" s="112">
        <v>1.2430000000000001</v>
      </c>
      <c r="C118" s="108">
        <f t="shared" si="28"/>
        <v>7.0000000000001172E-3</v>
      </c>
      <c r="D118" s="109" t="str">
        <f t="shared" si="29"/>
        <v>/</v>
      </c>
      <c r="E118" s="109">
        <f ca="1">IF(表2_36716262930389121314151819[[#This Row],[累计净值]]/MAX(INDIRECT("B21:B" &amp; ROW()))-1&lt;E117,表2_36716262930389121314151819[[#This Row],[累计净值]]/MAX(INDIRECT("B21:B" &amp; ROW()))-1,E117)</f>
        <v>-5.3585500394010888E-2</v>
      </c>
      <c r="F118" s="110">
        <f>表2_36716262930389121314151819[[#This Row],[累计净值]]-0.144</f>
        <v>1.0990000000000002</v>
      </c>
      <c r="G118" s="20">
        <f>IF(表2_36716262930389121314151819[[#This Row],[单位净值]]&gt;1.088,0.8*(表2_36716262930389121314151819[[#This Row],[单位净值]]-1.088)/1.088,(表2_36716262930389121314151819[[#This Row],[单位净值]]-1.088)/1.088)</f>
        <v>8.0882352941177363E-3</v>
      </c>
    </row>
    <row r="119" spans="1:7">
      <c r="A119" s="15">
        <v>44131</v>
      </c>
      <c r="B119" s="112">
        <v>1.254</v>
      </c>
      <c r="C119" s="108">
        <f t="shared" ref="C119:C125" si="30">IFERROR(B119-B118,0)</f>
        <v>1.0999999999999899E-2</v>
      </c>
      <c r="D119" s="109" t="str">
        <f t="shared" ref="D119:D125" si="31">IF(C119&lt;0,C119,"/")</f>
        <v>/</v>
      </c>
      <c r="E119" s="109">
        <f ca="1">IF(表2_36716262930389121314151819[[#This Row],[累计净值]]/MAX(INDIRECT("B21:B" &amp; ROW()))-1&lt;E118,表2_36716262930389121314151819[[#This Row],[累计净值]]/MAX(INDIRECT("B21:B" &amp; ROW()))-1,E118)</f>
        <v>-5.3585500394010888E-2</v>
      </c>
      <c r="F119" s="110">
        <f>表2_36716262930389121314151819[[#This Row],[累计净值]]-0.144</f>
        <v>1.1100000000000001</v>
      </c>
      <c r="G119" s="20">
        <f>IF(表2_36716262930389121314151819[[#This Row],[单位净值]]&gt;1.088,0.8*(表2_36716262930389121314151819[[#This Row],[单位净值]]-1.088)/1.088,(表2_36716262930389121314151819[[#This Row],[单位净值]]-1.088)/1.088)</f>
        <v>1.6176470588235306E-2</v>
      </c>
    </row>
    <row r="120" spans="1:7">
      <c r="A120" s="15">
        <v>44132</v>
      </c>
      <c r="B120" s="112">
        <v>1.256</v>
      </c>
      <c r="C120" s="108">
        <f t="shared" si="30"/>
        <v>2.0000000000000018E-3</v>
      </c>
      <c r="D120" s="109" t="str">
        <f t="shared" si="31"/>
        <v>/</v>
      </c>
      <c r="E120" s="109">
        <f ca="1">IF(表2_36716262930389121314151819[[#This Row],[累计净值]]/MAX(INDIRECT("B21:B" &amp; ROW()))-1&lt;E119,表2_36716262930389121314151819[[#This Row],[累计净值]]/MAX(INDIRECT("B21:B" &amp; ROW()))-1,E119)</f>
        <v>-5.3585500394010888E-2</v>
      </c>
      <c r="F120" s="110">
        <f>表2_36716262930389121314151819[[#This Row],[累计净值]]-0.144</f>
        <v>1.1120000000000001</v>
      </c>
      <c r="G120" s="20">
        <f>IF(表2_36716262930389121314151819[[#This Row],[单位净值]]&gt;1.088,0.8*(表2_36716262930389121314151819[[#This Row],[单位净值]]-1.088)/1.088,(表2_36716262930389121314151819[[#This Row],[单位净值]]-1.088)/1.088)</f>
        <v>1.7647058823529429E-2</v>
      </c>
    </row>
    <row r="121" spans="1:7">
      <c r="A121" s="15">
        <v>44133</v>
      </c>
      <c r="B121" s="112">
        <v>1.2649999999999999</v>
      </c>
      <c r="C121" s="108">
        <f t="shared" si="30"/>
        <v>8.999999999999897E-3</v>
      </c>
      <c r="D121" s="109" t="str">
        <f t="shared" si="31"/>
        <v>/</v>
      </c>
      <c r="E121" s="109">
        <f ca="1">IF(表2_36716262930389121314151819[[#This Row],[累计净值]]/MAX(INDIRECT("B21:B" &amp; ROW()))-1&lt;E120,表2_36716262930389121314151819[[#This Row],[累计净值]]/MAX(INDIRECT("B21:B" &amp; ROW()))-1,E120)</f>
        <v>-5.3585500394010888E-2</v>
      </c>
      <c r="F121" s="110">
        <f>表2_36716262930389121314151819[[#This Row],[累计净值]]-0.144</f>
        <v>1.121</v>
      </c>
      <c r="G121" s="20">
        <f>IF(表2_36716262930389121314151819[[#This Row],[单位净值]]&gt;1.088,0.8*(表2_36716262930389121314151819[[#This Row],[单位净值]]-1.088)/1.088,(表2_36716262930389121314151819[[#This Row],[单位净值]]-1.088)/1.088)</f>
        <v>2.4264705882352883E-2</v>
      </c>
    </row>
    <row r="122" spans="1:7">
      <c r="A122" s="15">
        <v>44134</v>
      </c>
      <c r="B122" s="112">
        <v>1.3009999999999999</v>
      </c>
      <c r="C122" s="108">
        <f t="shared" si="30"/>
        <v>3.6000000000000032E-2</v>
      </c>
      <c r="D122" s="109" t="str">
        <f t="shared" si="31"/>
        <v>/</v>
      </c>
      <c r="E122" s="109">
        <f ca="1">IF(表2_36716262930389121314151819[[#This Row],[累计净值]]/MAX(INDIRECT("B21:B" &amp; ROW()))-1&lt;E121,表2_36716262930389121314151819[[#This Row],[累计净值]]/MAX(INDIRECT("B21:B" &amp; ROW()))-1,E121)</f>
        <v>-5.3585500394010888E-2</v>
      </c>
      <c r="F122" s="110">
        <f>表2_36716262930389121314151819[[#This Row],[累计净值]]-0.144</f>
        <v>1.157</v>
      </c>
      <c r="G122" s="20">
        <f>IF(表2_36716262930389121314151819[[#This Row],[单位净值]]&gt;1.088,0.8*(表2_36716262930389121314151819[[#This Row],[单位净值]]-1.088)/1.088,(表2_36716262930389121314151819[[#This Row],[单位净值]]-1.088)/1.088)</f>
        <v>5.0735294117647024E-2</v>
      </c>
    </row>
    <row r="123" spans="1:7">
      <c r="A123" s="15">
        <v>44137</v>
      </c>
      <c r="B123" s="112">
        <v>1.3069999999999999</v>
      </c>
      <c r="C123" s="108">
        <f t="shared" si="30"/>
        <v>6.0000000000000053E-3</v>
      </c>
      <c r="D123" s="109" t="str">
        <f t="shared" si="31"/>
        <v>/</v>
      </c>
      <c r="E123" s="109">
        <f ca="1">IF(表2_36716262930389121314151819[[#This Row],[累计净值]]/MAX(INDIRECT("B21:B" &amp; ROW()))-1&lt;E122,表2_36716262930389121314151819[[#This Row],[累计净值]]/MAX(INDIRECT("B21:B" &amp; ROW()))-1,E122)</f>
        <v>-5.3585500394010888E-2</v>
      </c>
      <c r="F123" s="110">
        <f>表2_36716262930389121314151819[[#This Row],[累计净值]]-0.144</f>
        <v>1.163</v>
      </c>
      <c r="G123" s="20">
        <f>IF(表2_36716262930389121314151819[[#This Row],[单位净值]]&gt;1.088,0.8*(表2_36716262930389121314151819[[#This Row],[单位净值]]-1.088)/1.088,(表2_36716262930389121314151819[[#This Row],[单位净值]]-1.088)/1.088)</f>
        <v>5.5147058823529382E-2</v>
      </c>
    </row>
    <row r="124" spans="1:7">
      <c r="A124" s="15">
        <v>44138</v>
      </c>
      <c r="B124" s="112">
        <v>1.3069999999999999</v>
      </c>
      <c r="C124" s="108">
        <f t="shared" si="30"/>
        <v>0</v>
      </c>
      <c r="D124" s="109" t="str">
        <f t="shared" si="31"/>
        <v>/</v>
      </c>
      <c r="E124" s="109">
        <f ca="1">IF(表2_36716262930389121314151819[[#This Row],[累计净值]]/MAX(INDIRECT("B21:B" &amp; ROW()))-1&lt;E123,表2_36716262930389121314151819[[#This Row],[累计净值]]/MAX(INDIRECT("B21:B" &amp; ROW()))-1,E123)</f>
        <v>-5.3585500394010888E-2</v>
      </c>
      <c r="F124" s="110">
        <f>表2_36716262930389121314151819[[#This Row],[累计净值]]-0.144</f>
        <v>1.163</v>
      </c>
      <c r="G124" s="20">
        <f>IF(表2_36716262930389121314151819[[#This Row],[单位净值]]&gt;1.088,0.8*(表2_36716262930389121314151819[[#This Row],[单位净值]]-1.088)/1.088,(表2_36716262930389121314151819[[#This Row],[单位净值]]-1.088)/1.088)</f>
        <v>5.5147058823529382E-2</v>
      </c>
    </row>
    <row r="125" spans="1:7">
      <c r="A125" s="15">
        <v>44139</v>
      </c>
      <c r="B125" s="112">
        <v>1.319</v>
      </c>
      <c r="C125" s="108">
        <f t="shared" si="30"/>
        <v>1.2000000000000011E-2</v>
      </c>
      <c r="D125" s="109" t="str">
        <f t="shared" si="31"/>
        <v>/</v>
      </c>
      <c r="E125" s="109">
        <f ca="1">IF(表2_36716262930389121314151819[[#This Row],[累计净值]]/MAX(INDIRECT("B21:B" &amp; ROW()))-1&lt;E124,表2_36716262930389121314151819[[#This Row],[累计净值]]/MAX(INDIRECT("B21:B" &amp; ROW()))-1,E124)</f>
        <v>-5.3585500394010888E-2</v>
      </c>
      <c r="F125" s="110">
        <f>表2_36716262930389121314151819[[#This Row],[累计净值]]-0.144</f>
        <v>1.175</v>
      </c>
      <c r="G125" s="20">
        <f>IF(表2_36716262930389121314151819[[#This Row],[单位净值]]&gt;1.088,0.8*(表2_36716262930389121314151819[[#This Row],[单位净值]]-1.088)/1.088,(表2_36716262930389121314151819[[#This Row],[单位净值]]-1.088)/1.088)</f>
        <v>6.3970588235294099E-2</v>
      </c>
    </row>
    <row r="126" spans="1:7">
      <c r="A126" s="15">
        <v>44140</v>
      </c>
      <c r="B126" s="112">
        <v>1.3129999999999999</v>
      </c>
      <c r="C126" s="108">
        <f t="shared" ref="C126:C131" si="32">IFERROR(B126-B125,0)</f>
        <v>-6.0000000000000053E-3</v>
      </c>
      <c r="D126" s="109">
        <f t="shared" ref="D126:D131" si="33">IF(C126&lt;0,C126,"/")</f>
        <v>-6.0000000000000053E-3</v>
      </c>
      <c r="E126" s="109">
        <f ca="1">IF(表2_36716262930389121314151819[[#This Row],[累计净值]]/MAX(INDIRECT("B21:B" &amp; ROW()))-1&lt;E125,表2_36716262930389121314151819[[#This Row],[累计净值]]/MAX(INDIRECT("B21:B" &amp; ROW()))-1,E125)</f>
        <v>-5.3585500394010888E-2</v>
      </c>
      <c r="F126" s="110">
        <f>表2_36716262930389121314151819[[#This Row],[累计净值]]-0.144</f>
        <v>1.169</v>
      </c>
      <c r="G126" s="20">
        <f>IF(表2_36716262930389121314151819[[#This Row],[单位净值]]&gt;1.088,0.8*(表2_36716262930389121314151819[[#This Row],[单位净值]]-1.088)/1.088,(表2_36716262930389121314151819[[#This Row],[单位净值]]-1.088)/1.088)</f>
        <v>5.9558823529411734E-2</v>
      </c>
    </row>
    <row r="127" spans="1:7">
      <c r="A127" s="15">
        <v>44141</v>
      </c>
      <c r="B127" s="112">
        <v>1.319</v>
      </c>
      <c r="C127" s="108">
        <f t="shared" si="32"/>
        <v>6.0000000000000053E-3</v>
      </c>
      <c r="D127" s="109" t="str">
        <f t="shared" si="33"/>
        <v>/</v>
      </c>
      <c r="E127" s="109">
        <f ca="1">IF(表2_36716262930389121314151819[[#This Row],[累计净值]]/MAX(INDIRECT("B21:B" &amp; ROW()))-1&lt;E126,表2_36716262930389121314151819[[#This Row],[累计净值]]/MAX(INDIRECT("B21:B" &amp; ROW()))-1,E126)</f>
        <v>-5.3585500394010888E-2</v>
      </c>
      <c r="F127" s="110">
        <f>表2_36716262930389121314151819[[#This Row],[累计净值]]-0.144</f>
        <v>1.175</v>
      </c>
      <c r="G127" s="20">
        <f>IF(表2_36716262930389121314151819[[#This Row],[单位净值]]&gt;1.088,0.8*(表2_36716262930389121314151819[[#This Row],[单位净值]]-1.088)/1.088,(表2_36716262930389121314151819[[#This Row],[单位净值]]-1.088)/1.088)</f>
        <v>6.3970588235294099E-2</v>
      </c>
    </row>
    <row r="128" spans="1:7">
      <c r="A128" s="15">
        <v>44144</v>
      </c>
      <c r="B128" s="117">
        <v>1.3380000000000001</v>
      </c>
      <c r="C128" s="108">
        <f t="shared" si="32"/>
        <v>1.9000000000000128E-2</v>
      </c>
      <c r="D128" s="109" t="str">
        <f t="shared" si="33"/>
        <v>/</v>
      </c>
      <c r="E128" s="109">
        <f ca="1">IF(表2_36716262930389121314151819[[#This Row],[累计净值]]/MAX(INDIRECT("B21:B" &amp; ROW()))-1&lt;E127,表2_36716262930389121314151819[[#This Row],[累计净值]]/MAX(INDIRECT("B21:B" &amp; ROW()))-1,E127)</f>
        <v>-5.3585500394010888E-2</v>
      </c>
      <c r="F128" s="110">
        <f>表2_36716262930389121314151819[[#This Row],[累计净值]]-0.144</f>
        <v>1.1940000000000002</v>
      </c>
      <c r="G128" s="20">
        <f>IF(表2_36716262930389121314151819[[#This Row],[单位净值]]&gt;1.088,0.8*(表2_36716262930389121314151819[[#This Row],[单位净值]]-1.088)/1.088,(表2_36716262930389121314151819[[#This Row],[单位净值]]-1.088)/1.088)</f>
        <v>7.7941176470588305E-2</v>
      </c>
    </row>
    <row r="129" spans="1:7">
      <c r="A129" s="15">
        <v>44145</v>
      </c>
      <c r="B129" s="112">
        <v>1.325</v>
      </c>
      <c r="C129" s="108">
        <f t="shared" si="32"/>
        <v>-1.3000000000000123E-2</v>
      </c>
      <c r="D129" s="109">
        <f t="shared" si="33"/>
        <v>-1.3000000000000123E-2</v>
      </c>
      <c r="E129" s="109">
        <f ca="1">IF(表2_36716262930389121314151819[[#This Row],[累计净值]]/MAX(INDIRECT("B21:B" &amp; ROW()))-1&lt;E128,表2_36716262930389121314151819[[#This Row],[累计净值]]/MAX(INDIRECT("B21:B" &amp; ROW()))-1,E128)</f>
        <v>-5.3585500394010888E-2</v>
      </c>
      <c r="F129" s="110">
        <f>表2_36716262930389121314151819[[#This Row],[累计净值]]-0.144</f>
        <v>1.181</v>
      </c>
      <c r="G129" s="20">
        <f>IF(表2_36716262930389121314151819[[#This Row],[单位净值]]&gt;1.088,0.8*(表2_36716262930389121314151819[[#This Row],[单位净值]]-1.088)/1.088,(表2_36716262930389121314151819[[#This Row],[单位净值]]-1.088)/1.088)</f>
        <v>6.838235294117645E-2</v>
      </c>
    </row>
    <row r="130" spans="1:7">
      <c r="A130" s="15">
        <v>44146</v>
      </c>
      <c r="B130" s="112">
        <v>1.323</v>
      </c>
      <c r="C130" s="108">
        <f t="shared" si="32"/>
        <v>-2.0000000000000018E-3</v>
      </c>
      <c r="D130" s="109">
        <f t="shared" si="33"/>
        <v>-2.0000000000000018E-3</v>
      </c>
      <c r="E130" s="109">
        <f ca="1">IF(表2_36716262930389121314151819[[#This Row],[累计净值]]/MAX(INDIRECT("B21:B" &amp; ROW()))-1&lt;E129,表2_36716262930389121314151819[[#This Row],[累计净值]]/MAX(INDIRECT("B21:B" &amp; ROW()))-1,E129)</f>
        <v>-5.3585500394010888E-2</v>
      </c>
      <c r="F130" s="110">
        <f>表2_36716262930389121314151819[[#This Row],[累计净值]]-0.144</f>
        <v>1.179</v>
      </c>
      <c r="G130" s="20">
        <f>IF(表2_36716262930389121314151819[[#This Row],[单位净值]]&gt;1.088,0.8*(表2_36716262930389121314151819[[#This Row],[单位净值]]-1.088)/1.088,(表2_36716262930389121314151819[[#This Row],[单位净值]]-1.088)/1.088)</f>
        <v>6.6911764705882323E-2</v>
      </c>
    </row>
    <row r="131" spans="1:7">
      <c r="A131" s="15">
        <v>44147</v>
      </c>
      <c r="B131" s="112">
        <v>1.3169999999999999</v>
      </c>
      <c r="C131" s="108">
        <f t="shared" si="32"/>
        <v>-6.0000000000000053E-3</v>
      </c>
      <c r="D131" s="109">
        <f t="shared" si="33"/>
        <v>-6.0000000000000053E-3</v>
      </c>
      <c r="E131" s="109">
        <f ca="1">IF(表2_36716262930389121314151819[[#This Row],[累计净值]]/MAX(INDIRECT("B21:B" &amp; ROW()))-1&lt;E130,表2_36716262930389121314151819[[#This Row],[累计净值]]/MAX(INDIRECT("B21:B" &amp; ROW()))-1,E130)</f>
        <v>-5.3585500394010888E-2</v>
      </c>
      <c r="F131" s="110">
        <f>表2_36716262930389121314151819[[#This Row],[累计净值]]-0.144</f>
        <v>1.173</v>
      </c>
      <c r="G131" s="20">
        <f>IF(表2_36716262930389121314151819[[#This Row],[单位净值]]&gt;1.088,0.8*(表2_36716262930389121314151819[[#This Row],[单位净值]]-1.088)/1.088,(表2_36716262930389121314151819[[#This Row],[单位净值]]-1.088)/1.088)</f>
        <v>6.2499999999999972E-2</v>
      </c>
    </row>
    <row r="132" spans="1:7">
      <c r="A132" s="15">
        <v>44148</v>
      </c>
      <c r="B132" s="112">
        <v>1.306</v>
      </c>
      <c r="C132" s="108">
        <f t="shared" ref="C132:C137" si="34">IFERROR(B132-B131,0)</f>
        <v>-1.0999999999999899E-2</v>
      </c>
      <c r="D132" s="109">
        <f t="shared" ref="D132:D137" si="35">IF(C132&lt;0,C132,"/")</f>
        <v>-1.0999999999999899E-2</v>
      </c>
      <c r="E132" s="109">
        <f ca="1">IF(表2_36716262930389121314151819[[#This Row],[累计净值]]/MAX(INDIRECT("B21:B" &amp; ROW()))-1&lt;E131,表2_36716262930389121314151819[[#This Row],[累计净值]]/MAX(INDIRECT("B21:B" &amp; ROW()))-1,E131)</f>
        <v>-5.3585500394010888E-2</v>
      </c>
      <c r="F132" s="110">
        <f>表2_36716262930389121314151819[[#This Row],[累计净值]]-0.144</f>
        <v>1.1620000000000001</v>
      </c>
      <c r="G132" s="20">
        <f>IF(表2_36716262930389121314151819[[#This Row],[单位净值]]&gt;1.088,0.8*(表2_36716262930389121314151819[[#This Row],[单位净值]]-1.088)/1.088,(表2_36716262930389121314151819[[#This Row],[单位净值]]-1.088)/1.088)</f>
        <v>5.4411764705882402E-2</v>
      </c>
    </row>
    <row r="133" spans="1:7">
      <c r="A133" s="15">
        <v>44151</v>
      </c>
      <c r="B133" s="112">
        <v>1.319</v>
      </c>
      <c r="C133" s="108">
        <f t="shared" si="34"/>
        <v>1.2999999999999901E-2</v>
      </c>
      <c r="D133" s="109" t="str">
        <f t="shared" si="35"/>
        <v>/</v>
      </c>
      <c r="E133" s="109">
        <f ca="1">IF(表2_36716262930389121314151819[[#This Row],[累计净值]]/MAX(INDIRECT("B21:B" &amp; ROW()))-1&lt;E132,表2_36716262930389121314151819[[#This Row],[累计净值]]/MAX(INDIRECT("B21:B" &amp; ROW()))-1,E132)</f>
        <v>-5.3585500394010888E-2</v>
      </c>
      <c r="F133" s="110">
        <f>表2_36716262930389121314151819[[#This Row],[累计净值]]-0.144</f>
        <v>1.175</v>
      </c>
      <c r="G133" s="20">
        <f>IF(表2_36716262930389121314151819[[#This Row],[单位净值]]&gt;1.088,0.8*(表2_36716262930389121314151819[[#This Row],[单位净值]]-1.088)/1.088,(表2_36716262930389121314151819[[#This Row],[单位净值]]-1.088)/1.088)</f>
        <v>6.3970588235294099E-2</v>
      </c>
    </row>
    <row r="134" spans="1:7">
      <c r="A134" s="15">
        <v>44152</v>
      </c>
      <c r="B134" s="112">
        <v>1.3080000000000001</v>
      </c>
      <c r="C134" s="108">
        <f t="shared" si="34"/>
        <v>-1.0999999999999899E-2</v>
      </c>
      <c r="D134" s="109">
        <f t="shared" si="35"/>
        <v>-1.0999999999999899E-2</v>
      </c>
      <c r="E134" s="109">
        <f ca="1">IF(表2_36716262930389121314151819[[#This Row],[累计净值]]/MAX(INDIRECT("B21:B" &amp; ROW()))-1&lt;E133,表2_36716262930389121314151819[[#This Row],[累计净值]]/MAX(INDIRECT("B21:B" &amp; ROW()))-1,E133)</f>
        <v>-5.3585500394010888E-2</v>
      </c>
      <c r="F134" s="110">
        <f>表2_36716262930389121314151819[[#This Row],[累计净值]]-0.144</f>
        <v>1.1640000000000001</v>
      </c>
      <c r="G134" s="20">
        <f>IF(表2_36716262930389121314151819[[#This Row],[单位净值]]&gt;1.088,0.8*(表2_36716262930389121314151819[[#This Row],[单位净值]]-1.088)/1.088,(表2_36716262930389121314151819[[#This Row],[单位净值]]-1.088)/1.088)</f>
        <v>5.5882352941176515E-2</v>
      </c>
    </row>
    <row r="135" spans="1:7">
      <c r="A135" s="15">
        <v>44153</v>
      </c>
      <c r="B135" s="112">
        <v>1.304</v>
      </c>
      <c r="C135" s="108">
        <f t="shared" si="34"/>
        <v>-4.0000000000000036E-3</v>
      </c>
      <c r="D135" s="109">
        <f t="shared" si="35"/>
        <v>-4.0000000000000036E-3</v>
      </c>
      <c r="E135" s="109">
        <f ca="1">IF(表2_36716262930389121314151819[[#This Row],[累计净值]]/MAX(INDIRECT("B21:B" &amp; ROW()))-1&lt;E134,表2_36716262930389121314151819[[#This Row],[累计净值]]/MAX(INDIRECT("B21:B" &amp; ROW()))-1,E134)</f>
        <v>-5.3585500394010888E-2</v>
      </c>
      <c r="F135" s="110">
        <f>表2_36716262930389121314151819[[#This Row],[累计净值]]-0.144</f>
        <v>1.1600000000000001</v>
      </c>
      <c r="G135" s="20">
        <f>IF(表2_36716262930389121314151819[[#This Row],[单位净值]]&gt;1.088,0.8*(表2_36716262930389121314151819[[#This Row],[单位净值]]-1.088)/1.088,(表2_36716262930389121314151819[[#This Row],[单位净值]]-1.088)/1.088)</f>
        <v>5.2941176470588283E-2</v>
      </c>
    </row>
    <row r="136" spans="1:7">
      <c r="A136" s="15">
        <v>44154</v>
      </c>
      <c r="B136" s="112">
        <v>1.2969999999999999</v>
      </c>
      <c r="C136" s="108">
        <f t="shared" si="34"/>
        <v>-7.0000000000001172E-3</v>
      </c>
      <c r="D136" s="109">
        <f t="shared" si="35"/>
        <v>-7.0000000000001172E-3</v>
      </c>
      <c r="E136" s="109">
        <f ca="1">IF(表2_36716262930389121314151819[[#This Row],[累计净值]]/MAX(INDIRECT("B21:B" &amp; ROW()))-1&lt;E135,表2_36716262930389121314151819[[#This Row],[累计净值]]/MAX(INDIRECT("B21:B" &amp; ROW()))-1,E135)</f>
        <v>-5.3585500394010888E-2</v>
      </c>
      <c r="F136" s="110">
        <f>表2_36716262930389121314151819[[#This Row],[累计净值]]-0.144</f>
        <v>1.153</v>
      </c>
      <c r="G136" s="20">
        <f>IF(表2_36716262930389121314151819[[#This Row],[单位净值]]&gt;1.088,0.8*(表2_36716262930389121314151819[[#This Row],[单位净值]]-1.088)/1.088,(表2_36716262930389121314151819[[#This Row],[单位净值]]-1.088)/1.088)</f>
        <v>4.7794117647058786E-2</v>
      </c>
    </row>
    <row r="137" spans="1:7">
      <c r="A137" s="15">
        <v>44155</v>
      </c>
      <c r="B137" s="112">
        <v>1.2929999999999999</v>
      </c>
      <c r="C137" s="108">
        <f t="shared" si="34"/>
        <v>-4.0000000000000036E-3</v>
      </c>
      <c r="D137" s="109">
        <f t="shared" si="35"/>
        <v>-4.0000000000000036E-3</v>
      </c>
      <c r="E137" s="109">
        <f ca="1">IF(表2_36716262930389121314151819[[#This Row],[累计净值]]/MAX(INDIRECT("B21:B" &amp; ROW()))-1&lt;E136,表2_36716262930389121314151819[[#This Row],[累计净值]]/MAX(INDIRECT("B21:B" &amp; ROW()))-1,E136)</f>
        <v>-5.3585500394010888E-2</v>
      </c>
      <c r="F137" s="110">
        <f>表2_36716262930389121314151819[[#This Row],[累计净值]]-0.144</f>
        <v>1.149</v>
      </c>
      <c r="G137" s="20">
        <f>IF(表2_36716262930389121314151819[[#This Row],[单位净值]]&gt;1.088,0.8*(表2_36716262930389121314151819[[#This Row],[单位净值]]-1.088)/1.088,(表2_36716262930389121314151819[[#This Row],[单位净值]]-1.088)/1.088)</f>
        <v>4.485294117647054E-2</v>
      </c>
    </row>
    <row r="138" spans="1:7">
      <c r="A138" s="15">
        <v>44158</v>
      </c>
      <c r="B138" s="112">
        <v>1.288</v>
      </c>
      <c r="C138" s="108">
        <f t="shared" ref="C138:C143" si="36">IFERROR(B138-B137,0)</f>
        <v>-4.9999999999998934E-3</v>
      </c>
      <c r="D138" s="109">
        <f t="shared" ref="D138:D143" si="37">IF(C138&lt;0,C138,"/")</f>
        <v>-4.9999999999998934E-3</v>
      </c>
      <c r="E138" s="109">
        <f ca="1">IF(表2_36716262930389121314151819[[#This Row],[累计净值]]/MAX(INDIRECT("B21:B" &amp; ROW()))-1&lt;E137,表2_36716262930389121314151819[[#This Row],[累计净值]]/MAX(INDIRECT("B21:B" &amp; ROW()))-1,E137)</f>
        <v>-5.3585500394010888E-2</v>
      </c>
      <c r="F138" s="110">
        <f>表2_36716262930389121314151819[[#This Row],[累计净值]]-0.144</f>
        <v>1.1440000000000001</v>
      </c>
      <c r="G138" s="20">
        <f>IF(表2_36716262930389121314151819[[#This Row],[单位净值]]&gt;1.088,0.8*(表2_36716262930389121314151819[[#This Row],[单位净值]]-1.088)/1.088,(表2_36716262930389121314151819[[#This Row],[单位净值]]-1.088)/1.088)</f>
        <v>4.1176470588235328E-2</v>
      </c>
    </row>
    <row r="139" spans="1:7">
      <c r="A139" s="15">
        <v>44159</v>
      </c>
      <c r="B139" s="112">
        <v>1.2889999999999999</v>
      </c>
      <c r="C139" s="108">
        <f t="shared" si="36"/>
        <v>9.9999999999988987E-4</v>
      </c>
      <c r="D139" s="109" t="str">
        <f t="shared" si="37"/>
        <v>/</v>
      </c>
      <c r="E139" s="109">
        <f ca="1">IF(表2_36716262930389121314151819[[#This Row],[累计净值]]/MAX(INDIRECT("B21:B" &amp; ROW()))-1&lt;E138,表2_36716262930389121314151819[[#This Row],[累计净值]]/MAX(INDIRECT("B21:B" &amp; ROW()))-1,E138)</f>
        <v>-5.3585500394010888E-2</v>
      </c>
      <c r="F139" s="110">
        <f>表2_36716262930389121314151819[[#This Row],[累计净值]]-0.144</f>
        <v>1.145</v>
      </c>
      <c r="G139" s="20">
        <f>IF(表2_36716262930389121314151819[[#This Row],[单位净值]]&gt;1.088,0.8*(表2_36716262930389121314151819[[#This Row],[单位净值]]-1.088)/1.088,(表2_36716262930389121314151819[[#This Row],[单位净值]]-1.088)/1.088)</f>
        <v>4.1911764705882308E-2</v>
      </c>
    </row>
    <row r="140" spans="1:7">
      <c r="A140" s="15">
        <v>44160</v>
      </c>
      <c r="B140" s="112">
        <v>1.32</v>
      </c>
      <c r="C140" s="108">
        <f t="shared" si="36"/>
        <v>3.1000000000000139E-2</v>
      </c>
      <c r="D140" s="109" t="str">
        <f t="shared" si="37"/>
        <v>/</v>
      </c>
      <c r="E140" s="109">
        <f ca="1">IF(表2_36716262930389121314151819[[#This Row],[累计净值]]/MAX(INDIRECT("B21:B" &amp; ROW()))-1&lt;E139,表2_36716262930389121314151819[[#This Row],[累计净值]]/MAX(INDIRECT("B21:B" &amp; ROW()))-1,E139)</f>
        <v>-5.3585500394010888E-2</v>
      </c>
      <c r="F140" s="110">
        <f>表2_36716262930389121314151819[[#This Row],[累计净值]]-0.144</f>
        <v>1.1760000000000002</v>
      </c>
      <c r="G140" s="20">
        <f>IF(表2_36716262930389121314151819[[#This Row],[单位净值]]&gt;1.088,0.8*(表2_36716262930389121314151819[[#This Row],[单位净值]]-1.088)/1.088,(表2_36716262930389121314151819[[#This Row],[单位净值]]-1.088)/1.088)</f>
        <v>6.4705882352941224E-2</v>
      </c>
    </row>
    <row r="141" spans="1:7">
      <c r="A141" s="15">
        <v>44161</v>
      </c>
      <c r="B141" s="112">
        <v>1.3120000000000001</v>
      </c>
      <c r="C141" s="108">
        <f t="shared" si="36"/>
        <v>-8.0000000000000071E-3</v>
      </c>
      <c r="D141" s="109">
        <f t="shared" si="37"/>
        <v>-8.0000000000000071E-3</v>
      </c>
      <c r="E141" s="109">
        <f ca="1">IF(表2_36716262930389121314151819[[#This Row],[累计净值]]/MAX(INDIRECT("B21:B" &amp; ROW()))-1&lt;E140,表2_36716262930389121314151819[[#This Row],[累计净值]]/MAX(INDIRECT("B21:B" &amp; ROW()))-1,E140)</f>
        <v>-5.3585500394010888E-2</v>
      </c>
      <c r="F141" s="110">
        <f>表2_36716262930389121314151819[[#This Row],[累计净值]]-0.144</f>
        <v>1.1680000000000001</v>
      </c>
      <c r="G141" s="20">
        <f>IF(表2_36716262930389121314151819[[#This Row],[单位净值]]&gt;1.088,0.8*(表2_36716262930389121314151819[[#This Row],[单位净值]]-1.088)/1.088,(表2_36716262930389121314151819[[#This Row],[单位净值]]-1.088)/1.088)</f>
        <v>5.8823529411764754E-2</v>
      </c>
    </row>
    <row r="142" spans="1:7">
      <c r="A142" s="15">
        <v>44162</v>
      </c>
      <c r="B142" s="112">
        <v>1.31</v>
      </c>
      <c r="C142" s="108">
        <f t="shared" si="36"/>
        <v>-2.0000000000000018E-3</v>
      </c>
      <c r="D142" s="109">
        <f t="shared" si="37"/>
        <v>-2.0000000000000018E-3</v>
      </c>
      <c r="E142" s="109">
        <f ca="1">IF(表2_36716262930389121314151819[[#This Row],[累计净值]]/MAX(INDIRECT("B21:B" &amp; ROW()))-1&lt;E141,表2_36716262930389121314151819[[#This Row],[累计净值]]/MAX(INDIRECT("B21:B" &amp; ROW()))-1,E141)</f>
        <v>-5.3585500394010888E-2</v>
      </c>
      <c r="F142" s="110">
        <f>表2_36716262930389121314151819[[#This Row],[累计净值]]-0.144</f>
        <v>1.1660000000000001</v>
      </c>
      <c r="G142" s="20">
        <f>IF(表2_36716262930389121314151819[[#This Row],[单位净值]]&gt;1.088,0.8*(表2_36716262930389121314151819[[#This Row],[单位净值]]-1.088)/1.088,(表2_36716262930389121314151819[[#This Row],[单位净值]]-1.088)/1.088)</f>
        <v>5.7352941176470641E-2</v>
      </c>
    </row>
    <row r="143" spans="1:7">
      <c r="A143" s="15">
        <v>44165</v>
      </c>
      <c r="B143" s="112">
        <v>1.3120000000000001</v>
      </c>
      <c r="C143" s="108">
        <f t="shared" si="36"/>
        <v>2.0000000000000018E-3</v>
      </c>
      <c r="D143" s="109" t="str">
        <f t="shared" si="37"/>
        <v>/</v>
      </c>
      <c r="E143" s="109">
        <f ca="1">IF(表2_36716262930389121314151819[[#This Row],[累计净值]]/MAX(INDIRECT("B21:B" &amp; ROW()))-1&lt;E142,表2_36716262930389121314151819[[#This Row],[累计净值]]/MAX(INDIRECT("B21:B" &amp; ROW()))-1,E142)</f>
        <v>-5.3585500394010888E-2</v>
      </c>
      <c r="F143" s="110">
        <f>表2_36716262930389121314151819[[#This Row],[累计净值]]-0.144</f>
        <v>1.1680000000000001</v>
      </c>
      <c r="G143" s="20">
        <f>IF(表2_36716262930389121314151819[[#This Row],[单位净值]]&gt;1.088,0.8*(表2_36716262930389121314151819[[#This Row],[单位净值]]-1.088)/1.088,(表2_36716262930389121314151819[[#This Row],[单位净值]]-1.088)/1.088)</f>
        <v>5.8823529411764754E-2</v>
      </c>
    </row>
    <row r="144" spans="1:7">
      <c r="A144" s="15">
        <v>44166</v>
      </c>
      <c r="B144" s="112">
        <v>1.3320000000000001</v>
      </c>
      <c r="C144" s="108">
        <f t="shared" ref="C144:C149" si="38">IFERROR(B144-B143,0)</f>
        <v>2.0000000000000018E-2</v>
      </c>
      <c r="D144" s="109" t="str">
        <f t="shared" ref="D144:D149" si="39">IF(C144&lt;0,C144,"/")</f>
        <v>/</v>
      </c>
      <c r="E144" s="109">
        <f ca="1">IF(表2_36716262930389121314151819[[#This Row],[累计净值]]/MAX(INDIRECT("B21:B" &amp; ROW()))-1&lt;E143,表2_36716262930389121314151819[[#This Row],[累计净值]]/MAX(INDIRECT("B21:B" &amp; ROW()))-1,E143)</f>
        <v>-5.3585500394010888E-2</v>
      </c>
      <c r="F144" s="110">
        <f>表2_36716262930389121314151819[[#This Row],[累计净值]]-0.144</f>
        <v>1.1880000000000002</v>
      </c>
      <c r="G144" s="20">
        <f>IF(表2_36716262930389121314151819[[#This Row],[单位净值]]&gt;1.088,0.8*(表2_36716262930389121314151819[[#This Row],[单位净值]]-1.088)/1.088,(表2_36716262930389121314151819[[#This Row],[单位净值]]-1.088)/1.088)</f>
        <v>7.352941176470594E-2</v>
      </c>
    </row>
    <row r="145" spans="1:7">
      <c r="A145" s="15">
        <v>44167</v>
      </c>
      <c r="B145" s="112">
        <v>1.3320000000000001</v>
      </c>
      <c r="C145" s="108">
        <f t="shared" si="38"/>
        <v>0</v>
      </c>
      <c r="D145" s="109" t="str">
        <f t="shared" si="39"/>
        <v>/</v>
      </c>
      <c r="E145" s="109">
        <f ca="1">IF(表2_36716262930389121314151819[[#This Row],[累计净值]]/MAX(INDIRECT("B21:B" &amp; ROW()))-1&lt;E144,表2_36716262930389121314151819[[#This Row],[累计净值]]/MAX(INDIRECT("B21:B" &amp; ROW()))-1,E144)</f>
        <v>-5.3585500394010888E-2</v>
      </c>
      <c r="F145" s="110">
        <f>表2_36716262930389121314151819[[#This Row],[累计净值]]-0.144</f>
        <v>1.1880000000000002</v>
      </c>
      <c r="G145" s="20">
        <f>IF(表2_36716262930389121314151819[[#This Row],[单位净值]]&gt;1.088,0.8*(表2_36716262930389121314151819[[#This Row],[单位净值]]-1.088)/1.088,(表2_36716262930389121314151819[[#This Row],[单位净值]]-1.088)/1.088)</f>
        <v>7.352941176470594E-2</v>
      </c>
    </row>
    <row r="146" spans="1:7">
      <c r="A146" s="15">
        <v>44168</v>
      </c>
      <c r="B146" s="112">
        <v>1.319</v>
      </c>
      <c r="C146" s="108">
        <f t="shared" si="38"/>
        <v>-1.3000000000000123E-2</v>
      </c>
      <c r="D146" s="109">
        <f t="shared" si="39"/>
        <v>-1.3000000000000123E-2</v>
      </c>
      <c r="E146" s="109">
        <f ca="1">IF(表2_36716262930389121314151819[[#This Row],[累计净值]]/MAX(INDIRECT("B21:B" &amp; ROW()))-1&lt;E145,表2_36716262930389121314151819[[#This Row],[累计净值]]/MAX(INDIRECT("B21:B" &amp; ROW()))-1,E145)</f>
        <v>-5.3585500394010888E-2</v>
      </c>
      <c r="F146" s="110">
        <f>表2_36716262930389121314151819[[#This Row],[累计净值]]-0.144</f>
        <v>1.175</v>
      </c>
      <c r="G146" s="20">
        <f>IF(表2_36716262930389121314151819[[#This Row],[单位净值]]&gt;1.088,0.8*(表2_36716262930389121314151819[[#This Row],[单位净值]]-1.088)/1.088,(表2_36716262930389121314151819[[#This Row],[单位净值]]-1.088)/1.088)</f>
        <v>6.3970588235294099E-2</v>
      </c>
    </row>
    <row r="147" spans="1:7">
      <c r="A147" s="15">
        <v>44169</v>
      </c>
      <c r="B147" s="112">
        <v>1.3140000000000001</v>
      </c>
      <c r="C147" s="108">
        <f t="shared" si="38"/>
        <v>-4.9999999999998934E-3</v>
      </c>
      <c r="D147" s="109">
        <f t="shared" si="39"/>
        <v>-4.9999999999998934E-3</v>
      </c>
      <c r="E147" s="109">
        <f ca="1">IF(表2_36716262930389121314151819[[#This Row],[累计净值]]/MAX(INDIRECT("B21:B" &amp; ROW()))-1&lt;E146,表2_36716262930389121314151819[[#This Row],[累计净值]]/MAX(INDIRECT("B21:B" &amp; ROW()))-1,E146)</f>
        <v>-5.3585500394010888E-2</v>
      </c>
      <c r="F147" s="110">
        <f>表2_36716262930389121314151819[[#This Row],[累计净值]]-0.144</f>
        <v>1.1700000000000002</v>
      </c>
      <c r="G147" s="20">
        <f>IF(表2_36716262930389121314151819[[#This Row],[单位净值]]&gt;1.088,0.8*(表2_36716262930389121314151819[[#This Row],[单位净值]]-1.088)/1.088,(表2_36716262930389121314151819[[#This Row],[单位净值]]-1.088)/1.088)</f>
        <v>6.0294117647058873E-2</v>
      </c>
    </row>
    <row r="148" spans="1:7">
      <c r="A148" s="15">
        <v>44172</v>
      </c>
      <c r="B148" s="112">
        <v>1.32</v>
      </c>
      <c r="C148" s="108">
        <f t="shared" si="38"/>
        <v>6.0000000000000053E-3</v>
      </c>
      <c r="D148" s="109" t="str">
        <f t="shared" si="39"/>
        <v>/</v>
      </c>
      <c r="E148" s="109">
        <f ca="1">IF(表2_36716262930389121314151819[[#This Row],[累计净值]]/MAX(INDIRECT("B21:B" &amp; ROW()))-1&lt;E147,表2_36716262930389121314151819[[#This Row],[累计净值]]/MAX(INDIRECT("B21:B" &amp; ROW()))-1,E147)</f>
        <v>-5.3585500394010888E-2</v>
      </c>
      <c r="F148" s="110">
        <f>表2_36716262930389121314151819[[#This Row],[累计净值]]-0.144</f>
        <v>1.1760000000000002</v>
      </c>
      <c r="G148" s="20">
        <f>IF(表2_36716262930389121314151819[[#This Row],[单位净值]]&gt;1.088,0.8*(表2_36716262930389121314151819[[#This Row],[单位净值]]-1.088)/1.088,(表2_36716262930389121314151819[[#This Row],[单位净值]]-1.088)/1.088)</f>
        <v>6.4705882352941224E-2</v>
      </c>
    </row>
    <row r="149" spans="1:7">
      <c r="A149" s="15">
        <v>44173</v>
      </c>
      <c r="B149" s="112">
        <v>1.3160000000000001</v>
      </c>
      <c r="C149" s="108">
        <f t="shared" si="38"/>
        <v>-4.0000000000000036E-3</v>
      </c>
      <c r="D149" s="109">
        <f t="shared" si="39"/>
        <v>-4.0000000000000036E-3</v>
      </c>
      <c r="E149" s="109">
        <f ca="1">IF(表2_36716262930389121314151819[[#This Row],[累计净值]]/MAX(INDIRECT("B21:B" &amp; ROW()))-1&lt;E148,表2_36716262930389121314151819[[#This Row],[累计净值]]/MAX(INDIRECT("B21:B" &amp; ROW()))-1,E148)</f>
        <v>-5.3585500394010888E-2</v>
      </c>
      <c r="F149" s="110">
        <f>表2_36716262930389121314151819[[#This Row],[累计净值]]-0.144</f>
        <v>1.1720000000000002</v>
      </c>
      <c r="G149" s="20">
        <f>IF(表2_36716262930389121314151819[[#This Row],[单位净值]]&gt;1.088,0.8*(表2_36716262930389121314151819[[#This Row],[单位净值]]-1.088)/1.088,(表2_36716262930389121314151819[[#This Row],[单位净值]]-1.088)/1.088)</f>
        <v>6.1764705882352999E-2</v>
      </c>
    </row>
    <row r="150" spans="1:7">
      <c r="A150" s="15">
        <v>44174</v>
      </c>
      <c r="B150" s="112">
        <v>1.3129999999999999</v>
      </c>
      <c r="C150" s="108">
        <f t="shared" ref="C150:C155" si="40">IFERROR(B150-B149,0)</f>
        <v>-3.0000000000001137E-3</v>
      </c>
      <c r="D150" s="109">
        <f t="shared" ref="D150:D155" si="41">IF(C150&lt;0,C150,"/")</f>
        <v>-3.0000000000001137E-3</v>
      </c>
      <c r="E150" s="109">
        <f ca="1">IF(表2_36716262930389121314151819[[#This Row],[累计净值]]/MAX(INDIRECT("B21:B" &amp; ROW()))-1&lt;E149,表2_36716262930389121314151819[[#This Row],[累计净值]]/MAX(INDIRECT("B21:B" &amp; ROW()))-1,E149)</f>
        <v>-5.3585500394010888E-2</v>
      </c>
      <c r="F150" s="110">
        <f>表2_36716262930389121314151819[[#This Row],[累计净值]]-0.144</f>
        <v>1.169</v>
      </c>
      <c r="G150" s="20">
        <f>IF(表2_36716262930389121314151819[[#This Row],[单位净值]]&gt;1.088,0.8*(表2_36716262930389121314151819[[#This Row],[单位净值]]-1.088)/1.088,(表2_36716262930389121314151819[[#This Row],[单位净值]]-1.088)/1.088)</f>
        <v>5.9558823529411734E-2</v>
      </c>
    </row>
    <row r="151" spans="1:7">
      <c r="A151" s="15">
        <v>44175</v>
      </c>
      <c r="B151" s="112">
        <v>1.3320000000000001</v>
      </c>
      <c r="C151" s="108">
        <f t="shared" si="40"/>
        <v>1.9000000000000128E-2</v>
      </c>
      <c r="D151" s="109" t="str">
        <f t="shared" si="41"/>
        <v>/</v>
      </c>
      <c r="E151" s="109">
        <f ca="1">IF(表2_36716262930389121314151819[[#This Row],[累计净值]]/MAX(INDIRECT("B21:B" &amp; ROW()))-1&lt;E150,表2_36716262930389121314151819[[#This Row],[累计净值]]/MAX(INDIRECT("B21:B" &amp; ROW()))-1,E150)</f>
        <v>-5.3585500394010888E-2</v>
      </c>
      <c r="F151" s="110">
        <f>表2_36716262930389121314151819[[#This Row],[累计净值]]-0.144</f>
        <v>1.1880000000000002</v>
      </c>
      <c r="G151" s="20">
        <f>IF(表2_36716262930389121314151819[[#This Row],[单位净值]]&gt;1.088,0.8*(表2_36716262930389121314151819[[#This Row],[单位净值]]-1.088)/1.088,(表2_36716262930389121314151819[[#This Row],[单位净值]]-1.088)/1.088)</f>
        <v>7.352941176470594E-2</v>
      </c>
    </row>
    <row r="152" spans="1:7">
      <c r="A152" s="15">
        <v>44176</v>
      </c>
      <c r="B152" s="112">
        <v>1.323</v>
      </c>
      <c r="C152" s="108">
        <f t="shared" si="40"/>
        <v>-9.000000000000119E-3</v>
      </c>
      <c r="D152" s="109">
        <f t="shared" si="41"/>
        <v>-9.000000000000119E-3</v>
      </c>
      <c r="E152" s="109">
        <f ca="1">IF(表2_36716262930389121314151819[[#This Row],[累计净值]]/MAX(INDIRECT("B21:B" &amp; ROW()))-1&lt;E151,表2_36716262930389121314151819[[#This Row],[累计净值]]/MAX(INDIRECT("B21:B" &amp; ROW()))-1,E151)</f>
        <v>-5.3585500394010888E-2</v>
      </c>
      <c r="F152" s="110">
        <f>表2_36716262930389121314151819[[#This Row],[累计净值]]-0.144</f>
        <v>1.179</v>
      </c>
      <c r="G152" s="20">
        <f>IF(表2_36716262930389121314151819[[#This Row],[单位净值]]&gt;1.088,0.8*(表2_36716262930389121314151819[[#This Row],[单位净值]]-1.088)/1.088,(表2_36716262930389121314151819[[#This Row],[单位净值]]-1.088)/1.088)</f>
        <v>6.6911764705882323E-2</v>
      </c>
    </row>
    <row r="153" spans="1:7">
      <c r="A153" s="15">
        <v>44179</v>
      </c>
      <c r="B153" s="112">
        <v>1.3140000000000001</v>
      </c>
      <c r="C153" s="108">
        <f t="shared" si="40"/>
        <v>-8.999999999999897E-3</v>
      </c>
      <c r="D153" s="109">
        <f t="shared" si="41"/>
        <v>-8.999999999999897E-3</v>
      </c>
      <c r="E153" s="109">
        <f ca="1">IF(表2_36716262930389121314151819[[#This Row],[累计净值]]/MAX(INDIRECT("B21:B" &amp; ROW()))-1&lt;E152,表2_36716262930389121314151819[[#This Row],[累计净值]]/MAX(INDIRECT("B21:B" &amp; ROW()))-1,E152)</f>
        <v>-5.3585500394010888E-2</v>
      </c>
      <c r="F153" s="110">
        <f>表2_36716262930389121314151819[[#This Row],[累计净值]]-0.144</f>
        <v>1.1700000000000002</v>
      </c>
      <c r="G153" s="20">
        <f>IF(表2_36716262930389121314151819[[#This Row],[单位净值]]&gt;1.088,0.8*(表2_36716262930389121314151819[[#This Row],[单位净值]]-1.088)/1.088,(表2_36716262930389121314151819[[#This Row],[单位净值]]-1.088)/1.088)</f>
        <v>6.0294117647058873E-2</v>
      </c>
    </row>
    <row r="154" spans="1:7">
      <c r="A154" s="15">
        <v>44180</v>
      </c>
      <c r="B154" s="112">
        <v>1.3009999999999999</v>
      </c>
      <c r="C154" s="108">
        <f t="shared" si="40"/>
        <v>-1.3000000000000123E-2</v>
      </c>
      <c r="D154" s="109">
        <f t="shared" si="41"/>
        <v>-1.3000000000000123E-2</v>
      </c>
      <c r="E154" s="109">
        <f ca="1">IF(表2_36716262930389121314151819[[#This Row],[累计净值]]/MAX(INDIRECT("B21:B" &amp; ROW()))-1&lt;E153,表2_36716262930389121314151819[[#This Row],[累计净值]]/MAX(INDIRECT("B21:B" &amp; ROW()))-1,E153)</f>
        <v>-5.3585500394010888E-2</v>
      </c>
      <c r="F154" s="110">
        <f>表2_36716262930389121314151819[[#This Row],[累计净值]]-0.144</f>
        <v>1.157</v>
      </c>
      <c r="G154" s="20">
        <f>IF(表2_36716262930389121314151819[[#This Row],[单位净值]]&gt;1.088,0.8*(表2_36716262930389121314151819[[#This Row],[单位净值]]-1.088)/1.088,(表2_36716262930389121314151819[[#This Row],[单位净值]]-1.088)/1.088)</f>
        <v>5.0735294117647024E-2</v>
      </c>
    </row>
    <row r="155" spans="1:7">
      <c r="A155" s="15">
        <v>44181</v>
      </c>
      <c r="B155" s="112">
        <v>1.2969999999999999</v>
      </c>
      <c r="C155" s="108">
        <f t="shared" si="40"/>
        <v>-4.0000000000000036E-3</v>
      </c>
      <c r="D155" s="109">
        <f t="shared" si="41"/>
        <v>-4.0000000000000036E-3</v>
      </c>
      <c r="E155" s="109">
        <f ca="1">IF(表2_36716262930389121314151819[[#This Row],[累计净值]]/MAX(INDIRECT("B21:B" &amp; ROW()))-1&lt;E154,表2_36716262930389121314151819[[#This Row],[累计净值]]/MAX(INDIRECT("B21:B" &amp; ROW()))-1,E154)</f>
        <v>-5.3585500394010888E-2</v>
      </c>
      <c r="F155" s="110">
        <f>表2_36716262930389121314151819[[#This Row],[累计净值]]-0.144</f>
        <v>1.153</v>
      </c>
      <c r="G155" s="20">
        <f>IF(表2_36716262930389121314151819[[#This Row],[单位净值]]&gt;1.088,0.8*(表2_36716262930389121314151819[[#This Row],[单位净值]]-1.088)/1.088,(表2_36716262930389121314151819[[#This Row],[单位净值]]-1.088)/1.088)</f>
        <v>4.7794117647058786E-2</v>
      </c>
    </row>
    <row r="156" spans="1:7">
      <c r="A156" s="15">
        <v>44182</v>
      </c>
      <c r="B156" s="112">
        <v>1.3029999999999999</v>
      </c>
      <c r="C156" s="108">
        <f t="shared" ref="C156:C161" si="42">IFERROR(B156-B155,0)</f>
        <v>6.0000000000000053E-3</v>
      </c>
      <c r="D156" s="109" t="str">
        <f t="shared" ref="D156:D161" si="43">IF(C156&lt;0,C156,"/")</f>
        <v>/</v>
      </c>
      <c r="E156" s="109">
        <f ca="1">IF(表2_36716262930389121314151819[[#This Row],[累计净值]]/MAX(INDIRECT("B21:B" &amp; ROW()))-1&lt;E155,表2_36716262930389121314151819[[#This Row],[累计净值]]/MAX(INDIRECT("B21:B" &amp; ROW()))-1,E155)</f>
        <v>-5.3585500394010888E-2</v>
      </c>
      <c r="F156" s="110">
        <f>表2_36716262930389121314151819[[#This Row],[累计净值]]-0.144</f>
        <v>1.159</v>
      </c>
      <c r="G156" s="20">
        <f>IF(表2_36716262930389121314151819[[#This Row],[单位净值]]&gt;1.088,0.8*(表2_36716262930389121314151819[[#This Row],[单位净值]]-1.088)/1.088,(表2_36716262930389121314151819[[#This Row],[单位净值]]-1.088)/1.088)</f>
        <v>5.2205882352941137E-2</v>
      </c>
    </row>
    <row r="157" spans="1:7">
      <c r="A157" s="15">
        <v>44183</v>
      </c>
      <c r="B157" s="112">
        <v>1.33</v>
      </c>
      <c r="C157" s="108">
        <f t="shared" si="42"/>
        <v>2.7000000000000135E-2</v>
      </c>
      <c r="D157" s="109" t="str">
        <f t="shared" si="43"/>
        <v>/</v>
      </c>
      <c r="E157" s="109">
        <f ca="1">IF(表2_36716262930389121314151819[[#This Row],[累计净值]]/MAX(INDIRECT("B21:B" &amp; ROW()))-1&lt;E156,表2_36716262930389121314151819[[#This Row],[累计净值]]/MAX(INDIRECT("B21:B" &amp; ROW()))-1,E156)</f>
        <v>-5.3585500394010888E-2</v>
      </c>
      <c r="F157" s="110">
        <f>表2_36716262930389121314151819[[#This Row],[累计净值]]-0.144</f>
        <v>1.1860000000000002</v>
      </c>
      <c r="G157" s="20">
        <f>IF(表2_36716262930389121314151819[[#This Row],[单位净值]]&gt;1.088,0.8*(表2_36716262930389121314151819[[#This Row],[单位净值]]-1.088)/1.088,(表2_36716262930389121314151819[[#This Row],[单位净值]]-1.088)/1.088)</f>
        <v>7.2058823529411828E-2</v>
      </c>
    </row>
    <row r="158" spans="1:7">
      <c r="A158" s="15">
        <v>44186</v>
      </c>
      <c r="B158" s="112">
        <v>1.347</v>
      </c>
      <c r="C158" s="108">
        <f t="shared" si="42"/>
        <v>1.6999999999999904E-2</v>
      </c>
      <c r="D158" s="109" t="str">
        <f t="shared" si="43"/>
        <v>/</v>
      </c>
      <c r="E158" s="109">
        <f ca="1">IF(表2_36716262930389121314151819[[#This Row],[累计净值]]/MAX(INDIRECT("B21:B" &amp; ROW()))-1&lt;E157,表2_36716262930389121314151819[[#This Row],[累计净值]]/MAX(INDIRECT("B21:B" &amp; ROW()))-1,E157)</f>
        <v>-5.3585500394010888E-2</v>
      </c>
      <c r="F158" s="110">
        <f>表2_36716262930389121314151819[[#This Row],[累计净值]]-0.144</f>
        <v>1.2030000000000001</v>
      </c>
      <c r="G158" s="20">
        <f>IF(表2_36716262930389121314151819[[#This Row],[单位净值]]&gt;1.088,0.8*(表2_36716262930389121314151819[[#This Row],[单位净值]]-1.088)/1.088,(表2_36716262930389121314151819[[#This Row],[单位净值]]-1.088)/1.088)</f>
        <v>8.4558823529411756E-2</v>
      </c>
    </row>
    <row r="159" spans="1:7">
      <c r="A159" s="15">
        <v>44187</v>
      </c>
      <c r="B159" s="112">
        <v>1.367</v>
      </c>
      <c r="C159" s="108">
        <f t="shared" si="42"/>
        <v>2.0000000000000018E-2</v>
      </c>
      <c r="D159" s="109" t="str">
        <f t="shared" si="43"/>
        <v>/</v>
      </c>
      <c r="E159" s="109">
        <f ca="1">IF(表2_36716262930389121314151819[[#This Row],[累计净值]]/MAX(INDIRECT("B21:B" &amp; ROW()))-1&lt;E158,表2_36716262930389121314151819[[#This Row],[累计净值]]/MAX(INDIRECT("B21:B" &amp; ROW()))-1,E158)</f>
        <v>-5.3585500394010888E-2</v>
      </c>
      <c r="F159" s="110">
        <f>表2_36716262930389121314151819[[#This Row],[累计净值]]-0.144</f>
        <v>1.2230000000000001</v>
      </c>
      <c r="G159" s="20">
        <f>IF(表2_36716262930389121314151819[[#This Row],[单位净值]]&gt;1.088,0.8*(表2_36716262930389121314151819[[#This Row],[单位净值]]-1.088)/1.088,(表2_36716262930389121314151819[[#This Row],[单位净值]]-1.088)/1.088)</f>
        <v>9.9264705882352949E-2</v>
      </c>
    </row>
    <row r="160" spans="1:7">
      <c r="A160" s="15">
        <v>44188</v>
      </c>
      <c r="B160" s="206">
        <v>1.395</v>
      </c>
      <c r="C160" s="108">
        <f t="shared" si="42"/>
        <v>2.8000000000000025E-2</v>
      </c>
      <c r="D160" s="109" t="str">
        <f t="shared" si="43"/>
        <v>/</v>
      </c>
      <c r="E160" s="109">
        <f ca="1">IF(表2_36716262930389121314151819[[#This Row],[累计净值]]/MAX(INDIRECT("B21:B" &amp; ROW()))-1&lt;E159,表2_36716262930389121314151819[[#This Row],[累计净值]]/MAX(INDIRECT("B21:B" &amp; ROW()))-1,E159)</f>
        <v>-5.3585500394010888E-2</v>
      </c>
      <c r="F160" s="110">
        <f>表2_36716262930389121314151819[[#This Row],[累计净值]]-0.144</f>
        <v>1.2510000000000001</v>
      </c>
      <c r="G160" s="20">
        <f>IF(表2_36716262930389121314151819[[#This Row],[单位净值]]&gt;1.088,0.8*(表2_36716262930389121314151819[[#This Row],[单位净值]]-1.088)/1.088,(表2_36716262930389121314151819[[#This Row],[单位净值]]-1.088)/1.088)</f>
        <v>0.11985294117647062</v>
      </c>
    </row>
    <row r="161" spans="1:7">
      <c r="A161" s="15">
        <v>44189</v>
      </c>
      <c r="B161" s="112">
        <v>1.381</v>
      </c>
      <c r="C161" s="108">
        <f t="shared" si="42"/>
        <v>-1.4000000000000012E-2</v>
      </c>
      <c r="D161" s="109">
        <f t="shared" si="43"/>
        <v>-1.4000000000000012E-2</v>
      </c>
      <c r="E161" s="109">
        <f ca="1">IF(表2_36716262930389121314151819[[#This Row],[累计净值]]/MAX(INDIRECT("B21:B" &amp; ROW()))-1&lt;E160,表2_36716262930389121314151819[[#This Row],[累计净值]]/MAX(INDIRECT("B21:B" &amp; ROW()))-1,E160)</f>
        <v>-5.3585500394010888E-2</v>
      </c>
      <c r="F161" s="110">
        <f>表2_36716262930389121314151819[[#This Row],[累计净值]]-0.144</f>
        <v>1.2370000000000001</v>
      </c>
      <c r="G161" s="20">
        <f>IF(表2_36716262930389121314151819[[#This Row],[单位净值]]&gt;1.088,0.8*(表2_36716262930389121314151819[[#This Row],[单位净值]]-1.088)/1.088,(表2_36716262930389121314151819[[#This Row],[单位净值]]-1.088)/1.088)</f>
        <v>0.10955882352941178</v>
      </c>
    </row>
    <row r="162" spans="1:7">
      <c r="A162" s="15">
        <v>44190</v>
      </c>
      <c r="B162" s="112">
        <v>1.375</v>
      </c>
      <c r="C162" s="108">
        <f t="shared" ref="C162:C167" si="44">IFERROR(B162-B161,0)</f>
        <v>-6.0000000000000053E-3</v>
      </c>
      <c r="D162" s="109">
        <f t="shared" ref="D162:D167" si="45">IF(C162&lt;0,C162,"/")</f>
        <v>-6.0000000000000053E-3</v>
      </c>
      <c r="E162" s="109">
        <f ca="1">IF(表2_36716262930389121314151819[[#This Row],[累计净值]]/MAX(INDIRECT("B21:B" &amp; ROW()))-1&lt;E161,表2_36716262930389121314151819[[#This Row],[累计净值]]/MAX(INDIRECT("B21:B" &amp; ROW()))-1,E161)</f>
        <v>-5.3585500394010888E-2</v>
      </c>
      <c r="F162" s="110">
        <f>表2_36716262930389121314151819[[#This Row],[累计净值]]-0.144</f>
        <v>1.2310000000000001</v>
      </c>
      <c r="G162" s="20">
        <f>IF(表2_36716262930389121314151819[[#This Row],[单位净值]]&gt;1.088,0.8*(表2_36716262930389121314151819[[#This Row],[单位净值]]-1.088)/1.088,(表2_36716262930389121314151819[[#This Row],[单位净值]]-1.088)/1.088)</f>
        <v>0.10514705882352941</v>
      </c>
    </row>
    <row r="163" spans="1:7">
      <c r="A163" s="15">
        <v>44193</v>
      </c>
      <c r="B163" s="112">
        <v>1.3720000000000001</v>
      </c>
      <c r="C163" s="108">
        <f t="shared" si="44"/>
        <v>-2.9999999999998916E-3</v>
      </c>
      <c r="D163" s="109">
        <f t="shared" si="45"/>
        <v>-2.9999999999998916E-3</v>
      </c>
      <c r="E163" s="109">
        <f ca="1">IF(表2_36716262930389121314151819[[#This Row],[累计净值]]/MAX(INDIRECT("B21:B" &amp; ROW()))-1&lt;E162,表2_36716262930389121314151819[[#This Row],[累计净值]]/MAX(INDIRECT("B21:B" &amp; ROW()))-1,E162)</f>
        <v>-5.3585500394010888E-2</v>
      </c>
      <c r="F163" s="110">
        <f>表2_36716262930389121314151819[[#This Row],[累计净值]]-0.144</f>
        <v>1.2280000000000002</v>
      </c>
      <c r="G163" s="20">
        <f>IF(表2_36716262930389121314151819[[#This Row],[单位净值]]&gt;1.088,0.8*(表2_36716262930389121314151819[[#This Row],[单位净值]]-1.088)/1.088,(表2_36716262930389121314151819[[#This Row],[单位净值]]-1.088)/1.088)</f>
        <v>0.10294117647058831</v>
      </c>
    </row>
    <row r="164" spans="1:7">
      <c r="A164" s="15">
        <v>44194</v>
      </c>
      <c r="B164" s="112">
        <v>1.3720000000000001</v>
      </c>
      <c r="C164" s="108">
        <f t="shared" si="44"/>
        <v>0</v>
      </c>
      <c r="D164" s="109" t="str">
        <f t="shared" si="45"/>
        <v>/</v>
      </c>
      <c r="E164" s="109">
        <f ca="1">IF(表2_36716262930389121314151819[[#This Row],[累计净值]]/MAX(INDIRECT("B21:B" &amp; ROW()))-1&lt;E163,表2_36716262930389121314151819[[#This Row],[累计净值]]/MAX(INDIRECT("B21:B" &amp; ROW()))-1,E163)</f>
        <v>-5.3585500394010888E-2</v>
      </c>
      <c r="F164" s="110">
        <f>表2_36716262930389121314151819[[#This Row],[累计净值]]-0.144</f>
        <v>1.2280000000000002</v>
      </c>
      <c r="G164" s="20">
        <f>IF(表2_36716262930389121314151819[[#This Row],[单位净值]]&gt;1.088,0.8*(表2_36716262930389121314151819[[#This Row],[单位净值]]-1.088)/1.088,(表2_36716262930389121314151819[[#This Row],[单位净值]]-1.088)/1.088)</f>
        <v>0.10294117647058831</v>
      </c>
    </row>
    <row r="165" spans="1:7">
      <c r="A165" s="15">
        <v>44195</v>
      </c>
      <c r="B165" s="112">
        <v>1.36</v>
      </c>
      <c r="C165" s="108">
        <f t="shared" si="44"/>
        <v>-1.2000000000000011E-2</v>
      </c>
      <c r="D165" s="109">
        <f t="shared" si="45"/>
        <v>-1.2000000000000011E-2</v>
      </c>
      <c r="E165" s="109">
        <f ca="1">IF(表2_36716262930389121314151819[[#This Row],[累计净值]]/MAX(INDIRECT("B21:B" &amp; ROW()))-1&lt;E164,表2_36716262930389121314151819[[#This Row],[累计净值]]/MAX(INDIRECT("B21:B" &amp; ROW()))-1,E164)</f>
        <v>-5.3585500394010888E-2</v>
      </c>
      <c r="F165" s="110">
        <f>表2_36716262930389121314151819[[#This Row],[累计净值]]-0.144</f>
        <v>1.2160000000000002</v>
      </c>
      <c r="G165" s="20">
        <f>IF(表2_36716262930389121314151819[[#This Row],[单位净值]]&gt;1.088,0.8*(表2_36716262930389121314151819[[#This Row],[单位净值]]-1.088)/1.088,(表2_36716262930389121314151819[[#This Row],[单位净值]]-1.088)/1.088)</f>
        <v>9.4117647058823611E-2</v>
      </c>
    </row>
    <row r="166" spans="1:7">
      <c r="A166" s="15">
        <v>44196</v>
      </c>
      <c r="B166" s="112">
        <v>1.349</v>
      </c>
      <c r="C166" s="108">
        <f t="shared" si="44"/>
        <v>-1.1000000000000121E-2</v>
      </c>
      <c r="D166" s="109">
        <f t="shared" si="45"/>
        <v>-1.1000000000000121E-2</v>
      </c>
      <c r="E166" s="109">
        <f ca="1">IF(表2_36716262930389121314151819[[#This Row],[累计净值]]/MAX(INDIRECT("B21:B" &amp; ROW()))-1&lt;E165,表2_36716262930389121314151819[[#This Row],[累计净值]]/MAX(INDIRECT("B21:B" &amp; ROW()))-1,E165)</f>
        <v>-5.3585500394010888E-2</v>
      </c>
      <c r="F166" s="110">
        <f>表2_36716262930389121314151819[[#This Row],[累计净值]]-0.144</f>
        <v>1.2050000000000001</v>
      </c>
      <c r="G166" s="20">
        <f>IF(表2_36716262930389121314151819[[#This Row],[单位净值]]&gt;1.088,0.8*(表2_36716262930389121314151819[[#This Row],[单位净值]]-1.088)/1.088,(表2_36716262930389121314151819[[#This Row],[单位净值]]-1.088)/1.088)</f>
        <v>8.6029411764705882E-2</v>
      </c>
    </row>
    <row r="167" spans="1:7">
      <c r="A167" s="15">
        <v>44200</v>
      </c>
      <c r="B167" s="112">
        <v>1.3360000000000001</v>
      </c>
      <c r="C167" s="108">
        <f t="shared" si="44"/>
        <v>-1.2999999999999901E-2</v>
      </c>
      <c r="D167" s="109">
        <f t="shared" si="45"/>
        <v>-1.2999999999999901E-2</v>
      </c>
      <c r="E167" s="109">
        <f ca="1">IF(表2_36716262930389121314151819[[#This Row],[累计净值]]/MAX(INDIRECT("B21:B" &amp; ROW()))-1&lt;E166,表2_36716262930389121314151819[[#This Row],[累计净值]]/MAX(INDIRECT("B21:B" &amp; ROW()))-1,E166)</f>
        <v>-5.3585500394010888E-2</v>
      </c>
      <c r="F167" s="110">
        <f>表2_36716262930389121314151819[[#This Row],[累计净值]]-0.144</f>
        <v>1.1920000000000002</v>
      </c>
      <c r="G167" s="20">
        <f>IF(表2_36716262930389121314151819[[#This Row],[单位净值]]&gt;1.088,0.8*(表2_36716262930389121314151819[[#This Row],[单位净值]]-1.088)/1.088,(表2_36716262930389121314151819[[#This Row],[单位净值]]-1.088)/1.088)</f>
        <v>7.6470588235294179E-2</v>
      </c>
    </row>
    <row r="168" spans="1:7">
      <c r="A168" s="15">
        <v>44201</v>
      </c>
      <c r="B168" s="112">
        <v>1.3440000000000001</v>
      </c>
      <c r="C168" s="108">
        <f t="shared" ref="C168:C173" si="46">IFERROR(B168-B167,0)</f>
        <v>8.0000000000000071E-3</v>
      </c>
      <c r="D168" s="109" t="str">
        <f t="shared" ref="D168:D173" si="47">IF(C168&lt;0,C168,"/")</f>
        <v>/</v>
      </c>
      <c r="E168" s="109">
        <f ca="1">IF(表2_36716262930389121314151819[[#This Row],[累计净值]]/MAX(INDIRECT("B21:B" &amp; ROW()))-1&lt;E167,表2_36716262930389121314151819[[#This Row],[累计净值]]/MAX(INDIRECT("B21:B" &amp; ROW()))-1,E167)</f>
        <v>-5.3585500394010888E-2</v>
      </c>
      <c r="F168" s="110">
        <f>表2_36716262930389121314151819[[#This Row],[累计净值]]-0.144</f>
        <v>1.2000000000000002</v>
      </c>
      <c r="G168" s="20">
        <f>IF(表2_36716262930389121314151819[[#This Row],[单位净值]]&gt;1.088,0.8*(表2_36716262930389121314151819[[#This Row],[单位净值]]-1.088)/1.088,(表2_36716262930389121314151819[[#This Row],[单位净值]]-1.088)/1.088)</f>
        <v>8.2352941176470656E-2</v>
      </c>
    </row>
    <row r="169" spans="1:7">
      <c r="A169" s="15">
        <v>44202</v>
      </c>
      <c r="B169" s="112">
        <v>1.335</v>
      </c>
      <c r="C169" s="108">
        <f t="shared" si="46"/>
        <v>-9.000000000000119E-3</v>
      </c>
      <c r="D169" s="109">
        <f t="shared" si="47"/>
        <v>-9.000000000000119E-3</v>
      </c>
      <c r="E169" s="109">
        <f ca="1">IF(表2_36716262930389121314151819[[#This Row],[累计净值]]/MAX(INDIRECT("B21:B" &amp; ROW()))-1&lt;E168,表2_36716262930389121314151819[[#This Row],[累计净值]]/MAX(INDIRECT("B21:B" &amp; ROW()))-1,E168)</f>
        <v>-5.3585500394010888E-2</v>
      </c>
      <c r="F169" s="110">
        <f>表2_36716262930389121314151819[[#This Row],[累计净值]]-0.144</f>
        <v>1.1910000000000001</v>
      </c>
      <c r="G169" s="20">
        <f>IF(表2_36716262930389121314151819[[#This Row],[单位净值]]&gt;1.088,0.8*(表2_36716262930389121314151819[[#This Row],[单位净值]]-1.088)/1.088,(表2_36716262930389121314151819[[#This Row],[单位净值]]-1.088)/1.088)</f>
        <v>7.573529411764704E-2</v>
      </c>
    </row>
    <row r="170" spans="1:7">
      <c r="A170" s="15">
        <v>44203</v>
      </c>
      <c r="B170" s="112">
        <v>1.3360000000000001</v>
      </c>
      <c r="C170" s="108">
        <f t="shared" si="46"/>
        <v>1.0000000000001119E-3</v>
      </c>
      <c r="D170" s="109" t="str">
        <f t="shared" si="47"/>
        <v>/</v>
      </c>
      <c r="E170" s="109">
        <f ca="1">IF(表2_36716262930389121314151819[[#This Row],[累计净值]]/MAX(INDIRECT("B21:B" &amp; ROW()))-1&lt;E169,表2_36716262930389121314151819[[#This Row],[累计净值]]/MAX(INDIRECT("B21:B" &amp; ROW()))-1,E169)</f>
        <v>-5.3585500394010888E-2</v>
      </c>
      <c r="F170" s="110">
        <f>表2_36716262930389121314151819[[#This Row],[累计净值]]-0.144</f>
        <v>1.1920000000000002</v>
      </c>
      <c r="G170" s="20">
        <f>IF(表2_36716262930389121314151819[[#This Row],[单位净值]]&gt;1.088,0.8*(表2_36716262930389121314151819[[#This Row],[单位净值]]-1.088)/1.088,(表2_36716262930389121314151819[[#This Row],[单位净值]]-1.088)/1.088)</f>
        <v>7.6470588235294179E-2</v>
      </c>
    </row>
    <row r="171" spans="1:7">
      <c r="A171" s="15">
        <v>44204</v>
      </c>
      <c r="B171" s="112">
        <v>1.347</v>
      </c>
      <c r="C171" s="108">
        <f t="shared" si="46"/>
        <v>1.0999999999999899E-2</v>
      </c>
      <c r="D171" s="109" t="str">
        <f t="shared" si="47"/>
        <v>/</v>
      </c>
      <c r="E171" s="109">
        <f ca="1">IF(表2_36716262930389121314151819[[#This Row],[累计净值]]/MAX(INDIRECT("B21:B" &amp; ROW()))-1&lt;E170,表2_36716262930389121314151819[[#This Row],[累计净值]]/MAX(INDIRECT("B21:B" &amp; ROW()))-1,E170)</f>
        <v>-5.3585500394010888E-2</v>
      </c>
      <c r="F171" s="110">
        <f>表2_36716262930389121314151819[[#This Row],[累计净值]]-0.144</f>
        <v>1.2030000000000001</v>
      </c>
      <c r="G171" s="20">
        <f>IF(表2_36716262930389121314151819[[#This Row],[单位净值]]&gt;1.088,0.8*(表2_36716262930389121314151819[[#This Row],[单位净值]]-1.088)/1.088,(表2_36716262930389121314151819[[#This Row],[单位净值]]-1.088)/1.088)</f>
        <v>8.4558823529411756E-2</v>
      </c>
    </row>
    <row r="172" spans="1:7">
      <c r="A172" s="15">
        <v>44207</v>
      </c>
      <c r="B172" s="112">
        <v>1.3560000000000001</v>
      </c>
      <c r="C172" s="108">
        <f t="shared" si="46"/>
        <v>9.000000000000119E-3</v>
      </c>
      <c r="D172" s="109" t="str">
        <f t="shared" si="47"/>
        <v>/</v>
      </c>
      <c r="E172" s="109">
        <f ca="1">IF(表2_36716262930389121314151819[[#This Row],[累计净值]]/MAX(INDIRECT("B21:B" &amp; ROW()))-1&lt;E171,表2_36716262930389121314151819[[#This Row],[累计净值]]/MAX(INDIRECT("B21:B" &amp; ROW()))-1,E171)</f>
        <v>-5.3585500394010888E-2</v>
      </c>
      <c r="F172" s="110">
        <f>表2_36716262930389121314151819[[#This Row],[累计净值]]-0.144</f>
        <v>1.2120000000000002</v>
      </c>
      <c r="G172" s="20">
        <f>IF(表2_36716262930389121314151819[[#This Row],[单位净值]]&gt;1.088,0.8*(表2_36716262930389121314151819[[#This Row],[单位净值]]-1.088)/1.088,(表2_36716262930389121314151819[[#This Row],[单位净值]]-1.088)/1.088)</f>
        <v>9.1176470588235373E-2</v>
      </c>
    </row>
    <row r="173" spans="1:7">
      <c r="A173" s="15">
        <v>44208</v>
      </c>
      <c r="B173" s="112">
        <v>1.3779999999999999</v>
      </c>
      <c r="C173" s="108">
        <f t="shared" si="46"/>
        <v>2.1999999999999797E-2</v>
      </c>
      <c r="D173" s="109" t="str">
        <f t="shared" si="47"/>
        <v>/</v>
      </c>
      <c r="E173" s="109">
        <f ca="1">IF(表2_36716262930389121314151819[[#This Row],[累计净值]]/MAX(INDIRECT("B21:B" &amp; ROW()))-1&lt;E172,表2_36716262930389121314151819[[#This Row],[累计净值]]/MAX(INDIRECT("B21:B" &amp; ROW()))-1,E172)</f>
        <v>-5.3585500394010888E-2</v>
      </c>
      <c r="F173" s="110">
        <f>表2_36716262930389121314151819[[#This Row],[累计净值]]-0.144</f>
        <v>1.234</v>
      </c>
      <c r="G173" s="20">
        <f>IF(表2_36716262930389121314151819[[#This Row],[单位净值]]&gt;1.088,0.8*(表2_36716262930389121314151819[[#This Row],[单位净值]]-1.088)/1.088,(表2_36716262930389121314151819[[#This Row],[单位净值]]-1.088)/1.088)</f>
        <v>0.10735294117647051</v>
      </c>
    </row>
    <row r="174" spans="1:7">
      <c r="A174" s="15">
        <v>44209</v>
      </c>
      <c r="B174" s="112">
        <v>1.37</v>
      </c>
      <c r="C174" s="108">
        <f t="shared" ref="C174:C179" si="48">IFERROR(B174-B173,0)</f>
        <v>-7.9999999999997851E-3</v>
      </c>
      <c r="D174" s="109">
        <f t="shared" ref="D174:D179" si="49">IF(C174&lt;0,C174,"/")</f>
        <v>-7.9999999999997851E-3</v>
      </c>
      <c r="E174" s="109">
        <f ca="1">IF(表2_36716262930389121314151819[[#This Row],[累计净值]]/MAX(INDIRECT("B21:B" &amp; ROW()))-1&lt;E173,表2_36716262930389121314151819[[#This Row],[累计净值]]/MAX(INDIRECT("B21:B" &amp; ROW()))-1,E173)</f>
        <v>-5.3585500394010888E-2</v>
      </c>
      <c r="F174" s="110">
        <f>表2_36716262930389121314151819[[#This Row],[累计净值]]-0.144</f>
        <v>1.2260000000000002</v>
      </c>
      <c r="G174" s="20">
        <f>IF(表2_36716262930389121314151819[[#This Row],[单位净值]]&gt;1.088,0.8*(表2_36716262930389121314151819[[#This Row],[单位净值]]-1.088)/1.088,(表2_36716262930389121314151819[[#This Row],[单位净值]]-1.088)/1.088)</f>
        <v>0.10147058823529422</v>
      </c>
    </row>
    <row r="175" spans="1:7">
      <c r="A175" s="15">
        <v>44210</v>
      </c>
      <c r="B175" s="112">
        <v>1.3620000000000001</v>
      </c>
      <c r="C175" s="108">
        <f t="shared" si="48"/>
        <v>-8.0000000000000071E-3</v>
      </c>
      <c r="D175" s="109">
        <f t="shared" si="49"/>
        <v>-8.0000000000000071E-3</v>
      </c>
      <c r="E175" s="109">
        <f ca="1">IF(表2_36716262930389121314151819[[#This Row],[累计净值]]/MAX(INDIRECT("B21:B" &amp; ROW()))-1&lt;E174,表2_36716262930389121314151819[[#This Row],[累计净值]]/MAX(INDIRECT("B21:B" &amp; ROW()))-1,E174)</f>
        <v>-5.3585500394010888E-2</v>
      </c>
      <c r="F175" s="110">
        <f>表2_36716262930389121314151819[[#This Row],[累计净值]]-0.144</f>
        <v>1.2180000000000002</v>
      </c>
      <c r="G175" s="20">
        <f>IF(表2_36716262930389121314151819[[#This Row],[单位净值]]&gt;1.088,0.8*(表2_36716262930389121314151819[[#This Row],[单位净值]]-1.088)/1.088,(表2_36716262930389121314151819[[#This Row],[单位净值]]-1.088)/1.088)</f>
        <v>9.5588235294117724E-2</v>
      </c>
    </row>
    <row r="176" spans="1:7">
      <c r="A176" s="15">
        <v>44211</v>
      </c>
      <c r="B176" s="112">
        <v>1.341</v>
      </c>
      <c r="C176" s="108">
        <f t="shared" si="48"/>
        <v>-2.100000000000013E-2</v>
      </c>
      <c r="D176" s="109">
        <f t="shared" si="49"/>
        <v>-2.100000000000013E-2</v>
      </c>
      <c r="E176" s="109">
        <f ca="1">IF(表2_36716262930389121314151819[[#This Row],[累计净值]]/MAX(INDIRECT("B21:B" &amp; ROW()))-1&lt;E175,表2_36716262930389121314151819[[#This Row],[累计净值]]/MAX(INDIRECT("B21:B" &amp; ROW()))-1,E175)</f>
        <v>-5.3585500394010888E-2</v>
      </c>
      <c r="F176" s="110">
        <f>表2_36716262930389121314151819[[#This Row],[累计净值]]-0.144</f>
        <v>1.1970000000000001</v>
      </c>
      <c r="G176" s="20">
        <f>IF(表2_36716262930389121314151819[[#This Row],[单位净值]]&gt;1.088,0.8*(表2_36716262930389121314151819[[#This Row],[单位净值]]-1.088)/1.088,(表2_36716262930389121314151819[[#This Row],[单位净值]]-1.088)/1.088)</f>
        <v>8.0147058823529405E-2</v>
      </c>
    </row>
    <row r="177" spans="1:7">
      <c r="A177" s="15">
        <v>44214</v>
      </c>
      <c r="B177" s="112">
        <v>1.339</v>
      </c>
      <c r="C177" s="108">
        <f t="shared" si="48"/>
        <v>-2.0000000000000018E-3</v>
      </c>
      <c r="D177" s="109">
        <f t="shared" si="49"/>
        <v>-2.0000000000000018E-3</v>
      </c>
      <c r="E177" s="109">
        <f ca="1">IF(表2_36716262930389121314151819[[#This Row],[累计净值]]/MAX(INDIRECT("B21:B" &amp; ROW()))-1&lt;E176,表2_36716262930389121314151819[[#This Row],[累计净值]]/MAX(INDIRECT("B21:B" &amp; ROW()))-1,E176)</f>
        <v>-5.3585500394010888E-2</v>
      </c>
      <c r="F177" s="110">
        <f>表2_36716262930389121314151819[[#This Row],[累计净值]]-0.144</f>
        <v>1.1950000000000001</v>
      </c>
      <c r="G177" s="20">
        <f>IF(表2_36716262930389121314151819[[#This Row],[单位净值]]&gt;1.088,0.8*(表2_36716262930389121314151819[[#This Row],[单位净值]]-1.088)/1.088,(表2_36716262930389121314151819[[#This Row],[单位净值]]-1.088)/1.088)</f>
        <v>7.8676470588235278E-2</v>
      </c>
    </row>
    <row r="178" spans="1:7">
      <c r="A178" s="15">
        <v>44215</v>
      </c>
      <c r="B178" s="112">
        <v>1.3380000000000001</v>
      </c>
      <c r="C178" s="108">
        <f t="shared" si="48"/>
        <v>-9.9999999999988987E-4</v>
      </c>
      <c r="D178" s="109">
        <f t="shared" si="49"/>
        <v>-9.9999999999988987E-4</v>
      </c>
      <c r="E178" s="109">
        <f ca="1">IF(表2_36716262930389121314151819[[#This Row],[累计净值]]/MAX(INDIRECT("B21:B" &amp; ROW()))-1&lt;E177,表2_36716262930389121314151819[[#This Row],[累计净值]]/MAX(INDIRECT("B21:B" &amp; ROW()))-1,E177)</f>
        <v>-5.3585500394010888E-2</v>
      </c>
      <c r="F178" s="110">
        <f>表2_36716262930389121314151819[[#This Row],[累计净值]]-0.144</f>
        <v>1.1940000000000002</v>
      </c>
      <c r="G178" s="20">
        <f>IF(表2_36716262930389121314151819[[#This Row],[单位净值]]&gt;1.088,0.8*(表2_36716262930389121314151819[[#This Row],[单位净值]]-1.088)/1.088,(表2_36716262930389121314151819[[#This Row],[单位净值]]-1.088)/1.088)</f>
        <v>7.7941176470588305E-2</v>
      </c>
    </row>
    <row r="179" spans="1:7">
      <c r="A179" s="15">
        <v>44216</v>
      </c>
      <c r="B179" s="112">
        <v>1.329</v>
      </c>
      <c r="C179" s="108">
        <f t="shared" si="48"/>
        <v>-9.000000000000119E-3</v>
      </c>
      <c r="D179" s="109">
        <f t="shared" si="49"/>
        <v>-9.000000000000119E-3</v>
      </c>
      <c r="E179" s="109">
        <f ca="1">IF(表2_36716262930389121314151819[[#This Row],[累计净值]]/MAX(INDIRECT("B21:B" &amp; ROW()))-1&lt;E178,表2_36716262930389121314151819[[#This Row],[累计净值]]/MAX(INDIRECT("B21:B" &amp; ROW()))-1,E178)</f>
        <v>-5.3585500394010888E-2</v>
      </c>
      <c r="F179" s="110">
        <f>表2_36716262930389121314151819[[#This Row],[累计净值]]-0.144</f>
        <v>1.1850000000000001</v>
      </c>
      <c r="G179" s="20">
        <f>IF(表2_36716262930389121314151819[[#This Row],[单位净值]]&gt;1.088,0.8*(表2_36716262930389121314151819[[#This Row],[单位净值]]-1.088)/1.088,(表2_36716262930389121314151819[[#This Row],[单位净值]]-1.088)/1.088)</f>
        <v>7.1323529411764688E-2</v>
      </c>
    </row>
    <row r="180" spans="1:7">
      <c r="A180" s="15">
        <v>44217</v>
      </c>
      <c r="B180" s="112">
        <v>1.3109999999999999</v>
      </c>
      <c r="C180" s="108">
        <f t="shared" ref="C180:C185" si="50">IFERROR(B180-B179,0)</f>
        <v>-1.8000000000000016E-2</v>
      </c>
      <c r="D180" s="109">
        <f t="shared" ref="D180:D185" si="51">IF(C180&lt;0,C180,"/")</f>
        <v>-1.8000000000000016E-2</v>
      </c>
      <c r="E180" s="109">
        <f ca="1">IF(表2_36716262930389121314151819[[#This Row],[累计净值]]/MAX(INDIRECT("B21:B" &amp; ROW()))-1&lt;E179,表2_36716262930389121314151819[[#This Row],[累计净值]]/MAX(INDIRECT("B21:B" &amp; ROW()))-1,E179)</f>
        <v>-6.021505376344094E-2</v>
      </c>
      <c r="F180" s="110">
        <f>表2_36716262930389121314151819[[#This Row],[累计净值]]-0.144</f>
        <v>1.167</v>
      </c>
      <c r="G180" s="20">
        <f>IF(表2_36716262930389121314151819[[#This Row],[单位净值]]&gt;1.088,0.8*(表2_36716262930389121314151819[[#This Row],[单位净值]]-1.088)/1.088,(表2_36716262930389121314151819[[#This Row],[单位净值]]-1.088)/1.088)</f>
        <v>5.8088235294117607E-2</v>
      </c>
    </row>
    <row r="181" spans="1:7">
      <c r="A181" s="15">
        <v>44218</v>
      </c>
      <c r="B181" s="112">
        <v>1.3169999999999999</v>
      </c>
      <c r="C181" s="108">
        <f t="shared" si="50"/>
        <v>6.0000000000000053E-3</v>
      </c>
      <c r="D181" s="109" t="str">
        <f t="shared" si="51"/>
        <v>/</v>
      </c>
      <c r="E181" s="109">
        <f ca="1">IF(表2_36716262930389121314151819[[#This Row],[累计净值]]/MAX(INDIRECT("B21:B" &amp; ROW()))-1&lt;E180,表2_36716262930389121314151819[[#This Row],[累计净值]]/MAX(INDIRECT("B21:B" &amp; ROW()))-1,E180)</f>
        <v>-6.021505376344094E-2</v>
      </c>
      <c r="F181" s="110">
        <f>表2_36716262930389121314151819[[#This Row],[累计净值]]-0.144</f>
        <v>1.173</v>
      </c>
      <c r="G181" s="20">
        <f>IF(表2_36716262930389121314151819[[#This Row],[单位净值]]&gt;1.088,0.8*(表2_36716262930389121314151819[[#This Row],[单位净值]]-1.088)/1.088,(表2_36716262930389121314151819[[#This Row],[单位净值]]-1.088)/1.088)</f>
        <v>6.2499999999999972E-2</v>
      </c>
    </row>
    <row r="182" spans="1:7">
      <c r="A182" s="15">
        <v>44221</v>
      </c>
      <c r="B182" s="112">
        <v>1.32</v>
      </c>
      <c r="C182" s="108">
        <f t="shared" si="50"/>
        <v>3.0000000000001137E-3</v>
      </c>
      <c r="D182" s="109" t="str">
        <f t="shared" si="51"/>
        <v>/</v>
      </c>
      <c r="E182" s="109">
        <f ca="1">IF(表2_36716262930389121314151819[[#This Row],[累计净值]]/MAX(INDIRECT("B21:B" &amp; ROW()))-1&lt;E181,表2_36716262930389121314151819[[#This Row],[累计净值]]/MAX(INDIRECT("B21:B" &amp; ROW()))-1,E181)</f>
        <v>-6.021505376344094E-2</v>
      </c>
      <c r="F182" s="110">
        <f>表2_36716262930389121314151819[[#This Row],[累计净值]]-0.144</f>
        <v>1.1760000000000002</v>
      </c>
      <c r="G182" s="20">
        <f>IF(表2_36716262930389121314151819[[#This Row],[单位净值]]&gt;1.088,0.8*(表2_36716262930389121314151819[[#This Row],[单位净值]]-1.088)/1.088,(表2_36716262930389121314151819[[#This Row],[单位净值]]-1.088)/1.088)</f>
        <v>6.4705882352941224E-2</v>
      </c>
    </row>
    <row r="183" spans="1:7">
      <c r="A183" s="15">
        <v>44222</v>
      </c>
      <c r="B183" s="112">
        <v>1.3169999999999999</v>
      </c>
      <c r="C183" s="108">
        <f t="shared" si="50"/>
        <v>-3.0000000000001137E-3</v>
      </c>
      <c r="D183" s="109">
        <f t="shared" si="51"/>
        <v>-3.0000000000001137E-3</v>
      </c>
      <c r="E183" s="109">
        <f ca="1">IF(表2_36716262930389121314151819[[#This Row],[累计净值]]/MAX(INDIRECT("B21:B" &amp; ROW()))-1&lt;E182,表2_36716262930389121314151819[[#This Row],[累计净值]]/MAX(INDIRECT("B21:B" &amp; ROW()))-1,E182)</f>
        <v>-6.021505376344094E-2</v>
      </c>
      <c r="F183" s="110">
        <f>表2_36716262930389121314151819[[#This Row],[累计净值]]-0.144</f>
        <v>1.173</v>
      </c>
      <c r="G183" s="20">
        <f>IF(表2_36716262930389121314151819[[#This Row],[单位净值]]&gt;1.088,0.8*(表2_36716262930389121314151819[[#This Row],[单位净值]]-1.088)/1.088,(表2_36716262930389121314151819[[#This Row],[单位净值]]-1.088)/1.088)</f>
        <v>6.2499999999999972E-2</v>
      </c>
    </row>
    <row r="184" spans="1:7">
      <c r="A184" s="15">
        <v>44223</v>
      </c>
      <c r="B184" s="112">
        <v>1.3160000000000001</v>
      </c>
      <c r="C184" s="108">
        <f t="shared" si="50"/>
        <v>-9.9999999999988987E-4</v>
      </c>
      <c r="D184" s="109">
        <f t="shared" si="51"/>
        <v>-9.9999999999988987E-4</v>
      </c>
      <c r="E184" s="109">
        <f ca="1">IF(表2_36716262930389121314151819[[#This Row],[累计净值]]/MAX(INDIRECT("B21:B" &amp; ROW()))-1&lt;E183,表2_36716262930389121314151819[[#This Row],[累计净值]]/MAX(INDIRECT("B21:B" &amp; ROW()))-1,E183)</f>
        <v>-6.021505376344094E-2</v>
      </c>
      <c r="F184" s="110">
        <f>表2_36716262930389121314151819[[#This Row],[累计净值]]-0.144</f>
        <v>1.1720000000000002</v>
      </c>
      <c r="G184" s="20">
        <f>IF(表2_36716262930389121314151819[[#This Row],[单位净值]]&gt;1.088,0.8*(表2_36716262930389121314151819[[#This Row],[单位净值]]-1.088)/1.088,(表2_36716262930389121314151819[[#This Row],[单位净值]]-1.088)/1.088)</f>
        <v>6.1764705882352999E-2</v>
      </c>
    </row>
    <row r="185" spans="1:7">
      <c r="A185" s="15">
        <v>44224</v>
      </c>
      <c r="B185" s="112">
        <v>1.3129999999999999</v>
      </c>
      <c r="C185" s="108">
        <f t="shared" si="50"/>
        <v>-3.0000000000001137E-3</v>
      </c>
      <c r="D185" s="109">
        <f t="shared" si="51"/>
        <v>-3.0000000000001137E-3</v>
      </c>
      <c r="E185" s="109">
        <f ca="1">IF(表2_36716262930389121314151819[[#This Row],[累计净值]]/MAX(INDIRECT("B21:B" &amp; ROW()))-1&lt;E184,表2_36716262930389121314151819[[#This Row],[累计净值]]/MAX(INDIRECT("B21:B" &amp; ROW()))-1,E184)</f>
        <v>-6.021505376344094E-2</v>
      </c>
      <c r="F185" s="110">
        <f>表2_36716262930389121314151819[[#This Row],[累计净值]]-0.144</f>
        <v>1.169</v>
      </c>
      <c r="G185" s="20">
        <f>IF(表2_36716262930389121314151819[[#This Row],[单位净值]]&gt;1.088,0.8*(表2_36716262930389121314151819[[#This Row],[单位净值]]-1.088)/1.088,(表2_36716262930389121314151819[[#This Row],[单位净值]]-1.088)/1.088)</f>
        <v>5.9558823529411734E-2</v>
      </c>
    </row>
    <row r="186" spans="1:7">
      <c r="A186" s="15">
        <v>44225</v>
      </c>
      <c r="B186" s="112">
        <v>1.31</v>
      </c>
      <c r="C186" s="108">
        <f t="shared" ref="C186:C191" si="52">IFERROR(B186-B185,0)</f>
        <v>-2.9999999999998916E-3</v>
      </c>
      <c r="D186" s="109">
        <f t="shared" ref="D186:D191" si="53">IF(C186&lt;0,C186,"/")</f>
        <v>-2.9999999999998916E-3</v>
      </c>
      <c r="E186" s="109">
        <f ca="1">IF(表2_36716262930389121314151819[[#This Row],[累计净值]]/MAX(INDIRECT("B21:B" &amp; ROW()))-1&lt;E185,表2_36716262930389121314151819[[#This Row],[累计净值]]/MAX(INDIRECT("B21:B" &amp; ROW()))-1,E185)</f>
        <v>-6.0931899641577081E-2</v>
      </c>
      <c r="F186" s="110">
        <f>表2_36716262930389121314151819[[#This Row],[累计净值]]-0.144</f>
        <v>1.1660000000000001</v>
      </c>
      <c r="G186" s="20">
        <f>IF(表2_36716262930389121314151819[[#This Row],[单位净值]]&gt;1.088,0.8*(表2_36716262930389121314151819[[#This Row],[单位净值]]-1.088)/1.088,(表2_36716262930389121314151819[[#This Row],[单位净值]]-1.088)/1.088)</f>
        <v>5.7352941176470641E-2</v>
      </c>
    </row>
    <row r="187" spans="1:7">
      <c r="A187" s="15">
        <v>44228</v>
      </c>
      <c r="B187" s="112">
        <v>1.2989999999999999</v>
      </c>
      <c r="C187" s="108">
        <f t="shared" si="52"/>
        <v>-1.1000000000000121E-2</v>
      </c>
      <c r="D187" s="109">
        <f t="shared" si="53"/>
        <v>-1.1000000000000121E-2</v>
      </c>
      <c r="E187" s="109">
        <f ca="1">IF(表2_36716262930389121314151819[[#This Row],[累计净值]]/MAX(INDIRECT("B21:B" &amp; ROW()))-1&lt;E186,表2_36716262930389121314151819[[#This Row],[累计净值]]/MAX(INDIRECT("B21:B" &amp; ROW()))-1,E186)</f>
        <v>-6.8817204301075297E-2</v>
      </c>
      <c r="F187" s="110">
        <f>表2_36716262930389121314151819[[#This Row],[累计净值]]-0.144</f>
        <v>1.155</v>
      </c>
      <c r="G187" s="20">
        <f>IF(表2_36716262930389121314151819[[#This Row],[单位净值]]&gt;1.088,0.8*(表2_36716262930389121314151819[[#This Row],[单位净值]]-1.088)/1.088,(表2_36716262930389121314151819[[#This Row],[单位净值]]-1.088)/1.088)</f>
        <v>4.9264705882352898E-2</v>
      </c>
    </row>
    <row r="188" spans="1:7">
      <c r="A188" s="15">
        <v>44229</v>
      </c>
      <c r="B188" s="112">
        <v>1.3089999999999999</v>
      </c>
      <c r="C188" s="108">
        <f t="shared" si="52"/>
        <v>1.0000000000000009E-2</v>
      </c>
      <c r="D188" s="109" t="str">
        <f t="shared" si="53"/>
        <v>/</v>
      </c>
      <c r="E188" s="109">
        <f ca="1">IF(表2_36716262930389121314151819[[#This Row],[累计净值]]/MAX(INDIRECT("B21:B" &amp; ROW()))-1&lt;E187,表2_36716262930389121314151819[[#This Row],[累计净值]]/MAX(INDIRECT("B21:B" &amp; ROW()))-1,E187)</f>
        <v>-6.8817204301075297E-2</v>
      </c>
      <c r="F188" s="110">
        <f>表2_36716262930389121314151819[[#This Row],[累计净值]]-0.144</f>
        <v>1.165</v>
      </c>
      <c r="G188" s="20">
        <f>IF(表2_36716262930389121314151819[[#This Row],[单位净值]]&gt;1.088,0.8*(表2_36716262930389121314151819[[#This Row],[单位净值]]-1.088)/1.088,(表2_36716262930389121314151819[[#This Row],[单位净值]]-1.088)/1.088)</f>
        <v>5.6617647058823495E-2</v>
      </c>
    </row>
    <row r="189" spans="1:7">
      <c r="A189" s="15">
        <v>44230</v>
      </c>
      <c r="B189" s="112">
        <v>1.3089999999999999</v>
      </c>
      <c r="C189" s="108">
        <f t="shared" si="52"/>
        <v>0</v>
      </c>
      <c r="D189" s="109" t="str">
        <f t="shared" si="53"/>
        <v>/</v>
      </c>
      <c r="E189" s="109">
        <f ca="1">IF(表2_36716262930389121314151819[[#This Row],[累计净值]]/MAX(INDIRECT("B21:B" &amp; ROW()))-1&lt;E188,表2_36716262930389121314151819[[#This Row],[累计净值]]/MAX(INDIRECT("B21:B" &amp; ROW()))-1,E188)</f>
        <v>-6.8817204301075297E-2</v>
      </c>
      <c r="F189" s="110">
        <f>表2_36716262930389121314151819[[#This Row],[累计净值]]-0.144</f>
        <v>1.165</v>
      </c>
      <c r="G189" s="20">
        <f>IF(表2_36716262930389121314151819[[#This Row],[单位净值]]&gt;1.088,0.8*(表2_36716262930389121314151819[[#This Row],[单位净值]]-1.088)/1.088,(表2_36716262930389121314151819[[#This Row],[单位净值]]-1.088)/1.088)</f>
        <v>5.6617647058823495E-2</v>
      </c>
    </row>
    <row r="190" spans="1:7">
      <c r="A190" s="15">
        <v>44231</v>
      </c>
      <c r="B190" s="112">
        <v>1.3</v>
      </c>
      <c r="C190" s="108">
        <f t="shared" si="52"/>
        <v>-8.999999999999897E-3</v>
      </c>
      <c r="D190" s="109">
        <f t="shared" si="53"/>
        <v>-8.999999999999897E-3</v>
      </c>
      <c r="E190" s="109">
        <f ca="1">IF(表2_36716262930389121314151819[[#This Row],[累计净值]]/MAX(INDIRECT("B21:B" &amp; ROW()))-1&lt;E189,表2_36716262930389121314151819[[#This Row],[累计净值]]/MAX(INDIRECT("B21:B" &amp; ROW()))-1,E189)</f>
        <v>-6.8817204301075297E-2</v>
      </c>
      <c r="F190" s="110">
        <f>表2_36716262930389121314151819[[#This Row],[累计净值]]-0.144</f>
        <v>1.1560000000000001</v>
      </c>
      <c r="G190" s="20">
        <f>IF(表2_36716262930389121314151819[[#This Row],[单位净值]]&gt;1.088,0.8*(表2_36716262930389121314151819[[#This Row],[单位净值]]-1.088)/1.088,(表2_36716262930389121314151819[[#This Row],[单位净值]]-1.088)/1.088)</f>
        <v>5.0000000000000044E-2</v>
      </c>
    </row>
    <row r="191" spans="1:7">
      <c r="A191" s="15">
        <v>44232</v>
      </c>
      <c r="B191" s="112">
        <v>1.3160000000000001</v>
      </c>
      <c r="C191" s="108">
        <f t="shared" si="52"/>
        <v>1.6000000000000014E-2</v>
      </c>
      <c r="D191" s="109" t="str">
        <f t="shared" si="53"/>
        <v>/</v>
      </c>
      <c r="E191" s="109">
        <f ca="1">IF(表2_36716262930389121314151819[[#This Row],[累计净值]]/MAX(INDIRECT("B21:B" &amp; ROW()))-1&lt;E190,表2_36716262930389121314151819[[#This Row],[累计净值]]/MAX(INDIRECT("B21:B" &amp; ROW()))-1,E190)</f>
        <v>-6.8817204301075297E-2</v>
      </c>
      <c r="F191" s="110">
        <f>表2_36716262930389121314151819[[#This Row],[累计净值]]-0.144</f>
        <v>1.1720000000000002</v>
      </c>
      <c r="G191" s="20">
        <f>IF(表2_36716262930389121314151819[[#This Row],[单位净值]]&gt;1.088,0.8*(表2_36716262930389121314151819[[#This Row],[单位净值]]-1.088)/1.088,(表2_36716262930389121314151819[[#This Row],[单位净值]]-1.088)/1.088)</f>
        <v>6.1764705882352999E-2</v>
      </c>
    </row>
    <row r="192" spans="1:7">
      <c r="A192" s="15">
        <v>44235</v>
      </c>
      <c r="B192" s="112">
        <v>1.323</v>
      </c>
      <c r="C192" s="108">
        <f>IFERROR(B192-B191,0)</f>
        <v>6.9999999999998952E-3</v>
      </c>
      <c r="D192" s="109" t="str">
        <f>IF(C192&lt;0,C192,"/")</f>
        <v>/</v>
      </c>
      <c r="E192" s="109">
        <f ca="1">IF(表2_36716262930389121314151819[[#This Row],[累计净值]]/MAX(INDIRECT("B21:B" &amp; ROW()))-1&lt;E191,表2_36716262930389121314151819[[#This Row],[累计净值]]/MAX(INDIRECT("B21:B" &amp; ROW()))-1,E191)</f>
        <v>-6.8817204301075297E-2</v>
      </c>
      <c r="F192" s="110">
        <f>表2_36716262930389121314151819[[#This Row],[累计净值]]-0.144</f>
        <v>1.179</v>
      </c>
      <c r="G192" s="20">
        <f>IF(表2_36716262930389121314151819[[#This Row],[单位净值]]&gt;1.088,0.8*(表2_36716262930389121314151819[[#This Row],[单位净值]]-1.088)/1.088,(表2_36716262930389121314151819[[#This Row],[单位净值]]-1.088)/1.088)</f>
        <v>6.6911764705882323E-2</v>
      </c>
    </row>
    <row r="193" spans="1:7">
      <c r="A193" s="15">
        <v>44236</v>
      </c>
      <c r="B193" s="112">
        <v>1.3320000000000001</v>
      </c>
      <c r="C193" s="108">
        <f t="shared" ref="C193:C195" si="54">IFERROR(B193-B192,0)</f>
        <v>9.000000000000119E-3</v>
      </c>
      <c r="D193" s="109" t="str">
        <f t="shared" ref="D193:D195" si="55">IF(C193&lt;0,C193,"/")</f>
        <v>/</v>
      </c>
      <c r="E193" s="109">
        <f ca="1">IF(表2_36716262930389121314151819[[#This Row],[累计净值]]/MAX(INDIRECT("B21:B" &amp; ROW()))-1&lt;E192,表2_36716262930389121314151819[[#This Row],[累计净值]]/MAX(INDIRECT("B21:B" &amp; ROW()))-1,E192)</f>
        <v>-6.8817204301075297E-2</v>
      </c>
      <c r="F193" s="110">
        <f>表2_36716262930389121314151819[[#This Row],[累计净值]]-0.144</f>
        <v>1.1880000000000002</v>
      </c>
      <c r="G193" s="20">
        <f>IF(表2_36716262930389121314151819[[#This Row],[单位净值]]&gt;1.088,0.8*(表2_36716262930389121314151819[[#This Row],[单位净值]]-1.088)/1.088,(表2_36716262930389121314151819[[#This Row],[单位净值]]-1.088)/1.088)</f>
        <v>7.352941176470594E-2</v>
      </c>
    </row>
    <row r="194" spans="1:7">
      <c r="A194" s="15">
        <v>44237</v>
      </c>
      <c r="B194" s="112">
        <v>1.337</v>
      </c>
      <c r="C194" s="108">
        <f t="shared" si="54"/>
        <v>4.9999999999998934E-3</v>
      </c>
      <c r="D194" s="109" t="str">
        <f t="shared" si="55"/>
        <v>/</v>
      </c>
      <c r="E194" s="109">
        <f ca="1">IF(表2_36716262930389121314151819[[#This Row],[累计净值]]/MAX(INDIRECT("B21:B" &amp; ROW()))-1&lt;E193,表2_36716262930389121314151819[[#This Row],[累计净值]]/MAX(INDIRECT("B21:B" &amp; ROW()))-1,E193)</f>
        <v>-6.8817204301075297E-2</v>
      </c>
      <c r="F194" s="110">
        <f>表2_36716262930389121314151819[[#This Row],[累计净值]]-0.144</f>
        <v>1.1930000000000001</v>
      </c>
      <c r="G194" s="20">
        <f>IF(表2_36716262930389121314151819[[#This Row],[单位净值]]&gt;1.088,0.8*(表2_36716262930389121314151819[[#This Row],[单位净值]]-1.088)/1.088,(表2_36716262930389121314151819[[#This Row],[单位净值]]-1.088)/1.088)</f>
        <v>7.7205882352941166E-2</v>
      </c>
    </row>
    <row r="195" spans="1:7">
      <c r="A195" s="15">
        <v>44245</v>
      </c>
      <c r="B195" s="112">
        <v>1.347</v>
      </c>
      <c r="C195" s="108">
        <f t="shared" si="54"/>
        <v>1.0000000000000009E-2</v>
      </c>
      <c r="D195" s="109" t="str">
        <f t="shared" si="55"/>
        <v>/</v>
      </c>
      <c r="E195" s="109">
        <f ca="1">IF(表2_36716262930389121314151819[[#This Row],[累计净值]]/MAX(INDIRECT("B21:B" &amp; ROW()))-1&lt;E194,表2_36716262930389121314151819[[#This Row],[累计净值]]/MAX(INDIRECT("B21:B" &amp; ROW()))-1,E194)</f>
        <v>-6.8817204301075297E-2</v>
      </c>
      <c r="F195" s="110">
        <f>表2_36716262930389121314151819[[#This Row],[累计净值]]-0.144</f>
        <v>1.2030000000000001</v>
      </c>
      <c r="G195" s="20">
        <f>IF(表2_36716262930389121314151819[[#This Row],[单位净值]]&gt;1.088,0.8*(表2_36716262930389121314151819[[#This Row],[单位净值]]-1.088)/1.088,(表2_36716262930389121314151819[[#This Row],[单位净值]]-1.088)/1.088)</f>
        <v>8.4558823529411756E-2</v>
      </c>
    </row>
    <row r="196" spans="1:7">
      <c r="A196" s="15">
        <v>44246</v>
      </c>
      <c r="B196" s="112">
        <v>1.3420000000000001</v>
      </c>
      <c r="C196" s="108">
        <f t="shared" ref="C196:C201" si="56">IFERROR(B196-B195,0)</f>
        <v>-4.9999999999998934E-3</v>
      </c>
      <c r="D196" s="109">
        <f t="shared" ref="D196:D201" si="57">IF(C196&lt;0,C196,"/")</f>
        <v>-4.9999999999998934E-3</v>
      </c>
      <c r="E196" s="109">
        <f ca="1">IF(表2_36716262930389121314151819[[#This Row],[累计净值]]/MAX(INDIRECT("B21:B" &amp; ROW()))-1&lt;E195,表2_36716262930389121314151819[[#This Row],[累计净值]]/MAX(INDIRECT("B21:B" &amp; ROW()))-1,E195)</f>
        <v>-6.8817204301075297E-2</v>
      </c>
      <c r="F196" s="110">
        <f>表2_36716262930389121314151819[[#This Row],[累计净值]]-0.144</f>
        <v>1.1980000000000002</v>
      </c>
      <c r="G196" s="20">
        <f>IF(表2_36716262930389121314151819[[#This Row],[单位净值]]&gt;1.088,0.8*(表2_36716262930389121314151819[[#This Row],[单位净值]]-1.088)/1.088,(表2_36716262930389121314151819[[#This Row],[单位净值]]-1.088)/1.088)</f>
        <v>8.088235294117653E-2</v>
      </c>
    </row>
    <row r="197" spans="1:7">
      <c r="A197" s="15">
        <v>44249</v>
      </c>
      <c r="B197" s="112">
        <v>1.36</v>
      </c>
      <c r="C197" s="108">
        <f t="shared" si="56"/>
        <v>1.8000000000000016E-2</v>
      </c>
      <c r="D197" s="109" t="str">
        <f t="shared" si="57"/>
        <v>/</v>
      </c>
      <c r="E197" s="109">
        <f ca="1">IF(表2_36716262930389121314151819[[#This Row],[累计净值]]/MAX(INDIRECT("B21:B" &amp; ROW()))-1&lt;E196,表2_36716262930389121314151819[[#This Row],[累计净值]]/MAX(INDIRECT("B21:B" &amp; ROW()))-1,E196)</f>
        <v>-6.8817204301075297E-2</v>
      </c>
      <c r="F197" s="110">
        <f>表2_36716262930389121314151819[[#This Row],[累计净值]]-0.144</f>
        <v>1.2160000000000002</v>
      </c>
      <c r="G197" s="20">
        <f>IF(表2_36716262930389121314151819[[#This Row],[单位净值]]&gt;1.088,0.8*(表2_36716262930389121314151819[[#This Row],[单位净值]]-1.088)/1.088,(表2_36716262930389121314151819[[#This Row],[单位净值]]-1.088)/1.088)</f>
        <v>9.4117647058823611E-2</v>
      </c>
    </row>
    <row r="198" spans="1:7">
      <c r="A198" s="15">
        <v>44250</v>
      </c>
      <c r="B198" s="112">
        <v>1.367</v>
      </c>
      <c r="C198" s="108">
        <f t="shared" si="56"/>
        <v>6.9999999999998952E-3</v>
      </c>
      <c r="D198" s="109" t="str">
        <f t="shared" si="57"/>
        <v>/</v>
      </c>
      <c r="E198" s="109">
        <f ca="1">IF(表2_36716262930389121314151819[[#This Row],[累计净值]]/MAX(INDIRECT("B21:B" &amp; ROW()))-1&lt;E197,表2_36716262930389121314151819[[#This Row],[累计净值]]/MAX(INDIRECT("B21:B" &amp; ROW()))-1,E197)</f>
        <v>-6.8817204301075297E-2</v>
      </c>
      <c r="F198" s="110">
        <f>表2_36716262930389121314151819[[#This Row],[累计净值]]-0.144</f>
        <v>1.2230000000000001</v>
      </c>
      <c r="G198" s="20">
        <f>IF(表2_36716262930389121314151819[[#This Row],[单位净值]]&gt;1.088,0.8*(表2_36716262930389121314151819[[#This Row],[单位净值]]-1.088)/1.088,(表2_36716262930389121314151819[[#This Row],[单位净值]]-1.088)/1.088)</f>
        <v>9.9264705882352949E-2</v>
      </c>
    </row>
    <row r="199" spans="1:7">
      <c r="A199" s="15">
        <v>44251</v>
      </c>
      <c r="B199" s="112">
        <v>1.367</v>
      </c>
      <c r="C199" s="108">
        <f t="shared" si="56"/>
        <v>0</v>
      </c>
      <c r="D199" s="109" t="str">
        <f t="shared" si="57"/>
        <v>/</v>
      </c>
      <c r="E199" s="109">
        <f ca="1">IF(表2_36716262930389121314151819[[#This Row],[累计净值]]/MAX(INDIRECT("B21:B" &amp; ROW()))-1&lt;E198,表2_36716262930389121314151819[[#This Row],[累计净值]]/MAX(INDIRECT("B21:B" &amp; ROW()))-1,E198)</f>
        <v>-6.8817204301075297E-2</v>
      </c>
      <c r="F199" s="110">
        <f>表2_36716262930389121314151819[[#This Row],[累计净值]]-0.144</f>
        <v>1.2230000000000001</v>
      </c>
      <c r="G199" s="20">
        <f>IF(表2_36716262930389121314151819[[#This Row],[单位净值]]&gt;1.088,0.8*(表2_36716262930389121314151819[[#This Row],[单位净值]]-1.088)/1.088,(表2_36716262930389121314151819[[#This Row],[单位净值]]-1.088)/1.088)</f>
        <v>9.9264705882352949E-2</v>
      </c>
    </row>
    <row r="200" spans="1:7">
      <c r="A200" s="15">
        <v>44252</v>
      </c>
      <c r="B200" s="112">
        <v>1.38</v>
      </c>
      <c r="C200" s="108">
        <f t="shared" si="56"/>
        <v>1.2999999999999901E-2</v>
      </c>
      <c r="D200" s="109" t="str">
        <f t="shared" si="57"/>
        <v>/</v>
      </c>
      <c r="E200" s="109">
        <f ca="1">IF(表2_36716262930389121314151819[[#This Row],[累计净值]]/MAX(INDIRECT("B21:B" &amp; ROW()))-1&lt;E199,表2_36716262930389121314151819[[#This Row],[累计净值]]/MAX(INDIRECT("B21:B" &amp; ROW()))-1,E199)</f>
        <v>-6.8817204301075297E-2</v>
      </c>
      <c r="F200" s="110">
        <f>表2_36716262930389121314151819[[#This Row],[累计净值]]-0.144</f>
        <v>1.236</v>
      </c>
      <c r="G200" s="20">
        <f>IF(表2_36716262930389121314151819[[#This Row],[单位净值]]&gt;1.088,0.8*(表2_36716262930389121314151819[[#This Row],[单位净值]]-1.088)/1.088,(表2_36716262930389121314151819[[#This Row],[单位净值]]-1.088)/1.088)</f>
        <v>0.10882352941176464</v>
      </c>
    </row>
    <row r="201" spans="1:7">
      <c r="A201" s="15">
        <v>44253</v>
      </c>
      <c r="B201" s="112">
        <v>1.379</v>
      </c>
      <c r="C201" s="108">
        <f t="shared" si="56"/>
        <v>-9.9999999999988987E-4</v>
      </c>
      <c r="D201" s="109">
        <f t="shared" si="57"/>
        <v>-9.9999999999988987E-4</v>
      </c>
      <c r="E201" s="109">
        <f ca="1">IF(表2_36716262930389121314151819[[#This Row],[累计净值]]/MAX(INDIRECT("B21:B" &amp; ROW()))-1&lt;E200,表2_36716262930389121314151819[[#This Row],[累计净值]]/MAX(INDIRECT("B21:B" &amp; ROW()))-1,E200)</f>
        <v>-6.8817204301075297E-2</v>
      </c>
      <c r="F201" s="110">
        <f>表2_36716262930389121314151819[[#This Row],[累计净值]]-0.144</f>
        <v>1.2350000000000001</v>
      </c>
      <c r="G201" s="20">
        <f>IF(表2_36716262930389121314151819[[#This Row],[单位净值]]&gt;1.088,0.8*(表2_36716262930389121314151819[[#This Row],[单位净值]]-1.088)/1.088,(表2_36716262930389121314151819[[#This Row],[单位净值]]-1.088)/1.088)</f>
        <v>0.10808823529411767</v>
      </c>
    </row>
    <row r="202" spans="1:7">
      <c r="A202" s="15">
        <v>44256</v>
      </c>
      <c r="B202" s="112">
        <v>1.3819999999999999</v>
      </c>
      <c r="C202" s="108">
        <f t="shared" ref="C202:C203" si="58">IFERROR(B202-B201,0)</f>
        <v>2.9999999999998916E-3</v>
      </c>
      <c r="D202" s="109" t="str">
        <f t="shared" ref="D202:D203" si="59">IF(C202&lt;0,C202,"/")</f>
        <v>/</v>
      </c>
      <c r="E202" s="109">
        <f ca="1">IF(表2_36716262930389121314151819[[#This Row],[累计净值]]/MAX(INDIRECT("B21:B" &amp; ROW()))-1&lt;E201,表2_36716262930389121314151819[[#This Row],[累计净值]]/MAX(INDIRECT("B21:B" &amp; ROW()))-1,E201)</f>
        <v>-6.8817204301075297E-2</v>
      </c>
      <c r="F202" s="110">
        <f>表2_36716262930389121314151819[[#This Row],[累计净值]]-0.144</f>
        <v>1.238</v>
      </c>
      <c r="G202" s="20">
        <f>IF(表2_36716262930389121314151819[[#This Row],[单位净值]]&gt;1.088,0.8*(表2_36716262930389121314151819[[#This Row],[单位净值]]-1.088)/1.088,(表2_36716262930389121314151819[[#This Row],[单位净值]]-1.088)/1.088)</f>
        <v>0.11029411764705876</v>
      </c>
    </row>
    <row r="203" spans="1:7">
      <c r="A203" s="15">
        <v>44257</v>
      </c>
      <c r="B203" s="112">
        <v>1.3720000000000001</v>
      </c>
      <c r="C203" s="108">
        <f t="shared" si="58"/>
        <v>-9.9999999999997868E-3</v>
      </c>
      <c r="D203" s="109">
        <f t="shared" si="59"/>
        <v>-9.9999999999997868E-3</v>
      </c>
      <c r="E203" s="109">
        <f ca="1">IF(表2_36716262930389121314151819[[#This Row],[累计净值]]/MAX(INDIRECT("B21:B" &amp; ROW()))-1&lt;E202,表2_36716262930389121314151819[[#This Row],[累计净值]]/MAX(INDIRECT("B21:B" &amp; ROW()))-1,E202)</f>
        <v>-6.8817204301075297E-2</v>
      </c>
      <c r="F203" s="110">
        <f>表2_36716262930389121314151819[[#This Row],[累计净值]]-0.144</f>
        <v>1.2280000000000002</v>
      </c>
      <c r="G203" s="20">
        <f>IF(表2_36716262930389121314151819[[#This Row],[单位净值]]&gt;1.088,0.8*(表2_36716262930389121314151819[[#This Row],[单位净值]]-1.088)/1.088,(表2_36716262930389121314151819[[#This Row],[单位净值]]-1.088)/1.088)</f>
        <v>0.10294117647058831</v>
      </c>
    </row>
    <row r="204" spans="1:7">
      <c r="A204" s="15">
        <v>44258</v>
      </c>
      <c r="B204" s="112">
        <v>1.3620000000000001</v>
      </c>
      <c r="C204" s="108">
        <f t="shared" ref="C204" si="60">IFERROR(B204-B203,0)</f>
        <v>-1.0000000000000009E-2</v>
      </c>
      <c r="D204" s="109">
        <f t="shared" ref="D204" si="61">IF(C204&lt;0,C204,"/")</f>
        <v>-1.0000000000000009E-2</v>
      </c>
      <c r="E204" s="109">
        <f ca="1">IF(表2_36716262930389121314151819[[#This Row],[累计净值]]/MAX(INDIRECT("B21:B" &amp; ROW()))-1&lt;E203,表2_36716262930389121314151819[[#This Row],[累计净值]]/MAX(INDIRECT("B21:B" &amp; ROW()))-1,E203)</f>
        <v>-6.8817204301075297E-2</v>
      </c>
      <c r="F204" s="110">
        <f>表2_36716262930389121314151819[[#This Row],[累计净值]]-0.144</f>
        <v>1.2180000000000002</v>
      </c>
      <c r="G204" s="20">
        <f>IF(表2_36716262930389121314151819[[#This Row],[单位净值]]&gt;1.088,0.8*(表2_36716262930389121314151819[[#This Row],[单位净值]]-1.088)/1.088,(表2_36716262930389121314151819[[#This Row],[单位净值]]-1.088)/1.088)</f>
        <v>9.5588235294117724E-2</v>
      </c>
    </row>
    <row r="205" spans="1:7">
      <c r="A205" s="15">
        <v>44259</v>
      </c>
      <c r="B205" s="112">
        <v>1.357</v>
      </c>
      <c r="C205" s="108">
        <f t="shared" ref="C205:C210" si="62">IFERROR(B205-B204,0)</f>
        <v>-5.0000000000001155E-3</v>
      </c>
      <c r="D205" s="109">
        <f t="shared" ref="D205:D210" si="63">IF(C205&lt;0,C205,"/")</f>
        <v>-5.0000000000001155E-3</v>
      </c>
      <c r="E205" s="109">
        <f ca="1">IF(表2_36716262930389121314151819[[#This Row],[累计净值]]/MAX(INDIRECT("B21:B" &amp; ROW()))-1&lt;E204,表2_36716262930389121314151819[[#This Row],[累计净值]]/MAX(INDIRECT("B21:B" &amp; ROW()))-1,E204)</f>
        <v>-6.8817204301075297E-2</v>
      </c>
      <c r="F205" s="110">
        <f>表2_36716262930389121314151819[[#This Row],[累计净值]]-0.144</f>
        <v>1.2130000000000001</v>
      </c>
      <c r="G205" s="20">
        <f>IF(表2_36716262930389121314151819[[#This Row],[单位净值]]&gt;1.088,0.8*(表2_36716262930389121314151819[[#This Row],[单位净值]]-1.088)/1.088,(表2_36716262930389121314151819[[#This Row],[单位净值]]-1.088)/1.088)</f>
        <v>9.1911764705882346E-2</v>
      </c>
    </row>
    <row r="206" spans="1:7">
      <c r="A206" s="15">
        <v>44260</v>
      </c>
      <c r="B206" s="112">
        <v>1.371</v>
      </c>
      <c r="C206" s="108">
        <f t="shared" si="62"/>
        <v>1.4000000000000012E-2</v>
      </c>
      <c r="D206" s="109" t="str">
        <f t="shared" si="63"/>
        <v>/</v>
      </c>
      <c r="E206" s="109">
        <f ca="1">IF(表2_36716262930389121314151819[[#This Row],[累计净值]]/MAX(INDIRECT("B21:B" &amp; ROW()))-1&lt;E205,表2_36716262930389121314151819[[#This Row],[累计净值]]/MAX(INDIRECT("B21:B" &amp; ROW()))-1,E205)</f>
        <v>-6.8817204301075297E-2</v>
      </c>
      <c r="F206" s="110">
        <f>表2_36716262930389121314151819[[#This Row],[累计净值]]-0.144</f>
        <v>1.2270000000000001</v>
      </c>
      <c r="G206" s="20">
        <f>IF(表2_36716262930389121314151819[[#This Row],[单位净值]]&gt;1.088,0.8*(表2_36716262930389121314151819[[#This Row],[单位净值]]-1.088)/1.088,(表2_36716262930389121314151819[[#This Row],[单位净值]]-1.088)/1.088)</f>
        <v>0.10220588235294119</v>
      </c>
    </row>
    <row r="207" spans="1:7">
      <c r="A207" s="15">
        <v>44263</v>
      </c>
      <c r="B207" s="112">
        <v>1.391</v>
      </c>
      <c r="C207" s="108">
        <f t="shared" si="62"/>
        <v>2.0000000000000018E-2</v>
      </c>
      <c r="D207" s="109" t="str">
        <f t="shared" si="63"/>
        <v>/</v>
      </c>
      <c r="E207" s="109">
        <f ca="1">IF(表2_36716262930389121314151819[[#This Row],[累计净值]]/MAX(INDIRECT("B21:B" &amp; ROW()))-1&lt;E206,表2_36716262930389121314151819[[#This Row],[累计净值]]/MAX(INDIRECT("B21:B" &amp; ROW()))-1,E206)</f>
        <v>-6.8817204301075297E-2</v>
      </c>
      <c r="F207" s="110">
        <f>表2_36716262930389121314151819[[#This Row],[累计净值]]-0.144</f>
        <v>1.2470000000000001</v>
      </c>
      <c r="G207" s="20">
        <f>IF(表2_36716262930389121314151819[[#This Row],[单位净值]]&gt;1.088,0.8*(表2_36716262930389121314151819[[#This Row],[单位净值]]-1.088)/1.088,(表2_36716262930389121314151819[[#This Row],[单位净值]]-1.088)/1.088)</f>
        <v>0.11691176470588238</v>
      </c>
    </row>
    <row r="208" spans="1:7">
      <c r="A208" s="15">
        <v>44264</v>
      </c>
      <c r="B208" s="112">
        <v>1.367</v>
      </c>
      <c r="C208" s="108">
        <f t="shared" si="62"/>
        <v>-2.4000000000000021E-2</v>
      </c>
      <c r="D208" s="109">
        <f t="shared" si="63"/>
        <v>-2.4000000000000021E-2</v>
      </c>
      <c r="E208" s="109">
        <f ca="1">IF(表2_36716262930389121314151819[[#This Row],[累计净值]]/MAX(INDIRECT("B21:B" &amp; ROW()))-1&lt;E207,表2_36716262930389121314151819[[#This Row],[累计净值]]/MAX(INDIRECT("B21:B" &amp; ROW()))-1,E207)</f>
        <v>-6.8817204301075297E-2</v>
      </c>
      <c r="F208" s="110">
        <f>表2_36716262930389121314151819[[#This Row],[累计净值]]-0.144</f>
        <v>1.2230000000000001</v>
      </c>
      <c r="G208" s="20">
        <f>IF(表2_36716262930389121314151819[[#This Row],[单位净值]]&gt;1.088,0.8*(表2_36716262930389121314151819[[#This Row],[单位净值]]-1.088)/1.088,(表2_36716262930389121314151819[[#This Row],[单位净值]]-1.088)/1.088)</f>
        <v>9.9264705882352949E-2</v>
      </c>
    </row>
    <row r="209" spans="1:7">
      <c r="A209" s="15">
        <v>44265</v>
      </c>
      <c r="B209" s="112">
        <v>1.3660000000000001</v>
      </c>
      <c r="C209" s="108">
        <f t="shared" si="62"/>
        <v>-9.9999999999988987E-4</v>
      </c>
      <c r="D209" s="109">
        <f t="shared" si="63"/>
        <v>-9.9999999999988987E-4</v>
      </c>
      <c r="E209" s="109">
        <f ca="1">IF(表2_36716262930389121314151819[[#This Row],[累计净值]]/MAX(INDIRECT("B21:B" &amp; ROW()))-1&lt;E208,表2_36716262930389121314151819[[#This Row],[累计净值]]/MAX(INDIRECT("B21:B" &amp; ROW()))-1,E208)</f>
        <v>-6.8817204301075297E-2</v>
      </c>
      <c r="F209" s="110">
        <f>表2_36716262930389121314151819[[#This Row],[累计净值]]-0.144</f>
        <v>1.2220000000000002</v>
      </c>
      <c r="G209" s="20">
        <f>IF(表2_36716262930389121314151819[[#This Row],[单位净值]]&gt;1.088,0.8*(表2_36716262930389121314151819[[#This Row],[单位净值]]-1.088)/1.088,(表2_36716262930389121314151819[[#This Row],[单位净值]]-1.088)/1.088)</f>
        <v>9.8529411764705963E-2</v>
      </c>
    </row>
    <row r="210" spans="1:7">
      <c r="A210" s="15">
        <v>44266</v>
      </c>
      <c r="B210" s="112">
        <v>1.3580000000000001</v>
      </c>
      <c r="C210" s="108">
        <f t="shared" si="62"/>
        <v>-8.0000000000000071E-3</v>
      </c>
      <c r="D210" s="109">
        <f t="shared" si="63"/>
        <v>-8.0000000000000071E-3</v>
      </c>
      <c r="E210" s="109">
        <f ca="1">IF(表2_36716262930389121314151819[[#This Row],[累计净值]]/MAX(INDIRECT("B21:B" &amp; ROW()))-1&lt;E209,表2_36716262930389121314151819[[#This Row],[累计净值]]/MAX(INDIRECT("B21:B" &amp; ROW()))-1,E209)</f>
        <v>-6.8817204301075297E-2</v>
      </c>
      <c r="F210" s="110">
        <f>表2_36716262930389121314151819[[#This Row],[累计净值]]-0.144</f>
        <v>1.2140000000000002</v>
      </c>
      <c r="G210" s="20">
        <f>IF(表2_36716262930389121314151819[[#This Row],[单位净值]]&gt;1.088,0.8*(表2_36716262930389121314151819[[#This Row],[单位净值]]-1.088)/1.088,(表2_36716262930389121314151819[[#This Row],[单位净值]]-1.088)/1.088)</f>
        <v>9.2647058823529499E-2</v>
      </c>
    </row>
    <row r="211" spans="1:7">
      <c r="A211" s="15">
        <v>44267</v>
      </c>
      <c r="B211" s="112">
        <v>1.355</v>
      </c>
      <c r="C211" s="108">
        <f>IFERROR(B211-B210,0)</f>
        <v>-3.0000000000001137E-3</v>
      </c>
      <c r="D211" s="109">
        <f>IF(C211&lt;0,C211,"/")</f>
        <v>-3.0000000000001137E-3</v>
      </c>
      <c r="E211" s="109">
        <f ca="1">IF(表2_36716262930389121314151819[[#This Row],[累计净值]]/MAX(INDIRECT("B21:B" &amp; ROW()))-1&lt;E210,表2_36716262930389121314151819[[#This Row],[累计净值]]/MAX(INDIRECT("B21:B" &amp; ROW()))-1,E210)</f>
        <v>-6.8817204301075297E-2</v>
      </c>
      <c r="F211" s="110">
        <f>表2_36716262930389121314151819[[#This Row],[累计净值]]-0.144</f>
        <v>1.2110000000000001</v>
      </c>
      <c r="G211" s="20">
        <f>IF(表2_36716262930389121314151819[[#This Row],[单位净值]]&gt;1.088,0.8*(表2_36716262930389121314151819[[#This Row],[单位净值]]-1.088)/1.088,(表2_36716262930389121314151819[[#This Row],[单位净值]]-1.088)/1.088)</f>
        <v>9.0441176470588233E-2</v>
      </c>
    </row>
    <row r="212" spans="1:7">
      <c r="A212" s="15">
        <v>44270</v>
      </c>
      <c r="B212" s="112">
        <v>1.345</v>
      </c>
      <c r="C212" s="108">
        <f>IFERROR(B212-B211,0)</f>
        <v>-1.0000000000000009E-2</v>
      </c>
      <c r="D212" s="109">
        <f>IF(C212&lt;0,C212,"/")</f>
        <v>-1.0000000000000009E-2</v>
      </c>
      <c r="E212" s="109">
        <f ca="1">IF(表2_36716262930389121314151819[[#This Row],[累计净值]]/MAX(INDIRECT("B21:B" &amp; ROW()))-1&lt;E211,表2_36716262930389121314151819[[#This Row],[累计净值]]/MAX(INDIRECT("B21:B" &amp; ROW()))-1,E211)</f>
        <v>-6.8817204301075297E-2</v>
      </c>
      <c r="F212" s="110">
        <f>表2_36716262930389121314151819[[#This Row],[累计净值]]-0.144</f>
        <v>1.2010000000000001</v>
      </c>
      <c r="G212" s="20">
        <f>IF(表2_36716262930389121314151819[[#This Row],[单位净值]]&gt;1.088,0.8*(表2_36716262930389121314151819[[#This Row],[单位净值]]-1.088)/1.088,(表2_36716262930389121314151819[[#This Row],[单位净值]]-1.088)/1.088)</f>
        <v>8.3088235294117629E-2</v>
      </c>
    </row>
    <row r="213" spans="1:7">
      <c r="A213" s="15">
        <v>44271</v>
      </c>
      <c r="B213" s="112">
        <v>1.3420000000000001</v>
      </c>
      <c r="C213" s="108">
        <f>IFERROR(B213-B212,0)</f>
        <v>-2.9999999999998916E-3</v>
      </c>
      <c r="D213" s="109">
        <f>IF(C213&lt;0,C213,"/")</f>
        <v>-2.9999999999998916E-3</v>
      </c>
      <c r="E213" s="109">
        <f ca="1">IF(表2_36716262930389121314151819[[#This Row],[累计净值]]/MAX(INDIRECT("B21:B" &amp; ROW()))-1&lt;E212,表2_36716262930389121314151819[[#This Row],[累计净值]]/MAX(INDIRECT("B21:B" &amp; ROW()))-1,E212)</f>
        <v>-6.8817204301075297E-2</v>
      </c>
      <c r="F213" s="110">
        <f>表2_36716262930389121314151819[[#This Row],[累计净值]]-0.144</f>
        <v>1.1980000000000002</v>
      </c>
      <c r="G213" s="20">
        <f>IF(表2_36716262930389121314151819[[#This Row],[单位净值]]&gt;1.088,0.8*(表2_36716262930389121314151819[[#This Row],[单位净值]]-1.088)/1.088,(表2_36716262930389121314151819[[#This Row],[单位净值]]-1.088)/1.088)</f>
        <v>8.088235294117653E-2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2">
    <tabColor theme="1"/>
  </sheetPr>
  <dimension ref="A1:G55"/>
  <sheetViews>
    <sheetView workbookViewId="0">
      <pane xSplit="1" ySplit="20" topLeftCell="B51" activePane="bottomRight" state="frozen"/>
      <selection pane="topRight" activeCell="B1" sqref="B1"/>
      <selection pane="bottomLeft" activeCell="A21" sqref="A21"/>
      <selection pane="bottomRight" activeCell="I46" sqref="I46"/>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COUNT(表2_3671626293038912131415232425262728313233[每日盈亏])</f>
        <v>35</v>
      </c>
      <c r="C2" s="27"/>
      <c r="D2" s="3" t="s">
        <v>1</v>
      </c>
      <c r="E2" s="28"/>
      <c r="F2" s="1" t="s">
        <v>2</v>
      </c>
      <c r="G2" s="400" t="s">
        <v>3</v>
      </c>
    </row>
    <row r="3" spans="1:7">
      <c r="A3" s="25" t="s">
        <v>4</v>
      </c>
      <c r="B3" s="26">
        <f>COUNTIF(表2_3671626293038912131415232425262728313233[每日盈亏],"&gt;0")</f>
        <v>9</v>
      </c>
      <c r="C3" s="29"/>
      <c r="D3" s="30" t="s">
        <v>5</v>
      </c>
      <c r="E3" s="31">
        <f>245^0.5*(B10-0.025/365)/E10</f>
        <v>-1.6118826844176481</v>
      </c>
      <c r="G3" s="400"/>
    </row>
    <row r="4" spans="1:7">
      <c r="A4" s="25" t="s">
        <v>6</v>
      </c>
      <c r="B4" s="26">
        <f>COUNTIF(表2_3671626293038912131415232425262728313233[每日盈亏],"&lt;0")</f>
        <v>22</v>
      </c>
      <c r="C4" s="29"/>
      <c r="D4" s="32" t="s">
        <v>7</v>
      </c>
      <c r="E4" s="31">
        <f ca="1">-B9/E8</f>
        <v>-3.3183183183183464</v>
      </c>
      <c r="G4" s="2">
        <f>LOOKUP(999^10,表2_3671626293038912131415232425262728313233[累计净值])</f>
        <v>1.0189999999999999</v>
      </c>
    </row>
    <row r="5" spans="1:7">
      <c r="A5" s="25" t="s">
        <v>8</v>
      </c>
      <c r="B5" s="26">
        <f>B2-B3-B4</f>
        <v>4</v>
      </c>
      <c r="C5" s="29"/>
      <c r="D5" s="33" t="s">
        <v>9</v>
      </c>
      <c r="E5" s="4">
        <f>245^0.5*(B10-0.025/365)/E9</f>
        <v>-4.3094659801009918</v>
      </c>
    </row>
    <row r="6" spans="1:7" ht="16" thickBot="1">
      <c r="A6" s="34"/>
      <c r="B6" s="35"/>
      <c r="C6" s="35"/>
      <c r="D6" s="35"/>
      <c r="E6" s="36"/>
    </row>
    <row r="7" spans="1:7" ht="16" thickBot="1">
      <c r="A7" s="5" t="s">
        <v>10</v>
      </c>
      <c r="B7" s="35"/>
      <c r="C7" s="35"/>
      <c r="D7" s="3" t="s">
        <v>11</v>
      </c>
      <c r="E7" s="37"/>
    </row>
    <row r="8" spans="1:7">
      <c r="A8" s="38" t="s">
        <v>12</v>
      </c>
      <c r="B8" s="39">
        <f>LOOKUP(999^10,表2_3671626293038912131415232425262728313233[累计净值])/$B$21-1</f>
        <v>-1.6409266409266543E-2</v>
      </c>
      <c r="C8" s="40"/>
      <c r="D8" s="30" t="s">
        <v>13</v>
      </c>
      <c r="E8" s="41">
        <f ca="1">MIN(表2_3671626293038912131415232425262728313233[最大回撤])</f>
        <v>-3.4615384615384603E-2</v>
      </c>
    </row>
    <row r="9" spans="1:7">
      <c r="A9" s="25" t="s">
        <v>14</v>
      </c>
      <c r="B9" s="32">
        <f>B8*245/B2</f>
        <v>-0.1148648648648658</v>
      </c>
      <c r="C9" s="40"/>
      <c r="D9" s="33" t="s">
        <v>15</v>
      </c>
      <c r="E9" s="6">
        <f>STDEV(表2_3671626293038912131415232425262728313233[下跌幅度])</f>
        <v>2.0129451189607843E-3</v>
      </c>
    </row>
    <row r="10" spans="1:7">
      <c r="A10" s="42" t="s">
        <v>16</v>
      </c>
      <c r="B10" s="43">
        <f>AVERAGE(表2_3671626293038912131415232425262728313233[每日盈亏])</f>
        <v>-4.857142857142893E-4</v>
      </c>
      <c r="C10" s="44"/>
      <c r="D10" s="33" t="s">
        <v>17</v>
      </c>
      <c r="E10" s="6">
        <f>STDEV(表2_3671626293038912131415232425262728313233[每日盈亏])</f>
        <v>5.381730689107753E-3</v>
      </c>
    </row>
    <row r="11" spans="1:7">
      <c r="A11" s="7" t="s">
        <v>18</v>
      </c>
      <c r="B11" s="32">
        <f>B3/B2</f>
        <v>0.25714285714285712</v>
      </c>
      <c r="C11" s="40"/>
      <c r="D11" s="32" t="s">
        <v>19</v>
      </c>
      <c r="E11" s="41">
        <f>245^0.5*E10</f>
        <v>8.423740960209207E-2</v>
      </c>
    </row>
    <row r="12" spans="1:7" ht="16" thickBot="1">
      <c r="A12" s="45" t="s">
        <v>20</v>
      </c>
      <c r="B12" s="46">
        <f>-(SUMIF(表2_3671626293038912131415232425262728313233[每日盈亏],"&gt;=0")/B3)/(SUMIF(表2_3671626293038912131415232425262728313233[每日盈亏],"&lt;0")/B4)</f>
        <v>1.8828828828828825</v>
      </c>
      <c r="C12" s="47"/>
      <c r="D12" s="48"/>
      <c r="E12" s="49"/>
    </row>
    <row r="14" spans="1:7" ht="32">
      <c r="A14" s="50" t="s">
        <v>21</v>
      </c>
      <c r="B14" s="50" t="s">
        <v>14</v>
      </c>
      <c r="C14" s="51" t="s">
        <v>19</v>
      </c>
      <c r="D14" s="51" t="s">
        <v>13</v>
      </c>
      <c r="E14" s="51" t="s">
        <v>5</v>
      </c>
      <c r="F14" s="51" t="s">
        <v>7</v>
      </c>
    </row>
    <row r="15" spans="1:7">
      <c r="A15" s="78">
        <f>B2</f>
        <v>35</v>
      </c>
      <c r="B15" s="53">
        <f>B9</f>
        <v>-0.1148648648648658</v>
      </c>
      <c r="C15" s="53">
        <f>E11</f>
        <v>8.423740960209207E-2</v>
      </c>
      <c r="D15" s="53">
        <f ca="1">E8</f>
        <v>-3.4615384615384603E-2</v>
      </c>
      <c r="E15" s="54">
        <f>E3</f>
        <v>-1.6118826844176481</v>
      </c>
      <c r="F15" s="54">
        <f ca="1">E4</f>
        <v>-3.3183183183183464</v>
      </c>
    </row>
    <row r="19" spans="1:7">
      <c r="A19" s="8"/>
      <c r="B19" s="1" t="s">
        <v>22</v>
      </c>
    </row>
    <row r="20" spans="1:7" ht="16">
      <c r="A20" s="22" t="s">
        <v>23</v>
      </c>
      <c r="B20" s="22" t="s">
        <v>24</v>
      </c>
      <c r="C20" s="22" t="s">
        <v>25</v>
      </c>
      <c r="D20" s="22" t="s">
        <v>26</v>
      </c>
      <c r="E20" s="22" t="s">
        <v>27</v>
      </c>
      <c r="F20" s="22" t="s">
        <v>28</v>
      </c>
      <c r="G20" s="22" t="s">
        <v>29</v>
      </c>
    </row>
    <row r="21" spans="1:7">
      <c r="A21" s="15">
        <v>44155</v>
      </c>
      <c r="B21" s="112">
        <v>1.036</v>
      </c>
      <c r="C21" s="11">
        <f t="shared" ref="C21:C22" si="0">IFERROR(B21-B20,0)</f>
        <v>0</v>
      </c>
      <c r="D21" s="12" t="str">
        <f t="shared" ref="D21:D26" si="1">IF(C21&lt;0,C21,"/")</f>
        <v>/</v>
      </c>
      <c r="E21" s="12">
        <f ca="1">IF(表2_3671626293038912131415232425262728313233[[#This Row],[累计净值]]/MAX(INDIRECT("B21:B" &amp; ROW()))-1&lt;E20,表2_3671626293038912131415232425262728313233[[#This Row],[累计净值]]/MAX(INDIRECT("B21:B" &amp; ROW()))-1,E20)</f>
        <v>0</v>
      </c>
      <c r="F21" s="13">
        <f>表2_3671626293038912131415232425262728313233[[#This Row],[累计净值]]</f>
        <v>1.036</v>
      </c>
      <c r="G21" s="194" t="s">
        <v>30</v>
      </c>
    </row>
    <row r="22" spans="1:7">
      <c r="A22" s="15">
        <v>44158</v>
      </c>
      <c r="B22" s="112">
        <v>1.0329999999999999</v>
      </c>
      <c r="C22" s="17">
        <f t="shared" si="0"/>
        <v>-3.0000000000001137E-3</v>
      </c>
      <c r="D22" s="18">
        <f t="shared" si="1"/>
        <v>-3.0000000000001137E-3</v>
      </c>
      <c r="E22" s="18">
        <f ca="1">IF(表2_3671626293038912131415232425262728313233[[#This Row],[累计净值]]/MAX(INDIRECT("B21:B" &amp; ROW()))-1&lt;E21,表2_3671626293038912131415232425262728313233[[#This Row],[累计净值]]/MAX(INDIRECT("B21:B" &amp; ROW()))-1,E21)</f>
        <v>-2.8957528957530565E-3</v>
      </c>
      <c r="F22" s="19">
        <f>表2_3671626293038912131415232425262728313233[[#This Row],[累计净值]]</f>
        <v>1.0329999999999999</v>
      </c>
      <c r="G22" s="20">
        <f>表2_3671626293038912131415232425262728313233[[#This Row],[累计净值]]/$B$21-1</f>
        <v>-2.8957528957530565E-3</v>
      </c>
    </row>
    <row r="23" spans="1:7">
      <c r="A23" s="15">
        <v>44159</v>
      </c>
      <c r="B23" s="112">
        <v>1.032</v>
      </c>
      <c r="C23" s="108">
        <f t="shared" ref="C23:C28" si="2">IFERROR(B23-B22,0)</f>
        <v>-9.9999999999988987E-4</v>
      </c>
      <c r="D23" s="109">
        <f t="shared" si="1"/>
        <v>-9.9999999999988987E-4</v>
      </c>
      <c r="E23" s="109">
        <f ca="1">IF(表2_3671626293038912131415232425262728313233[[#This Row],[累计净值]]/MAX(INDIRECT("B21:B" &amp; ROW()))-1&lt;E22,表2_3671626293038912131415232425262728313233[[#This Row],[累计净值]]/MAX(INDIRECT("B21:B" &amp; ROW()))-1,E22)</f>
        <v>-3.8610038610038533E-3</v>
      </c>
      <c r="F23" s="110">
        <f>表2_3671626293038912131415232425262728313233[[#This Row],[累计净值]]</f>
        <v>1.032</v>
      </c>
      <c r="G23" s="20">
        <f>表2_3671626293038912131415232425262728313233[[#This Row],[累计净值]]/$B$21-1</f>
        <v>-3.8610038610038533E-3</v>
      </c>
    </row>
    <row r="24" spans="1:7">
      <c r="A24" s="15">
        <v>44160</v>
      </c>
      <c r="B24" s="112">
        <v>1.03</v>
      </c>
      <c r="C24" s="108">
        <f t="shared" si="2"/>
        <v>-2.0000000000000018E-3</v>
      </c>
      <c r="D24" s="109">
        <f t="shared" si="1"/>
        <v>-2.0000000000000018E-3</v>
      </c>
      <c r="E24" s="109">
        <f ca="1">IF(表2_3671626293038912131415232425262728313233[[#This Row],[累计净值]]/MAX(INDIRECT("B21:B" &amp; ROW()))-1&lt;E23,表2_3671626293038912131415232425262728313233[[#This Row],[累计净值]]/MAX(INDIRECT("B21:B" &amp; ROW()))-1,E23)</f>
        <v>-5.7915057915057799E-3</v>
      </c>
      <c r="F24" s="110">
        <f>表2_3671626293038912131415232425262728313233[[#This Row],[累计净值]]</f>
        <v>1.03</v>
      </c>
      <c r="G24" s="20">
        <f>表2_3671626293038912131415232425262728313233[[#This Row],[累计净值]]/$B$21-1</f>
        <v>-5.7915057915057799E-3</v>
      </c>
    </row>
    <row r="25" spans="1:7">
      <c r="A25" s="15">
        <v>44161</v>
      </c>
      <c r="B25" s="112">
        <v>1.0289999999999999</v>
      </c>
      <c r="C25" s="108">
        <f t="shared" si="2"/>
        <v>-1.0000000000001119E-3</v>
      </c>
      <c r="D25" s="109">
        <f t="shared" si="1"/>
        <v>-1.0000000000001119E-3</v>
      </c>
      <c r="E25" s="109">
        <f ca="1">IF(表2_3671626293038912131415232425262728313233[[#This Row],[累计净值]]/MAX(INDIRECT("B21:B" &amp; ROW()))-1&lt;E24,表2_3671626293038912131415232425262728313233[[#This Row],[累计净值]]/MAX(INDIRECT("B21:B" &amp; ROW()))-1,E24)</f>
        <v>-6.7567567567569098E-3</v>
      </c>
      <c r="F25" s="110">
        <f>表2_3671626293038912131415232425262728313233[[#This Row],[累计净值]]</f>
        <v>1.0289999999999999</v>
      </c>
      <c r="G25" s="20">
        <f>表2_3671626293038912131415232425262728313233[[#This Row],[累计净值]]/$B$21-1</f>
        <v>-6.7567567567569098E-3</v>
      </c>
    </row>
    <row r="26" spans="1:7">
      <c r="A26" s="15">
        <v>44162</v>
      </c>
      <c r="B26" s="112">
        <v>1.0309999999999999</v>
      </c>
      <c r="C26" s="108">
        <f t="shared" si="2"/>
        <v>2.0000000000000018E-3</v>
      </c>
      <c r="D26" s="109" t="str">
        <f t="shared" si="1"/>
        <v>/</v>
      </c>
      <c r="E26" s="109">
        <f ca="1">IF(表2_3671626293038912131415232425262728313233[[#This Row],[累计净值]]/MAX(INDIRECT("B21:B" &amp; ROW()))-1&lt;E25,表2_3671626293038912131415232425262728313233[[#This Row],[累计净值]]/MAX(INDIRECT("B21:B" &amp; ROW()))-1,E25)</f>
        <v>-6.7567567567569098E-3</v>
      </c>
      <c r="F26" s="110">
        <f>表2_3671626293038912131415232425262728313233[[#This Row],[累计净值]]</f>
        <v>1.0309999999999999</v>
      </c>
      <c r="G26" s="20">
        <f>表2_3671626293038912131415232425262728313233[[#This Row],[累计净值]]/$B$21-1</f>
        <v>-4.8262548262549831E-3</v>
      </c>
    </row>
    <row r="27" spans="1:7">
      <c r="A27" s="15">
        <v>44165</v>
      </c>
      <c r="B27" s="112">
        <v>1.0269999999999999</v>
      </c>
      <c r="C27" s="108">
        <f t="shared" si="2"/>
        <v>-4.0000000000000036E-3</v>
      </c>
      <c r="D27" s="109">
        <f t="shared" ref="D27:D32" si="3">IF(C27&lt;0,C27,"/")</f>
        <v>-4.0000000000000036E-3</v>
      </c>
      <c r="E27" s="109">
        <f ca="1">IF(表2_3671626293038912131415232425262728313233[[#This Row],[累计净值]]/MAX(INDIRECT("B21:B" &amp; ROW()))-1&lt;E26,表2_3671626293038912131415232425262728313233[[#This Row],[累计净值]]/MAX(INDIRECT("B21:B" &amp; ROW()))-1,E26)</f>
        <v>-8.6872586872588364E-3</v>
      </c>
      <c r="F27" s="110">
        <f>表2_3671626293038912131415232425262728313233[[#This Row],[累计净值]]</f>
        <v>1.0269999999999999</v>
      </c>
      <c r="G27" s="20">
        <f>表2_3671626293038912131415232425262728313233[[#This Row],[累计净值]]/$B$21-1</f>
        <v>-8.6872586872588364E-3</v>
      </c>
    </row>
    <row r="28" spans="1:7">
      <c r="A28" s="15">
        <v>44166</v>
      </c>
      <c r="B28" s="112">
        <v>1.04</v>
      </c>
      <c r="C28" s="108">
        <f t="shared" si="2"/>
        <v>1.3000000000000123E-2</v>
      </c>
      <c r="D28" s="109" t="str">
        <f t="shared" si="3"/>
        <v>/</v>
      </c>
      <c r="E28" s="109">
        <f ca="1">IF(表2_3671626293038912131415232425262728313233[[#This Row],[累计净值]]/MAX(INDIRECT("B21:B" &amp; ROW()))-1&lt;E27,表2_3671626293038912131415232425262728313233[[#This Row],[累计净值]]/MAX(INDIRECT("B21:B" &amp; ROW()))-1,E27)</f>
        <v>-8.6872586872588364E-3</v>
      </c>
      <c r="F28" s="110">
        <f>表2_3671626293038912131415232425262728313233[[#This Row],[累计净值]]</f>
        <v>1.04</v>
      </c>
      <c r="G28" s="20">
        <f>表2_3671626293038912131415232425262728313233[[#This Row],[累计净值]]/$B$21-1</f>
        <v>3.8610038610038533E-3</v>
      </c>
    </row>
    <row r="29" spans="1:7">
      <c r="A29" s="15">
        <v>44167</v>
      </c>
      <c r="B29" s="112">
        <v>1.0389999999999999</v>
      </c>
      <c r="C29" s="108">
        <f t="shared" ref="C29:C34" si="4">IFERROR(B29-B28,0)</f>
        <v>-1.0000000000001119E-3</v>
      </c>
      <c r="D29" s="109">
        <f t="shared" si="3"/>
        <v>-1.0000000000001119E-3</v>
      </c>
      <c r="E29" s="109">
        <f ca="1">IF(表2_3671626293038912131415232425262728313233[[#This Row],[累计净值]]/MAX(INDIRECT("B21:B" &amp; ROW()))-1&lt;E28,表2_3671626293038912131415232425262728313233[[#This Row],[累计净值]]/MAX(INDIRECT("B21:B" &amp; ROW()))-1,E28)</f>
        <v>-8.6872586872588364E-3</v>
      </c>
      <c r="F29" s="110">
        <f>表2_3671626293038912131415232425262728313233[[#This Row],[累计净值]]</f>
        <v>1.0389999999999999</v>
      </c>
      <c r="G29" s="20">
        <f>表2_3671626293038912131415232425262728313233[[#This Row],[累计净值]]/$B$21-1</f>
        <v>2.8957528957527234E-3</v>
      </c>
    </row>
    <row r="30" spans="1:7">
      <c r="A30" s="15">
        <v>44168</v>
      </c>
      <c r="B30" s="112">
        <v>1.036</v>
      </c>
      <c r="C30" s="108">
        <f t="shared" si="4"/>
        <v>-2.9999999999998916E-3</v>
      </c>
      <c r="D30" s="109">
        <f t="shared" si="3"/>
        <v>-2.9999999999998916E-3</v>
      </c>
      <c r="E30" s="109">
        <f ca="1">IF(表2_3671626293038912131415232425262728313233[[#This Row],[累计净值]]/MAX(INDIRECT("B21:B" &amp; ROW()))-1&lt;E29,表2_3671626293038912131415232425262728313233[[#This Row],[累计净值]]/MAX(INDIRECT("B21:B" &amp; ROW()))-1,E29)</f>
        <v>-8.6872586872588364E-3</v>
      </c>
      <c r="F30" s="110">
        <f>表2_3671626293038912131415232425262728313233[[#This Row],[累计净值]]</f>
        <v>1.036</v>
      </c>
      <c r="G30" s="20">
        <f>表2_3671626293038912131415232425262728313233[[#This Row],[累计净值]]/$B$21-1</f>
        <v>0</v>
      </c>
    </row>
    <row r="31" spans="1:7">
      <c r="A31" s="15">
        <v>44169</v>
      </c>
      <c r="B31" s="112">
        <v>1.0329999999999999</v>
      </c>
      <c r="C31" s="108">
        <f t="shared" si="4"/>
        <v>-3.0000000000001137E-3</v>
      </c>
      <c r="D31" s="109">
        <f t="shared" si="3"/>
        <v>-3.0000000000001137E-3</v>
      </c>
      <c r="E31" s="109">
        <f ca="1">IF(表2_3671626293038912131415232425262728313233[[#This Row],[累计净值]]/MAX(INDIRECT("B21:B" &amp; ROW()))-1&lt;E30,表2_3671626293038912131415232425262728313233[[#This Row],[累计净值]]/MAX(INDIRECT("B21:B" &amp; ROW()))-1,E30)</f>
        <v>-8.6872586872588364E-3</v>
      </c>
      <c r="F31" s="110">
        <f>表2_3671626293038912131415232425262728313233[[#This Row],[累计净值]]</f>
        <v>1.0329999999999999</v>
      </c>
      <c r="G31" s="20">
        <f>表2_3671626293038912131415232425262728313233[[#This Row],[累计净值]]/$B$21-1</f>
        <v>-2.8957528957530565E-3</v>
      </c>
    </row>
    <row r="32" spans="1:7">
      <c r="A32" s="15">
        <v>44172</v>
      </c>
      <c r="B32" s="112">
        <v>1.0309999999999999</v>
      </c>
      <c r="C32" s="108">
        <f t="shared" si="4"/>
        <v>-2.0000000000000018E-3</v>
      </c>
      <c r="D32" s="109">
        <f t="shared" si="3"/>
        <v>-2.0000000000000018E-3</v>
      </c>
      <c r="E32" s="109">
        <f ca="1">IF(表2_3671626293038912131415232425262728313233[[#This Row],[累计净值]]/MAX(INDIRECT("B21:B" &amp; ROW()))-1&lt;E31,表2_3671626293038912131415232425262728313233[[#This Row],[累计净值]]/MAX(INDIRECT("B21:B" &amp; ROW()))-1,E31)</f>
        <v>-8.6872586872588364E-3</v>
      </c>
      <c r="F32" s="110">
        <f>表2_3671626293038912131415232425262728313233[[#This Row],[累计净值]]</f>
        <v>1.0309999999999999</v>
      </c>
      <c r="G32" s="20">
        <f>表2_3671626293038912131415232425262728313233[[#This Row],[累计净值]]/$B$21-1</f>
        <v>-4.8262548262549831E-3</v>
      </c>
    </row>
    <row r="33" spans="1:7">
      <c r="A33" s="15">
        <v>44173</v>
      </c>
      <c r="B33" s="112">
        <v>1.0309999999999999</v>
      </c>
      <c r="C33" s="108">
        <f t="shared" si="4"/>
        <v>0</v>
      </c>
      <c r="D33" s="109" t="str">
        <f t="shared" ref="D33:D38" si="5">IF(C33&lt;0,C33,"/")</f>
        <v>/</v>
      </c>
      <c r="E33" s="109">
        <f ca="1">IF(表2_3671626293038912131415232425262728313233[[#This Row],[累计净值]]/MAX(INDIRECT("B21:B" &amp; ROW()))-1&lt;E32,表2_3671626293038912131415232425262728313233[[#This Row],[累计净值]]/MAX(INDIRECT("B21:B" &amp; ROW()))-1,E32)</f>
        <v>-8.6872586872588364E-3</v>
      </c>
      <c r="F33" s="110">
        <f>表2_3671626293038912131415232425262728313233[[#This Row],[累计净值]]</f>
        <v>1.0309999999999999</v>
      </c>
      <c r="G33" s="20">
        <f>表2_3671626293038912131415232425262728313233[[#This Row],[累计净值]]/$B$21-1</f>
        <v>-4.8262548262549831E-3</v>
      </c>
    </row>
    <row r="34" spans="1:7">
      <c r="A34" s="15">
        <v>44174</v>
      </c>
      <c r="B34" s="112">
        <v>1.0309999999999999</v>
      </c>
      <c r="C34" s="108">
        <f t="shared" si="4"/>
        <v>0</v>
      </c>
      <c r="D34" s="109" t="str">
        <f t="shared" si="5"/>
        <v>/</v>
      </c>
      <c r="E34" s="109">
        <f ca="1">IF(表2_3671626293038912131415232425262728313233[[#This Row],[累计净值]]/MAX(INDIRECT("B21:B" &amp; ROW()))-1&lt;E33,表2_3671626293038912131415232425262728313233[[#This Row],[累计净值]]/MAX(INDIRECT("B21:B" &amp; ROW()))-1,E33)</f>
        <v>-8.6872586872588364E-3</v>
      </c>
      <c r="F34" s="110">
        <f>表2_3671626293038912131415232425262728313233[[#This Row],[累计净值]]</f>
        <v>1.0309999999999999</v>
      </c>
      <c r="G34" s="20">
        <f>表2_3671626293038912131415232425262728313233[[#This Row],[累计净值]]/$B$21-1</f>
        <v>-4.8262548262549831E-3</v>
      </c>
    </row>
    <row r="35" spans="1:7">
      <c r="A35" s="15">
        <v>44175</v>
      </c>
      <c r="B35" s="112">
        <v>1.03</v>
      </c>
      <c r="C35" s="108">
        <f t="shared" ref="C35:C40" si="6">IFERROR(B35-B34,0)</f>
        <v>-9.9999999999988987E-4</v>
      </c>
      <c r="D35" s="109">
        <f t="shared" si="5"/>
        <v>-9.9999999999988987E-4</v>
      </c>
      <c r="E35" s="109">
        <f ca="1">IF(表2_3671626293038912131415232425262728313233[[#This Row],[累计净值]]/MAX(INDIRECT("B21:B" &amp; ROW()))-1&lt;E34,表2_3671626293038912131415232425262728313233[[#This Row],[累计净值]]/MAX(INDIRECT("B21:B" &amp; ROW()))-1,E34)</f>
        <v>-9.6153846153845812E-3</v>
      </c>
      <c r="F35" s="110">
        <v>0.999</v>
      </c>
      <c r="G35" s="20">
        <f>表2_3671626293038912131415232425262728313233[[#This Row],[累计净值]]/$B$21-1</f>
        <v>-5.7915057915057799E-3</v>
      </c>
    </row>
    <row r="36" spans="1:7">
      <c r="A36" s="15">
        <v>44176</v>
      </c>
      <c r="B36" s="112">
        <v>1.0249999999999999</v>
      </c>
      <c r="C36" s="108">
        <f t="shared" si="6"/>
        <v>-5.0000000000001155E-3</v>
      </c>
      <c r="D36" s="109">
        <f t="shared" si="5"/>
        <v>-5.0000000000001155E-3</v>
      </c>
      <c r="E36" s="109">
        <f ca="1">IF(表2_3671626293038912131415232425262728313233[[#This Row],[累计净值]]/MAX(INDIRECT("B21:B" &amp; ROW()))-1&lt;E35,表2_3671626293038912131415232425262728313233[[#This Row],[累计净值]]/MAX(INDIRECT("B21:B" &amp; ROW()))-1,E35)</f>
        <v>-1.4423076923077094E-2</v>
      </c>
      <c r="F36" s="110">
        <v>0.99399999999999999</v>
      </c>
      <c r="G36" s="20">
        <f>表2_3671626293038912131415232425262728313233[[#This Row],[累计净值]]/$B$21-1</f>
        <v>-1.0617760617760763E-2</v>
      </c>
    </row>
    <row r="37" spans="1:7">
      <c r="A37" s="15">
        <v>44179</v>
      </c>
      <c r="B37" s="112">
        <v>1.03</v>
      </c>
      <c r="C37" s="108">
        <f t="shared" si="6"/>
        <v>5.0000000000001155E-3</v>
      </c>
      <c r="D37" s="109" t="str">
        <f t="shared" si="5"/>
        <v>/</v>
      </c>
      <c r="E37" s="109">
        <f ca="1">IF(表2_3671626293038912131415232425262728313233[[#This Row],[累计净值]]/MAX(INDIRECT("B21:B" &amp; ROW()))-1&lt;E36,表2_3671626293038912131415232425262728313233[[#This Row],[累计净值]]/MAX(INDIRECT("B21:B" &amp; ROW()))-1,E36)</f>
        <v>-1.4423076923077094E-2</v>
      </c>
      <c r="F37" s="110">
        <v>0.999</v>
      </c>
      <c r="G37" s="20">
        <f>表2_3671626293038912131415232425262728313233[[#This Row],[累计净值]]/$B$21-1</f>
        <v>-5.7915057915057799E-3</v>
      </c>
    </row>
    <row r="38" spans="1:7">
      <c r="A38" s="15">
        <v>44180</v>
      </c>
      <c r="B38" s="112">
        <v>1.03</v>
      </c>
      <c r="C38" s="108">
        <f t="shared" si="6"/>
        <v>0</v>
      </c>
      <c r="D38" s="109" t="str">
        <f t="shared" si="5"/>
        <v>/</v>
      </c>
      <c r="E38" s="109">
        <f ca="1">IF(表2_3671626293038912131415232425262728313233[[#This Row],[累计净值]]/MAX(INDIRECT("B21:B" &amp; ROW()))-1&lt;E37,表2_3671626293038912131415232425262728313233[[#This Row],[累计净值]]/MAX(INDIRECT("B21:B" &amp; ROW()))-1,E37)</f>
        <v>-1.4423076923077094E-2</v>
      </c>
      <c r="F38" s="110">
        <f>表2_3671626293038912131415232425262728313233[[#This Row],[累计净值]]-0.031</f>
        <v>0.999</v>
      </c>
      <c r="G38" s="20">
        <f>表2_3671626293038912131415232425262728313233[[#This Row],[累计净值]]/$B$21-1</f>
        <v>-5.7915057915057799E-3</v>
      </c>
    </row>
    <row r="39" spans="1:7">
      <c r="A39" s="15">
        <v>44181</v>
      </c>
      <c r="B39" s="112">
        <v>1.0309999999999999</v>
      </c>
      <c r="C39" s="108">
        <f t="shared" si="6"/>
        <v>9.9999999999988987E-4</v>
      </c>
      <c r="D39" s="109" t="str">
        <f t="shared" ref="D39:D44" si="7">IF(C39&lt;0,C39,"/")</f>
        <v>/</v>
      </c>
      <c r="E39" s="109">
        <f ca="1">IF(表2_3671626293038912131415232425262728313233[[#This Row],[累计净值]]/MAX(INDIRECT("B21:B" &amp; ROW()))-1&lt;E38,表2_3671626293038912131415232425262728313233[[#This Row],[累计净值]]/MAX(INDIRECT("B21:B" &amp; ROW()))-1,E38)</f>
        <v>-1.4423076923077094E-2</v>
      </c>
      <c r="F39" s="110">
        <f>表2_3671626293038912131415232425262728313233[[#This Row],[累计净值]]-0.031</f>
        <v>0.99999999999999989</v>
      </c>
      <c r="G39" s="20">
        <f>表2_3671626293038912131415232425262728313233[[#This Row],[累计净值]]/$B$21-1</f>
        <v>-4.8262548262549831E-3</v>
      </c>
    </row>
    <row r="40" spans="1:7">
      <c r="A40" s="15">
        <v>44182</v>
      </c>
      <c r="B40" s="112">
        <v>1.036</v>
      </c>
      <c r="C40" s="108">
        <f t="shared" si="6"/>
        <v>5.0000000000001155E-3</v>
      </c>
      <c r="D40" s="109" t="str">
        <f t="shared" si="7"/>
        <v>/</v>
      </c>
      <c r="E40" s="109">
        <f ca="1">IF(表2_3671626293038912131415232425262728313233[[#This Row],[累计净值]]/MAX(INDIRECT("B21:B" &amp; ROW()))-1&lt;E39,表2_3671626293038912131415232425262728313233[[#This Row],[累计净值]]/MAX(INDIRECT("B21:B" &amp; ROW()))-1,E39)</f>
        <v>-1.4423076923077094E-2</v>
      </c>
      <c r="F40" s="110">
        <f>表2_3671626293038912131415232425262728313233[[#This Row],[累计净值]]-0.031</f>
        <v>1.0050000000000001</v>
      </c>
      <c r="G40" s="20">
        <f>表2_3671626293038912131415232425262728313233[[#This Row],[累计净值]]/$B$21-1</f>
        <v>0</v>
      </c>
    </row>
    <row r="41" spans="1:7">
      <c r="A41" s="15">
        <v>44183</v>
      </c>
      <c r="B41" s="112">
        <v>1.032</v>
      </c>
      <c r="C41" s="108">
        <f>IFERROR(B41-B40,0)</f>
        <v>-4.0000000000000036E-3</v>
      </c>
      <c r="D41" s="109">
        <f t="shared" si="7"/>
        <v>-4.0000000000000036E-3</v>
      </c>
      <c r="E41" s="109">
        <f ca="1">IF(表2_3671626293038912131415232425262728313233[[#This Row],[累计净值]]/MAX(INDIRECT("B21:B" &amp; ROW()))-1&lt;E40,表2_3671626293038912131415232425262728313233[[#This Row],[累计净值]]/MAX(INDIRECT("B21:B" &amp; ROW()))-1,E40)</f>
        <v>-1.4423076923077094E-2</v>
      </c>
      <c r="F41" s="110">
        <f>表2_3671626293038912131415232425262728313233[[#This Row],[累计净值]]-0.031</f>
        <v>1.0010000000000001</v>
      </c>
      <c r="G41" s="20">
        <f>表2_3671626293038912131415232425262728313233[[#This Row],[累计净值]]/$B$21-1</f>
        <v>-3.8610038610038533E-3</v>
      </c>
    </row>
    <row r="42" spans="1:7">
      <c r="A42" s="15">
        <v>44186</v>
      </c>
      <c r="B42" s="112">
        <v>1.0309999999999999</v>
      </c>
      <c r="C42" s="108">
        <f>IFERROR(B42-B41,0)</f>
        <v>-1.0000000000001119E-3</v>
      </c>
      <c r="D42" s="109">
        <f t="shared" si="7"/>
        <v>-1.0000000000001119E-3</v>
      </c>
      <c r="E42" s="109">
        <f ca="1">IF(表2_3671626293038912131415232425262728313233[[#This Row],[累计净值]]/MAX(INDIRECT("B21:B" &amp; ROW()))-1&lt;E41,表2_3671626293038912131415232425262728313233[[#This Row],[累计净值]]/MAX(INDIRECT("B21:B" &amp; ROW()))-1,E41)</f>
        <v>-1.4423076923077094E-2</v>
      </c>
      <c r="F42" s="110">
        <f>表2_3671626293038912131415232425262728313233[[#This Row],[累计净值]]-0.031</f>
        <v>0.99999999999999989</v>
      </c>
      <c r="G42" s="20">
        <f>表2_3671626293038912131415232425262728313233[[#This Row],[累计净值]]/$B$21-1</f>
        <v>-4.8262548262549831E-3</v>
      </c>
    </row>
    <row r="43" spans="1:7">
      <c r="A43" s="15">
        <v>44187</v>
      </c>
      <c r="B43" s="112">
        <v>1.026</v>
      </c>
      <c r="C43" s="108">
        <f>IFERROR(B43-B42,0)</f>
        <v>-4.9999999999998934E-3</v>
      </c>
      <c r="D43" s="109">
        <f t="shared" si="7"/>
        <v>-4.9999999999998934E-3</v>
      </c>
      <c r="E43" s="109">
        <f ca="1">IF(表2_3671626293038912131415232425262728313233[[#This Row],[累计净值]]/MAX(INDIRECT("B21:B" &amp; ROW()))-1&lt;E42,表2_3671626293038912131415232425262728313233[[#This Row],[累计净值]]/MAX(INDIRECT("B21:B" &amp; ROW()))-1,E42)</f>
        <v>-1.4423076923077094E-2</v>
      </c>
      <c r="F43" s="110">
        <f>表2_3671626293038912131415232425262728313233[[#This Row],[累计净值]]-0.031</f>
        <v>0.995</v>
      </c>
      <c r="G43" s="20">
        <f>表2_3671626293038912131415232425262728313233[[#This Row],[累计净值]]/$B$21-1</f>
        <v>-9.6525096525096332E-3</v>
      </c>
    </row>
    <row r="44" spans="1:7">
      <c r="A44" s="15">
        <v>44188</v>
      </c>
      <c r="B44" s="112">
        <v>1.0229999999999999</v>
      </c>
      <c r="C44" s="108">
        <f>IFERROR(B44-B43,0)</f>
        <v>-3.0000000000001137E-3</v>
      </c>
      <c r="D44" s="109">
        <f t="shared" si="7"/>
        <v>-3.0000000000001137E-3</v>
      </c>
      <c r="E44" s="109">
        <f ca="1">IF(表2_3671626293038912131415232425262728313233[[#This Row],[累计净值]]/MAX(INDIRECT("B21:B" &amp; ROW()))-1&lt;E43,表2_3671626293038912131415232425262728313233[[#This Row],[累计净值]]/MAX(INDIRECT("B21:B" &amp; ROW()))-1,E43)</f>
        <v>-1.634615384615401E-2</v>
      </c>
      <c r="F44" s="110">
        <f>表2_3671626293038912131415232425262728313233[[#This Row],[累计净值]]-0.031</f>
        <v>0.99199999999999988</v>
      </c>
      <c r="G44" s="20">
        <f>表2_3671626293038912131415232425262728313233[[#This Row],[累计净值]]/$B$21-1</f>
        <v>-1.254826254826269E-2</v>
      </c>
    </row>
    <row r="45" spans="1:7">
      <c r="A45" s="15">
        <v>44189</v>
      </c>
      <c r="B45" s="112">
        <v>1.0169999999999999</v>
      </c>
      <c r="C45" s="108">
        <f t="shared" ref="C45:C46" si="8">IFERROR(B45-B44,0)</f>
        <v>-6.0000000000000053E-3</v>
      </c>
      <c r="D45" s="109">
        <f t="shared" ref="D45:D46" si="9">IF(C45&lt;0,C45,"/")</f>
        <v>-6.0000000000000053E-3</v>
      </c>
      <c r="E45" s="109">
        <f ca="1">IF(表2_3671626293038912131415232425262728313233[[#This Row],[累计净值]]/MAX(INDIRECT("B21:B" &amp; ROW()))-1&lt;E44,表2_3671626293038912131415232425262728313233[[#This Row],[累计净值]]/MAX(INDIRECT("B21:B" &amp; ROW()))-1,E44)</f>
        <v>-2.2115384615384759E-2</v>
      </c>
      <c r="F45" s="110">
        <f>表2_3671626293038912131415232425262728313233[[#This Row],[累计净值]]-0.031</f>
        <v>0.98599999999999988</v>
      </c>
      <c r="G45" s="20">
        <f>表2_3671626293038912131415232425262728313233[[#This Row],[累计净值]]/$B$21-1</f>
        <v>-1.833976833976847E-2</v>
      </c>
    </row>
    <row r="46" spans="1:7">
      <c r="A46" s="15">
        <v>44190</v>
      </c>
      <c r="B46" s="112">
        <v>1.02</v>
      </c>
      <c r="C46" s="108">
        <f t="shared" si="8"/>
        <v>3.0000000000001137E-3</v>
      </c>
      <c r="D46" s="109" t="str">
        <f t="shared" si="9"/>
        <v>/</v>
      </c>
      <c r="E46" s="109">
        <f ca="1">IF(表2_3671626293038912131415232425262728313233[[#This Row],[累计净值]]/MAX(INDIRECT("B21:B" &amp; ROW()))-1&lt;E45,表2_3671626293038912131415232425262728313233[[#This Row],[累计净值]]/MAX(INDIRECT("B21:B" &amp; ROW()))-1,E45)</f>
        <v>-2.2115384615384759E-2</v>
      </c>
      <c r="F46" s="110">
        <f>表2_3671626293038912131415232425262728313233[[#This Row],[累计净值]]-0.031</f>
        <v>0.98899999999999999</v>
      </c>
      <c r="G46" s="20">
        <f>表2_3671626293038912131415232425262728313233[[#This Row],[累计净值]]/$B$21-1</f>
        <v>-1.5444015444015413E-2</v>
      </c>
    </row>
    <row r="47" spans="1:7">
      <c r="A47" s="15">
        <v>44193</v>
      </c>
      <c r="B47" s="112">
        <v>1.0129999999999999</v>
      </c>
      <c r="C47" s="108">
        <f>IFERROR(B47-B46,0)</f>
        <v>-7.0000000000001172E-3</v>
      </c>
      <c r="D47" s="109">
        <f>IF(C47&lt;0,C47,"/")</f>
        <v>-7.0000000000001172E-3</v>
      </c>
      <c r="E47" s="109">
        <f ca="1">IF(表2_3671626293038912131415232425262728313233[[#This Row],[累计净值]]/MAX(INDIRECT("B21:B" &amp; ROW()))-1&lt;E46,表2_3671626293038912131415232425262728313233[[#This Row],[累计净值]]/MAX(INDIRECT("B21:B" &amp; ROW()))-1,E46)</f>
        <v>-2.5961538461538591E-2</v>
      </c>
      <c r="F47" s="110">
        <f>表2_3671626293038912131415232425262728313233[[#This Row],[累计净值]]-0.031</f>
        <v>0.98199999999999987</v>
      </c>
      <c r="G47" s="20">
        <f>表2_3671626293038912131415232425262728313233[[#This Row],[累计净值]]/$B$21-1</f>
        <v>-2.2200772200772323E-2</v>
      </c>
    </row>
    <row r="48" spans="1:7">
      <c r="A48" s="15">
        <v>44194</v>
      </c>
      <c r="B48" s="112">
        <v>1.008</v>
      </c>
      <c r="C48" s="108">
        <f>IFERROR(B48-B47,0)</f>
        <v>-4.9999999999998934E-3</v>
      </c>
      <c r="D48" s="109">
        <f>IF(C48&lt;0,C48,"/")</f>
        <v>-4.9999999999998934E-3</v>
      </c>
      <c r="E48" s="109">
        <f ca="1">IF(表2_3671626293038912131415232425262728313233[[#This Row],[累计净值]]/MAX(INDIRECT("B21:B" &amp; ROW()))-1&lt;E47,表2_3671626293038912131415232425262728313233[[#This Row],[累计净值]]/MAX(INDIRECT("B21:B" &amp; ROW()))-1,E47)</f>
        <v>-3.0769230769230771E-2</v>
      </c>
      <c r="F48" s="110">
        <f>表2_3671626293038912131415232425262728313233[[#This Row],[累计净值]]-0.031</f>
        <v>0.97699999999999998</v>
      </c>
      <c r="G48" s="20">
        <f>表2_3671626293038912131415232425262728313233[[#This Row],[累计净值]]/$B$21-1</f>
        <v>-2.7027027027027084E-2</v>
      </c>
    </row>
    <row r="49" spans="1:7">
      <c r="A49" s="15">
        <v>44195</v>
      </c>
      <c r="B49" s="112">
        <v>1.004</v>
      </c>
      <c r="C49" s="108">
        <f t="shared" ref="C49:C50" si="10">IFERROR(B49-B48,0)</f>
        <v>-4.0000000000000036E-3</v>
      </c>
      <c r="D49" s="109">
        <f t="shared" ref="D49:D50" si="11">IF(C49&lt;0,C49,"/")</f>
        <v>-4.0000000000000036E-3</v>
      </c>
      <c r="E49" s="109">
        <f ca="1">IF(表2_3671626293038912131415232425262728313233[[#This Row],[累计净值]]/MAX(INDIRECT("B21:B" &amp; ROW()))-1&lt;E48,表2_3671626293038912131415232425262728313233[[#This Row],[累计净值]]/MAX(INDIRECT("B21:B" &amp; ROW()))-1,E48)</f>
        <v>-3.4615384615384603E-2</v>
      </c>
      <c r="F49" s="110">
        <f>表2_3671626293038912131415232425262728313233[[#This Row],[累计净值]]-0.031</f>
        <v>0.97299999999999998</v>
      </c>
      <c r="G49" s="20">
        <f>表2_3671626293038912131415232425262728313233[[#This Row],[累计净值]]/$B$21-1</f>
        <v>-3.0888030888030937E-2</v>
      </c>
    </row>
    <row r="50" spans="1:7">
      <c r="A50" s="15">
        <v>44196</v>
      </c>
      <c r="B50" s="112">
        <v>1.012</v>
      </c>
      <c r="C50" s="108">
        <f t="shared" si="10"/>
        <v>8.0000000000000071E-3</v>
      </c>
      <c r="D50" s="109" t="str">
        <f t="shared" si="11"/>
        <v>/</v>
      </c>
      <c r="E50" s="109">
        <f ca="1">IF(表2_3671626293038912131415232425262728313233[[#This Row],[累计净值]]/MAX(INDIRECT("B21:B" &amp; ROW()))-1&lt;E49,表2_3671626293038912131415232425262728313233[[#This Row],[累计净值]]/MAX(INDIRECT("B21:B" &amp; ROW()))-1,E49)</f>
        <v>-3.4615384615384603E-2</v>
      </c>
      <c r="F50" s="110">
        <f>表2_3671626293038912131415232425262728313233[[#This Row],[累计净值]]-0.031</f>
        <v>0.98099999999999998</v>
      </c>
      <c r="G50" s="20">
        <f>表2_3671626293038912131415232425262728313233[[#This Row],[累计净值]]/$B$21-1</f>
        <v>-2.3166023166023231E-2</v>
      </c>
    </row>
    <row r="51" spans="1:7">
      <c r="A51" s="15">
        <v>44200</v>
      </c>
      <c r="B51" s="112">
        <v>1.0309999999999999</v>
      </c>
      <c r="C51" s="108">
        <f>IFERROR(B51-B50,0)</f>
        <v>1.8999999999999906E-2</v>
      </c>
      <c r="D51" s="109" t="str">
        <f>IF(C51&lt;0,C51,"/")</f>
        <v>/</v>
      </c>
      <c r="E51" s="109">
        <f ca="1">IF(表2_3671626293038912131415232425262728313233[[#This Row],[累计净值]]/MAX(INDIRECT("B21:B" &amp; ROW()))-1&lt;E50,表2_3671626293038912131415232425262728313233[[#This Row],[累计净值]]/MAX(INDIRECT("B21:B" &amp; ROW()))-1,E50)</f>
        <v>-3.4615384615384603E-2</v>
      </c>
      <c r="F51" s="110">
        <f>表2_3671626293038912131415232425262728313233[[#This Row],[累计净值]]-0.031</f>
        <v>0.99999999999999989</v>
      </c>
      <c r="G51" s="20">
        <f>表2_3671626293038912131415232425262728313233[[#This Row],[累计净值]]/$B$21-1</f>
        <v>-4.8262548262549831E-3</v>
      </c>
    </row>
    <row r="52" spans="1:7">
      <c r="A52" s="15">
        <v>44201</v>
      </c>
      <c r="B52" s="112">
        <v>1.0229999999999999</v>
      </c>
      <c r="C52" s="108">
        <f>IFERROR(B52-B51,0)</f>
        <v>-8.0000000000000071E-3</v>
      </c>
      <c r="D52" s="109">
        <f>IF(C52&lt;0,C52,"/")</f>
        <v>-8.0000000000000071E-3</v>
      </c>
      <c r="E52" s="109">
        <f ca="1">IF(表2_3671626293038912131415232425262728313233[[#This Row],[累计净值]]/MAX(INDIRECT("B21:B" &amp; ROW()))-1&lt;E51,表2_3671626293038912131415232425262728313233[[#This Row],[累计净值]]/MAX(INDIRECT("B21:B" &amp; ROW()))-1,E51)</f>
        <v>-3.4615384615384603E-2</v>
      </c>
      <c r="F52" s="110">
        <f>表2_3671626293038912131415232425262728313233[[#This Row],[累计净值]]-0.031</f>
        <v>0.99199999999999988</v>
      </c>
      <c r="G52" s="20">
        <f>表2_3671626293038912131415232425262728313233[[#This Row],[累计净值]]/$B$21-1</f>
        <v>-1.254826254826269E-2</v>
      </c>
    </row>
    <row r="53" spans="1:7">
      <c r="A53" s="15">
        <v>44202</v>
      </c>
      <c r="B53" s="112">
        <v>1.0209999999999999</v>
      </c>
      <c r="C53" s="108">
        <f>IFERROR(B53-B52,0)</f>
        <v>-2.0000000000000018E-3</v>
      </c>
      <c r="D53" s="109">
        <f>IF(C53&lt;0,C53,"/")</f>
        <v>-2.0000000000000018E-3</v>
      </c>
      <c r="E53" s="109">
        <f ca="1">IF(表2_3671626293038912131415232425262728313233[[#This Row],[累计净值]]/MAX(INDIRECT("B21:B" &amp; ROW()))-1&lt;E52,表2_3671626293038912131415232425262728313233[[#This Row],[累计净值]]/MAX(INDIRECT("B21:B" &amp; ROW()))-1,E52)</f>
        <v>-3.4615384615384603E-2</v>
      </c>
      <c r="F53" s="110">
        <f>表2_3671626293038912131415232425262728313233[[#This Row],[累计净值]]-0.031</f>
        <v>0.98999999999999988</v>
      </c>
      <c r="G53" s="20">
        <f>表2_3671626293038912131415232425262728313233[[#This Row],[累计净值]]/$B$21-1</f>
        <v>-1.4478764478764616E-2</v>
      </c>
    </row>
    <row r="54" spans="1:7">
      <c r="A54" s="15">
        <v>44203</v>
      </c>
      <c r="B54" s="112">
        <v>1.022</v>
      </c>
      <c r="C54" s="108">
        <f t="shared" ref="C54:C55" si="12">IFERROR(B54-B53,0)</f>
        <v>1.0000000000001119E-3</v>
      </c>
      <c r="D54" s="109" t="str">
        <f t="shared" ref="D54:D55" si="13">IF(C54&lt;0,C54,"/")</f>
        <v>/</v>
      </c>
      <c r="E54" s="109">
        <f ca="1">IF(表2_3671626293038912131415232425262728313233[[#This Row],[累计净值]]/MAX(INDIRECT("B21:B" &amp; ROW()))-1&lt;E53,表2_3671626293038912131415232425262728313233[[#This Row],[累计净值]]/MAX(INDIRECT("B21:B" &amp; ROW()))-1,E53)</f>
        <v>-3.4615384615384603E-2</v>
      </c>
      <c r="F54" s="110">
        <f>表2_3671626293038912131415232425262728313233[[#This Row],[累计净值]]-0.031</f>
        <v>0.99099999999999999</v>
      </c>
      <c r="G54" s="20">
        <f>表2_3671626293038912131415232425262728313233[[#This Row],[累计净值]]/$B$21-1</f>
        <v>-1.3513513513513487E-2</v>
      </c>
    </row>
    <row r="55" spans="1:7">
      <c r="A55" s="15">
        <v>44204</v>
      </c>
      <c r="B55" s="112">
        <v>1.0189999999999999</v>
      </c>
      <c r="C55" s="108">
        <f t="shared" si="12"/>
        <v>-3.0000000000001137E-3</v>
      </c>
      <c r="D55" s="109">
        <f t="shared" si="13"/>
        <v>-3.0000000000001137E-3</v>
      </c>
      <c r="E55" s="109">
        <f ca="1">IF(表2_3671626293038912131415232425262728313233[[#This Row],[累计净值]]/MAX(INDIRECT("B21:B" &amp; ROW()))-1&lt;E54,表2_3671626293038912131415232425262728313233[[#This Row],[累计净值]]/MAX(INDIRECT("B21:B" &amp; ROW()))-1,E54)</f>
        <v>-3.4615384615384603E-2</v>
      </c>
      <c r="F55" s="110">
        <f>表2_3671626293038912131415232425262728313233[[#This Row],[累计净值]]-0.031</f>
        <v>0.98799999999999988</v>
      </c>
      <c r="G55" s="20">
        <f>表2_3671626293038912131415232425262728313233[[#This Row],[累计净值]]/$B$21-1</f>
        <v>-1.6409266409266543E-2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3">
    <tabColor theme="1"/>
  </sheetPr>
  <dimension ref="A1:J298"/>
  <sheetViews>
    <sheetView workbookViewId="0">
      <pane xSplit="1" ySplit="20" topLeftCell="B292" activePane="bottomRight" state="frozen"/>
      <selection pane="topRight" activeCell="B1" sqref="B1"/>
      <selection pane="bottomLeft" activeCell="A21" sqref="A21"/>
      <selection pane="bottomRight" activeCell="K296" sqref="K296"/>
    </sheetView>
  </sheetViews>
  <sheetFormatPr baseColWidth="10" defaultColWidth="9" defaultRowHeight="15"/>
  <cols>
    <col min="1" max="1" width="11.6640625" style="1" bestFit="1" customWidth="1"/>
    <col min="2" max="2" width="13" style="1" customWidth="1"/>
    <col min="3" max="4" width="13.5" style="1" bestFit="1" customWidth="1"/>
    <col min="5" max="5" width="10.1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COUNT(表2_367162629303456[每日盈亏])</f>
        <v>278</v>
      </c>
      <c r="C2" s="27"/>
      <c r="D2" s="3" t="s">
        <v>1</v>
      </c>
      <c r="E2" s="28"/>
      <c r="F2" s="35" t="s">
        <v>2</v>
      </c>
      <c r="G2" s="400" t="s">
        <v>3</v>
      </c>
    </row>
    <row r="3" spans="1:7">
      <c r="A3" s="25" t="s">
        <v>4</v>
      </c>
      <c r="B3" s="26">
        <f>COUNTIF(表2_367162629303456[每日盈亏],"&gt;0")</f>
        <v>158</v>
      </c>
      <c r="C3" s="29"/>
      <c r="D3" s="30" t="s">
        <v>5</v>
      </c>
      <c r="E3" s="31">
        <f>245^0.5*(B10-0.025/365)/E10</f>
        <v>1.8880900631371205</v>
      </c>
      <c r="F3" s="35"/>
      <c r="G3" s="400"/>
    </row>
    <row r="4" spans="1:7">
      <c r="A4" s="25" t="s">
        <v>6</v>
      </c>
      <c r="B4" s="26">
        <f>COUNTIF(表2_367162629303456[每日盈亏],"&lt;0")</f>
        <v>111</v>
      </c>
      <c r="C4" s="29"/>
      <c r="D4" s="32" t="s">
        <v>7</v>
      </c>
      <c r="E4" s="31">
        <f ca="1">-B9/E8</f>
        <v>3.6481784268843023</v>
      </c>
      <c r="F4" s="35"/>
      <c r="G4" s="2">
        <f>LOOKUP(999^10,表2_367162629303456[累计净值])</f>
        <v>1.2459</v>
      </c>
    </row>
    <row r="5" spans="1:7">
      <c r="A5" s="25" t="s">
        <v>8</v>
      </c>
      <c r="B5" s="26">
        <f>B2-B3-B4</f>
        <v>9</v>
      </c>
      <c r="C5" s="29"/>
      <c r="D5" s="33" t="s">
        <v>9</v>
      </c>
      <c r="E5" s="4">
        <f>245^0.5*(B10-0.025/365)/E9</f>
        <v>2.1563211571144945</v>
      </c>
      <c r="F5" s="35"/>
    </row>
    <row r="6" spans="1:7" ht="16" thickBot="1">
      <c r="A6" s="34"/>
      <c r="B6" s="35"/>
      <c r="C6" s="35"/>
      <c r="D6" s="35"/>
      <c r="E6" s="36"/>
      <c r="F6" s="35"/>
    </row>
    <row r="7" spans="1:7" ht="16" thickBot="1">
      <c r="A7" s="5" t="s">
        <v>10</v>
      </c>
      <c r="B7" s="35"/>
      <c r="C7" s="35"/>
      <c r="D7" s="3" t="s">
        <v>11</v>
      </c>
      <c r="E7" s="37"/>
      <c r="F7" s="35"/>
    </row>
    <row r="8" spans="1:7">
      <c r="A8" s="38" t="s">
        <v>12</v>
      </c>
      <c r="B8" s="39">
        <f>LOOKUP(999^10,表2_367162629303456[累计净值])/$B$21-1</f>
        <v>0.10756511689927994</v>
      </c>
      <c r="C8" s="40"/>
      <c r="D8" s="30" t="s">
        <v>13</v>
      </c>
      <c r="E8" s="41">
        <f ca="1">MIN(表2_367162629303456[最大回撤])</f>
        <v>-2.5984638012747197E-2</v>
      </c>
      <c r="F8" s="35"/>
    </row>
    <row r="9" spans="1:7">
      <c r="A9" s="25" t="s">
        <v>14</v>
      </c>
      <c r="B9" s="32">
        <f>B8*245/B2</f>
        <v>9.4796595828502112E-2</v>
      </c>
      <c r="C9" s="40"/>
      <c r="D9" s="33" t="s">
        <v>15</v>
      </c>
      <c r="E9" s="6">
        <f>STDEV(表2_367162629303456[下跌幅度])</f>
        <v>2.6622568985001788E-3</v>
      </c>
      <c r="F9" s="35"/>
    </row>
    <row r="10" spans="1:7">
      <c r="A10" s="42" t="s">
        <v>16</v>
      </c>
      <c r="B10" s="43">
        <f>AVERAGE(表2_367162629303456[每日盈亏])</f>
        <v>4.3525179856115107E-4</v>
      </c>
      <c r="C10" s="44"/>
      <c r="D10" s="33" t="s">
        <v>17</v>
      </c>
      <c r="E10" s="6">
        <f>STDEV(表2_367162629303456[每日盈亏])</f>
        <v>3.0404698313869784E-3</v>
      </c>
      <c r="F10" s="35"/>
    </row>
    <row r="11" spans="1:7">
      <c r="A11" s="7" t="s">
        <v>18</v>
      </c>
      <c r="B11" s="32">
        <f>B3/B2</f>
        <v>0.56834532374100721</v>
      </c>
      <c r="C11" s="40"/>
      <c r="D11" s="32" t="s">
        <v>19</v>
      </c>
      <c r="E11" s="41">
        <f>245^0.5*E10</f>
        <v>4.7590880585630255E-2</v>
      </c>
      <c r="F11" s="35"/>
    </row>
    <row r="12" spans="1:7" ht="16" thickBot="1">
      <c r="A12" s="45" t="s">
        <v>20</v>
      </c>
      <c r="B12" s="46">
        <f>-(SUMIF(表2_367162629303456[每日盈亏],"&gt;=0")/B3)/(SUMIF(表2_367162629303456[每日盈亏],"&lt;0")/B4)</f>
        <v>1.0758576407998537</v>
      </c>
      <c r="C12" s="47"/>
      <c r="D12" s="48"/>
      <c r="E12" s="49"/>
      <c r="F12" s="35"/>
    </row>
    <row r="13" spans="1:7">
      <c r="A13" s="35"/>
      <c r="B13" s="35"/>
      <c r="C13" s="35"/>
      <c r="D13" s="35"/>
      <c r="E13" s="35"/>
      <c r="F13" s="35"/>
    </row>
    <row r="14" spans="1:7" ht="32">
      <c r="A14" s="50" t="s">
        <v>21</v>
      </c>
      <c r="B14" s="50" t="s">
        <v>14</v>
      </c>
      <c r="C14" s="51" t="s">
        <v>19</v>
      </c>
      <c r="D14" s="51" t="s">
        <v>13</v>
      </c>
      <c r="E14" s="51" t="s">
        <v>5</v>
      </c>
      <c r="F14" s="51" t="s">
        <v>7</v>
      </c>
    </row>
    <row r="15" spans="1:7">
      <c r="A15" s="52">
        <f>B2</f>
        <v>278</v>
      </c>
      <c r="B15" s="53">
        <f>B9</f>
        <v>9.4796595828502112E-2</v>
      </c>
      <c r="C15" s="53">
        <f>E11</f>
        <v>4.7590880585630255E-2</v>
      </c>
      <c r="D15" s="53">
        <f ca="1">E8</f>
        <v>-2.5984638012747197E-2</v>
      </c>
      <c r="E15" s="54">
        <f>E3</f>
        <v>1.8880900631371205</v>
      </c>
      <c r="F15" s="54">
        <f ca="1">E4</f>
        <v>3.6481784268843023</v>
      </c>
    </row>
    <row r="19" spans="1:10">
      <c r="A19" s="8"/>
      <c r="B19" s="1" t="s">
        <v>22</v>
      </c>
    </row>
    <row r="20" spans="1:10" ht="16">
      <c r="A20" s="22" t="s">
        <v>23</v>
      </c>
      <c r="B20" s="22" t="s">
        <v>24</v>
      </c>
      <c r="C20" s="22" t="s">
        <v>25</v>
      </c>
      <c r="D20" s="22" t="s">
        <v>26</v>
      </c>
      <c r="E20" s="22" t="s">
        <v>27</v>
      </c>
      <c r="F20" s="22" t="s">
        <v>28</v>
      </c>
      <c r="G20" s="22" t="s">
        <v>29</v>
      </c>
    </row>
    <row r="21" spans="1:10">
      <c r="A21" s="9">
        <v>43699</v>
      </c>
      <c r="B21" s="10">
        <v>1.1249</v>
      </c>
      <c r="C21" s="11">
        <f t="shared" ref="C21:C27" si="0">IFERROR(B21-B20,0)</f>
        <v>0</v>
      </c>
      <c r="D21" s="12" t="str">
        <f t="shared" ref="D21:D27" si="1">IF(C21&lt;0,C21,"/")</f>
        <v>/</v>
      </c>
      <c r="E21" s="12">
        <f ca="1">IF(表2_367162629303456[[#This Row],[累计净值]]/MAX(INDIRECT("B21:B" &amp; ROW()))-1&lt;E20,表2_367162629303456[[#This Row],[累计净值]]/MAX(INDIRECT("B21:B" &amp; ROW()))-1,E20)</f>
        <v>0</v>
      </c>
      <c r="F21" s="13">
        <v>1.0492999999999999</v>
      </c>
      <c r="G21" s="14" t="s">
        <v>30</v>
      </c>
    </row>
    <row r="22" spans="1:10">
      <c r="A22" s="55">
        <v>43700</v>
      </c>
      <c r="B22" s="56">
        <v>1.1247</v>
      </c>
      <c r="C22" s="57">
        <f t="shared" si="0"/>
        <v>-1.9999999999997797E-4</v>
      </c>
      <c r="D22" s="58">
        <f t="shared" si="1"/>
        <v>-1.9999999999997797E-4</v>
      </c>
      <c r="E22" s="58">
        <f ca="1">IF(表2_367162629303456[[#This Row],[累计净值]]/MAX(INDIRECT("B21:B" &amp; ROW()))-1&lt;E21,表2_367162629303456[[#This Row],[累计净值]]/MAX(INDIRECT("B21:B" &amp; ROW()))-1,E21)</f>
        <v>-1.7779358165170844E-4</v>
      </c>
      <c r="F22" s="21">
        <v>1.0490999999999999</v>
      </c>
      <c r="G22" s="20">
        <f>表2_367162629303456[[#This Row],[累计净值]]/$B$21-1</f>
        <v>-1.7779358165170844E-4</v>
      </c>
    </row>
    <row r="23" spans="1:10">
      <c r="A23" s="55">
        <v>43703</v>
      </c>
      <c r="B23" s="16">
        <v>1.1259999999999999</v>
      </c>
      <c r="C23" s="17">
        <f t="shared" si="0"/>
        <v>1.2999999999998568E-3</v>
      </c>
      <c r="D23" s="18" t="str">
        <f t="shared" si="1"/>
        <v>/</v>
      </c>
      <c r="E23" s="18">
        <f ca="1">IF(表2_367162629303456[[#This Row],[累计净值]]/MAX(INDIRECT("B21:B" &amp; ROW()))-1&lt;E22,表2_367162629303456[[#This Row],[累计净值]]/MAX(INDIRECT("B21:B" &amp; ROW()))-1,E22)</f>
        <v>-1.7779358165170844E-4</v>
      </c>
      <c r="F23" s="19">
        <v>1.0504</v>
      </c>
      <c r="G23" s="20">
        <f>表2_367162629303456[[#This Row],[累计净值]]/$B$21-1</f>
        <v>9.7786469908434093E-4</v>
      </c>
    </row>
    <row r="24" spans="1:10">
      <c r="A24" s="55">
        <v>43704</v>
      </c>
      <c r="B24" s="16">
        <v>1.1251</v>
      </c>
      <c r="C24" s="17">
        <f t="shared" si="0"/>
        <v>-8.9999999999990088E-4</v>
      </c>
      <c r="D24" s="18">
        <f t="shared" si="1"/>
        <v>-8.9999999999990088E-4</v>
      </c>
      <c r="E24" s="18">
        <f ca="1">IF(表2_367162629303456[[#This Row],[累计净值]]/MAX(INDIRECT("B21:B" &amp; ROW()))-1&lt;E23,表2_367162629303456[[#This Row],[累计净值]]/MAX(INDIRECT("B21:B" &amp; ROW()))-1,E23)</f>
        <v>-7.9928952042618295E-4</v>
      </c>
      <c r="F24" s="19">
        <v>1.0290999999999999</v>
      </c>
      <c r="G24" s="20">
        <f>表2_367162629303456[[#This Row],[累计净值]]/$B$21-1</f>
        <v>1.7779358165159742E-4</v>
      </c>
    </row>
    <row r="25" spans="1:10">
      <c r="A25" s="55">
        <v>43705</v>
      </c>
      <c r="B25" s="16">
        <v>1.1248</v>
      </c>
      <c r="C25" s="17">
        <f t="shared" si="0"/>
        <v>-2.9999999999996696E-4</v>
      </c>
      <c r="D25" s="18">
        <f t="shared" si="1"/>
        <v>-2.9999999999996696E-4</v>
      </c>
      <c r="E25" s="18">
        <f ca="1">IF(表2_367162629303456[[#This Row],[累计净值]]/MAX(INDIRECT("B21:B" &amp; ROW()))-1&lt;E24,表2_367162629303456[[#This Row],[累计净值]]/MAX(INDIRECT("B21:B" &amp; ROW()))-1,E24)</f>
        <v>-1.065719360568318E-3</v>
      </c>
      <c r="F25" s="19">
        <v>1.0287999999999999</v>
      </c>
      <c r="G25" s="20">
        <f>表2_367162629303456[[#This Row],[累计净值]]/$B$21-1</f>
        <v>-8.8896790825798711E-5</v>
      </c>
    </row>
    <row r="26" spans="1:10">
      <c r="A26" s="55">
        <v>43706</v>
      </c>
      <c r="B26" s="16">
        <v>1.1269</v>
      </c>
      <c r="C26" s="17">
        <f t="shared" si="0"/>
        <v>2.0999999999999908E-3</v>
      </c>
      <c r="D26" s="18" t="str">
        <f t="shared" si="1"/>
        <v>/</v>
      </c>
      <c r="E26" s="18">
        <f ca="1">IF(表2_367162629303456[[#This Row],[累计净值]]/MAX(INDIRECT("B21:B" &amp; ROW()))-1&lt;E25,表2_367162629303456[[#This Row],[累计净值]]/MAX(INDIRECT("B21:B" &amp; ROW()))-1,E25)</f>
        <v>-1.065719360568318E-3</v>
      </c>
      <c r="F26" s="19">
        <v>1.0308999999999999</v>
      </c>
      <c r="G26" s="20">
        <f>表2_367162629303456[[#This Row],[累计净值]]/$B$21-1</f>
        <v>1.7779358165170844E-3</v>
      </c>
    </row>
    <row r="27" spans="1:10">
      <c r="A27" s="55">
        <v>43707</v>
      </c>
      <c r="B27" s="19">
        <v>1.1287</v>
      </c>
      <c r="C27" s="17">
        <f t="shared" si="0"/>
        <v>1.8000000000000238E-3</v>
      </c>
      <c r="D27" s="18" t="str">
        <f t="shared" si="1"/>
        <v>/</v>
      </c>
      <c r="E27" s="18">
        <f ca="1">IF(表2_367162629303456[[#This Row],[累计净值]]/MAX(INDIRECT("B21:B" &amp; ROW()))-1&lt;E26,表2_367162629303456[[#This Row],[累计净值]]/MAX(INDIRECT("B21:B" &amp; ROW()))-1,E26)</f>
        <v>-1.065719360568318E-3</v>
      </c>
      <c r="F27" s="21">
        <v>1.0327</v>
      </c>
      <c r="G27" s="20">
        <f>表2_367162629303456[[#This Row],[累计净值]]/$B$21-1</f>
        <v>3.3780780513823494E-3</v>
      </c>
    </row>
    <row r="28" spans="1:10">
      <c r="A28" s="55">
        <v>43710</v>
      </c>
      <c r="B28" s="63">
        <v>1.1258999999999999</v>
      </c>
      <c r="C28" s="64">
        <f t="shared" ref="C28:C33" si="2">IFERROR(B28-B27,0)</f>
        <v>-2.8000000000001357E-3</v>
      </c>
      <c r="D28" s="65">
        <f t="shared" ref="D28:D33" si="3">IF(C28&lt;0,C28,"/")</f>
        <v>-2.8000000000001357E-3</v>
      </c>
      <c r="E28" s="65">
        <f ca="1">IF(表2_367162629303456[[#This Row],[累计净值]]/MAX(INDIRECT("B21:B" &amp; ROW()))-1&lt;E27,表2_367162629303456[[#This Row],[累计净值]]/MAX(INDIRECT("B21:B" &amp; ROW()))-1,E27)</f>
        <v>-2.480730043412871E-3</v>
      </c>
      <c r="F28" s="66">
        <v>1.0299</v>
      </c>
      <c r="G28" s="20">
        <f>表2_367162629303456[[#This Row],[累计净值]]/$B$21-1</f>
        <v>8.8896790825843119E-4</v>
      </c>
    </row>
    <row r="29" spans="1:10">
      <c r="A29" s="55">
        <v>43711</v>
      </c>
      <c r="B29" s="16">
        <v>1.1292</v>
      </c>
      <c r="C29" s="73">
        <f t="shared" si="2"/>
        <v>3.3000000000000806E-3</v>
      </c>
      <c r="D29" s="18" t="str">
        <f t="shared" si="3"/>
        <v>/</v>
      </c>
      <c r="E29" s="18">
        <f ca="1">IF(表2_367162629303456[[#This Row],[累计净值]]/MAX(INDIRECT("B21:B" &amp; ROW()))-1&lt;E28,表2_367162629303456[[#This Row],[累计净值]]/MAX(INDIRECT("B21:B" &amp; ROW()))-1,E28)</f>
        <v>-2.480730043412871E-3</v>
      </c>
      <c r="F29" s="62">
        <v>1.0331999999999999</v>
      </c>
      <c r="G29" s="20">
        <f>表2_367162629303456[[#This Row],[累计净值]]/$B$21-1</f>
        <v>3.822562005511676E-3</v>
      </c>
    </row>
    <row r="30" spans="1:10">
      <c r="A30" s="55">
        <v>43712</v>
      </c>
      <c r="B30" s="16">
        <v>1.1292</v>
      </c>
      <c r="C30" s="73">
        <f t="shared" si="2"/>
        <v>0</v>
      </c>
      <c r="D30" s="18" t="str">
        <f t="shared" si="3"/>
        <v>/</v>
      </c>
      <c r="E30" s="18">
        <f ca="1">IF(表2_367162629303456[[#This Row],[累计净值]]/MAX(INDIRECT("B21:B" &amp; ROW()))-1&lt;E29,表2_367162629303456[[#This Row],[累计净值]]/MAX(INDIRECT("B21:B" &amp; ROW()))-1,E29)</f>
        <v>-2.480730043412871E-3</v>
      </c>
      <c r="F30" s="62">
        <v>1.0331999999999999</v>
      </c>
      <c r="G30" s="20">
        <f>表2_367162629303456[[#This Row],[累计净值]]/$B$21-1</f>
        <v>3.822562005511676E-3</v>
      </c>
    </row>
    <row r="31" spans="1:10">
      <c r="A31" s="55">
        <v>43713</v>
      </c>
      <c r="B31" s="16">
        <v>1.1236999999999999</v>
      </c>
      <c r="C31" s="73">
        <f t="shared" si="2"/>
        <v>-5.5000000000000604E-3</v>
      </c>
      <c r="D31" s="18">
        <f t="shared" si="3"/>
        <v>-5.5000000000000604E-3</v>
      </c>
      <c r="E31" s="18">
        <f ca="1">IF(表2_367162629303456[[#This Row],[累计净值]]/MAX(INDIRECT("B21:B" &amp; ROW()))-1&lt;E30,表2_367162629303456[[#This Row],[累计净值]]/MAX(INDIRECT("B21:B" &amp; ROW()))-1,E30)</f>
        <v>-4.8707049238398969E-3</v>
      </c>
      <c r="F31" s="62">
        <v>1.0277000000000001</v>
      </c>
      <c r="G31" s="20">
        <f>表2_367162629303456[[#This Row],[累计净值]]/$B$21-1</f>
        <v>-1.0667614899102507E-3</v>
      </c>
      <c r="J31" s="60"/>
    </row>
    <row r="32" spans="1:10">
      <c r="A32" s="55">
        <v>43714</v>
      </c>
      <c r="B32" s="16">
        <v>1.1251</v>
      </c>
      <c r="C32" s="73">
        <f t="shared" si="2"/>
        <v>1.4000000000000679E-3</v>
      </c>
      <c r="D32" s="18" t="str">
        <f t="shared" si="3"/>
        <v>/</v>
      </c>
      <c r="E32" s="18">
        <f ca="1">IF(表2_367162629303456[[#This Row],[累计净值]]/MAX(INDIRECT("B21:B" &amp; ROW()))-1&lt;E31,表2_367162629303456[[#This Row],[累计净值]]/MAX(INDIRECT("B21:B" &amp; ROW()))-1,E31)</f>
        <v>-4.8707049238398969E-3</v>
      </c>
      <c r="F32" s="62">
        <v>1.0290999999999999</v>
      </c>
      <c r="G32" s="20">
        <f>表2_367162629303456[[#This Row],[累计净值]]/$B$21-1</f>
        <v>1.7779358165159742E-4</v>
      </c>
      <c r="J32" s="60"/>
    </row>
    <row r="33" spans="1:10">
      <c r="A33" s="55">
        <v>43717</v>
      </c>
      <c r="B33" s="16">
        <v>1.127</v>
      </c>
      <c r="C33" s="73">
        <f t="shared" si="2"/>
        <v>1.9000000000000128E-3</v>
      </c>
      <c r="D33" s="18" t="str">
        <f t="shared" si="3"/>
        <v>/</v>
      </c>
      <c r="E33" s="18">
        <f ca="1">IF(表2_367162629303456[[#This Row],[累计净值]]/MAX(INDIRECT("B21:B" &amp; ROW()))-1&lt;E32,表2_367162629303456[[#This Row],[累计净值]]/MAX(INDIRECT("B21:B" &amp; ROW()))-1,E32)</f>
        <v>-4.8707049238398969E-3</v>
      </c>
      <c r="F33" s="62">
        <v>1.0309999999999999</v>
      </c>
      <c r="G33" s="20">
        <f>表2_367162629303456[[#This Row],[累计净值]]/$B$21-1</f>
        <v>1.8668326073427721E-3</v>
      </c>
      <c r="J33" s="60"/>
    </row>
    <row r="34" spans="1:10">
      <c r="A34" s="55">
        <v>43718</v>
      </c>
      <c r="B34" s="16">
        <v>1.1253</v>
      </c>
      <c r="C34" s="73">
        <f t="shared" ref="C34:C41" si="4">IFERROR(B34-B33,0)</f>
        <v>-1.7000000000000348E-3</v>
      </c>
      <c r="D34" s="18">
        <f t="shared" ref="D34:D41" si="5">IF(C34&lt;0,C34,"/")</f>
        <v>-1.7000000000000348E-3</v>
      </c>
      <c r="E34" s="18">
        <f ca="1">IF(表2_367162629303456[[#This Row],[累计净值]]/MAX(INDIRECT("B21:B" &amp; ROW()))-1&lt;E33,表2_367162629303456[[#This Row],[累计净值]]/MAX(INDIRECT("B21:B" &amp; ROW()))-1,E33)</f>
        <v>-4.8707049238398969E-3</v>
      </c>
      <c r="F34" s="62">
        <v>1.0293000000000001</v>
      </c>
      <c r="G34" s="20">
        <f>表2_367162629303456[[#This Row],[累计净值]]/$B$21-1</f>
        <v>3.5558716330341689E-4</v>
      </c>
    </row>
    <row r="35" spans="1:10">
      <c r="A35" s="55">
        <v>43719</v>
      </c>
      <c r="B35" s="16">
        <v>1.1247</v>
      </c>
      <c r="C35" s="73">
        <f t="shared" si="4"/>
        <v>-5.9999999999993392E-4</v>
      </c>
      <c r="D35" s="18">
        <f t="shared" si="5"/>
        <v>-5.9999999999993392E-4</v>
      </c>
      <c r="E35" s="18">
        <f ca="1">IF(表2_367162629303456[[#This Row],[累计净值]]/MAX(INDIRECT("B21:B" &amp; ROW()))-1&lt;E34,表2_367162629303456[[#This Row],[累计净值]]/MAX(INDIRECT("B21:B" &amp; ROW()))-1,E34)</f>
        <v>-4.8707049238398969E-3</v>
      </c>
      <c r="F35" s="62">
        <v>1.0286999999999999</v>
      </c>
      <c r="G35" s="20">
        <f>表2_367162629303456[[#This Row],[累计净值]]/$B$21-1</f>
        <v>-1.7779358165170844E-4</v>
      </c>
    </row>
    <row r="36" spans="1:10">
      <c r="A36" s="55">
        <v>43720</v>
      </c>
      <c r="B36" s="16">
        <v>1.1242000000000001</v>
      </c>
      <c r="C36" s="73">
        <f t="shared" si="4"/>
        <v>-4.9999999999994493E-4</v>
      </c>
      <c r="D36" s="18">
        <f t="shared" si="5"/>
        <v>-4.9999999999994493E-4</v>
      </c>
      <c r="E36" s="18">
        <f ca="1">IF(表2_367162629303456[[#This Row],[累计净值]]/MAX(INDIRECT("B21:B" &amp; ROW()))-1&lt;E35,表2_367162629303456[[#This Row],[累计净值]]/MAX(INDIRECT("B21:B" &amp; ROW()))-1,E35)</f>
        <v>-4.8707049238398969E-3</v>
      </c>
      <c r="F36" s="62">
        <v>1.0282</v>
      </c>
      <c r="G36" s="20">
        <f>表2_367162629303456[[#This Row],[累计净值]]/$B$21-1</f>
        <v>-6.2227753578092404E-4</v>
      </c>
    </row>
    <row r="37" spans="1:10">
      <c r="A37" s="55">
        <v>43724</v>
      </c>
      <c r="B37" s="16">
        <v>1.1261000000000001</v>
      </c>
      <c r="C37" s="73">
        <f t="shared" si="4"/>
        <v>1.9000000000000128E-3</v>
      </c>
      <c r="D37" s="18" t="str">
        <f t="shared" si="5"/>
        <v>/</v>
      </c>
      <c r="E37" s="18">
        <f ca="1">IF(表2_367162629303456[[#This Row],[累计净值]]/MAX(INDIRECT("B21:B" &amp; ROW()))-1&lt;E36,表2_367162629303456[[#This Row],[累计净值]]/MAX(INDIRECT("B21:B" &amp; ROW()))-1,E36)</f>
        <v>-4.8707049238398969E-3</v>
      </c>
      <c r="F37" s="62">
        <v>1.0301</v>
      </c>
      <c r="G37" s="20">
        <f>表2_367162629303456[[#This Row],[累计净值]]/$B$21-1</f>
        <v>1.0667614899102507E-3</v>
      </c>
    </row>
    <row r="38" spans="1:10">
      <c r="A38" s="55">
        <v>43725</v>
      </c>
      <c r="B38" s="16">
        <v>1.1274999999999999</v>
      </c>
      <c r="C38" s="73">
        <f t="shared" si="4"/>
        <v>1.3999999999998458E-3</v>
      </c>
      <c r="D38" s="18" t="str">
        <f t="shared" si="5"/>
        <v>/</v>
      </c>
      <c r="E38" s="18">
        <f ca="1">IF(表2_367162629303456[[#This Row],[累计净值]]/MAX(INDIRECT("B21:B" &amp; ROW()))-1&lt;E37,表2_367162629303456[[#This Row],[累计净值]]/MAX(INDIRECT("B21:B" &amp; ROW()))-1,E37)</f>
        <v>-4.8707049238398969E-3</v>
      </c>
      <c r="F38" s="62">
        <v>1.0315000000000001</v>
      </c>
      <c r="G38" s="20">
        <f>表2_367162629303456[[#This Row],[累计净值]]/$B$21-1</f>
        <v>2.3113165614720987E-3</v>
      </c>
    </row>
    <row r="39" spans="1:10">
      <c r="A39" s="55">
        <v>43726</v>
      </c>
      <c r="B39" s="16">
        <v>1.1275999999999999</v>
      </c>
      <c r="C39" s="73">
        <f t="shared" si="4"/>
        <v>9.9999999999988987E-5</v>
      </c>
      <c r="D39" s="18" t="str">
        <f t="shared" si="5"/>
        <v>/</v>
      </c>
      <c r="E39" s="18">
        <f ca="1">IF(表2_367162629303456[[#This Row],[累计净值]]/MAX(INDIRECT("B21:B" &amp; ROW()))-1&lt;E38,表2_367162629303456[[#This Row],[累计净值]]/MAX(INDIRECT("B21:B" &amp; ROW()))-1,E38)</f>
        <v>-4.8707049238398969E-3</v>
      </c>
      <c r="F39" s="62">
        <v>1.0316000000000001</v>
      </c>
      <c r="G39" s="20">
        <f>表2_367162629303456[[#This Row],[累计净值]]/$B$21-1</f>
        <v>2.4002133522980085E-3</v>
      </c>
    </row>
    <row r="40" spans="1:10">
      <c r="A40" s="55">
        <v>43727</v>
      </c>
      <c r="B40" s="16">
        <v>1.1291</v>
      </c>
      <c r="C40" s="73">
        <f t="shared" si="4"/>
        <v>1.5000000000000568E-3</v>
      </c>
      <c r="D40" s="18" t="str">
        <f t="shared" si="5"/>
        <v>/</v>
      </c>
      <c r="E40" s="18">
        <f ca="1">IF(表2_367162629303456[[#This Row],[累计净值]]/MAX(INDIRECT("B21:B" &amp; ROW()))-1&lt;E39,表2_367162629303456[[#This Row],[累计净值]]/MAX(INDIRECT("B21:B" &amp; ROW()))-1,E39)</f>
        <v>-4.8707049238398969E-3</v>
      </c>
      <c r="F40" s="62">
        <v>1.0330999999999999</v>
      </c>
      <c r="G40" s="20">
        <f>表2_367162629303456[[#This Row],[累计净值]]/$B$21-1</f>
        <v>3.7336652146857663E-3</v>
      </c>
    </row>
    <row r="41" spans="1:10">
      <c r="A41" s="55">
        <v>43728</v>
      </c>
      <c r="B41" s="16">
        <v>1.1295999999999999</v>
      </c>
      <c r="C41" s="73">
        <f t="shared" si="4"/>
        <v>4.9999999999994493E-4</v>
      </c>
      <c r="D41" s="18" t="str">
        <f t="shared" si="5"/>
        <v>/</v>
      </c>
      <c r="E41" s="18">
        <f ca="1">IF(表2_367162629303456[[#This Row],[累计净值]]/MAX(INDIRECT("B21:B" &amp; ROW()))-1&lt;E40,表2_367162629303456[[#This Row],[累计净值]]/MAX(INDIRECT("B21:B" &amp; ROW()))-1,E40)</f>
        <v>-4.8707049238398969E-3</v>
      </c>
      <c r="F41" s="62">
        <v>1.0336000000000001</v>
      </c>
      <c r="G41" s="20">
        <f>表2_367162629303456[[#This Row],[累计净值]]/$B$21-1</f>
        <v>4.1781491688148709E-3</v>
      </c>
    </row>
    <row r="42" spans="1:10">
      <c r="A42" s="55">
        <v>43731</v>
      </c>
      <c r="B42" s="16">
        <v>1.1292</v>
      </c>
      <c r="C42" s="73">
        <f t="shared" ref="C42:C47" si="6">IFERROR(B42-B41,0)</f>
        <v>-3.9999999999995595E-4</v>
      </c>
      <c r="D42" s="18">
        <f t="shared" ref="D42:D47" si="7">IF(C42&lt;0,C42,"/")</f>
        <v>-3.9999999999995595E-4</v>
      </c>
      <c r="E42" s="18">
        <f ca="1">IF(表2_367162629303456[[#This Row],[累计净值]]/MAX(INDIRECT("B21:B" &amp; ROW()))-1&lt;E41,表2_367162629303456[[#This Row],[累计净值]]/MAX(INDIRECT("B21:B" &amp; ROW()))-1,E41)</f>
        <v>-4.8707049238398969E-3</v>
      </c>
      <c r="F42" s="62">
        <v>1.0331999999999999</v>
      </c>
      <c r="G42" s="20">
        <f>表2_367162629303456[[#This Row],[累计净值]]/$B$21-1</f>
        <v>3.822562005511676E-3</v>
      </c>
    </row>
    <row r="43" spans="1:10">
      <c r="A43" s="55">
        <v>43732</v>
      </c>
      <c r="B43" s="16">
        <v>1.1286</v>
      </c>
      <c r="C43" s="73">
        <f t="shared" si="6"/>
        <v>-5.9999999999993392E-4</v>
      </c>
      <c r="D43" s="18">
        <f t="shared" si="7"/>
        <v>-5.9999999999993392E-4</v>
      </c>
      <c r="E43" s="18">
        <f ca="1">IF(表2_367162629303456[[#This Row],[累计净值]]/MAX(INDIRECT("B21:B" &amp; ROW()))-1&lt;E42,表2_367162629303456[[#This Row],[累计净值]]/MAX(INDIRECT("B21:B" &amp; ROW()))-1,E42)</f>
        <v>-4.8707049238398969E-3</v>
      </c>
      <c r="F43" s="62">
        <v>1.0326</v>
      </c>
      <c r="G43" s="20">
        <f>表2_367162629303456[[#This Row],[累计净值]]/$B$21-1</f>
        <v>3.2891812605564397E-3</v>
      </c>
    </row>
    <row r="44" spans="1:10">
      <c r="A44" s="55">
        <v>43733</v>
      </c>
      <c r="B44" s="16">
        <v>1.1262000000000001</v>
      </c>
      <c r="C44" s="73">
        <f t="shared" si="6"/>
        <v>-2.3999999999999577E-3</v>
      </c>
      <c r="D44" s="18">
        <f t="shared" si="7"/>
        <v>-2.3999999999999577E-3</v>
      </c>
      <c r="E44" s="18">
        <f ca="1">IF(表2_367162629303456[[#This Row],[累计净值]]/MAX(INDIRECT("B21:B" &amp; ROW()))-1&lt;E43,表2_367162629303456[[#This Row],[累计净值]]/MAX(INDIRECT("B21:B" &amp; ROW()))-1,E43)</f>
        <v>-4.8707049238398969E-3</v>
      </c>
      <c r="F44" s="62">
        <v>1.0302</v>
      </c>
      <c r="G44" s="20">
        <f>表2_367162629303456[[#This Row],[累计净值]]/$B$21-1</f>
        <v>1.1556582807361604E-3</v>
      </c>
    </row>
    <row r="45" spans="1:10">
      <c r="A45" s="55">
        <v>43734</v>
      </c>
      <c r="B45" s="16">
        <v>1.1258999999999999</v>
      </c>
      <c r="C45" s="73">
        <f t="shared" si="6"/>
        <v>-3.00000000000189E-4</v>
      </c>
      <c r="D45" s="18">
        <f t="shared" si="7"/>
        <v>-3.00000000000189E-4</v>
      </c>
      <c r="E45" s="18">
        <f ca="1">IF(表2_367162629303456[[#This Row],[累计净值]]/MAX(INDIRECT("B21:B" &amp; ROW()))-1&lt;E44,表2_367162629303456[[#This Row],[累计净值]]/MAX(INDIRECT("B21:B" &amp; ROW()))-1,E44)</f>
        <v>-4.8707049238398969E-3</v>
      </c>
      <c r="F45" s="62">
        <v>1.0299</v>
      </c>
      <c r="G45" s="20">
        <f>表2_367162629303456[[#This Row],[累计净值]]/$B$21-1</f>
        <v>8.8896790825843119E-4</v>
      </c>
    </row>
    <row r="46" spans="1:10">
      <c r="A46" s="55">
        <v>43735</v>
      </c>
      <c r="B46" s="16">
        <v>1.1271</v>
      </c>
      <c r="C46" s="73">
        <f t="shared" si="6"/>
        <v>1.2000000000000899E-3</v>
      </c>
      <c r="D46" s="18" t="str">
        <f t="shared" si="7"/>
        <v>/</v>
      </c>
      <c r="E46" s="18">
        <f ca="1">IF(表2_367162629303456[[#This Row],[累计净值]]/MAX(INDIRECT("B21:B" &amp; ROW()))-1&lt;E45,表2_367162629303456[[#This Row],[累计净值]]/MAX(INDIRECT("B21:B" &amp; ROW()))-1,E45)</f>
        <v>-4.8707049238398969E-3</v>
      </c>
      <c r="F46" s="62">
        <v>1.0310999999999999</v>
      </c>
      <c r="G46" s="20">
        <f>表2_367162629303456[[#This Row],[累计净值]]/$B$21-1</f>
        <v>1.9557293981686819E-3</v>
      </c>
    </row>
    <row r="47" spans="1:10">
      <c r="A47" s="55">
        <v>43738</v>
      </c>
      <c r="B47" s="16">
        <v>1.1273</v>
      </c>
      <c r="C47" s="73">
        <f t="shared" si="6"/>
        <v>1.9999999999997797E-4</v>
      </c>
      <c r="D47" s="18" t="str">
        <f t="shared" si="7"/>
        <v>/</v>
      </c>
      <c r="E47" s="18">
        <f ca="1">IF(表2_367162629303456[[#This Row],[累计净值]]/MAX(INDIRECT("B21:B" &amp; ROW()))-1&lt;E46,表2_367162629303456[[#This Row],[累计净值]]/MAX(INDIRECT("B21:B" &amp; ROW()))-1,E46)</f>
        <v>-4.8707049238398969E-3</v>
      </c>
      <c r="F47" s="62">
        <v>1.0313000000000001</v>
      </c>
      <c r="G47" s="20">
        <f>表2_367162629303456[[#This Row],[累计净值]]/$B$21-1</f>
        <v>2.1335229798205013E-3</v>
      </c>
    </row>
    <row r="48" spans="1:10">
      <c r="A48" s="55">
        <v>43746</v>
      </c>
      <c r="B48" s="16">
        <v>1.1293</v>
      </c>
      <c r="C48" s="73">
        <f t="shared" ref="C48:C53" si="8">IFERROR(B48-B47,0)</f>
        <v>2.0000000000000018E-3</v>
      </c>
      <c r="D48" s="18" t="str">
        <f t="shared" ref="D48:D53" si="9">IF(C48&lt;0,C48,"/")</f>
        <v>/</v>
      </c>
      <c r="E48" s="18">
        <f ca="1">IF(表2_367162629303456[[#This Row],[累计净值]]/MAX(INDIRECT("B21:B" &amp; ROW()))-1&lt;E47,表2_367162629303456[[#This Row],[累计净值]]/MAX(INDIRECT("B21:B" &amp; ROW()))-1,E47)</f>
        <v>-4.8707049238398969E-3</v>
      </c>
      <c r="F48" s="62">
        <v>1.0333000000000001</v>
      </c>
      <c r="G48" s="20">
        <f>表2_367162629303456[[#This Row],[累计净值]]/$B$21-1</f>
        <v>3.9114587963373637E-3</v>
      </c>
    </row>
    <row r="49" spans="1:7">
      <c r="A49" s="55">
        <v>43747</v>
      </c>
      <c r="B49" s="16">
        <v>1.1315</v>
      </c>
      <c r="C49" s="73">
        <f t="shared" si="8"/>
        <v>2.1999999999999797E-3</v>
      </c>
      <c r="D49" s="18" t="str">
        <f t="shared" si="9"/>
        <v>/</v>
      </c>
      <c r="E49" s="18">
        <f ca="1">IF(表2_367162629303456[[#This Row],[累计净值]]/MAX(INDIRECT("B21:B" &amp; ROW()))-1&lt;E48,表2_367162629303456[[#This Row],[累计净值]]/MAX(INDIRECT("B21:B" &amp; ROW()))-1,E48)</f>
        <v>-4.8707049238398969E-3</v>
      </c>
      <c r="F49" s="62">
        <v>1.0355000000000001</v>
      </c>
      <c r="G49" s="20">
        <f>表2_367162629303456[[#This Row],[累计净值]]/$B$21-1</f>
        <v>5.8671881945060456E-3</v>
      </c>
    </row>
    <row r="50" spans="1:7">
      <c r="A50" s="55">
        <v>43748</v>
      </c>
      <c r="B50" s="16">
        <v>1.1327</v>
      </c>
      <c r="C50" s="73">
        <f t="shared" si="8"/>
        <v>1.2000000000000899E-3</v>
      </c>
      <c r="D50" s="18" t="str">
        <f t="shared" si="9"/>
        <v>/</v>
      </c>
      <c r="E50" s="18">
        <f ca="1">IF(表2_367162629303456[[#This Row],[累计净值]]/MAX(INDIRECT("B21:B" &amp; ROW()))-1&lt;E49,表2_367162629303456[[#This Row],[累计净值]]/MAX(INDIRECT("B21:B" &amp; ROW()))-1,E49)</f>
        <v>-4.8707049238398969E-3</v>
      </c>
      <c r="F50" s="62">
        <v>1.0367</v>
      </c>
      <c r="G50" s="20">
        <f>表2_367162629303456[[#This Row],[累计净值]]/$B$21-1</f>
        <v>6.9339496844165183E-3</v>
      </c>
    </row>
    <row r="51" spans="1:7">
      <c r="A51" s="55">
        <v>43749</v>
      </c>
      <c r="B51" s="16">
        <v>1.1308</v>
      </c>
      <c r="C51" s="73">
        <f t="shared" si="8"/>
        <v>-1.9000000000000128E-3</v>
      </c>
      <c r="D51" s="18">
        <f t="shared" si="9"/>
        <v>-1.9000000000000128E-3</v>
      </c>
      <c r="E51" s="18">
        <f ca="1">IF(表2_367162629303456[[#This Row],[累计净值]]/MAX(INDIRECT("B21:B" &amp; ROW()))-1&lt;E50,表2_367162629303456[[#This Row],[累计净值]]/MAX(INDIRECT("B21:B" &amp; ROW()))-1,E50)</f>
        <v>-4.8707049238398969E-3</v>
      </c>
      <c r="F51" s="62">
        <v>1.0347999999999999</v>
      </c>
      <c r="G51" s="20">
        <f>表2_367162629303456[[#This Row],[累计净值]]/$B$21-1</f>
        <v>5.2449106587253436E-3</v>
      </c>
    </row>
    <row r="52" spans="1:7">
      <c r="A52" s="55">
        <v>43752</v>
      </c>
      <c r="B52" s="16">
        <v>1.1312</v>
      </c>
      <c r="C52" s="73">
        <f t="shared" si="8"/>
        <v>3.9999999999995595E-4</v>
      </c>
      <c r="D52" s="18" t="str">
        <f t="shared" si="9"/>
        <v>/</v>
      </c>
      <c r="E52" s="18">
        <f ca="1">IF(表2_367162629303456[[#This Row],[累计净值]]/MAX(INDIRECT("B21:B" &amp; ROW()))-1&lt;E51,表2_367162629303456[[#This Row],[累计净值]]/MAX(INDIRECT("B21:B" &amp; ROW()))-1,E51)</f>
        <v>-4.8707049238398969E-3</v>
      </c>
      <c r="F52" s="62">
        <v>1.0351999999999999</v>
      </c>
      <c r="G52" s="20">
        <f>表2_367162629303456[[#This Row],[累计净值]]/$B$21-1</f>
        <v>5.6004978220285384E-3</v>
      </c>
    </row>
    <row r="53" spans="1:7">
      <c r="A53" s="55">
        <v>43753</v>
      </c>
      <c r="B53" s="16">
        <v>1.1302000000000001</v>
      </c>
      <c r="C53" s="73">
        <f t="shared" si="8"/>
        <v>-9.9999999999988987E-4</v>
      </c>
      <c r="D53" s="18">
        <f t="shared" si="9"/>
        <v>-9.9999999999988987E-4</v>
      </c>
      <c r="E53" s="18">
        <f ca="1">IF(表2_367162629303456[[#This Row],[累计净值]]/MAX(INDIRECT("B21:B" &amp; ROW()))-1&lt;E52,表2_367162629303456[[#This Row],[累计净值]]/MAX(INDIRECT("B21:B" &amp; ROW()))-1,E52)</f>
        <v>-4.8707049238398969E-3</v>
      </c>
      <c r="F53" s="62">
        <v>1.0342</v>
      </c>
      <c r="G53" s="20">
        <f>表2_367162629303456[[#This Row],[累计净值]]/$B$21-1</f>
        <v>4.7115299137701072E-3</v>
      </c>
    </row>
    <row r="54" spans="1:7">
      <c r="A54" s="55">
        <v>43754</v>
      </c>
      <c r="B54" s="16">
        <v>1.1328</v>
      </c>
      <c r="C54" s="73">
        <f t="shared" ref="C54:C59" si="10">IFERROR(B54-B53,0)</f>
        <v>2.5999999999999357E-3</v>
      </c>
      <c r="D54" s="18" t="str">
        <f t="shared" ref="D54:D59" si="11">IF(C54&lt;0,C54,"/")</f>
        <v>/</v>
      </c>
      <c r="E54" s="18">
        <f ca="1">IF(表2_367162629303456[[#This Row],[累计净值]]/MAX(INDIRECT("B21:B" &amp; ROW()))-1&lt;E53,表2_367162629303456[[#This Row],[累计净值]]/MAX(INDIRECT("B21:B" &amp; ROW()))-1,E53)</f>
        <v>-4.8707049238398969E-3</v>
      </c>
      <c r="F54" s="62">
        <v>1.0367999999999999</v>
      </c>
      <c r="G54" s="20">
        <f>表2_367162629303456[[#This Row],[累计净值]]/$B$21-1</f>
        <v>7.022846475242206E-3</v>
      </c>
    </row>
    <row r="55" spans="1:7">
      <c r="A55" s="55">
        <v>43755</v>
      </c>
      <c r="B55" s="16">
        <v>1.1341000000000001</v>
      </c>
      <c r="C55" s="73">
        <f t="shared" si="10"/>
        <v>1.3000000000000789E-3</v>
      </c>
      <c r="D55" s="18" t="str">
        <f t="shared" si="11"/>
        <v>/</v>
      </c>
      <c r="E55" s="18">
        <f ca="1">IF(表2_367162629303456[[#This Row],[累计净值]]/MAX(INDIRECT("B21:B" &amp; ROW()))-1&lt;E54,表2_367162629303456[[#This Row],[累计净值]]/MAX(INDIRECT("B21:B" &amp; ROW()))-1,E54)</f>
        <v>-4.8707049238398969E-3</v>
      </c>
      <c r="F55" s="62">
        <v>1.0381</v>
      </c>
      <c r="G55" s="20">
        <f>表2_367162629303456[[#This Row],[累计净值]]/$B$21-1</f>
        <v>8.1785047559783663E-3</v>
      </c>
    </row>
    <row r="56" spans="1:7">
      <c r="A56" s="55">
        <v>43756</v>
      </c>
      <c r="B56" s="16">
        <v>1.1356999999999999</v>
      </c>
      <c r="C56" s="73">
        <f t="shared" si="10"/>
        <v>1.5999999999998238E-3</v>
      </c>
      <c r="D56" s="18" t="str">
        <f t="shared" si="11"/>
        <v>/</v>
      </c>
      <c r="E56" s="18">
        <f ca="1">IF(表2_367162629303456[[#This Row],[累计净值]]/MAX(INDIRECT("B21:B" &amp; ROW()))-1&lt;E55,表2_367162629303456[[#This Row],[累计净值]]/MAX(INDIRECT("B21:B" &amp; ROW()))-1,E55)</f>
        <v>-4.8707049238398969E-3</v>
      </c>
      <c r="F56" s="62">
        <v>1.0397000000000001</v>
      </c>
      <c r="G56" s="20">
        <f>表2_367162629303456[[#This Row],[累计净值]]/$B$21-1</f>
        <v>9.6008534091918118E-3</v>
      </c>
    </row>
    <row r="57" spans="1:7">
      <c r="A57" s="77">
        <v>43759</v>
      </c>
      <c r="B57" s="76">
        <v>1.1375999999999999</v>
      </c>
      <c r="C57" s="73">
        <f t="shared" si="10"/>
        <v>1.9000000000000128E-3</v>
      </c>
      <c r="D57" s="18" t="str">
        <f t="shared" si="11"/>
        <v>/</v>
      </c>
      <c r="E57" s="18">
        <f ca="1">IF(表2_367162629303456[[#This Row],[累计净值]]/MAX(INDIRECT("B21:B" &amp; ROW()))-1&lt;E56,表2_367162629303456[[#This Row],[累计净值]]/MAX(INDIRECT("B21:B" &amp; ROW()))-1,E56)</f>
        <v>-4.8707049238398969E-3</v>
      </c>
      <c r="F57" s="62">
        <v>1.0416000000000001</v>
      </c>
      <c r="G57" s="20">
        <f>表2_367162629303456[[#This Row],[累计净值]]/$B$21-1</f>
        <v>1.1289892434882987E-2</v>
      </c>
    </row>
    <row r="58" spans="1:7">
      <c r="A58" s="55">
        <v>43760</v>
      </c>
      <c r="B58" s="16">
        <v>1.1375</v>
      </c>
      <c r="C58" s="73">
        <f t="shared" si="10"/>
        <v>-9.9999999999988987E-5</v>
      </c>
      <c r="D58" s="18">
        <f t="shared" si="11"/>
        <v>-9.9999999999988987E-5</v>
      </c>
      <c r="E58" s="18">
        <f ca="1">IF(表2_367162629303456[[#This Row],[累计净值]]/MAX(INDIRECT("B21:B" &amp; ROW()))-1&lt;E57,表2_367162629303456[[#This Row],[累计净值]]/MAX(INDIRECT("B21:B" &amp; ROW()))-1,E57)</f>
        <v>-4.8707049238398969E-3</v>
      </c>
      <c r="F58" s="62">
        <v>1.0415000000000001</v>
      </c>
      <c r="G58" s="20">
        <f>表2_367162629303456[[#This Row],[累计净值]]/$B$21-1</f>
        <v>1.1200995644057299E-2</v>
      </c>
    </row>
    <row r="59" spans="1:7">
      <c r="A59" s="55">
        <v>43761</v>
      </c>
      <c r="B59" s="16">
        <v>1.1369</v>
      </c>
      <c r="C59" s="73">
        <f t="shared" si="10"/>
        <v>-5.9999999999993392E-4</v>
      </c>
      <c r="D59" s="18">
        <f t="shared" si="11"/>
        <v>-5.9999999999993392E-4</v>
      </c>
      <c r="E59" s="18">
        <f ca="1">IF(表2_367162629303456[[#This Row],[累计净值]]/MAX(INDIRECT("B21:B" &amp; ROW()))-1&lt;E58,表2_367162629303456[[#This Row],[累计净值]]/MAX(INDIRECT("B21:B" &amp; ROW()))-1,E58)</f>
        <v>-4.8707049238398969E-3</v>
      </c>
      <c r="F59" s="62">
        <v>1.0408999999999999</v>
      </c>
      <c r="G59" s="20">
        <f>表2_367162629303456[[#This Row],[累计净值]]/$B$21-1</f>
        <v>1.0667614899102063E-2</v>
      </c>
    </row>
    <row r="60" spans="1:7">
      <c r="A60" s="55">
        <v>43762</v>
      </c>
      <c r="B60" s="16">
        <v>1.135</v>
      </c>
      <c r="C60" s="73">
        <f t="shared" ref="C60:C66" si="12">IFERROR(B60-B59,0)</f>
        <v>-1.9000000000000128E-3</v>
      </c>
      <c r="D60" s="18">
        <f t="shared" ref="D60:D66" si="13">IF(C60&lt;0,C60,"/")</f>
        <v>-1.9000000000000128E-3</v>
      </c>
      <c r="E60" s="18">
        <f ca="1">IF(表2_367162629303456[[#This Row],[累计净值]]/MAX(INDIRECT("B21:B" &amp; ROW()))-1&lt;E59,表2_367162629303456[[#This Row],[累计净值]]/MAX(INDIRECT("B21:B" &amp; ROW()))-1,E59)</f>
        <v>-4.8707049238398969E-3</v>
      </c>
      <c r="F60" s="62">
        <v>1.0389999999999999</v>
      </c>
      <c r="G60" s="20">
        <f>表2_367162629303456[[#This Row],[累计净值]]/$B$21-1</f>
        <v>8.9785758734108878E-3</v>
      </c>
    </row>
    <row r="61" spans="1:7">
      <c r="A61" s="55">
        <v>43763</v>
      </c>
      <c r="B61" s="16">
        <v>1.1349</v>
      </c>
      <c r="C61" s="73">
        <f t="shared" si="12"/>
        <v>-9.9999999999988987E-5</v>
      </c>
      <c r="D61" s="18">
        <f t="shared" si="13"/>
        <v>-9.9999999999988987E-5</v>
      </c>
      <c r="E61" s="18">
        <f ca="1">IF(表2_367162629303456[[#This Row],[累计净值]]/MAX(INDIRECT("B21:B" &amp; ROW()))-1&lt;E60,表2_367162629303456[[#This Row],[累计净值]]/MAX(INDIRECT("B21:B" &amp; ROW()))-1,E60)</f>
        <v>-4.8707049238398969E-3</v>
      </c>
      <c r="F61" s="62">
        <v>1.0388999999999999</v>
      </c>
      <c r="G61" s="20">
        <f>表2_367162629303456[[#This Row],[累计净值]]/$B$21-1</f>
        <v>8.8896790825852001E-3</v>
      </c>
    </row>
    <row r="62" spans="1:7">
      <c r="A62" s="55">
        <v>43766</v>
      </c>
      <c r="B62" s="16">
        <v>1.1355999999999999</v>
      </c>
      <c r="C62" s="73">
        <f t="shared" si="12"/>
        <v>6.9999999999992291E-4</v>
      </c>
      <c r="D62" s="18" t="str">
        <f t="shared" si="13"/>
        <v>/</v>
      </c>
      <c r="E62" s="18">
        <f ca="1">IF(表2_367162629303456[[#This Row],[累计净值]]/MAX(INDIRECT("B21:B" &amp; ROW()))-1&lt;E61,表2_367162629303456[[#This Row],[累计净值]]/MAX(INDIRECT("B21:B" &amp; ROW()))-1,E61)</f>
        <v>-4.8707049238398969E-3</v>
      </c>
      <c r="F62" s="62">
        <v>1.0396000000000001</v>
      </c>
      <c r="G62" s="20">
        <f>表2_367162629303456[[#This Row],[累计净值]]/$B$21-1</f>
        <v>9.5119566183661242E-3</v>
      </c>
    </row>
    <row r="63" spans="1:7">
      <c r="A63" s="55">
        <v>43767</v>
      </c>
      <c r="B63" s="16">
        <v>1.1335999999999999</v>
      </c>
      <c r="C63" s="73">
        <f t="shared" si="12"/>
        <v>-2.0000000000000018E-3</v>
      </c>
      <c r="D63" s="18">
        <f t="shared" si="13"/>
        <v>-2.0000000000000018E-3</v>
      </c>
      <c r="E63" s="18">
        <f ca="1">IF(表2_367162629303456[[#This Row],[累计净值]]/MAX(INDIRECT("B21:B" &amp; ROW()))-1&lt;E62,表2_367162629303456[[#This Row],[累计净值]]/MAX(INDIRECT("B21:B" &amp; ROW()))-1,E62)</f>
        <v>-4.8707049238398969E-3</v>
      </c>
      <c r="F63" s="62">
        <v>1.0376000000000001</v>
      </c>
      <c r="G63" s="20">
        <f>表2_367162629303456[[#This Row],[累计净值]]/$B$21-1</f>
        <v>7.7340208018490397E-3</v>
      </c>
    </row>
    <row r="64" spans="1:7">
      <c r="A64" s="55">
        <v>43768</v>
      </c>
      <c r="B64" s="16">
        <v>1.1366000000000001</v>
      </c>
      <c r="C64" s="73">
        <f t="shared" si="12"/>
        <v>3.0000000000001137E-3</v>
      </c>
      <c r="D64" s="18" t="str">
        <f t="shared" si="13"/>
        <v>/</v>
      </c>
      <c r="E64" s="18">
        <f ca="1">IF(表2_367162629303456[[#This Row],[累计净值]]/MAX(INDIRECT("B21:B" &amp; ROW()))-1&lt;E63,表2_367162629303456[[#This Row],[累计净值]]/MAX(INDIRECT("B21:B" &amp; ROW()))-1,E63)</f>
        <v>-4.8707049238398969E-3</v>
      </c>
      <c r="F64" s="62">
        <v>1.0406</v>
      </c>
      <c r="G64" s="20">
        <f>表2_367162629303456[[#This Row],[累计净值]]/$B$21-1</f>
        <v>1.0400924526624555E-2</v>
      </c>
    </row>
    <row r="65" spans="1:7">
      <c r="A65" s="55">
        <v>43769</v>
      </c>
      <c r="B65" s="16">
        <v>1.1366000000000001</v>
      </c>
      <c r="C65" s="73">
        <f t="shared" si="12"/>
        <v>0</v>
      </c>
      <c r="D65" s="18" t="str">
        <f t="shared" si="13"/>
        <v>/</v>
      </c>
      <c r="E65" s="18">
        <f ca="1">IF(表2_367162629303456[[#This Row],[累计净值]]/MAX(INDIRECT("B21:B" &amp; ROW()))-1&lt;E64,表2_367162629303456[[#This Row],[累计净值]]/MAX(INDIRECT("B21:B" &amp; ROW()))-1,E64)</f>
        <v>-4.8707049238398969E-3</v>
      </c>
      <c r="F65" s="62">
        <v>1.0406</v>
      </c>
      <c r="G65" s="20">
        <f>表2_367162629303456[[#This Row],[累计净值]]/$B$21-1</f>
        <v>1.0400924526624555E-2</v>
      </c>
    </row>
    <row r="66" spans="1:7">
      <c r="A66" s="55">
        <v>43770</v>
      </c>
      <c r="B66" s="16">
        <v>1.1348</v>
      </c>
      <c r="C66" s="73">
        <f t="shared" si="12"/>
        <v>-1.8000000000000238E-3</v>
      </c>
      <c r="D66" s="18">
        <f t="shared" si="13"/>
        <v>-1.8000000000000238E-3</v>
      </c>
      <c r="E66" s="18">
        <f ca="1">IF(表2_367162629303456[[#This Row],[累计净值]]/MAX(INDIRECT("B21:B" &amp; ROW()))-1&lt;E65,表2_367162629303456[[#This Row],[累计净值]]/MAX(INDIRECT("B21:B" &amp; ROW()))-1,E65)</f>
        <v>-4.8707049238398969E-3</v>
      </c>
      <c r="F66" s="62">
        <v>1.0387999999999999</v>
      </c>
      <c r="G66" s="20">
        <f>表2_367162629303456[[#This Row],[累计净值]]/$B$21-1</f>
        <v>8.8007822917592904E-3</v>
      </c>
    </row>
    <row r="67" spans="1:7">
      <c r="A67" s="55">
        <v>43773</v>
      </c>
      <c r="B67" s="16">
        <v>1.1356999999999999</v>
      </c>
      <c r="C67" s="73">
        <f t="shared" ref="C67:C72" si="14">IFERROR(B67-B66,0)</f>
        <v>8.9999999999990088E-4</v>
      </c>
      <c r="D67" s="18" t="str">
        <f t="shared" ref="D67:D72" si="15">IF(C67&lt;0,C67,"/")</f>
        <v>/</v>
      </c>
      <c r="E67" s="18">
        <f ca="1">IF(表2_367162629303456[[#This Row],[累计净值]]/MAX(INDIRECT("B21:B" &amp; ROW()))-1&lt;E66,表2_367162629303456[[#This Row],[累计净值]]/MAX(INDIRECT("B21:B" &amp; ROW()))-1,E66)</f>
        <v>-4.8707049238398969E-3</v>
      </c>
      <c r="F67" s="62">
        <v>1.0397000000000001</v>
      </c>
      <c r="G67" s="20">
        <f>表2_367162629303456[[#This Row],[累计净值]]/$B$21-1</f>
        <v>9.6008534091918118E-3</v>
      </c>
    </row>
    <row r="68" spans="1:7">
      <c r="A68" s="55">
        <v>43774</v>
      </c>
      <c r="B68" s="16">
        <v>1.1358999999999999</v>
      </c>
      <c r="C68" s="73">
        <f t="shared" si="14"/>
        <v>1.9999999999997797E-4</v>
      </c>
      <c r="D68" s="18" t="str">
        <f t="shared" si="15"/>
        <v>/</v>
      </c>
      <c r="E68" s="18">
        <f ca="1">IF(表2_367162629303456[[#This Row],[累计净值]]/MAX(INDIRECT("B21:B" &amp; ROW()))-1&lt;E67,表2_367162629303456[[#This Row],[累计净值]]/MAX(INDIRECT("B21:B" &amp; ROW()))-1,E67)</f>
        <v>-4.8707049238398969E-3</v>
      </c>
      <c r="F68" s="62">
        <v>1.0399</v>
      </c>
      <c r="G68" s="20">
        <f>表2_367162629303456[[#This Row],[累计净值]]/$B$21-1</f>
        <v>9.7786469908436313E-3</v>
      </c>
    </row>
    <row r="69" spans="1:7">
      <c r="A69" s="55">
        <v>43775</v>
      </c>
      <c r="B69" s="16">
        <v>1.1372</v>
      </c>
      <c r="C69" s="73">
        <f t="shared" si="14"/>
        <v>1.3000000000000789E-3</v>
      </c>
      <c r="D69" s="18" t="str">
        <f t="shared" si="15"/>
        <v>/</v>
      </c>
      <c r="E69" s="18">
        <f ca="1">IF(表2_367162629303456[[#This Row],[累计净值]]/MAX(INDIRECT("B21:B" &amp; ROW()))-1&lt;E68,表2_367162629303456[[#This Row],[累计净值]]/MAX(INDIRECT("B21:B" &amp; ROW()))-1,E68)</f>
        <v>-4.8707049238398969E-3</v>
      </c>
      <c r="F69" s="62">
        <v>1.0411999999999999</v>
      </c>
      <c r="G69" s="20">
        <f>表2_367162629303456[[#This Row],[累计净值]]/$B$21-1</f>
        <v>1.093430527157957E-2</v>
      </c>
    </row>
    <row r="70" spans="1:7">
      <c r="A70" s="55">
        <v>43776</v>
      </c>
      <c r="B70" s="16">
        <v>1.1369</v>
      </c>
      <c r="C70" s="73">
        <f t="shared" si="14"/>
        <v>-2.9999999999996696E-4</v>
      </c>
      <c r="D70" s="18">
        <f t="shared" si="15"/>
        <v>-2.9999999999996696E-4</v>
      </c>
      <c r="E70" s="18">
        <f ca="1">IF(表2_367162629303456[[#This Row],[累计净值]]/MAX(INDIRECT("B21:B" &amp; ROW()))-1&lt;E69,表2_367162629303456[[#This Row],[累计净值]]/MAX(INDIRECT("B21:B" &amp; ROW()))-1,E69)</f>
        <v>-4.8707049238398969E-3</v>
      </c>
      <c r="F70" s="62">
        <v>1.0408999999999999</v>
      </c>
      <c r="G70" s="20">
        <f>表2_367162629303456[[#This Row],[累计净值]]/$B$21-1</f>
        <v>1.0667614899102063E-2</v>
      </c>
    </row>
    <row r="71" spans="1:7">
      <c r="A71" s="55">
        <v>43777</v>
      </c>
      <c r="B71" s="16">
        <v>1.1355</v>
      </c>
      <c r="C71" s="73">
        <f t="shared" si="14"/>
        <v>-1.4000000000000679E-3</v>
      </c>
      <c r="D71" s="18">
        <f t="shared" si="15"/>
        <v>-1.4000000000000679E-3</v>
      </c>
      <c r="E71" s="18">
        <f ca="1">IF(表2_367162629303456[[#This Row],[累计净值]]/MAX(INDIRECT("B21:B" &amp; ROW()))-1&lt;E70,表2_367162629303456[[#This Row],[累计净值]]/MAX(INDIRECT("B21:B" &amp; ROW()))-1,E70)</f>
        <v>-4.8707049238398969E-3</v>
      </c>
      <c r="F71" s="62">
        <v>1.0395000000000001</v>
      </c>
      <c r="G71" s="20">
        <f>表2_367162629303456[[#This Row],[累计净值]]/$B$21-1</f>
        <v>9.4230598275402144E-3</v>
      </c>
    </row>
    <row r="72" spans="1:7">
      <c r="A72" s="55">
        <v>43780</v>
      </c>
      <c r="B72" s="16">
        <v>1.135</v>
      </c>
      <c r="C72" s="73">
        <f t="shared" si="14"/>
        <v>-4.9999999999994493E-4</v>
      </c>
      <c r="D72" s="18">
        <f t="shared" si="15"/>
        <v>-4.9999999999994493E-4</v>
      </c>
      <c r="E72" s="18">
        <f ca="1">IF(表2_367162629303456[[#This Row],[累计净值]]/MAX(INDIRECT("B21:B" &amp; ROW()))-1&lt;E71,表2_367162629303456[[#This Row],[累计净值]]/MAX(INDIRECT("B21:B" &amp; ROW()))-1,E71)</f>
        <v>-4.8707049238398969E-3</v>
      </c>
      <c r="F72" s="62">
        <v>1.0389999999999999</v>
      </c>
      <c r="G72" s="20">
        <f>表2_367162629303456[[#This Row],[累计净值]]/$B$21-1</f>
        <v>8.9785758734108878E-3</v>
      </c>
    </row>
    <row r="73" spans="1:7">
      <c r="A73" s="55">
        <v>43781</v>
      </c>
      <c r="B73" s="76">
        <v>1.1388</v>
      </c>
      <c r="C73" s="73">
        <f t="shared" ref="C73:C78" si="16">IFERROR(B73-B72,0)</f>
        <v>3.8000000000000256E-3</v>
      </c>
      <c r="D73" s="18" t="str">
        <f t="shared" ref="D73:D78" si="17">IF(C73&lt;0,C73,"/")</f>
        <v>/</v>
      </c>
      <c r="E73" s="18">
        <f ca="1">IF(表2_367162629303456[[#This Row],[累计净值]]/MAX(INDIRECT("B21:B" &amp; ROW()))-1&lt;E72,表2_367162629303456[[#This Row],[累计净值]]/MAX(INDIRECT("B21:B" &amp; ROW()))-1,E72)</f>
        <v>-4.8707049238398969E-3</v>
      </c>
      <c r="F73" s="62">
        <v>1.0427999999999999</v>
      </c>
      <c r="G73" s="20">
        <f>表2_367162629303456[[#This Row],[累计净值]]/$B$21-1</f>
        <v>1.2356653924793237E-2</v>
      </c>
    </row>
    <row r="74" spans="1:7">
      <c r="A74" s="55">
        <v>43782</v>
      </c>
      <c r="B74" s="16">
        <v>1.1388</v>
      </c>
      <c r="C74" s="73">
        <f t="shared" si="16"/>
        <v>0</v>
      </c>
      <c r="D74" s="18" t="str">
        <f t="shared" si="17"/>
        <v>/</v>
      </c>
      <c r="E74" s="18">
        <f ca="1">IF(表2_367162629303456[[#This Row],[累计净值]]/MAX(INDIRECT("B21:B" &amp; ROW()))-1&lt;E73,表2_367162629303456[[#This Row],[累计净值]]/MAX(INDIRECT("B21:B" &amp; ROW()))-1,E73)</f>
        <v>-4.8707049238398969E-3</v>
      </c>
      <c r="F74" s="62">
        <v>1.0427999999999999</v>
      </c>
      <c r="G74" s="20">
        <f>表2_367162629303456[[#This Row],[累计净值]]/$B$21-1</f>
        <v>1.2356653924793237E-2</v>
      </c>
    </row>
    <row r="75" spans="1:7">
      <c r="A75" s="55">
        <v>43783</v>
      </c>
      <c r="B75" s="16">
        <v>1.1380999999999999</v>
      </c>
      <c r="C75" s="73">
        <f t="shared" si="16"/>
        <v>-7.0000000000014495E-4</v>
      </c>
      <c r="D75" s="18">
        <f t="shared" si="17"/>
        <v>-7.0000000000014495E-4</v>
      </c>
      <c r="E75" s="18">
        <f ca="1">IF(表2_367162629303456[[#This Row],[累计净值]]/MAX(INDIRECT("B21:B" &amp; ROW()))-1&lt;E74,表2_367162629303456[[#This Row],[累计净值]]/MAX(INDIRECT("B21:B" &amp; ROW()))-1,E74)</f>
        <v>-4.8707049238398969E-3</v>
      </c>
      <c r="F75" s="62">
        <v>1.0421</v>
      </c>
      <c r="G75" s="20">
        <f>表2_367162629303456[[#This Row],[累计净值]]/$B$21-1</f>
        <v>1.1734376389012313E-2</v>
      </c>
    </row>
    <row r="76" spans="1:7">
      <c r="A76" s="55">
        <v>43784</v>
      </c>
      <c r="B76" s="16">
        <v>1.1358999999999999</v>
      </c>
      <c r="C76" s="73">
        <f t="shared" si="16"/>
        <v>-2.1999999999999797E-3</v>
      </c>
      <c r="D76" s="18">
        <f t="shared" si="17"/>
        <v>-2.1999999999999797E-3</v>
      </c>
      <c r="E76" s="18">
        <f ca="1">IF(表2_367162629303456[[#This Row],[累计净值]]/MAX(INDIRECT("B21:B" &amp; ROW()))-1&lt;E75,表2_367162629303456[[#This Row],[累计净值]]/MAX(INDIRECT("B21:B" &amp; ROW()))-1,E75)</f>
        <v>-4.8707049238398969E-3</v>
      </c>
      <c r="F76" s="62">
        <v>1.0399</v>
      </c>
      <c r="G76" s="20">
        <f>表2_367162629303456[[#This Row],[累计净值]]/$B$21-1</f>
        <v>9.7786469908436313E-3</v>
      </c>
    </row>
    <row r="77" spans="1:7">
      <c r="A77" s="55">
        <v>43787</v>
      </c>
      <c r="B77" s="16">
        <v>1.1369</v>
      </c>
      <c r="C77" s="73">
        <f t="shared" si="16"/>
        <v>1.0000000000001119E-3</v>
      </c>
      <c r="D77" s="18" t="str">
        <f t="shared" si="17"/>
        <v>/</v>
      </c>
      <c r="E77" s="18">
        <f ca="1">IF(表2_367162629303456[[#This Row],[累计净值]]/MAX(INDIRECT("B21:B" &amp; ROW()))-1&lt;E76,表2_367162629303456[[#This Row],[累计净值]]/MAX(INDIRECT("B21:B" &amp; ROW()))-1,E76)</f>
        <v>-4.8707049238398969E-3</v>
      </c>
      <c r="F77" s="62">
        <v>1.0408999999999999</v>
      </c>
      <c r="G77" s="20">
        <f>表2_367162629303456[[#This Row],[累计净值]]/$B$21-1</f>
        <v>1.0667614899102063E-2</v>
      </c>
    </row>
    <row r="78" spans="1:7">
      <c r="A78" s="55">
        <v>43788</v>
      </c>
      <c r="B78" s="16">
        <v>1.1378999999999999</v>
      </c>
      <c r="C78" s="73">
        <f t="shared" si="16"/>
        <v>9.9999999999988987E-4</v>
      </c>
      <c r="D78" s="18" t="str">
        <f t="shared" si="17"/>
        <v>/</v>
      </c>
      <c r="E78" s="18">
        <f ca="1">IF(表2_367162629303456[[#This Row],[累计净值]]/MAX(INDIRECT("B21:B" &amp; ROW()))-1&lt;E77,表2_367162629303456[[#This Row],[累计净值]]/MAX(INDIRECT("B21:B" &amp; ROW()))-1,E77)</f>
        <v>-4.8707049238398969E-3</v>
      </c>
      <c r="F78" s="62">
        <v>1.0419</v>
      </c>
      <c r="G78" s="20">
        <f>表2_367162629303456[[#This Row],[累计净值]]/$B$21-1</f>
        <v>1.1556582807360494E-2</v>
      </c>
    </row>
    <row r="79" spans="1:7">
      <c r="A79" s="55">
        <v>43789</v>
      </c>
      <c r="B79" s="16">
        <v>1.1375999999999999</v>
      </c>
      <c r="C79" s="73">
        <f>IFERROR(B79-B78,0)</f>
        <v>-2.9999999999996696E-4</v>
      </c>
      <c r="D79" s="18">
        <f>IF(C79&lt;0,C79,"/")</f>
        <v>-2.9999999999996696E-4</v>
      </c>
      <c r="E79" s="18">
        <f ca="1">IF(表2_367162629303456[[#This Row],[累计净值]]/MAX(INDIRECT("B21:B" &amp; ROW()))-1&lt;E78,表2_367162629303456[[#This Row],[累计净值]]/MAX(INDIRECT("B21:B" &amp; ROW()))-1,E78)</f>
        <v>-4.8707049238398969E-3</v>
      </c>
      <c r="F79" s="62">
        <v>1.0416000000000001</v>
      </c>
      <c r="G79" s="20">
        <f>表2_367162629303456[[#This Row],[累计净值]]/$B$21-1</f>
        <v>1.1289892434882987E-2</v>
      </c>
    </row>
    <row r="80" spans="1:7">
      <c r="A80" s="55">
        <v>43790</v>
      </c>
      <c r="B80" s="16">
        <v>1.1375999999999999</v>
      </c>
      <c r="C80" s="73">
        <f>IFERROR(B80-B79,0)</f>
        <v>0</v>
      </c>
      <c r="D80" s="18" t="str">
        <f>IF(C80&lt;0,C80,"/")</f>
        <v>/</v>
      </c>
      <c r="E80" s="18">
        <f ca="1">IF(表2_367162629303456[[#This Row],[累计净值]]/MAX(INDIRECT("B21:B" &amp; ROW()))-1&lt;E79,表2_367162629303456[[#This Row],[累计净值]]/MAX(INDIRECT("B21:B" &amp; ROW()))-1,E79)</f>
        <v>-4.8707049238398969E-3</v>
      </c>
      <c r="F80" s="62">
        <v>1.0416000000000001</v>
      </c>
      <c r="G80" s="20">
        <f>表2_367162629303456[[#This Row],[累计净值]]/$B$21-1</f>
        <v>1.1289892434882987E-2</v>
      </c>
    </row>
    <row r="81" spans="1:9">
      <c r="A81" s="55">
        <v>43791</v>
      </c>
      <c r="B81" s="16">
        <v>1.1399999999999999</v>
      </c>
      <c r="C81" s="73">
        <f>IFERROR(B81-B80,0)</f>
        <v>2.3999999999999577E-3</v>
      </c>
      <c r="D81" s="18" t="str">
        <f>IF(C81&lt;0,C81,"/")</f>
        <v>/</v>
      </c>
      <c r="E81" s="18">
        <f ca="1">IF(表2_367162629303456[[#This Row],[累计净值]]/MAX(INDIRECT("B21:B" &amp; ROW()))-1&lt;E80,表2_367162629303456[[#This Row],[累计净值]]/MAX(INDIRECT("B21:B" &amp; ROW()))-1,E80)</f>
        <v>-4.8707049238398969E-3</v>
      </c>
      <c r="F81" s="62">
        <f>表2_367162629303456[[#This Row],[累计净值]]-0.096</f>
        <v>1.0439999999999998</v>
      </c>
      <c r="G81" s="20">
        <f>表2_367162629303456[[#This Row],[累计净值]]/$B$21-1</f>
        <v>1.3423415414703488E-2</v>
      </c>
      <c r="I81" s="60"/>
    </row>
    <row r="82" spans="1:9">
      <c r="A82" s="55">
        <v>43794</v>
      </c>
      <c r="B82" s="16">
        <v>1.1403000000000001</v>
      </c>
      <c r="C82" s="73">
        <f t="shared" ref="C82:C87" si="18">IFERROR(B82-B81,0)</f>
        <v>3.00000000000189E-4</v>
      </c>
      <c r="D82" s="18" t="str">
        <f t="shared" ref="D82:D87" si="19">IF(C82&lt;0,C82,"/")</f>
        <v>/</v>
      </c>
      <c r="E82" s="18">
        <f ca="1">IF(表2_367162629303456[[#This Row],[累计净值]]/MAX(INDIRECT("B21:B" &amp; ROW()))-1&lt;E81,表2_367162629303456[[#This Row],[累计净值]]/MAX(INDIRECT("B21:B" &amp; ROW()))-1,E81)</f>
        <v>-4.8707049238398969E-3</v>
      </c>
      <c r="F82" s="62">
        <f>表2_367162629303456[[#This Row],[累计净值]]-0.096</f>
        <v>1.0443</v>
      </c>
      <c r="G82" s="20">
        <f>表2_367162629303456[[#This Row],[累计净值]]/$B$21-1</f>
        <v>1.3690105787181217E-2</v>
      </c>
    </row>
    <row r="83" spans="1:9">
      <c r="A83" s="55">
        <v>43795</v>
      </c>
      <c r="B83" s="76">
        <v>1.1412</v>
      </c>
      <c r="C83" s="73">
        <f t="shared" si="18"/>
        <v>8.9999999999990088E-4</v>
      </c>
      <c r="D83" s="18" t="str">
        <f t="shared" si="19"/>
        <v>/</v>
      </c>
      <c r="E83" s="18">
        <f ca="1">IF(表2_367162629303456[[#This Row],[累计净值]]/MAX(INDIRECT("B21:B" &amp; ROW()))-1&lt;E82,表2_367162629303456[[#This Row],[累计净值]]/MAX(INDIRECT("B21:B" &amp; ROW()))-1,E82)</f>
        <v>-4.8707049238398969E-3</v>
      </c>
      <c r="F83" s="62">
        <f>表2_367162629303456[[#This Row],[累计净值]]-0.096</f>
        <v>1.0451999999999999</v>
      </c>
      <c r="G83" s="20">
        <f>表2_367162629303456[[#This Row],[累计净值]]/$B$21-1</f>
        <v>1.4490176904613739E-2</v>
      </c>
    </row>
    <row r="84" spans="1:9">
      <c r="A84" s="55">
        <v>43796</v>
      </c>
      <c r="B84" s="16">
        <v>1.1393</v>
      </c>
      <c r="C84" s="73">
        <f t="shared" si="18"/>
        <v>-1.9000000000000128E-3</v>
      </c>
      <c r="D84" s="18">
        <f t="shared" si="19"/>
        <v>-1.9000000000000128E-3</v>
      </c>
      <c r="E84" s="18">
        <f ca="1">IF(表2_367162629303456[[#This Row],[累计净值]]/MAX(INDIRECT("B21:B" &amp; ROW()))-1&lt;E83,表2_367162629303456[[#This Row],[累计净值]]/MAX(INDIRECT("B21:B" &amp; ROW()))-1,E83)</f>
        <v>-4.8707049238398969E-3</v>
      </c>
      <c r="F84" s="62">
        <f>表2_367162629303456[[#This Row],[累计净值]]-0.096</f>
        <v>1.0432999999999999</v>
      </c>
      <c r="G84" s="20">
        <f>表2_367162629303456[[#This Row],[累计净值]]/$B$21-1</f>
        <v>1.2801137878922564E-2</v>
      </c>
    </row>
    <row r="85" spans="1:9">
      <c r="A85" s="55">
        <v>43797</v>
      </c>
      <c r="B85" s="16">
        <v>1.1385000000000001</v>
      </c>
      <c r="C85" s="73">
        <f t="shared" si="18"/>
        <v>-7.9999999999991189E-4</v>
      </c>
      <c r="D85" s="18">
        <f t="shared" si="19"/>
        <v>-7.9999999999991189E-4</v>
      </c>
      <c r="E85" s="18">
        <f ca="1">IF(表2_367162629303456[[#This Row],[累计净值]]/MAX(INDIRECT("B21:B" &amp; ROW()))-1&lt;E84,表2_367162629303456[[#This Row],[累计净值]]/MAX(INDIRECT("B21:B" &amp; ROW()))-1,E84)</f>
        <v>-4.8707049238398969E-3</v>
      </c>
      <c r="F85" s="62">
        <f>表2_367162629303456[[#This Row],[累计净值]]-0.096</f>
        <v>1.0425</v>
      </c>
      <c r="G85" s="20">
        <f>表2_367162629303456[[#This Row],[累计净值]]/$B$21-1</f>
        <v>1.208996355231573E-2</v>
      </c>
    </row>
    <row r="86" spans="1:9">
      <c r="A86" s="55">
        <v>43798</v>
      </c>
      <c r="B86" s="16">
        <v>1.1389</v>
      </c>
      <c r="C86" s="73">
        <f t="shared" si="18"/>
        <v>3.9999999999995595E-4</v>
      </c>
      <c r="D86" s="18" t="str">
        <f t="shared" si="19"/>
        <v>/</v>
      </c>
      <c r="E86" s="18">
        <f ca="1">IF(表2_367162629303456[[#This Row],[累计净值]]/MAX(INDIRECT("B21:B" &amp; ROW()))-1&lt;E85,表2_367162629303456[[#This Row],[累计净值]]/MAX(INDIRECT("B21:B" &amp; ROW()))-1,E85)</f>
        <v>-4.8707049238398969E-3</v>
      </c>
      <c r="F86" s="62">
        <f>表2_367162629303456[[#This Row],[累计净值]]-0.096</f>
        <v>1.0428999999999999</v>
      </c>
      <c r="G86" s="20">
        <f>表2_367162629303456[[#This Row],[累计净值]]/$B$21-1</f>
        <v>1.2445550715619147E-2</v>
      </c>
    </row>
    <row r="87" spans="1:9">
      <c r="A87" s="55">
        <v>43801</v>
      </c>
      <c r="B87" s="16">
        <v>1.1392</v>
      </c>
      <c r="C87" s="73">
        <f t="shared" si="18"/>
        <v>2.9999999999996696E-4</v>
      </c>
      <c r="D87" s="18" t="str">
        <f t="shared" si="19"/>
        <v>/</v>
      </c>
      <c r="E87" s="18">
        <f ca="1">IF(表2_367162629303456[[#This Row],[累计净值]]/MAX(INDIRECT("B21:B" &amp; ROW()))-1&lt;E86,表2_367162629303456[[#This Row],[累计净值]]/MAX(INDIRECT("B21:B" &amp; ROW()))-1,E86)</f>
        <v>-4.8707049238398969E-3</v>
      </c>
      <c r="F87" s="62">
        <f>表2_367162629303456[[#This Row],[累计净值]]-0.096</f>
        <v>1.0431999999999999</v>
      </c>
      <c r="G87" s="20">
        <f>表2_367162629303456[[#This Row],[累计净值]]/$B$21-1</f>
        <v>1.2712241088096654E-2</v>
      </c>
    </row>
    <row r="88" spans="1:9">
      <c r="A88" s="55">
        <v>43802</v>
      </c>
      <c r="B88" s="16">
        <v>1.1398999999999999</v>
      </c>
      <c r="C88" s="73">
        <f t="shared" ref="C88:C94" si="20">IFERROR(B88-B87,0)</f>
        <v>6.9999999999992291E-4</v>
      </c>
      <c r="D88" s="18" t="str">
        <f t="shared" ref="D88:D94" si="21">IF(C88&lt;0,C88,"/")</f>
        <v>/</v>
      </c>
      <c r="E88" s="18">
        <f ca="1">IF(表2_367162629303456[[#This Row],[累计净值]]/MAX(INDIRECT("B21:B" &amp; ROW()))-1&lt;E87,表2_367162629303456[[#This Row],[累计净值]]/MAX(INDIRECT("B21:B" &amp; ROW()))-1,E87)</f>
        <v>-4.8707049238398969E-3</v>
      </c>
      <c r="F88" s="62">
        <f>表2_367162629303456[[#This Row],[累计净值]]-0.096</f>
        <v>1.0438999999999998</v>
      </c>
      <c r="G88" s="20">
        <f>表2_367162629303456[[#This Row],[累计净值]]/$B$21-1</f>
        <v>1.3334518623877578E-2</v>
      </c>
    </row>
    <row r="89" spans="1:9">
      <c r="A89" s="55">
        <v>43803</v>
      </c>
      <c r="B89" s="16">
        <v>1.1395999999999999</v>
      </c>
      <c r="C89" s="73">
        <f t="shared" si="20"/>
        <v>-2.9999999999996696E-4</v>
      </c>
      <c r="D89" s="18">
        <f t="shared" si="21"/>
        <v>-2.9999999999996696E-4</v>
      </c>
      <c r="E89" s="18">
        <f ca="1">IF(表2_367162629303456[[#This Row],[累计净值]]/MAX(INDIRECT("B21:B" &amp; ROW()))-1&lt;E88,表2_367162629303456[[#This Row],[累计净值]]/MAX(INDIRECT("B21:B" &amp; ROW()))-1,E88)</f>
        <v>-4.8707049238398969E-3</v>
      </c>
      <c r="F89" s="62">
        <f>表2_367162629303456[[#This Row],[累计净值]]-0.096</f>
        <v>1.0435999999999999</v>
      </c>
      <c r="G89" s="20">
        <f>表2_367162629303456[[#This Row],[累计净值]]/$B$21-1</f>
        <v>1.3067828251400071E-2</v>
      </c>
    </row>
    <row r="90" spans="1:9">
      <c r="A90" s="55">
        <v>43804</v>
      </c>
      <c r="B90" s="16">
        <v>1.1382000000000001</v>
      </c>
      <c r="C90" s="73">
        <f t="shared" si="20"/>
        <v>-1.3999999999998458E-3</v>
      </c>
      <c r="D90" s="18">
        <f t="shared" si="21"/>
        <v>-1.3999999999998458E-3</v>
      </c>
      <c r="E90" s="18">
        <f ca="1">IF(表2_367162629303456[[#This Row],[累计净值]]/MAX(INDIRECT("B21:B" &amp; ROW()))-1&lt;E89,表2_367162629303456[[#This Row],[累计净值]]/MAX(INDIRECT("B21:B" &amp; ROW()))-1,E89)</f>
        <v>-4.8707049238398969E-3</v>
      </c>
      <c r="F90" s="62">
        <f>表2_367162629303456[[#This Row],[累计净值]]-0.096</f>
        <v>1.0422</v>
      </c>
      <c r="G90" s="20">
        <f>表2_367162629303456[[#This Row],[累计净值]]/$B$21-1</f>
        <v>1.1823273179838223E-2</v>
      </c>
    </row>
    <row r="91" spans="1:9">
      <c r="A91" s="55">
        <v>43805</v>
      </c>
      <c r="B91" s="16">
        <v>1.1393</v>
      </c>
      <c r="C91" s="73">
        <f t="shared" si="20"/>
        <v>1.0999999999998789E-3</v>
      </c>
      <c r="D91" s="18" t="str">
        <f t="shared" si="21"/>
        <v>/</v>
      </c>
      <c r="E91" s="18">
        <f ca="1">IF(表2_367162629303456[[#This Row],[累计净值]]/MAX(INDIRECT("B21:B" &amp; ROW()))-1&lt;E90,表2_367162629303456[[#This Row],[累计净值]]/MAX(INDIRECT("B21:B" &amp; ROW()))-1,E90)</f>
        <v>-4.8707049238398969E-3</v>
      </c>
      <c r="F91" s="62">
        <f>表2_367162629303456[[#This Row],[累计净值]]-0.096</f>
        <v>1.0432999999999999</v>
      </c>
      <c r="G91" s="20">
        <f>表2_367162629303456[[#This Row],[累计净值]]/$B$21-1</f>
        <v>1.2801137878922564E-2</v>
      </c>
    </row>
    <row r="92" spans="1:9">
      <c r="A92" s="55">
        <v>43808</v>
      </c>
      <c r="B92" s="16">
        <v>1.1378999999999999</v>
      </c>
      <c r="C92" s="73">
        <f t="shared" si="20"/>
        <v>-1.4000000000000679E-3</v>
      </c>
      <c r="D92" s="18">
        <f t="shared" si="21"/>
        <v>-1.4000000000000679E-3</v>
      </c>
      <c r="E92" s="18">
        <f ca="1">IF(表2_367162629303456[[#This Row],[累计净值]]/MAX(INDIRECT("B21:B" &amp; ROW()))-1&lt;E91,表2_367162629303456[[#This Row],[累计净值]]/MAX(INDIRECT("B21:B" &amp; ROW()))-1,E91)</f>
        <v>-4.8707049238398969E-3</v>
      </c>
      <c r="F92" s="62">
        <f>表2_367162629303456[[#This Row],[累计净值]]-0.096</f>
        <v>1.0418999999999998</v>
      </c>
      <c r="G92" s="20">
        <f>表2_367162629303456[[#This Row],[累计净值]]/$B$21-1</f>
        <v>1.1556582807360494E-2</v>
      </c>
    </row>
    <row r="93" spans="1:9">
      <c r="A93" s="55">
        <v>43809</v>
      </c>
      <c r="B93" s="16">
        <v>1.1375999999999999</v>
      </c>
      <c r="C93" s="73">
        <f t="shared" si="20"/>
        <v>-2.9999999999996696E-4</v>
      </c>
      <c r="D93" s="18">
        <f t="shared" si="21"/>
        <v>-2.9999999999996696E-4</v>
      </c>
      <c r="E93" s="18">
        <f ca="1">IF(表2_367162629303456[[#This Row],[累计净值]]/MAX(INDIRECT("B21:B" &amp; ROW()))-1&lt;E92,表2_367162629303456[[#This Row],[累计净值]]/MAX(INDIRECT("B21:B" &amp; ROW()))-1,E92)</f>
        <v>-4.8707049238398969E-3</v>
      </c>
      <c r="F93" s="62">
        <f>表2_367162629303456[[#This Row],[累计净值]]-0.096</f>
        <v>1.0415999999999999</v>
      </c>
      <c r="G93" s="20">
        <f>表2_367162629303456[[#This Row],[累计净值]]/$B$21-1</f>
        <v>1.1289892434882987E-2</v>
      </c>
    </row>
    <row r="94" spans="1:9">
      <c r="A94" s="55">
        <v>43810</v>
      </c>
      <c r="B94" s="16">
        <v>1.1384000000000001</v>
      </c>
      <c r="C94" s="73">
        <f t="shared" si="20"/>
        <v>8.0000000000013394E-4</v>
      </c>
      <c r="D94" s="18" t="str">
        <f t="shared" si="21"/>
        <v>/</v>
      </c>
      <c r="E94" s="18">
        <f ca="1">IF(表2_367162629303456[[#This Row],[累计净值]]/MAX(INDIRECT("B21:B" &amp; ROW()))-1&lt;E93,表2_367162629303456[[#This Row],[累计净值]]/MAX(INDIRECT("B21:B" &amp; ROW()))-1,E93)</f>
        <v>-4.8707049238398969E-3</v>
      </c>
      <c r="F94" s="62">
        <f>表2_367162629303456[[#This Row],[累计净值]]-0.096</f>
        <v>1.0424</v>
      </c>
      <c r="G94" s="20">
        <f>表2_367162629303456[[#This Row],[累计净值]]/$B$21-1</f>
        <v>1.2001066761490042E-2</v>
      </c>
    </row>
    <row r="95" spans="1:9">
      <c r="A95" s="55">
        <v>43811</v>
      </c>
      <c r="B95" s="16">
        <v>1.1377999999999999</v>
      </c>
      <c r="C95" s="73">
        <f t="shared" ref="C95:C101" si="22">IFERROR(B95-B94,0)</f>
        <v>-6.0000000000015596E-4</v>
      </c>
      <c r="D95" s="18">
        <f t="shared" ref="D95:D101" si="23">IF(C95&lt;0,C95,"/")</f>
        <v>-6.0000000000015596E-4</v>
      </c>
      <c r="E95" s="18">
        <f ca="1">IF(表2_367162629303456[[#This Row],[累计净值]]/MAX(INDIRECT("B21:B" &amp; ROW()))-1&lt;E94,表2_367162629303456[[#This Row],[累计净值]]/MAX(INDIRECT("B21:B" &amp; ROW()))-1,E94)</f>
        <v>-4.8707049238398969E-3</v>
      </c>
      <c r="F95" s="62">
        <f>表2_367162629303456[[#This Row],[累计净值]]-0.096</f>
        <v>1.0417999999999998</v>
      </c>
      <c r="G95" s="20">
        <f>表2_367162629303456[[#This Row],[累计净值]]/$B$21-1</f>
        <v>1.1467686016534806E-2</v>
      </c>
    </row>
    <row r="96" spans="1:9">
      <c r="A96" s="55">
        <v>43812</v>
      </c>
      <c r="B96" s="16">
        <v>1.1386000000000001</v>
      </c>
      <c r="C96" s="73">
        <f t="shared" si="22"/>
        <v>8.0000000000013394E-4</v>
      </c>
      <c r="D96" s="18" t="str">
        <f t="shared" si="23"/>
        <v>/</v>
      </c>
      <c r="E96" s="18">
        <f ca="1">IF(表2_367162629303456[[#This Row],[累计净值]]/MAX(INDIRECT("B21:B" &amp; ROW()))-1&lt;E95,表2_367162629303456[[#This Row],[累计净值]]/MAX(INDIRECT("B21:B" &amp; ROW()))-1,E95)</f>
        <v>-4.8707049238398969E-3</v>
      </c>
      <c r="F96" s="62">
        <f>表2_367162629303456[[#This Row],[累计净值]]-0.096</f>
        <v>1.0426</v>
      </c>
      <c r="G96" s="20">
        <f>表2_367162629303456[[#This Row],[累计净值]]/$B$21-1</f>
        <v>1.217886034314164E-2</v>
      </c>
    </row>
    <row r="97" spans="1:7">
      <c r="A97" s="55">
        <v>43815</v>
      </c>
      <c r="B97" s="16">
        <v>1.1397999999999999</v>
      </c>
      <c r="C97" s="73">
        <f t="shared" si="22"/>
        <v>1.1999999999998678E-3</v>
      </c>
      <c r="D97" s="18" t="str">
        <f t="shared" si="23"/>
        <v>/</v>
      </c>
      <c r="E97" s="18">
        <f ca="1">IF(表2_367162629303456[[#This Row],[累计净值]]/MAX(INDIRECT("B21:B" &amp; ROW()))-1&lt;E96,表2_367162629303456[[#This Row],[累计净值]]/MAX(INDIRECT("B21:B" &amp; ROW()))-1,E96)</f>
        <v>-4.8707049238398969E-3</v>
      </c>
      <c r="F97" s="62">
        <f>表2_367162629303456[[#This Row],[累计净值]]-0.096</f>
        <v>1.0437999999999998</v>
      </c>
      <c r="G97" s="20">
        <f>表2_367162629303456[[#This Row],[累计净值]]/$B$21-1</f>
        <v>1.3245621833051668E-2</v>
      </c>
    </row>
    <row r="98" spans="1:7">
      <c r="A98" s="55">
        <v>43816</v>
      </c>
      <c r="B98" s="16">
        <v>1.1345000000000001</v>
      </c>
      <c r="C98" s="73">
        <f t="shared" si="22"/>
        <v>-5.2999999999998604E-3</v>
      </c>
      <c r="D98" s="18">
        <f t="shared" si="23"/>
        <v>-5.2999999999998604E-3</v>
      </c>
      <c r="E98" s="18">
        <f ca="1">IF(表2_367162629303456[[#This Row],[累计净值]]/MAX(INDIRECT("B21:B" &amp; ROW()))-1&lt;E97,表2_367162629303456[[#This Row],[累计净值]]/MAX(INDIRECT("B21:B" &amp; ROW()))-1,E97)</f>
        <v>-5.8710129688046564E-3</v>
      </c>
      <c r="F98" s="62">
        <f>表2_367162629303456[[#This Row],[累计净值]]-0.096</f>
        <v>1.0385</v>
      </c>
      <c r="G98" s="20">
        <f>表2_367162629303456[[#This Row],[累计净值]]/$B$21-1</f>
        <v>8.5340919192817832E-3</v>
      </c>
    </row>
    <row r="99" spans="1:7">
      <c r="A99" s="55">
        <v>43817</v>
      </c>
      <c r="B99" s="16">
        <v>1.1355</v>
      </c>
      <c r="C99" s="73">
        <f t="shared" si="22"/>
        <v>9.9999999999988987E-4</v>
      </c>
      <c r="D99" s="18" t="str">
        <f t="shared" si="23"/>
        <v>/</v>
      </c>
      <c r="E99" s="18">
        <f ca="1">IF(表2_367162629303456[[#This Row],[累计净值]]/MAX(INDIRECT("B21:B" &amp; ROW()))-1&lt;E98,表2_367162629303456[[#This Row],[累计净值]]/MAX(INDIRECT("B21:B" &amp; ROW()))-1,E98)</f>
        <v>-5.8710129688046564E-3</v>
      </c>
      <c r="F99" s="62">
        <f>表2_367162629303456[[#This Row],[累计净值]]-0.096</f>
        <v>1.0394999999999999</v>
      </c>
      <c r="G99" s="20">
        <f>表2_367162629303456[[#This Row],[累计净值]]/$B$21-1</f>
        <v>9.4230598275402144E-3</v>
      </c>
    </row>
    <row r="100" spans="1:7">
      <c r="A100" s="55">
        <v>43818</v>
      </c>
      <c r="B100" s="16">
        <v>1.1349</v>
      </c>
      <c r="C100" s="73">
        <f t="shared" si="22"/>
        <v>-5.9999999999993392E-4</v>
      </c>
      <c r="D100" s="18">
        <f t="shared" si="23"/>
        <v>-5.9999999999993392E-4</v>
      </c>
      <c r="E100" s="18">
        <f ca="1">IF(表2_367162629303456[[#This Row],[累计净值]]/MAX(INDIRECT("B21:B" &amp; ROW()))-1&lt;E99,表2_367162629303456[[#This Row],[累计净值]]/MAX(INDIRECT("B21:B" &amp; ROW()))-1,E99)</f>
        <v>-5.8710129688046564E-3</v>
      </c>
      <c r="F100" s="62">
        <f>表2_367162629303456[[#This Row],[累计净值]]-0.096</f>
        <v>1.0388999999999999</v>
      </c>
      <c r="G100" s="20">
        <f>表2_367162629303456[[#This Row],[累计净值]]/$B$21-1</f>
        <v>8.8896790825852001E-3</v>
      </c>
    </row>
    <row r="101" spans="1:7">
      <c r="A101" s="55">
        <v>43819</v>
      </c>
      <c r="B101" s="16">
        <v>1.1337999999999999</v>
      </c>
      <c r="C101" s="73">
        <f t="shared" si="22"/>
        <v>-1.1000000000001009E-3</v>
      </c>
      <c r="D101" s="18">
        <f t="shared" si="23"/>
        <v>-1.1000000000001009E-3</v>
      </c>
      <c r="E101" s="18">
        <f ca="1">IF(表2_367162629303456[[#This Row],[累计净值]]/MAX(INDIRECT("B21:B" &amp; ROW()))-1&lt;E100,表2_367162629303456[[#This Row],[累计净值]]/MAX(INDIRECT("B21:B" &amp; ROW()))-1,E100)</f>
        <v>-6.4844023834560449E-3</v>
      </c>
      <c r="F101" s="62">
        <f>表2_367162629303456[[#This Row],[累计净值]]-0.096</f>
        <v>1.0377999999999998</v>
      </c>
      <c r="G101" s="20">
        <f>表2_367162629303456[[#This Row],[累计净值]]/$B$21-1</f>
        <v>7.9118143835006371E-3</v>
      </c>
    </row>
    <row r="102" spans="1:7">
      <c r="A102" s="55">
        <v>43822</v>
      </c>
      <c r="B102" s="16">
        <v>1.1356999999999999</v>
      </c>
      <c r="C102" s="73">
        <f t="shared" ref="C102:C107" si="24">IFERROR(B102-B101,0)</f>
        <v>1.9000000000000128E-3</v>
      </c>
      <c r="D102" s="18" t="str">
        <f t="shared" ref="D102:D107" si="25">IF(C102&lt;0,C102,"/")</f>
        <v>/</v>
      </c>
      <c r="E102" s="18">
        <f ca="1">IF(表2_367162629303456[[#This Row],[累计净值]]/MAX(INDIRECT("B21:B" &amp; ROW()))-1&lt;E101,表2_367162629303456[[#This Row],[累计净值]]/MAX(INDIRECT("B21:B" &amp; ROW()))-1,E101)</f>
        <v>-6.4844023834560449E-3</v>
      </c>
      <c r="F102" s="62">
        <f>表2_367162629303456[[#This Row],[累计净值]]-0.096</f>
        <v>1.0396999999999998</v>
      </c>
      <c r="G102" s="20">
        <f>表2_367162629303456[[#This Row],[累计净值]]/$B$21-1</f>
        <v>9.6008534091918118E-3</v>
      </c>
    </row>
    <row r="103" spans="1:7">
      <c r="A103" s="55">
        <v>43823</v>
      </c>
      <c r="B103" s="16">
        <v>1.1389</v>
      </c>
      <c r="C103" s="73">
        <f t="shared" si="24"/>
        <v>3.2000000000000917E-3</v>
      </c>
      <c r="D103" s="18" t="str">
        <f t="shared" si="25"/>
        <v>/</v>
      </c>
      <c r="E103" s="18">
        <f ca="1">IF(表2_367162629303456[[#This Row],[累计净值]]/MAX(INDIRECT("B21:B" &amp; ROW()))-1&lt;E102,表2_367162629303456[[#This Row],[累计净值]]/MAX(INDIRECT("B21:B" &amp; ROW()))-1,E102)</f>
        <v>-6.4844023834560449E-3</v>
      </c>
      <c r="F103" s="62">
        <f>表2_367162629303456[[#This Row],[累计净值]]-0.096</f>
        <v>1.0428999999999999</v>
      </c>
      <c r="G103" s="20">
        <f>表2_367162629303456[[#This Row],[累计净值]]/$B$21-1</f>
        <v>1.2445550715619147E-2</v>
      </c>
    </row>
    <row r="104" spans="1:7">
      <c r="A104" s="55">
        <v>43824</v>
      </c>
      <c r="B104" s="16">
        <v>1.1403000000000001</v>
      </c>
      <c r="C104" s="73">
        <f t="shared" si="24"/>
        <v>1.4000000000000679E-3</v>
      </c>
      <c r="D104" s="18" t="str">
        <f t="shared" si="25"/>
        <v>/</v>
      </c>
      <c r="E104" s="18">
        <f ca="1">IF(表2_367162629303456[[#This Row],[累计净值]]/MAX(INDIRECT("B21:B" &amp; ROW()))-1&lt;E103,表2_367162629303456[[#This Row],[累计净值]]/MAX(INDIRECT("B21:B" &amp; ROW()))-1,E103)</f>
        <v>-6.4844023834560449E-3</v>
      </c>
      <c r="F104" s="62">
        <f>表2_367162629303456[[#This Row],[累计净值]]-0.096</f>
        <v>1.0443</v>
      </c>
      <c r="G104" s="20">
        <f>表2_367162629303456[[#This Row],[累计净值]]/$B$21-1</f>
        <v>1.3690105787181217E-2</v>
      </c>
    </row>
    <row r="105" spans="1:7">
      <c r="A105" s="55">
        <v>43825</v>
      </c>
      <c r="B105" s="76">
        <v>1.1413</v>
      </c>
      <c r="C105" s="73">
        <f t="shared" si="24"/>
        <v>9.9999999999988987E-4</v>
      </c>
      <c r="D105" s="18" t="str">
        <f t="shared" si="25"/>
        <v>/</v>
      </c>
      <c r="E105" s="18">
        <f ca="1">IF(表2_367162629303456[[#This Row],[累计净值]]/MAX(INDIRECT("B21:B" &amp; ROW()))-1&lt;E104,表2_367162629303456[[#This Row],[累计净值]]/MAX(INDIRECT("B21:B" &amp; ROW()))-1,E104)</f>
        <v>-6.4844023834560449E-3</v>
      </c>
      <c r="F105" s="62">
        <f>表2_367162629303456[[#This Row],[累计净值]]-0.096</f>
        <v>1.0452999999999999</v>
      </c>
      <c r="G105" s="20">
        <f>表2_367162629303456[[#This Row],[累计净值]]/$B$21-1</f>
        <v>1.4579073695439648E-2</v>
      </c>
    </row>
    <row r="106" spans="1:7">
      <c r="A106" s="55">
        <v>43826</v>
      </c>
      <c r="B106" s="16">
        <v>1.1375999999999999</v>
      </c>
      <c r="C106" s="73">
        <f t="shared" si="24"/>
        <v>-3.7000000000000366E-3</v>
      </c>
      <c r="D106" s="18">
        <f t="shared" si="25"/>
        <v>-3.7000000000000366E-3</v>
      </c>
      <c r="E106" s="18">
        <f ca="1">IF(表2_367162629303456[[#This Row],[累计净值]]/MAX(INDIRECT("B21:B" &amp; ROW()))-1&lt;E105,表2_367162629303456[[#This Row],[累计净值]]/MAX(INDIRECT("B21:B" &amp; ROW()))-1,E105)</f>
        <v>-6.4844023834560449E-3</v>
      </c>
      <c r="F106" s="62">
        <f>表2_367162629303456[[#This Row],[累计净值]]-0.096</f>
        <v>1.0415999999999999</v>
      </c>
      <c r="G106" s="20">
        <f>表2_367162629303456[[#This Row],[累计净值]]/$B$21-1</f>
        <v>1.1289892434882987E-2</v>
      </c>
    </row>
    <row r="107" spans="1:7">
      <c r="A107" s="55">
        <v>43829</v>
      </c>
      <c r="B107" s="16">
        <v>1.1397999999999999</v>
      </c>
      <c r="C107" s="73">
        <f t="shared" si="24"/>
        <v>2.1999999999999797E-3</v>
      </c>
      <c r="D107" s="18" t="str">
        <f t="shared" si="25"/>
        <v>/</v>
      </c>
      <c r="E107" s="18">
        <f ca="1">IF(表2_367162629303456[[#This Row],[累计净值]]/MAX(INDIRECT("B21:B" &amp; ROW()))-1&lt;E106,表2_367162629303456[[#This Row],[累计净值]]/MAX(INDIRECT("B21:B" &amp; ROW()))-1,E106)</f>
        <v>-6.4844023834560449E-3</v>
      </c>
      <c r="F107" s="62">
        <f>表2_367162629303456[[#This Row],[累计净值]]-0.096</f>
        <v>1.0437999999999998</v>
      </c>
      <c r="G107" s="20">
        <f>表2_367162629303456[[#This Row],[累计净值]]/$B$21-1</f>
        <v>1.3245621833051668E-2</v>
      </c>
    </row>
    <row r="108" spans="1:7">
      <c r="A108" s="55">
        <v>43830</v>
      </c>
      <c r="B108" s="16">
        <v>1.1403000000000001</v>
      </c>
      <c r="C108" s="73">
        <f t="shared" ref="C108:C113" si="26">IFERROR(B108-B107,0)</f>
        <v>5.0000000000016698E-4</v>
      </c>
      <c r="D108" s="18" t="str">
        <f t="shared" ref="D108:D113" si="27">IF(C108&lt;0,C108,"/")</f>
        <v>/</v>
      </c>
      <c r="E108" s="18">
        <f ca="1">IF(表2_367162629303456[[#This Row],[累计净值]]/MAX(INDIRECT("B21:B" &amp; ROW()))-1&lt;E107,表2_367162629303456[[#This Row],[累计净值]]/MAX(INDIRECT("B21:B" &amp; ROW()))-1,E107)</f>
        <v>-6.4844023834560449E-3</v>
      </c>
      <c r="F108" s="62">
        <f>表2_367162629303456[[#This Row],[累计净值]]-0.096</f>
        <v>1.0443</v>
      </c>
      <c r="G108" s="20">
        <f>表2_367162629303456[[#This Row],[累计净值]]/$B$21-1</f>
        <v>1.3690105787181217E-2</v>
      </c>
    </row>
    <row r="109" spans="1:7">
      <c r="A109" s="55">
        <v>43832</v>
      </c>
      <c r="B109" s="16">
        <v>1.1394</v>
      </c>
      <c r="C109" s="73">
        <f t="shared" si="26"/>
        <v>-9.0000000000012292E-4</v>
      </c>
      <c r="D109" s="18">
        <f t="shared" si="27"/>
        <v>-9.0000000000012292E-4</v>
      </c>
      <c r="E109" s="18">
        <f ca="1">IF(表2_367162629303456[[#This Row],[累计净值]]/MAX(INDIRECT("B21:B" &amp; ROW()))-1&lt;E108,表2_367162629303456[[#This Row],[累计净值]]/MAX(INDIRECT("B21:B" &amp; ROW()))-1,E108)</f>
        <v>-6.4844023834560449E-3</v>
      </c>
      <c r="F109" s="62">
        <f>表2_367162629303456[[#This Row],[累计净值]]-0.096</f>
        <v>1.0433999999999999</v>
      </c>
      <c r="G109" s="20">
        <f>表2_367162629303456[[#This Row],[累计净值]]/$B$21-1</f>
        <v>1.2890034669748474E-2</v>
      </c>
    </row>
    <row r="110" spans="1:7">
      <c r="A110" s="55">
        <v>43833</v>
      </c>
      <c r="B110" s="16">
        <v>1.1413</v>
      </c>
      <c r="C110" s="73">
        <f t="shared" si="26"/>
        <v>1.9000000000000128E-3</v>
      </c>
      <c r="D110" s="18" t="str">
        <f t="shared" si="27"/>
        <v>/</v>
      </c>
      <c r="E110" s="18">
        <f ca="1">IF(表2_367162629303456[[#This Row],[累计净值]]/MAX(INDIRECT("B21:B" &amp; ROW()))-1&lt;E109,表2_367162629303456[[#This Row],[累计净值]]/MAX(INDIRECT("B21:B" &amp; ROW()))-1,E109)</f>
        <v>-6.4844023834560449E-3</v>
      </c>
      <c r="F110" s="62">
        <f>表2_367162629303456[[#This Row],[累计净值]]-0.096</f>
        <v>1.0452999999999999</v>
      </c>
      <c r="G110" s="20">
        <f>表2_367162629303456[[#This Row],[累计净值]]/$B$21-1</f>
        <v>1.4579073695439648E-2</v>
      </c>
    </row>
    <row r="111" spans="1:7">
      <c r="A111" s="55">
        <v>43836</v>
      </c>
      <c r="B111" s="16">
        <v>1.1437999999999999</v>
      </c>
      <c r="C111" s="73">
        <f t="shared" si="26"/>
        <v>2.4999999999999467E-3</v>
      </c>
      <c r="D111" s="18" t="str">
        <f t="shared" si="27"/>
        <v>/</v>
      </c>
      <c r="E111" s="18">
        <f ca="1">IF(表2_367162629303456[[#This Row],[累计净值]]/MAX(INDIRECT("B21:B" &amp; ROW()))-1&lt;E110,表2_367162629303456[[#This Row],[累计净值]]/MAX(INDIRECT("B21:B" &amp; ROW()))-1,E110)</f>
        <v>-6.4844023834560449E-3</v>
      </c>
      <c r="F111" s="62">
        <f>表2_367162629303456[[#This Row],[累计净值]]-0.096</f>
        <v>1.0477999999999998</v>
      </c>
      <c r="G111" s="20">
        <f>表2_367162629303456[[#This Row],[累计净值]]/$B$21-1</f>
        <v>1.6801493466085837E-2</v>
      </c>
    </row>
    <row r="112" spans="1:7">
      <c r="A112" s="55">
        <v>43837</v>
      </c>
      <c r="B112" s="16">
        <v>1.1446000000000001</v>
      </c>
      <c r="C112" s="73">
        <f t="shared" si="26"/>
        <v>8.0000000000013394E-4</v>
      </c>
      <c r="D112" s="18" t="str">
        <f t="shared" si="27"/>
        <v>/</v>
      </c>
      <c r="E112" s="18">
        <f ca="1">IF(表2_367162629303456[[#This Row],[累计净值]]/MAX(INDIRECT("B21:B" &amp; ROW()))-1&lt;E111,表2_367162629303456[[#This Row],[累计净值]]/MAX(INDIRECT("B21:B" &amp; ROW()))-1,E111)</f>
        <v>-6.4844023834560449E-3</v>
      </c>
      <c r="F112" s="62">
        <f>表2_367162629303456[[#This Row],[累计净值]]-0.096</f>
        <v>1.0486</v>
      </c>
      <c r="G112" s="20">
        <f>表2_367162629303456[[#This Row],[累计净值]]/$B$21-1</f>
        <v>1.7512667792692671E-2</v>
      </c>
    </row>
    <row r="113" spans="1:7">
      <c r="A113" s="55">
        <v>43838</v>
      </c>
      <c r="B113" s="16">
        <v>1.1439999999999999</v>
      </c>
      <c r="C113" s="73">
        <f t="shared" si="26"/>
        <v>-6.0000000000015596E-4</v>
      </c>
      <c r="D113" s="18">
        <f t="shared" si="27"/>
        <v>-6.0000000000015596E-4</v>
      </c>
      <c r="E113" s="18">
        <f ca="1">IF(表2_367162629303456[[#This Row],[累计净值]]/MAX(INDIRECT("B21:B" &amp; ROW()))-1&lt;E112,表2_367162629303456[[#This Row],[累计净值]]/MAX(INDIRECT("B21:B" &amp; ROW()))-1,E112)</f>
        <v>-6.4844023834560449E-3</v>
      </c>
      <c r="F113" s="62">
        <f>表2_367162629303456[[#This Row],[累计净值]]-0.096</f>
        <v>1.0479999999999998</v>
      </c>
      <c r="G113" s="20">
        <f>表2_367162629303456[[#This Row],[累计净值]]/$B$21-1</f>
        <v>1.6979287047737435E-2</v>
      </c>
    </row>
    <row r="114" spans="1:7">
      <c r="A114" s="55">
        <v>43839</v>
      </c>
      <c r="B114" s="16">
        <v>1.1476</v>
      </c>
      <c r="C114" s="73">
        <f t="shared" ref="C114:C119" si="28">IFERROR(B114-B113,0)</f>
        <v>3.6000000000000476E-3</v>
      </c>
      <c r="D114" s="18" t="str">
        <f t="shared" ref="D114:D119" si="29">IF(C114&lt;0,C114,"/")</f>
        <v>/</v>
      </c>
      <c r="E114" s="18">
        <f ca="1">IF(表2_367162629303456[[#This Row],[累计净值]]/MAX(INDIRECT("B21:B" &amp; ROW()))-1&lt;E113,表2_367162629303456[[#This Row],[累计净值]]/MAX(INDIRECT("B21:B" &amp; ROW()))-1,E113)</f>
        <v>-6.4844023834560449E-3</v>
      </c>
      <c r="F114" s="62">
        <f>表2_367162629303456[[#This Row],[累计净值]]-0.096</f>
        <v>1.0515999999999999</v>
      </c>
      <c r="G114" s="20">
        <f>表2_367162629303456[[#This Row],[累计净值]]/$B$21-1</f>
        <v>2.0179571517468187E-2</v>
      </c>
    </row>
    <row r="115" spans="1:7">
      <c r="A115" s="83">
        <v>43840</v>
      </c>
      <c r="B115" s="84">
        <v>1.147</v>
      </c>
      <c r="C115" s="85">
        <f t="shared" si="28"/>
        <v>-5.9999999999993392E-4</v>
      </c>
      <c r="D115" s="86">
        <f t="shared" si="29"/>
        <v>-5.9999999999993392E-4</v>
      </c>
      <c r="E115" s="86">
        <f ca="1">IF(表2_367162629303456[[#This Row],[累计净值]]/MAX(INDIRECT("B21:B" &amp; ROW()))-1&lt;E114,表2_367162629303456[[#This Row],[累计净值]]/MAX(INDIRECT("B21:B" &amp; ROW()))-1,E114)</f>
        <v>-6.4844023834560449E-3</v>
      </c>
      <c r="F115" s="87">
        <f>表2_367162629303456[[#This Row],[累计净值]]-0.096</f>
        <v>1.0509999999999999</v>
      </c>
      <c r="G115" s="88">
        <f>表2_367162629303456[[#This Row],[累计净值]]/$B$21-1</f>
        <v>1.9646190772513172E-2</v>
      </c>
    </row>
    <row r="116" spans="1:7">
      <c r="A116" s="55">
        <v>43843</v>
      </c>
      <c r="B116" s="79">
        <v>1.1497999999999999</v>
      </c>
      <c r="C116" s="73">
        <f t="shared" si="28"/>
        <v>2.7999999999999137E-3</v>
      </c>
      <c r="D116" s="18" t="str">
        <f t="shared" si="29"/>
        <v>/</v>
      </c>
      <c r="E116" s="18">
        <f ca="1">IF(表2_367162629303456[[#This Row],[累计净值]]/MAX(INDIRECT("B21:B" &amp; ROW()))-1&lt;E115,表2_367162629303456[[#This Row],[累计净值]]/MAX(INDIRECT("B21:B" &amp; ROW()))-1,E115)</f>
        <v>-6.4844023834560449E-3</v>
      </c>
      <c r="F116" s="62">
        <f>表2_367162629303456[[#This Row],[累计净值]]-0.096</f>
        <v>1.0537999999999998</v>
      </c>
      <c r="G116" s="20">
        <f>表2_367162629303456[[#This Row],[累计净值]]/$B$21-1</f>
        <v>2.2135300915636869E-2</v>
      </c>
    </row>
    <row r="117" spans="1:7">
      <c r="A117" s="55">
        <v>43844</v>
      </c>
      <c r="B117" s="16">
        <v>1.1455</v>
      </c>
      <c r="C117" s="73">
        <f t="shared" si="28"/>
        <v>-4.2999999999999705E-3</v>
      </c>
      <c r="D117" s="18">
        <f t="shared" si="29"/>
        <v>-4.2999999999999705E-3</v>
      </c>
      <c r="E117" s="18">
        <f ca="1">IF(表2_367162629303456[[#This Row],[累计净值]]/MAX(INDIRECT("B21:B" &amp; ROW()))-1&lt;E116,表2_367162629303456[[#This Row],[累计净值]]/MAX(INDIRECT("B21:B" &amp; ROW()))-1,E116)</f>
        <v>-6.4844023834560449E-3</v>
      </c>
      <c r="F117" s="62">
        <f>表2_367162629303456[[#This Row],[累计净值]]-0.096</f>
        <v>1.0494999999999999</v>
      </c>
      <c r="G117" s="20">
        <f>表2_367162629303456[[#This Row],[累计净值]]/$B$21-1</f>
        <v>1.8312738910125193E-2</v>
      </c>
    </row>
    <row r="118" spans="1:7">
      <c r="A118" s="55">
        <v>43845</v>
      </c>
      <c r="B118" s="16">
        <v>1.1471</v>
      </c>
      <c r="C118" s="73">
        <f t="shared" si="28"/>
        <v>1.6000000000000458E-3</v>
      </c>
      <c r="D118" s="18" t="str">
        <f t="shared" si="29"/>
        <v>/</v>
      </c>
      <c r="E118" s="18">
        <f ca="1">IF(表2_367162629303456[[#This Row],[累计净值]]/MAX(INDIRECT("B21:B" &amp; ROW()))-1&lt;E117,表2_367162629303456[[#This Row],[累计净值]]/MAX(INDIRECT("B21:B" &amp; ROW()))-1,E117)</f>
        <v>-6.4844023834560449E-3</v>
      </c>
      <c r="F118" s="62">
        <f>表2_367162629303456[[#This Row],[累计净值]]-0.096</f>
        <v>1.0510999999999999</v>
      </c>
      <c r="G118" s="20">
        <f>表2_367162629303456[[#This Row],[累计净值]]/$B$21-1</f>
        <v>1.973508756333886E-2</v>
      </c>
    </row>
    <row r="119" spans="1:7">
      <c r="A119" s="55">
        <v>43846</v>
      </c>
      <c r="B119" s="16">
        <v>1.1477999999999999</v>
      </c>
      <c r="C119" s="73">
        <f t="shared" si="28"/>
        <v>6.9999999999992291E-4</v>
      </c>
      <c r="D119" s="18" t="str">
        <f t="shared" si="29"/>
        <v>/</v>
      </c>
      <c r="E119" s="18">
        <f ca="1">IF(表2_367162629303456[[#This Row],[累计净值]]/MAX(INDIRECT("B21:B" &amp; ROW()))-1&lt;E118,表2_367162629303456[[#This Row],[累计净值]]/MAX(INDIRECT("B21:B" &amp; ROW()))-1,E118)</f>
        <v>-6.4844023834560449E-3</v>
      </c>
      <c r="F119" s="62">
        <f>表2_367162629303456[[#This Row],[累计净值]]-0.096</f>
        <v>1.0517999999999998</v>
      </c>
      <c r="G119" s="20">
        <f>表2_367162629303456[[#This Row],[累计净值]]/$B$21-1</f>
        <v>2.0357365099119784E-2</v>
      </c>
    </row>
    <row r="120" spans="1:7">
      <c r="A120" s="55">
        <v>43847</v>
      </c>
      <c r="B120" s="16">
        <v>1.1474</v>
      </c>
      <c r="C120" s="73">
        <f t="shared" ref="C120:C125" si="30">IFERROR(B120-B119,0)</f>
        <v>-3.9999999999995595E-4</v>
      </c>
      <c r="D120" s="18">
        <f t="shared" ref="D120:D125" si="31">IF(C120&lt;0,C120,"/")</f>
        <v>-3.9999999999995595E-4</v>
      </c>
      <c r="E120" s="18">
        <f ca="1">IF(表2_367162629303456[[#This Row],[累计净值]]/MAX(INDIRECT("B21:B" &amp; ROW()))-1&lt;E119,表2_367162629303456[[#This Row],[累计净值]]/MAX(INDIRECT("B21:B" &amp; ROW()))-1,E119)</f>
        <v>-6.4844023834560449E-3</v>
      </c>
      <c r="F120" s="62">
        <f>表2_367162629303456[[#This Row],[累计净值]]-0.096</f>
        <v>1.0513999999999999</v>
      </c>
      <c r="G120" s="20">
        <f>表2_367162629303456[[#This Row],[累计净值]]/$B$21-1</f>
        <v>2.0001777935816589E-2</v>
      </c>
    </row>
    <row r="121" spans="1:7">
      <c r="A121" s="55">
        <v>43850</v>
      </c>
      <c r="B121" s="16">
        <v>1.1494</v>
      </c>
      <c r="C121" s="73">
        <f t="shared" si="30"/>
        <v>2.0000000000000018E-3</v>
      </c>
      <c r="D121" s="18" t="str">
        <f t="shared" si="31"/>
        <v>/</v>
      </c>
      <c r="E121" s="18">
        <f ca="1">IF(表2_367162629303456[[#This Row],[累计净值]]/MAX(INDIRECT("B21:B" &amp; ROW()))-1&lt;E120,表2_367162629303456[[#This Row],[累计净值]]/MAX(INDIRECT("B21:B" &amp; ROW()))-1,E120)</f>
        <v>-6.4844023834560449E-3</v>
      </c>
      <c r="F121" s="62">
        <f>表2_367162629303456[[#This Row],[累计净值]]-0.096</f>
        <v>1.0533999999999999</v>
      </c>
      <c r="G121" s="20">
        <f>表2_367162629303456[[#This Row],[累计净值]]/$B$21-1</f>
        <v>2.1779713752333452E-2</v>
      </c>
    </row>
    <row r="122" spans="1:7">
      <c r="A122" s="55">
        <v>43851</v>
      </c>
      <c r="B122" s="16">
        <v>1.1496999999999999</v>
      </c>
      <c r="C122" s="73">
        <f t="shared" si="30"/>
        <v>2.9999999999996696E-4</v>
      </c>
      <c r="D122" s="18" t="str">
        <f t="shared" si="31"/>
        <v>/</v>
      </c>
      <c r="E122" s="18">
        <f ca="1">IF(表2_367162629303456[[#This Row],[累计净值]]/MAX(INDIRECT("B21:B" &amp; ROW()))-1&lt;E121,表2_367162629303456[[#This Row],[累计净值]]/MAX(INDIRECT("B21:B" &amp; ROW()))-1,E121)</f>
        <v>-6.4844023834560449E-3</v>
      </c>
      <c r="F122" s="62">
        <f>表2_367162629303456[[#This Row],[累计净值]]-0.096</f>
        <v>1.0536999999999999</v>
      </c>
      <c r="G122" s="20">
        <f>表2_367162629303456[[#This Row],[累计净值]]/$B$21-1</f>
        <v>2.2046404124810959E-2</v>
      </c>
    </row>
    <row r="123" spans="1:7">
      <c r="A123" s="55">
        <v>43852</v>
      </c>
      <c r="B123" s="16">
        <v>1.1517999999999999</v>
      </c>
      <c r="C123" s="73">
        <f t="shared" si="30"/>
        <v>2.0999999999999908E-3</v>
      </c>
      <c r="D123" s="18" t="str">
        <f t="shared" si="31"/>
        <v>/</v>
      </c>
      <c r="E123" s="18">
        <f ca="1">IF(表2_367162629303456[[#This Row],[累计净值]]/MAX(INDIRECT("B21:B" &amp; ROW()))-1&lt;E122,表2_367162629303456[[#This Row],[累计净值]]/MAX(INDIRECT("B21:B" &amp; ROW()))-1,E122)</f>
        <v>-6.4844023834560449E-3</v>
      </c>
      <c r="F123" s="62">
        <f>表2_367162629303456[[#This Row],[累计净值]]-0.096</f>
        <v>1.0557999999999998</v>
      </c>
      <c r="G123" s="20">
        <f>表2_367162629303456[[#This Row],[累计净值]]/$B$21-1</f>
        <v>2.3913236732153953E-2</v>
      </c>
    </row>
    <row r="124" spans="1:7">
      <c r="A124" s="55">
        <v>43853</v>
      </c>
      <c r="B124" s="16">
        <v>1.1584000000000001</v>
      </c>
      <c r="C124" s="73">
        <f t="shared" si="30"/>
        <v>6.6000000000001613E-3</v>
      </c>
      <c r="D124" s="18" t="str">
        <f t="shared" si="31"/>
        <v>/</v>
      </c>
      <c r="E124" s="18">
        <f ca="1">IF(表2_367162629303456[[#This Row],[累计净值]]/MAX(INDIRECT("B21:B" &amp; ROW()))-1&lt;E123,表2_367162629303456[[#This Row],[累计净值]]/MAX(INDIRECT("B21:B" &amp; ROW()))-1,E123)</f>
        <v>-6.4844023834560449E-3</v>
      </c>
      <c r="F124" s="62">
        <f>表2_367162629303456[[#This Row],[累计净值]]-0.096</f>
        <v>1.0624</v>
      </c>
      <c r="G124" s="20">
        <f>表2_367162629303456[[#This Row],[累计净值]]/$B$21-1</f>
        <v>2.9780424926660221E-2</v>
      </c>
    </row>
    <row r="125" spans="1:7">
      <c r="A125" s="55">
        <v>43864</v>
      </c>
      <c r="B125" s="79">
        <v>1.1698999999999999</v>
      </c>
      <c r="C125" s="73">
        <f t="shared" si="30"/>
        <v>1.1499999999999844E-2</v>
      </c>
      <c r="D125" s="18" t="str">
        <f t="shared" si="31"/>
        <v>/</v>
      </c>
      <c r="E125" s="18">
        <f ca="1">IF(表2_367162629303456[[#This Row],[累计净值]]/MAX(INDIRECT("B21:B" &amp; ROW()))-1&lt;E124,表2_367162629303456[[#This Row],[累计净值]]/MAX(INDIRECT("B21:B" &amp; ROW()))-1,E124)</f>
        <v>-6.4844023834560449E-3</v>
      </c>
      <c r="F125" s="62">
        <f>表2_367162629303456[[#This Row],[累计净值]]-0.096</f>
        <v>1.0738999999999999</v>
      </c>
      <c r="G125" s="20">
        <f>表2_367162629303456[[#This Row],[累计净值]]/$B$21-1</f>
        <v>4.0003555871632956E-2</v>
      </c>
    </row>
    <row r="126" spans="1:7">
      <c r="A126" s="55">
        <v>43865</v>
      </c>
      <c r="B126" s="16">
        <v>1.161</v>
      </c>
      <c r="C126" s="73">
        <f t="shared" ref="C126:C131" si="32">IFERROR(B126-B125,0)</f>
        <v>-8.899999999999908E-3</v>
      </c>
      <c r="D126" s="18">
        <f t="shared" ref="D126:D131" si="33">IF(C126&lt;0,C126,"/")</f>
        <v>-8.899999999999908E-3</v>
      </c>
      <c r="E126" s="18">
        <f ca="1">IF(表2_367162629303456[[#This Row],[累计净值]]/MAX(INDIRECT("B21:B" &amp; ROW()))-1&lt;E125,表2_367162629303456[[#This Row],[累计净值]]/MAX(INDIRECT("B21:B" &amp; ROW()))-1,E125)</f>
        <v>-7.6074878194716256E-3</v>
      </c>
      <c r="F126" s="62">
        <f>表2_367162629303456[[#This Row],[累计净值]]-0.096</f>
        <v>1.0649999999999999</v>
      </c>
      <c r="G126" s="20">
        <f>表2_367162629303456[[#This Row],[累计净值]]/$B$21-1</f>
        <v>3.2091741488132319E-2</v>
      </c>
    </row>
    <row r="127" spans="1:7">
      <c r="A127" s="55">
        <v>43866</v>
      </c>
      <c r="B127" s="16">
        <v>1.1638999999999999</v>
      </c>
      <c r="C127" s="73">
        <f t="shared" si="32"/>
        <v>2.8999999999999027E-3</v>
      </c>
      <c r="D127" s="18" t="str">
        <f t="shared" si="33"/>
        <v>/</v>
      </c>
      <c r="E127" s="18">
        <f ca="1">IF(表2_367162629303456[[#This Row],[累计净值]]/MAX(INDIRECT("B21:B" &amp; ROW()))-1&lt;E126,表2_367162629303456[[#This Row],[累计净值]]/MAX(INDIRECT("B21:B" &amp; ROW()))-1,E126)</f>
        <v>-7.6074878194716256E-3</v>
      </c>
      <c r="F127" s="62">
        <f>表2_367162629303456[[#This Row],[累计净值]]-0.096</f>
        <v>1.0678999999999998</v>
      </c>
      <c r="G127" s="20">
        <f>表2_367162629303456[[#This Row],[累计净值]]/$B$21-1</f>
        <v>3.4669748422081925E-2</v>
      </c>
    </row>
    <row r="128" spans="1:7">
      <c r="A128" s="55">
        <v>43867</v>
      </c>
      <c r="B128" s="16">
        <v>1.1609</v>
      </c>
      <c r="C128" s="73">
        <f t="shared" si="32"/>
        <v>-2.9999999999998916E-3</v>
      </c>
      <c r="D128" s="18">
        <f t="shared" si="33"/>
        <v>-2.9999999999998916E-3</v>
      </c>
      <c r="E128" s="18">
        <f ca="1">IF(表2_367162629303456[[#This Row],[累计净值]]/MAX(INDIRECT("B21:B" &amp; ROW()))-1&lt;E127,表2_367162629303456[[#This Row],[累计净值]]/MAX(INDIRECT("B21:B" &amp; ROW()))-1,E127)</f>
        <v>-7.6929652107017299E-3</v>
      </c>
      <c r="F128" s="62">
        <f>表2_367162629303456[[#This Row],[累计净值]]-0.096</f>
        <v>1.0649</v>
      </c>
      <c r="G128" s="20">
        <f>表2_367162629303456[[#This Row],[累计净值]]/$B$21-1</f>
        <v>3.200284469730641E-2</v>
      </c>
    </row>
    <row r="129" spans="1:7">
      <c r="A129" s="55">
        <v>43868</v>
      </c>
      <c r="B129" s="16">
        <v>1.1631</v>
      </c>
      <c r="C129" s="73">
        <f t="shared" si="32"/>
        <v>2.1999999999999797E-3</v>
      </c>
      <c r="D129" s="18" t="str">
        <f t="shared" si="33"/>
        <v>/</v>
      </c>
      <c r="E129" s="18">
        <f ca="1">IF(表2_367162629303456[[#This Row],[累计净值]]/MAX(INDIRECT("B21:B" &amp; ROW()))-1&lt;E128,表2_367162629303456[[#This Row],[累计净值]]/MAX(INDIRECT("B21:B" &amp; ROW()))-1,E128)</f>
        <v>-7.6929652107017299E-3</v>
      </c>
      <c r="F129" s="62">
        <f>表2_367162629303456[[#This Row],[累计净值]]-0.096</f>
        <v>1.0670999999999999</v>
      </c>
      <c r="G129" s="20">
        <f>表2_367162629303456[[#This Row],[累计净值]]/$B$21-1</f>
        <v>3.3958574095475091E-2</v>
      </c>
    </row>
    <row r="130" spans="1:7">
      <c r="A130" s="55">
        <v>43871</v>
      </c>
      <c r="B130" s="16">
        <v>1.1651</v>
      </c>
      <c r="C130" s="73">
        <f t="shared" si="32"/>
        <v>2.0000000000000018E-3</v>
      </c>
      <c r="D130" s="18" t="str">
        <f t="shared" si="33"/>
        <v>/</v>
      </c>
      <c r="E130" s="18">
        <f ca="1">IF(表2_367162629303456[[#This Row],[累计净值]]/MAX(INDIRECT("B21:B" &amp; ROW()))-1&lt;E129,表2_367162629303456[[#This Row],[累计净值]]/MAX(INDIRECT("B21:B" &amp; ROW()))-1,E129)</f>
        <v>-7.6929652107017299E-3</v>
      </c>
      <c r="F130" s="62">
        <f>表2_367162629303456[[#This Row],[累计净值]]-0.096</f>
        <v>1.0690999999999999</v>
      </c>
      <c r="G130" s="20">
        <f>表2_367162629303456[[#This Row],[累计净值]]/$B$21-1</f>
        <v>3.5736509911992176E-2</v>
      </c>
    </row>
    <row r="131" spans="1:7">
      <c r="A131" s="55">
        <v>43872</v>
      </c>
      <c r="B131" s="16">
        <v>1.1649</v>
      </c>
      <c r="C131" s="73">
        <f t="shared" si="32"/>
        <v>-1.9999999999997797E-4</v>
      </c>
      <c r="D131" s="18">
        <f t="shared" si="33"/>
        <v>-1.9999999999997797E-4</v>
      </c>
      <c r="E131" s="18">
        <f ca="1">IF(表2_367162629303456[[#This Row],[累计净值]]/MAX(INDIRECT("B21:B" &amp; ROW()))-1&lt;E130,表2_367162629303456[[#This Row],[累计净值]]/MAX(INDIRECT("B21:B" &amp; ROW()))-1,E130)</f>
        <v>-7.6929652107017299E-3</v>
      </c>
      <c r="F131" s="62">
        <f>表2_367162629303456[[#This Row],[累计净值]]-0.096</f>
        <v>1.0689</v>
      </c>
      <c r="G131" s="20">
        <f>表2_367162629303456[[#This Row],[累计净值]]/$B$21-1</f>
        <v>3.5558716330340578E-2</v>
      </c>
    </row>
    <row r="132" spans="1:7">
      <c r="A132" s="55">
        <v>43873</v>
      </c>
      <c r="B132" s="16">
        <v>1.1687000000000001</v>
      </c>
      <c r="C132" s="73">
        <f t="shared" ref="C132:C137" si="34">IFERROR(B132-B131,0)</f>
        <v>3.8000000000000256E-3</v>
      </c>
      <c r="D132" s="18" t="str">
        <f t="shared" ref="D132:D137" si="35">IF(C132&lt;0,C132,"/")</f>
        <v>/</v>
      </c>
      <c r="E132" s="18">
        <f ca="1">IF(表2_367162629303456[[#This Row],[累计净值]]/MAX(INDIRECT("B21:B" &amp; ROW()))-1&lt;E131,表2_367162629303456[[#This Row],[累计净值]]/MAX(INDIRECT("B21:B" &amp; ROW()))-1,E131)</f>
        <v>-7.6929652107017299E-3</v>
      </c>
      <c r="F132" s="62">
        <f>表2_367162629303456[[#This Row],[累计净值]]-0.096</f>
        <v>1.0727</v>
      </c>
      <c r="G132" s="20">
        <f>表2_367162629303456[[#This Row],[累计净值]]/$B$21-1</f>
        <v>3.8936794381722928E-2</v>
      </c>
    </row>
    <row r="133" spans="1:7">
      <c r="A133" s="55">
        <v>43874</v>
      </c>
      <c r="B133" s="89">
        <v>1.1662999999999999</v>
      </c>
      <c r="C133" s="73">
        <f t="shared" si="34"/>
        <v>-2.4000000000001798E-3</v>
      </c>
      <c r="D133" s="18">
        <f t="shared" si="35"/>
        <v>-2.4000000000001798E-3</v>
      </c>
      <c r="E133" s="18">
        <f ca="1">IF(表2_367162629303456[[#This Row],[累计净值]]/MAX(INDIRECT("B21:B" &amp; ROW()))-1&lt;E132,表2_367162629303456[[#This Row],[累计净值]]/MAX(INDIRECT("B21:B" &amp; ROW()))-1,E132)</f>
        <v>-7.6929652107017299E-3</v>
      </c>
      <c r="F133" s="62">
        <f>表2_367162629303456[[#This Row],[累计净值]]-0.096</f>
        <v>1.0702999999999998</v>
      </c>
      <c r="G133" s="20">
        <f>表2_367162629303456[[#This Row],[累计净值]]/$B$21-1</f>
        <v>3.6803271401902204E-2</v>
      </c>
    </row>
    <row r="134" spans="1:7">
      <c r="A134" s="55">
        <v>43875</v>
      </c>
      <c r="B134" s="89">
        <v>1.1685000000000001</v>
      </c>
      <c r="C134" s="73">
        <f t="shared" si="34"/>
        <v>2.2000000000002018E-3</v>
      </c>
      <c r="D134" s="18" t="str">
        <f t="shared" si="35"/>
        <v>/</v>
      </c>
      <c r="E134" s="18">
        <f ca="1">IF(表2_367162629303456[[#This Row],[累计净值]]/MAX(INDIRECT("B21:B" &amp; ROW()))-1&lt;E133,表2_367162629303456[[#This Row],[累计净值]]/MAX(INDIRECT("B21:B" &amp; ROW()))-1,E133)</f>
        <v>-7.6929652107017299E-3</v>
      </c>
      <c r="F134" s="62">
        <f>表2_367162629303456[[#This Row],[累计净值]]-0.096</f>
        <v>1.0725</v>
      </c>
      <c r="G134" s="20">
        <f>表2_367162629303456[[#This Row],[累计净值]]/$B$21-1</f>
        <v>3.8759000800071108E-2</v>
      </c>
    </row>
    <row r="135" spans="1:7">
      <c r="A135" s="55">
        <v>43878</v>
      </c>
      <c r="B135" s="89">
        <v>1.1654</v>
      </c>
      <c r="C135" s="73">
        <f t="shared" si="34"/>
        <v>-3.1000000000001027E-3</v>
      </c>
      <c r="D135" s="18">
        <f t="shared" si="35"/>
        <v>-3.1000000000001027E-3</v>
      </c>
      <c r="E135" s="18">
        <f ca="1">IF(表2_367162629303456[[#This Row],[累计净值]]/MAX(INDIRECT("B21:B" &amp; ROW()))-1&lt;E134,表2_367162629303456[[#This Row],[累计净值]]/MAX(INDIRECT("B21:B" &amp; ROW()))-1,E134)</f>
        <v>-7.6929652107017299E-3</v>
      </c>
      <c r="F135" s="62">
        <f>表2_367162629303456[[#This Row],[累计净值]]-0.096</f>
        <v>1.0693999999999999</v>
      </c>
      <c r="G135" s="20">
        <f>表2_367162629303456[[#This Row],[累计净值]]/$B$21-1</f>
        <v>3.6003200284469683E-2</v>
      </c>
    </row>
    <row r="136" spans="1:7">
      <c r="A136" s="55">
        <v>43879</v>
      </c>
      <c r="B136" s="89">
        <v>1.1688000000000001</v>
      </c>
      <c r="C136" s="73">
        <f t="shared" si="34"/>
        <v>3.4000000000000696E-3</v>
      </c>
      <c r="D136" s="18" t="str">
        <f t="shared" si="35"/>
        <v>/</v>
      </c>
      <c r="E136" s="18">
        <f ca="1">IF(表2_367162629303456[[#This Row],[累计净值]]/MAX(INDIRECT("B21:B" &amp; ROW()))-1&lt;E135,表2_367162629303456[[#This Row],[累计净值]]/MAX(INDIRECT("B21:B" &amp; ROW()))-1,E135)</f>
        <v>-7.6929652107017299E-3</v>
      </c>
      <c r="F136" s="62">
        <f>表2_367162629303456[[#This Row],[累计净值]]-0.096</f>
        <v>1.0728</v>
      </c>
      <c r="G136" s="20">
        <f>表2_367162629303456[[#This Row],[累计净值]]/$B$21-1</f>
        <v>3.9025691172548616E-2</v>
      </c>
    </row>
    <row r="137" spans="1:7">
      <c r="A137" s="55">
        <v>43880</v>
      </c>
      <c r="B137" s="89">
        <v>1.1688000000000001</v>
      </c>
      <c r="C137" s="73">
        <f t="shared" si="34"/>
        <v>0</v>
      </c>
      <c r="D137" s="18" t="str">
        <f t="shared" si="35"/>
        <v>/</v>
      </c>
      <c r="E137" s="18">
        <f ca="1">IF(表2_367162629303456[[#This Row],[累计净值]]/MAX(INDIRECT("B21:B" &amp; ROW()))-1&lt;E136,表2_367162629303456[[#This Row],[累计净值]]/MAX(INDIRECT("B21:B" &amp; ROW()))-1,E136)</f>
        <v>-7.6929652107017299E-3</v>
      </c>
      <c r="F137" s="62">
        <f>表2_367162629303456[[#This Row],[累计净值]]-0.096</f>
        <v>1.0728</v>
      </c>
      <c r="G137" s="20">
        <f>表2_367162629303456[[#This Row],[累计净值]]/$B$21-1</f>
        <v>3.9025691172548616E-2</v>
      </c>
    </row>
    <row r="138" spans="1:7">
      <c r="A138" s="55">
        <v>43881</v>
      </c>
      <c r="B138" s="79">
        <v>1.1718999999999999</v>
      </c>
      <c r="C138" s="73">
        <f t="shared" ref="C138:C143" si="36">IFERROR(B138-B137,0)</f>
        <v>3.0999999999998806E-3</v>
      </c>
      <c r="D138" s="18" t="str">
        <f t="shared" ref="D138:D143" si="37">IF(C138&lt;0,C138,"/")</f>
        <v>/</v>
      </c>
      <c r="E138" s="18">
        <f ca="1">IF(表2_367162629303456[[#This Row],[累计净值]]/MAX(INDIRECT("B21:B" &amp; ROW()))-1&lt;E137,表2_367162629303456[[#This Row],[累计净值]]/MAX(INDIRECT("B21:B" &amp; ROW()))-1,E137)</f>
        <v>-7.6929652107017299E-3</v>
      </c>
      <c r="F138" s="62">
        <f>表2_367162629303456[[#This Row],[累计净值]]-0.096</f>
        <v>1.0758999999999999</v>
      </c>
      <c r="G138" s="20">
        <f>表2_367162629303456[[#This Row],[累计净值]]/$B$21-1</f>
        <v>4.1781491688150041E-2</v>
      </c>
    </row>
    <row r="139" spans="1:7">
      <c r="A139" s="55">
        <v>43882</v>
      </c>
      <c r="B139" s="89">
        <v>1.1702999999999999</v>
      </c>
      <c r="C139" s="73">
        <f t="shared" si="36"/>
        <v>-1.6000000000000458E-3</v>
      </c>
      <c r="D139" s="18">
        <f t="shared" si="37"/>
        <v>-1.6000000000000458E-3</v>
      </c>
      <c r="E139" s="18">
        <f ca="1">IF(表2_367162629303456[[#This Row],[累计净值]]/MAX(INDIRECT("B21:B" &amp; ROW()))-1&lt;E138,表2_367162629303456[[#This Row],[累计净值]]/MAX(INDIRECT("B21:B" &amp; ROW()))-1,E138)</f>
        <v>-7.6929652107017299E-3</v>
      </c>
      <c r="F139" s="62">
        <f>表2_367162629303456[[#This Row],[累计净值]]-0.096</f>
        <v>1.0742999999999998</v>
      </c>
      <c r="G139" s="20">
        <f>表2_367162629303456[[#This Row],[累计净值]]/$B$21-1</f>
        <v>4.0359143034936373E-2</v>
      </c>
    </row>
    <row r="140" spans="1:7">
      <c r="A140" s="55">
        <v>43885</v>
      </c>
      <c r="B140" s="89">
        <v>1.1719999999999999</v>
      </c>
      <c r="C140" s="73">
        <f t="shared" si="36"/>
        <v>1.7000000000000348E-3</v>
      </c>
      <c r="D140" s="18" t="str">
        <f t="shared" si="37"/>
        <v>/</v>
      </c>
      <c r="E140" s="18">
        <f ca="1">IF(表2_367162629303456[[#This Row],[累计净值]]/MAX(INDIRECT("B21:B" &amp; ROW()))-1&lt;E139,表2_367162629303456[[#This Row],[累计净值]]/MAX(INDIRECT("B21:B" &amp; ROW()))-1,E139)</f>
        <v>-7.6929652107017299E-3</v>
      </c>
      <c r="F140" s="62">
        <f>表2_367162629303456[[#This Row],[累计净值]]-0.096</f>
        <v>1.0759999999999998</v>
      </c>
      <c r="G140" s="20">
        <f>表2_367162629303456[[#This Row],[累计净值]]/$B$21-1</f>
        <v>4.1870388478975729E-2</v>
      </c>
    </row>
    <row r="141" spans="1:7">
      <c r="A141" s="55">
        <v>43886</v>
      </c>
      <c r="B141" s="89">
        <v>1.1755</v>
      </c>
      <c r="C141" s="73">
        <f t="shared" si="36"/>
        <v>3.5000000000000586E-3</v>
      </c>
      <c r="D141" s="18" t="str">
        <f t="shared" si="37"/>
        <v>/</v>
      </c>
      <c r="E141" s="18">
        <f ca="1">IF(表2_367162629303456[[#This Row],[累计净值]]/MAX(INDIRECT("B21:B" &amp; ROW()))-1&lt;E140,表2_367162629303456[[#This Row],[累计净值]]/MAX(INDIRECT("B21:B" &amp; ROW()))-1,E140)</f>
        <v>-7.6929652107017299E-3</v>
      </c>
      <c r="F141" s="62">
        <f>表2_367162629303456[[#This Row],[累计净值]]-0.096</f>
        <v>1.0794999999999999</v>
      </c>
      <c r="G141" s="20">
        <f>表2_367162629303456[[#This Row],[累计净值]]/$B$21-1</f>
        <v>4.4981776157880571E-2</v>
      </c>
    </row>
    <row r="142" spans="1:7">
      <c r="A142" s="55">
        <v>43887</v>
      </c>
      <c r="B142" s="89">
        <v>1.1712</v>
      </c>
      <c r="C142" s="73">
        <f t="shared" si="36"/>
        <v>-4.2999999999999705E-3</v>
      </c>
      <c r="D142" s="18">
        <f t="shared" si="37"/>
        <v>-4.2999999999999705E-3</v>
      </c>
      <c r="E142" s="18">
        <f ca="1">IF(表2_367162629303456[[#This Row],[累计净值]]/MAX(INDIRECT("B21:B" &amp; ROW()))-1&lt;E141,表2_367162629303456[[#This Row],[累计净值]]/MAX(INDIRECT("B21:B" &amp; ROW()))-1,E141)</f>
        <v>-7.6929652107017299E-3</v>
      </c>
      <c r="F142" s="62">
        <f>表2_367162629303456[[#This Row],[累计净值]]-0.096</f>
        <v>1.0751999999999999</v>
      </c>
      <c r="G142" s="20">
        <f>表2_367162629303456[[#This Row],[累计净值]]/$B$21-1</f>
        <v>4.1159214152369117E-2</v>
      </c>
    </row>
    <row r="143" spans="1:7">
      <c r="A143" s="55">
        <v>43888</v>
      </c>
      <c r="B143" s="89">
        <v>1.1738</v>
      </c>
      <c r="C143" s="73">
        <f t="shared" si="36"/>
        <v>2.5999999999999357E-3</v>
      </c>
      <c r="D143" s="18" t="str">
        <f t="shared" si="37"/>
        <v>/</v>
      </c>
      <c r="E143" s="18">
        <f ca="1">IF(表2_367162629303456[[#This Row],[累计净值]]/MAX(INDIRECT("B21:B" &amp; ROW()))-1&lt;E142,表2_367162629303456[[#This Row],[累计净值]]/MAX(INDIRECT("B21:B" &amp; ROW()))-1,E142)</f>
        <v>-7.6929652107017299E-3</v>
      </c>
      <c r="F143" s="62">
        <f>表2_367162629303456[[#This Row],[累计净值]]-0.096</f>
        <v>1.0777999999999999</v>
      </c>
      <c r="G143" s="20">
        <f>表2_367162629303456[[#This Row],[累计净值]]/$B$21-1</f>
        <v>4.3470530713841216E-2</v>
      </c>
    </row>
    <row r="144" spans="1:7">
      <c r="A144" s="55">
        <v>43889</v>
      </c>
      <c r="B144" s="89">
        <v>1.1759999999999999</v>
      </c>
      <c r="C144" s="73">
        <f t="shared" ref="C144:C149" si="38">IFERROR(B144-B143,0)</f>
        <v>2.1999999999999797E-3</v>
      </c>
      <c r="D144" s="18" t="str">
        <f t="shared" ref="D144:D149" si="39">IF(C144&lt;0,C144,"/")</f>
        <v>/</v>
      </c>
      <c r="E144" s="18">
        <f ca="1">IF(表2_367162629303456[[#This Row],[累计净值]]/MAX(INDIRECT("B21:B" &amp; ROW()))-1&lt;E143,表2_367162629303456[[#This Row],[累计净值]]/MAX(INDIRECT("B21:B" &amp; ROW()))-1,E143)</f>
        <v>-7.6929652107017299E-3</v>
      </c>
      <c r="F144" s="62">
        <f>表2_367162629303456[[#This Row],[累计净值]]-0.096</f>
        <v>1.0799999999999998</v>
      </c>
      <c r="G144" s="20">
        <f>表2_367162629303456[[#This Row],[累计净值]]/$B$21-1</f>
        <v>4.5426260112009897E-2</v>
      </c>
    </row>
    <row r="145" spans="1:9">
      <c r="A145" s="55">
        <v>43892</v>
      </c>
      <c r="B145" s="89">
        <v>1.1749000000000001</v>
      </c>
      <c r="C145" s="73">
        <f t="shared" si="38"/>
        <v>-1.0999999999998789E-3</v>
      </c>
      <c r="D145" s="18">
        <f t="shared" si="39"/>
        <v>-1.0999999999998789E-3</v>
      </c>
      <c r="E145" s="18">
        <f ca="1">IF(表2_367162629303456[[#This Row],[累计净值]]/MAX(INDIRECT("B21:B" &amp; ROW()))-1&lt;E144,表2_367162629303456[[#This Row],[累计净值]]/MAX(INDIRECT("B21:B" &amp; ROW()))-1,E144)</f>
        <v>-7.6929652107017299E-3</v>
      </c>
      <c r="F145" s="62">
        <v>1.0288999999999999</v>
      </c>
      <c r="G145" s="20">
        <f>表2_367162629303456[[#This Row],[累计净值]]/$B$21-1</f>
        <v>4.4448395412925557E-2</v>
      </c>
      <c r="I145" s="60">
        <f>表2_367162629303456[[#This Row],[累计净值]]-表2_367162629303456[[#This Row],[单位净值]]</f>
        <v>0.14600000000000013</v>
      </c>
    </row>
    <row r="146" spans="1:9">
      <c r="A146" s="55">
        <v>43893</v>
      </c>
      <c r="B146" s="89">
        <v>1.1795</v>
      </c>
      <c r="C146" s="73">
        <f t="shared" si="38"/>
        <v>4.5999999999999375E-3</v>
      </c>
      <c r="D146" s="18" t="str">
        <f t="shared" si="39"/>
        <v>/</v>
      </c>
      <c r="E146" s="18">
        <f ca="1">IF(表2_367162629303456[[#This Row],[累计净值]]/MAX(INDIRECT("B21:B" &amp; ROW()))-1&lt;E145,表2_367162629303456[[#This Row],[累计净值]]/MAX(INDIRECT("B21:B" &amp; ROW()))-1,E145)</f>
        <v>-7.6929652107017299E-3</v>
      </c>
      <c r="F146" s="62">
        <f>表2_367162629303456[[#This Row],[累计净值]]-0.146</f>
        <v>1.0335000000000001</v>
      </c>
      <c r="G146" s="20">
        <f>表2_367162629303456[[#This Row],[累计净值]]/$B$21-1</f>
        <v>4.853764779091474E-2</v>
      </c>
    </row>
    <row r="147" spans="1:9">
      <c r="A147" s="55">
        <v>43894</v>
      </c>
      <c r="B147" s="76">
        <v>1.1821999999999999</v>
      </c>
      <c r="C147" s="73">
        <f t="shared" si="38"/>
        <v>2.6999999999999247E-3</v>
      </c>
      <c r="D147" s="18" t="str">
        <f t="shared" si="39"/>
        <v>/</v>
      </c>
      <c r="E147" s="18">
        <f ca="1">IF(表2_367162629303456[[#This Row],[累计净值]]/MAX(INDIRECT("B21:B" &amp; ROW()))-1&lt;E146,表2_367162629303456[[#This Row],[累计净值]]/MAX(INDIRECT("B21:B" &amp; ROW()))-1,E146)</f>
        <v>-7.6929652107017299E-3</v>
      </c>
      <c r="F147" s="62">
        <f>表2_367162629303456[[#This Row],[累计净值]]-0.146</f>
        <v>1.0362</v>
      </c>
      <c r="G147" s="20">
        <f>表2_367162629303456[[#This Row],[累计净值]]/$B$21-1</f>
        <v>5.0937861143212748E-2</v>
      </c>
    </row>
    <row r="148" spans="1:9">
      <c r="A148" s="55">
        <v>43895</v>
      </c>
      <c r="B148" s="89">
        <v>1.1806000000000001</v>
      </c>
      <c r="C148" s="73">
        <f t="shared" si="38"/>
        <v>-1.5999999999998238E-3</v>
      </c>
      <c r="D148" s="18">
        <f t="shared" si="39"/>
        <v>-1.5999999999998238E-3</v>
      </c>
      <c r="E148" s="18">
        <f ca="1">IF(表2_367162629303456[[#This Row],[累计净值]]/MAX(INDIRECT("B21:B" &amp; ROW()))-1&lt;E147,表2_367162629303456[[#This Row],[累计净值]]/MAX(INDIRECT("B21:B" &amp; ROW()))-1,E147)</f>
        <v>-7.6929652107017299E-3</v>
      </c>
      <c r="F148" s="62">
        <f>表2_367162629303456[[#This Row],[累计净值]]-0.146</f>
        <v>1.0346000000000002</v>
      </c>
      <c r="G148" s="20">
        <f>表2_367162629303456[[#This Row],[累计净值]]/$B$21-1</f>
        <v>4.9515512489999081E-2</v>
      </c>
    </row>
    <row r="149" spans="1:9">
      <c r="A149" s="55">
        <v>43896</v>
      </c>
      <c r="B149" s="89">
        <v>1.1806000000000001</v>
      </c>
      <c r="C149" s="73">
        <f t="shared" si="38"/>
        <v>0</v>
      </c>
      <c r="D149" s="18" t="str">
        <f t="shared" si="39"/>
        <v>/</v>
      </c>
      <c r="E149" s="18">
        <f ca="1">IF(表2_367162629303456[[#This Row],[累计净值]]/MAX(INDIRECT("B21:B" &amp; ROW()))-1&lt;E148,表2_367162629303456[[#This Row],[累计净值]]/MAX(INDIRECT("B21:B" &amp; ROW()))-1,E148)</f>
        <v>-7.6929652107017299E-3</v>
      </c>
      <c r="F149" s="62">
        <f>表2_367162629303456[[#This Row],[累计净值]]-0.146</f>
        <v>1.0346000000000002</v>
      </c>
      <c r="G149" s="20">
        <f>表2_367162629303456[[#This Row],[累计净值]]/$B$21-1</f>
        <v>4.9515512489999081E-2</v>
      </c>
    </row>
    <row r="150" spans="1:9">
      <c r="A150" s="55">
        <v>43899</v>
      </c>
      <c r="B150" s="89">
        <v>1.1825000000000001</v>
      </c>
      <c r="C150" s="73">
        <f t="shared" ref="C150:C155" si="40">IFERROR(B150-B149,0)</f>
        <v>1.9000000000000128E-3</v>
      </c>
      <c r="D150" s="18" t="str">
        <f t="shared" ref="D150:D155" si="41">IF(C150&lt;0,C150,"/")</f>
        <v>/</v>
      </c>
      <c r="E150" s="18">
        <f ca="1">IF(表2_367162629303456[[#This Row],[累计净值]]/MAX(INDIRECT("B21:B" &amp; ROW()))-1&lt;E149,表2_367162629303456[[#This Row],[累计净值]]/MAX(INDIRECT("B21:B" &amp; ROW()))-1,E149)</f>
        <v>-7.6929652107017299E-3</v>
      </c>
      <c r="F150" s="62">
        <f>表2_367162629303456[[#This Row],[累计净值]]-0.146</f>
        <v>1.0365000000000002</v>
      </c>
      <c r="G150" s="20">
        <f>表2_367162629303456[[#This Row],[累计净值]]/$B$21-1</f>
        <v>5.1204551515690477E-2</v>
      </c>
    </row>
    <row r="151" spans="1:9">
      <c r="A151" s="55">
        <v>43900</v>
      </c>
      <c r="B151" s="89">
        <v>1.1849000000000001</v>
      </c>
      <c r="C151" s="73">
        <f t="shared" si="40"/>
        <v>2.3999999999999577E-3</v>
      </c>
      <c r="D151" s="18" t="str">
        <f t="shared" si="41"/>
        <v>/</v>
      </c>
      <c r="E151" s="18">
        <f ca="1">IF(表2_367162629303456[[#This Row],[累计净值]]/MAX(INDIRECT("B21:B" &amp; ROW()))-1&lt;E150,表2_367162629303456[[#This Row],[累计净值]]/MAX(INDIRECT("B21:B" &amp; ROW()))-1,E150)</f>
        <v>-7.6929652107017299E-3</v>
      </c>
      <c r="F151" s="62">
        <f>表2_367162629303456[[#This Row],[累计净值]]-0.146</f>
        <v>1.0389000000000002</v>
      </c>
      <c r="G151" s="20">
        <f>表2_367162629303456[[#This Row],[累计净值]]/$B$21-1</f>
        <v>5.3338074495510757E-2</v>
      </c>
    </row>
    <row r="152" spans="1:9">
      <c r="A152" s="55">
        <v>43901</v>
      </c>
      <c r="B152" s="89">
        <v>1.1855</v>
      </c>
      <c r="C152" s="73">
        <f t="shared" si="40"/>
        <v>5.9999999999993392E-4</v>
      </c>
      <c r="D152" s="18" t="str">
        <f t="shared" si="41"/>
        <v>/</v>
      </c>
      <c r="E152" s="18">
        <f ca="1">IF(表2_367162629303456[[#This Row],[累计净值]]/MAX(INDIRECT("B21:B" &amp; ROW()))-1&lt;E151,表2_367162629303456[[#This Row],[累计净值]]/MAX(INDIRECT("B21:B" &amp; ROW()))-1,E151)</f>
        <v>-7.6929652107017299E-3</v>
      </c>
      <c r="F152" s="62">
        <f>表2_367162629303456[[#This Row],[累计净值]]-0.146</f>
        <v>1.0395000000000001</v>
      </c>
      <c r="G152" s="20">
        <f>表2_367162629303456[[#This Row],[累计净值]]/$B$21-1</f>
        <v>5.3871455240465771E-2</v>
      </c>
    </row>
    <row r="153" spans="1:9">
      <c r="A153" s="55">
        <v>43902</v>
      </c>
      <c r="B153" s="89">
        <v>1.1896</v>
      </c>
      <c r="C153" s="73">
        <f t="shared" si="40"/>
        <v>4.0999999999999925E-3</v>
      </c>
      <c r="D153" s="18" t="str">
        <f t="shared" si="41"/>
        <v>/</v>
      </c>
      <c r="E153" s="18">
        <f ca="1">IF(表2_367162629303456[[#This Row],[累计净值]]/MAX(INDIRECT("B21:B" &amp; ROW()))-1&lt;E152,表2_367162629303456[[#This Row],[累计净值]]/MAX(INDIRECT("B21:B" &amp; ROW()))-1,E152)</f>
        <v>-7.6929652107017299E-3</v>
      </c>
      <c r="F153" s="62">
        <f>表2_367162629303456[[#This Row],[累计净值]]-0.146</f>
        <v>1.0436000000000001</v>
      </c>
      <c r="G153" s="20">
        <f>表2_367162629303456[[#This Row],[累计净值]]/$B$21-1</f>
        <v>5.7516223664325627E-2</v>
      </c>
    </row>
    <row r="154" spans="1:9">
      <c r="A154" s="55">
        <v>43903</v>
      </c>
      <c r="B154" s="89">
        <v>1.1927000000000001</v>
      </c>
      <c r="C154" s="73">
        <f t="shared" si="40"/>
        <v>3.1000000000001027E-3</v>
      </c>
      <c r="D154" s="18" t="str">
        <f t="shared" si="41"/>
        <v>/</v>
      </c>
      <c r="E154" s="18">
        <f ca="1">IF(表2_367162629303456[[#This Row],[累计净值]]/MAX(INDIRECT("B21:B" &amp; ROW()))-1&lt;E153,表2_367162629303456[[#This Row],[累计净值]]/MAX(INDIRECT("B21:B" &amp; ROW()))-1,E153)</f>
        <v>-7.6929652107017299E-3</v>
      </c>
      <c r="F154" s="62">
        <f>表2_367162629303456[[#This Row],[累计净值]]-0.146</f>
        <v>1.0467000000000002</v>
      </c>
      <c r="G154" s="20">
        <f>表2_367162629303456[[#This Row],[累计净值]]/$B$21-1</f>
        <v>6.0272024179927275E-2</v>
      </c>
    </row>
    <row r="155" spans="1:9">
      <c r="A155" s="55">
        <v>43906</v>
      </c>
      <c r="B155" s="89">
        <v>1.1931</v>
      </c>
      <c r="C155" s="73">
        <f t="shared" si="40"/>
        <v>3.9999999999995595E-4</v>
      </c>
      <c r="D155" s="18" t="str">
        <f t="shared" si="41"/>
        <v>/</v>
      </c>
      <c r="E155" s="18">
        <f ca="1">IF(表2_367162629303456[[#This Row],[累计净值]]/MAX(INDIRECT("B21:B" &amp; ROW()))-1&lt;E154,表2_367162629303456[[#This Row],[累计净值]]/MAX(INDIRECT("B21:B" &amp; ROW()))-1,E154)</f>
        <v>-7.6929652107017299E-3</v>
      </c>
      <c r="F155" s="62">
        <f>表2_367162629303456[[#This Row],[累计净值]]-0.146</f>
        <v>1.0471000000000001</v>
      </c>
      <c r="G155" s="20">
        <f>表2_367162629303456[[#This Row],[累计净值]]/$B$21-1</f>
        <v>6.062761134323047E-2</v>
      </c>
    </row>
    <row r="156" spans="1:9">
      <c r="A156" s="55">
        <v>43907</v>
      </c>
      <c r="B156" s="89">
        <v>1.1977</v>
      </c>
      <c r="C156" s="73">
        <f t="shared" ref="C156:C161" si="42">IFERROR(B156-B155,0)</f>
        <v>4.5999999999999375E-3</v>
      </c>
      <c r="D156" s="18" t="str">
        <f t="shared" ref="D156:D161" si="43">IF(C156&lt;0,C156,"/")</f>
        <v>/</v>
      </c>
      <c r="E156" s="18">
        <f ca="1">IF(表2_367162629303456[[#This Row],[累计净值]]/MAX(INDIRECT("B21:B" &amp; ROW()))-1&lt;E155,表2_367162629303456[[#This Row],[累计净值]]/MAX(INDIRECT("B21:B" &amp; ROW()))-1,E155)</f>
        <v>-7.6929652107017299E-3</v>
      </c>
      <c r="F156" s="62">
        <f>表2_367162629303456[[#This Row],[累计净值]]-0.146</f>
        <v>1.0517000000000001</v>
      </c>
      <c r="G156" s="20">
        <f>表2_367162629303456[[#This Row],[累计净值]]/$B$21-1</f>
        <v>6.4716863721219653E-2</v>
      </c>
    </row>
    <row r="157" spans="1:9">
      <c r="A157" s="55">
        <v>43908</v>
      </c>
      <c r="B157" s="89">
        <v>1.1980999999999999</v>
      </c>
      <c r="C157" s="73">
        <f t="shared" si="42"/>
        <v>3.9999999999995595E-4</v>
      </c>
      <c r="D157" s="18" t="str">
        <f t="shared" si="43"/>
        <v>/</v>
      </c>
      <c r="E157" s="18">
        <f ca="1">IF(表2_367162629303456[[#This Row],[累计净值]]/MAX(INDIRECT("B21:B" &amp; ROW()))-1&lt;E156,表2_367162629303456[[#This Row],[累计净值]]/MAX(INDIRECT("B21:B" &amp; ROW()))-1,E156)</f>
        <v>-7.6929652107017299E-3</v>
      </c>
      <c r="F157" s="62">
        <f>表2_367162629303456[[#This Row],[累计净值]]-0.146</f>
        <v>1.0521</v>
      </c>
      <c r="G157" s="20">
        <f>表2_367162629303456[[#This Row],[累计净值]]/$B$21-1</f>
        <v>6.507245088452307E-2</v>
      </c>
    </row>
    <row r="158" spans="1:9">
      <c r="A158" s="55">
        <v>43909</v>
      </c>
      <c r="B158" s="89">
        <v>1.2017</v>
      </c>
      <c r="C158" s="73">
        <f t="shared" si="42"/>
        <v>3.6000000000000476E-3</v>
      </c>
      <c r="D158" s="18" t="str">
        <f t="shared" si="43"/>
        <v>/</v>
      </c>
      <c r="E158" s="18">
        <f ca="1">IF(表2_367162629303456[[#This Row],[累计净值]]/MAX(INDIRECT("B21:B" &amp; ROW()))-1&lt;E157,表2_367162629303456[[#This Row],[累计净值]]/MAX(INDIRECT("B21:B" &amp; ROW()))-1,E157)</f>
        <v>-7.6929652107017299E-3</v>
      </c>
      <c r="F158" s="62">
        <f>表2_367162629303456[[#This Row],[累计净值]]-0.146</f>
        <v>1.0557000000000001</v>
      </c>
      <c r="G158" s="20">
        <f>表2_367162629303456[[#This Row],[累计净值]]/$B$21-1</f>
        <v>6.82727353542536E-2</v>
      </c>
    </row>
    <row r="159" spans="1:9">
      <c r="A159" s="55">
        <v>43910</v>
      </c>
      <c r="B159" s="76">
        <v>1.2022999999999999</v>
      </c>
      <c r="C159" s="73">
        <f t="shared" si="42"/>
        <v>5.9999999999993392E-4</v>
      </c>
      <c r="D159" s="18" t="str">
        <f t="shared" si="43"/>
        <v>/</v>
      </c>
      <c r="E159" s="18">
        <f ca="1">IF(表2_367162629303456[[#This Row],[累计净值]]/MAX(INDIRECT("B21:B" &amp; ROW()))-1&lt;E158,表2_367162629303456[[#This Row],[累计净值]]/MAX(INDIRECT("B21:B" &amp; ROW()))-1,E158)</f>
        <v>-7.6929652107017299E-3</v>
      </c>
      <c r="F159" s="62">
        <f>表2_367162629303456[[#This Row],[累计净值]]-0.146</f>
        <v>1.0563</v>
      </c>
      <c r="G159" s="20">
        <f>表2_367162629303456[[#This Row],[累计净值]]/$B$21-1</f>
        <v>6.8806116099208836E-2</v>
      </c>
    </row>
    <row r="160" spans="1:9">
      <c r="A160" s="55">
        <v>43913</v>
      </c>
      <c r="B160" s="89">
        <v>1.1979</v>
      </c>
      <c r="C160" s="73">
        <f t="shared" si="42"/>
        <v>-4.3999999999999595E-3</v>
      </c>
      <c r="D160" s="18">
        <f t="shared" si="43"/>
        <v>-4.3999999999999595E-3</v>
      </c>
      <c r="E160" s="18">
        <f ca="1">IF(表2_367162629303456[[#This Row],[累计净值]]/MAX(INDIRECT("B21:B" &amp; ROW()))-1&lt;E159,表2_367162629303456[[#This Row],[累计净值]]/MAX(INDIRECT("B21:B" &amp; ROW()))-1,E159)</f>
        <v>-7.6929652107017299E-3</v>
      </c>
      <c r="F160" s="62">
        <f>表2_367162629303456[[#This Row],[累计净值]]-0.146</f>
        <v>1.0519000000000001</v>
      </c>
      <c r="G160" s="20">
        <f>表2_367162629303456[[#This Row],[累计净值]]/$B$21-1</f>
        <v>6.489465730287125E-2</v>
      </c>
    </row>
    <row r="161" spans="1:7">
      <c r="A161" s="55">
        <v>43914</v>
      </c>
      <c r="B161" s="89">
        <v>1.2004999999999999</v>
      </c>
      <c r="C161" s="73">
        <f t="shared" si="42"/>
        <v>2.5999999999999357E-3</v>
      </c>
      <c r="D161" s="18" t="str">
        <f t="shared" si="43"/>
        <v>/</v>
      </c>
      <c r="E161" s="18">
        <f ca="1">IF(表2_367162629303456[[#This Row],[累计净值]]/MAX(INDIRECT("B21:B" &amp; ROW()))-1&lt;E160,表2_367162629303456[[#This Row],[累计净值]]/MAX(INDIRECT("B21:B" &amp; ROW()))-1,E160)</f>
        <v>-7.6929652107017299E-3</v>
      </c>
      <c r="F161" s="62">
        <f>表2_367162629303456[[#This Row],[累计净值]]-0.146</f>
        <v>1.0545</v>
      </c>
      <c r="G161" s="20">
        <f>表2_367162629303456[[#This Row],[累计净值]]/$B$21-1</f>
        <v>6.7205973864343349E-2</v>
      </c>
    </row>
    <row r="162" spans="1:7">
      <c r="A162" s="55">
        <v>43915</v>
      </c>
      <c r="B162" s="89">
        <v>1.2009000000000001</v>
      </c>
      <c r="C162" s="73">
        <f t="shared" ref="C162:C167" si="44">IFERROR(B162-B161,0)</f>
        <v>4.0000000000017799E-4</v>
      </c>
      <c r="D162" s="18" t="str">
        <f t="shared" ref="D162:D167" si="45">IF(C162&lt;0,C162,"/")</f>
        <v>/</v>
      </c>
      <c r="E162" s="18">
        <f ca="1">IF(表2_367162629303456[[#This Row],[累计净值]]/MAX(INDIRECT("B21:B" &amp; ROW()))-1&lt;E161,表2_367162629303456[[#This Row],[累计净值]]/MAX(INDIRECT("B21:B" &amp; ROW()))-1,E161)</f>
        <v>-7.6929652107017299E-3</v>
      </c>
      <c r="F162" s="62">
        <f>表2_367162629303456[[#This Row],[累计净值]]-0.146</f>
        <v>1.0549000000000002</v>
      </c>
      <c r="G162" s="20">
        <f>表2_367162629303456[[#This Row],[累计净值]]/$B$21-1</f>
        <v>6.7561561027646988E-2</v>
      </c>
    </row>
    <row r="163" spans="1:7">
      <c r="A163" s="55">
        <v>43916</v>
      </c>
      <c r="B163" s="76">
        <v>1.2029000000000001</v>
      </c>
      <c r="C163" s="73">
        <f t="shared" si="44"/>
        <v>2.0000000000000018E-3</v>
      </c>
      <c r="D163" s="18" t="str">
        <f t="shared" si="45"/>
        <v>/</v>
      </c>
      <c r="E163" s="18">
        <f ca="1">IF(表2_367162629303456[[#This Row],[累计净值]]/MAX(INDIRECT("B21:B" &amp; ROW()))-1&lt;E162,表2_367162629303456[[#This Row],[累计净值]]/MAX(INDIRECT("B21:B" &amp; ROW()))-1,E162)</f>
        <v>-7.6929652107017299E-3</v>
      </c>
      <c r="F163" s="62">
        <f>表2_367162629303456[[#This Row],[累计净值]]-0.146</f>
        <v>1.0569000000000002</v>
      </c>
      <c r="G163" s="20">
        <f>表2_367162629303456[[#This Row],[累计净值]]/$B$21-1</f>
        <v>6.9339496844164072E-2</v>
      </c>
    </row>
    <row r="164" spans="1:7">
      <c r="A164" s="55">
        <v>43917</v>
      </c>
      <c r="B164" s="89">
        <v>1.2018</v>
      </c>
      <c r="C164" s="73">
        <f t="shared" si="44"/>
        <v>-1.1000000000001009E-3</v>
      </c>
      <c r="D164" s="18">
        <f t="shared" si="45"/>
        <v>-1.1000000000001009E-3</v>
      </c>
      <c r="E164" s="18">
        <f ca="1">IF(表2_367162629303456[[#This Row],[累计净值]]/MAX(INDIRECT("B21:B" &amp; ROW()))-1&lt;E163,表2_367162629303456[[#This Row],[累计净值]]/MAX(INDIRECT("B21:B" &amp; ROW()))-1,E163)</f>
        <v>-7.6929652107017299E-3</v>
      </c>
      <c r="F164" s="62">
        <f>表2_367162629303456[[#This Row],[累计净值]]-0.146</f>
        <v>1.0558000000000001</v>
      </c>
      <c r="G164" s="20">
        <f>表2_367162629303456[[#This Row],[累计净值]]/$B$21-1</f>
        <v>6.8361632145079509E-2</v>
      </c>
    </row>
    <row r="165" spans="1:7">
      <c r="A165" s="55">
        <v>43920</v>
      </c>
      <c r="B165" s="89">
        <v>1.2032</v>
      </c>
      <c r="C165" s="73">
        <f t="shared" si="44"/>
        <v>1.4000000000000679E-3</v>
      </c>
      <c r="D165" s="18" t="str">
        <f t="shared" si="45"/>
        <v>/</v>
      </c>
      <c r="E165" s="18">
        <f ca="1">IF(表2_367162629303456[[#This Row],[累计净值]]/MAX(INDIRECT("B21:B" &amp; ROW()))-1&lt;E164,表2_367162629303456[[#This Row],[累计净值]]/MAX(INDIRECT("B21:B" &amp; ROW()))-1,E164)</f>
        <v>-7.6929652107017299E-3</v>
      </c>
      <c r="F165" s="62">
        <f>表2_367162629303456[[#This Row],[累计净值]]-0.146</f>
        <v>1.0572000000000001</v>
      </c>
      <c r="G165" s="20">
        <f>表2_367162629303456[[#This Row],[累计净值]]/$B$21-1</f>
        <v>6.960618721664158E-2</v>
      </c>
    </row>
    <row r="166" spans="1:7">
      <c r="A166" s="55">
        <v>43921</v>
      </c>
      <c r="B166" s="89">
        <v>1.2045999999999999</v>
      </c>
      <c r="C166" s="73">
        <f t="shared" si="44"/>
        <v>1.3999999999998458E-3</v>
      </c>
      <c r="D166" s="18" t="str">
        <f t="shared" si="45"/>
        <v>/</v>
      </c>
      <c r="E166" s="18">
        <f ca="1">IF(表2_367162629303456[[#This Row],[累计净值]]/MAX(INDIRECT("B21:B" &amp; ROW()))-1&lt;E165,表2_367162629303456[[#This Row],[累计净值]]/MAX(INDIRECT("B21:B" &amp; ROW()))-1,E165)</f>
        <v>-7.6929652107017299E-3</v>
      </c>
      <c r="F166" s="62">
        <f>表2_367162629303456[[#This Row],[累计净值]]-0.146</f>
        <v>1.0586</v>
      </c>
      <c r="G166" s="20">
        <f>表2_367162629303456[[#This Row],[累计净值]]/$B$21-1</f>
        <v>7.0850742288203206E-2</v>
      </c>
    </row>
    <row r="167" spans="1:7">
      <c r="A167" s="55">
        <v>43922</v>
      </c>
      <c r="B167" s="89">
        <v>1.2050000000000001</v>
      </c>
      <c r="C167" s="73">
        <f t="shared" si="44"/>
        <v>4.0000000000017799E-4</v>
      </c>
      <c r="D167" s="18" t="str">
        <f t="shared" si="45"/>
        <v>/</v>
      </c>
      <c r="E167" s="18">
        <f ca="1">IF(表2_367162629303456[[#This Row],[累计净值]]/MAX(INDIRECT("B21:B" &amp; ROW()))-1&lt;E166,表2_367162629303456[[#This Row],[累计净值]]/MAX(INDIRECT("B21:B" &amp; ROW()))-1,E166)</f>
        <v>-7.6929652107017299E-3</v>
      </c>
      <c r="F167" s="62">
        <f>表2_367162629303456[[#This Row],[累计净值]]-0.146</f>
        <v>1.0590000000000002</v>
      </c>
      <c r="G167" s="20">
        <f>表2_367162629303456[[#This Row],[累计净值]]/$B$21-1</f>
        <v>7.1206329451506845E-2</v>
      </c>
    </row>
    <row r="168" spans="1:7">
      <c r="A168" s="55">
        <v>43923</v>
      </c>
      <c r="B168" s="76">
        <v>1.2074</v>
      </c>
      <c r="C168" s="73">
        <f t="shared" ref="C168:C173" si="46">IFERROR(B168-B167,0)</f>
        <v>2.3999999999999577E-3</v>
      </c>
      <c r="D168" s="18" t="str">
        <f t="shared" ref="D168:D173" si="47">IF(C168&lt;0,C168,"/")</f>
        <v>/</v>
      </c>
      <c r="E168" s="18">
        <f ca="1">IF(表2_367162629303456[[#This Row],[累计净值]]/MAX(INDIRECT("B21:B" &amp; ROW()))-1&lt;E167,表2_367162629303456[[#This Row],[累计净值]]/MAX(INDIRECT("B21:B" &amp; ROW()))-1,E167)</f>
        <v>-7.6929652107017299E-3</v>
      </c>
      <c r="F168" s="62">
        <f>表2_367162629303456[[#This Row],[累计净值]]-0.146</f>
        <v>1.0614000000000001</v>
      </c>
      <c r="G168" s="20">
        <f>表2_367162629303456[[#This Row],[累计净值]]/$B$21-1</f>
        <v>7.3339852431327346E-2</v>
      </c>
    </row>
    <row r="169" spans="1:7">
      <c r="A169" s="55">
        <v>43924</v>
      </c>
      <c r="B169" s="89">
        <v>1.2051000000000001</v>
      </c>
      <c r="C169" s="73">
        <f t="shared" si="46"/>
        <v>-2.2999999999999687E-3</v>
      </c>
      <c r="D169" s="18">
        <f t="shared" si="47"/>
        <v>-2.2999999999999687E-3</v>
      </c>
      <c r="E169" s="18">
        <f ca="1">IF(表2_367162629303456[[#This Row],[累计净值]]/MAX(INDIRECT("B21:B" &amp; ROW()))-1&lt;E168,表2_367162629303456[[#This Row],[累计净值]]/MAX(INDIRECT("B21:B" &amp; ROW()))-1,E168)</f>
        <v>-7.6929652107017299E-3</v>
      </c>
      <c r="F169" s="62">
        <f>表2_367162629303456[[#This Row],[累计净值]]-0.146</f>
        <v>1.0591000000000002</v>
      </c>
      <c r="G169" s="20">
        <f>表2_367162629303456[[#This Row],[累计净值]]/$B$21-1</f>
        <v>7.1295226242332754E-2</v>
      </c>
    </row>
    <row r="170" spans="1:7">
      <c r="A170" s="55">
        <v>43928</v>
      </c>
      <c r="B170" s="89">
        <v>1.2040999999999999</v>
      </c>
      <c r="C170" s="73">
        <f t="shared" si="46"/>
        <v>-1.0000000000001119E-3</v>
      </c>
      <c r="D170" s="18">
        <f t="shared" si="47"/>
        <v>-1.0000000000001119E-3</v>
      </c>
      <c r="E170" s="18">
        <f ca="1">IF(表2_367162629303456[[#This Row],[累计净值]]/MAX(INDIRECT("B21:B" &amp; ROW()))-1&lt;E169,表2_367162629303456[[#This Row],[累计净值]]/MAX(INDIRECT("B21:B" &amp; ROW()))-1,E169)</f>
        <v>-7.6929652107017299E-3</v>
      </c>
      <c r="F170" s="62">
        <f>表2_367162629303456[[#This Row],[累计净值]]-0.146</f>
        <v>1.0581</v>
      </c>
      <c r="G170" s="20">
        <f>表2_367162629303456[[#This Row],[累计净值]]/$B$21-1</f>
        <v>7.0406258334074101E-2</v>
      </c>
    </row>
    <row r="171" spans="1:7">
      <c r="A171" s="55">
        <v>43929</v>
      </c>
      <c r="B171" s="89">
        <v>1.2055</v>
      </c>
      <c r="C171" s="73">
        <f t="shared" si="46"/>
        <v>1.4000000000000679E-3</v>
      </c>
      <c r="D171" s="18" t="str">
        <f t="shared" si="47"/>
        <v>/</v>
      </c>
      <c r="E171" s="18">
        <f ca="1">IF(表2_367162629303456[[#This Row],[累计净值]]/MAX(INDIRECT("B21:B" &amp; ROW()))-1&lt;E170,表2_367162629303456[[#This Row],[累计净值]]/MAX(INDIRECT("B21:B" &amp; ROW()))-1,E170)</f>
        <v>-7.6929652107017299E-3</v>
      </c>
      <c r="F171" s="62">
        <f>表2_367162629303456[[#This Row],[累计净值]]-0.146</f>
        <v>1.0595000000000001</v>
      </c>
      <c r="G171" s="20">
        <f>表2_367162629303456[[#This Row],[累计净值]]/$B$21-1</f>
        <v>7.1650813405636171E-2</v>
      </c>
    </row>
    <row r="172" spans="1:7">
      <c r="A172" s="55">
        <v>43930</v>
      </c>
      <c r="B172" s="89">
        <v>1.2055</v>
      </c>
      <c r="C172" s="73">
        <f t="shared" si="46"/>
        <v>0</v>
      </c>
      <c r="D172" s="18" t="str">
        <f t="shared" si="47"/>
        <v>/</v>
      </c>
      <c r="E172" s="18">
        <f ca="1">IF(表2_367162629303456[[#This Row],[累计净值]]/MAX(INDIRECT("B21:B" &amp; ROW()))-1&lt;E171,表2_367162629303456[[#This Row],[累计净值]]/MAX(INDIRECT("B21:B" &amp; ROW()))-1,E171)</f>
        <v>-7.6929652107017299E-3</v>
      </c>
      <c r="F172" s="62">
        <f>表2_367162629303456[[#This Row],[累计净值]]-0.146</f>
        <v>1.0595000000000001</v>
      </c>
      <c r="G172" s="20">
        <f>表2_367162629303456[[#This Row],[累计净值]]/$B$21-1</f>
        <v>7.1650813405636171E-2</v>
      </c>
    </row>
    <row r="173" spans="1:7">
      <c r="A173" s="55">
        <v>43931</v>
      </c>
      <c r="B173" s="89">
        <v>1.2056</v>
      </c>
      <c r="C173" s="73">
        <f t="shared" si="46"/>
        <v>9.9999999999988987E-5</v>
      </c>
      <c r="D173" s="18" t="str">
        <f t="shared" si="47"/>
        <v>/</v>
      </c>
      <c r="E173" s="18">
        <f ca="1">IF(表2_367162629303456[[#This Row],[累计净值]]/MAX(INDIRECT("B21:B" &amp; ROW()))-1&lt;E172,表2_367162629303456[[#This Row],[累计净值]]/MAX(INDIRECT("B21:B" &amp; ROW()))-1,E172)</f>
        <v>-7.6929652107017299E-3</v>
      </c>
      <c r="F173" s="62">
        <f>表2_367162629303456[[#This Row],[累计净值]]-0.146</f>
        <v>1.0596000000000001</v>
      </c>
      <c r="G173" s="20">
        <f>表2_367162629303456[[#This Row],[累计净值]]/$B$21-1</f>
        <v>7.1739710196461859E-2</v>
      </c>
    </row>
    <row r="174" spans="1:7">
      <c r="A174" s="55">
        <v>43934</v>
      </c>
      <c r="B174" s="89">
        <v>1.2060999999999999</v>
      </c>
      <c r="C174" s="73">
        <f t="shared" ref="C174:C179" si="48">IFERROR(B174-B173,0)</f>
        <v>4.9999999999994493E-4</v>
      </c>
      <c r="D174" s="18" t="str">
        <f t="shared" ref="D174:D179" si="49">IF(C174&lt;0,C174,"/")</f>
        <v>/</v>
      </c>
      <c r="E174" s="18">
        <f ca="1">IF(表2_367162629303456[[#This Row],[累计净值]]/MAX(INDIRECT("B21:B" &amp; ROW()))-1&lt;E173,表2_367162629303456[[#This Row],[累计净值]]/MAX(INDIRECT("B21:B" &amp; ROW()))-1,E173)</f>
        <v>-7.6929652107017299E-3</v>
      </c>
      <c r="F174" s="62">
        <f>表2_367162629303456[[#This Row],[累计净值]]-0.146</f>
        <v>1.0601</v>
      </c>
      <c r="G174" s="20">
        <f>表2_367162629303456[[#This Row],[累计净值]]/$B$21-1</f>
        <v>7.2184194150591185E-2</v>
      </c>
    </row>
    <row r="175" spans="1:7">
      <c r="A175" s="55">
        <v>43935</v>
      </c>
      <c r="B175" s="76">
        <v>1.212</v>
      </c>
      <c r="C175" s="73">
        <f t="shared" si="48"/>
        <v>5.9000000000000163E-3</v>
      </c>
      <c r="D175" s="18" t="str">
        <f t="shared" si="49"/>
        <v>/</v>
      </c>
      <c r="E175" s="18">
        <f ca="1">IF(表2_367162629303456[[#This Row],[累计净值]]/MAX(INDIRECT("B21:B" &amp; ROW()))-1&lt;E174,表2_367162629303456[[#This Row],[累计净值]]/MAX(INDIRECT("B21:B" &amp; ROW()))-1,E174)</f>
        <v>-7.6929652107017299E-3</v>
      </c>
      <c r="F175" s="62">
        <f>表2_367162629303456[[#This Row],[累计净值]]-0.146</f>
        <v>1.0660000000000001</v>
      </c>
      <c r="G175" s="20">
        <f>表2_367162629303456[[#This Row],[累计净值]]/$B$21-1</f>
        <v>7.7429104809316307E-2</v>
      </c>
    </row>
    <row r="176" spans="1:7">
      <c r="A176" s="55">
        <v>43936</v>
      </c>
      <c r="B176" s="89">
        <v>1.2078</v>
      </c>
      <c r="C176" s="73">
        <f t="shared" si="48"/>
        <v>-4.1999999999999815E-3</v>
      </c>
      <c r="D176" s="18">
        <f t="shared" si="49"/>
        <v>-4.1999999999999815E-3</v>
      </c>
      <c r="E176" s="18">
        <f ca="1">IF(表2_367162629303456[[#This Row],[累计净值]]/MAX(INDIRECT("B21:B" &amp; ROW()))-1&lt;E175,表2_367162629303456[[#This Row],[累计净值]]/MAX(INDIRECT("B21:B" &amp; ROW()))-1,E175)</f>
        <v>-7.6929652107017299E-3</v>
      </c>
      <c r="F176" s="62">
        <f>表2_367162629303456[[#This Row],[累计净值]]-0.146</f>
        <v>1.0618000000000001</v>
      </c>
      <c r="G176" s="20">
        <f>表2_367162629303456[[#This Row],[累计净值]]/$B$21-1</f>
        <v>7.3695439594630541E-2</v>
      </c>
    </row>
    <row r="177" spans="1:7">
      <c r="A177" s="55">
        <v>43937</v>
      </c>
      <c r="B177" s="98">
        <v>1.2076</v>
      </c>
      <c r="C177" s="94">
        <f t="shared" si="48"/>
        <v>-1.9999999999997797E-4</v>
      </c>
      <c r="D177" s="95">
        <f t="shared" si="49"/>
        <v>-1.9999999999997797E-4</v>
      </c>
      <c r="E177" s="95">
        <f ca="1">IF(表2_367162629303456[[#This Row],[累计净值]]/MAX(INDIRECT("B21:B" &amp; ROW()))-1&lt;E176,表2_367162629303456[[#This Row],[累计净值]]/MAX(INDIRECT("B21:B" &amp; ROW()))-1,E176)</f>
        <v>-7.6929652107017299E-3</v>
      </c>
      <c r="F177" s="62">
        <f>表2_367162629303456[[#This Row],[累计净值]]-0.146</f>
        <v>1.0616000000000001</v>
      </c>
      <c r="G177" s="20">
        <f>表2_367162629303456[[#This Row],[累计净值]]/$B$21-1</f>
        <v>7.3517646012978943E-2</v>
      </c>
    </row>
    <row r="178" spans="1:7">
      <c r="A178" s="55">
        <v>43938</v>
      </c>
      <c r="B178" s="98">
        <v>1.2091000000000001</v>
      </c>
      <c r="C178" s="94">
        <f t="shared" si="48"/>
        <v>1.5000000000000568E-3</v>
      </c>
      <c r="D178" s="95" t="str">
        <f t="shared" si="49"/>
        <v>/</v>
      </c>
      <c r="E178" s="95">
        <f ca="1">IF(表2_367162629303456[[#This Row],[累计净值]]/MAX(INDIRECT("B21:B" &amp; ROW()))-1&lt;E177,表2_367162629303456[[#This Row],[累计净值]]/MAX(INDIRECT("B21:B" &amp; ROW()))-1,E177)</f>
        <v>-7.6929652107017299E-3</v>
      </c>
      <c r="F178" s="62">
        <f>表2_367162629303456[[#This Row],[累计净值]]-0.146</f>
        <v>1.0631000000000002</v>
      </c>
      <c r="G178" s="20">
        <f>表2_367162629303456[[#This Row],[累计净值]]/$B$21-1</f>
        <v>7.4851097875366701E-2</v>
      </c>
    </row>
    <row r="179" spans="1:7">
      <c r="A179" s="55">
        <v>43941</v>
      </c>
      <c r="B179" s="98">
        <v>1.2117</v>
      </c>
      <c r="C179" s="94">
        <f t="shared" si="48"/>
        <v>2.5999999999999357E-3</v>
      </c>
      <c r="D179" s="95" t="str">
        <f t="shared" si="49"/>
        <v>/</v>
      </c>
      <c r="E179" s="95">
        <f ca="1">IF(表2_367162629303456[[#This Row],[累计净值]]/MAX(INDIRECT("B21:B" &amp; ROW()))-1&lt;E178,表2_367162629303456[[#This Row],[累计净值]]/MAX(INDIRECT("B21:B" &amp; ROW()))-1,E178)</f>
        <v>-7.6929652107017299E-3</v>
      </c>
      <c r="F179" s="62">
        <f>表2_367162629303456[[#This Row],[累计净值]]-0.146</f>
        <v>1.0657000000000001</v>
      </c>
      <c r="G179" s="20">
        <f>表2_367162629303456[[#This Row],[累计净值]]/$B$21-1</f>
        <v>7.71624144368388E-2</v>
      </c>
    </row>
    <row r="180" spans="1:7">
      <c r="A180" s="55">
        <v>43942</v>
      </c>
      <c r="B180" s="98">
        <v>1.2129000000000001</v>
      </c>
      <c r="C180" s="94">
        <f t="shared" ref="C180:C185" si="50">IFERROR(B180-B179,0)</f>
        <v>1.2000000000000899E-3</v>
      </c>
      <c r="D180" s="95" t="str">
        <f t="shared" ref="D180:D185" si="51">IF(C180&lt;0,C180,"/")</f>
        <v>/</v>
      </c>
      <c r="E180" s="95">
        <f ca="1">IF(表2_367162629303456[[#This Row],[累计净值]]/MAX(INDIRECT("B21:B" &amp; ROW()))-1&lt;E179,表2_367162629303456[[#This Row],[累计净值]]/MAX(INDIRECT("B21:B" &amp; ROW()))-1,E179)</f>
        <v>-7.6929652107017299E-3</v>
      </c>
      <c r="F180" s="62">
        <f>表2_367162629303456[[#This Row],[累计净值]]-0.146</f>
        <v>1.0669000000000002</v>
      </c>
      <c r="G180" s="20">
        <f>表2_367162629303456[[#This Row],[累计净值]]/$B$21-1</f>
        <v>7.8229175926749051E-2</v>
      </c>
    </row>
    <row r="181" spans="1:7">
      <c r="A181" s="55">
        <v>43943</v>
      </c>
      <c r="B181" s="76">
        <v>1.2141</v>
      </c>
      <c r="C181" s="94">
        <f t="shared" si="50"/>
        <v>1.1999999999998678E-3</v>
      </c>
      <c r="D181" s="95" t="str">
        <f t="shared" si="51"/>
        <v>/</v>
      </c>
      <c r="E181" s="95">
        <f ca="1">IF(表2_367162629303456[[#This Row],[累计净值]]/MAX(INDIRECT("B21:B" &amp; ROW()))-1&lt;E180,表2_367162629303456[[#This Row],[累计净值]]/MAX(INDIRECT("B21:B" &amp; ROW()))-1,E180)</f>
        <v>-7.6929652107017299E-3</v>
      </c>
      <c r="F181" s="62">
        <f>表2_367162629303456[[#This Row],[累计净值]]-0.146</f>
        <v>1.0681</v>
      </c>
      <c r="G181" s="20">
        <f>表2_367162629303456[[#This Row],[累计净值]]/$B$21-1</f>
        <v>7.9295937416659301E-2</v>
      </c>
    </row>
    <row r="182" spans="1:7">
      <c r="A182" s="55">
        <v>43944</v>
      </c>
      <c r="B182" s="98">
        <v>1.2128000000000001</v>
      </c>
      <c r="C182" s="94">
        <f t="shared" si="50"/>
        <v>-1.2999999999998568E-3</v>
      </c>
      <c r="D182" s="95">
        <f t="shared" si="51"/>
        <v>-1.2999999999998568E-3</v>
      </c>
      <c r="E182" s="95">
        <f ca="1">IF(表2_367162629303456[[#This Row],[累计净值]]/MAX(INDIRECT("B21:B" &amp; ROW()))-1&lt;E181,表2_367162629303456[[#This Row],[累计净值]]/MAX(INDIRECT("B21:B" &amp; ROW()))-1,E181)</f>
        <v>-7.6929652107017299E-3</v>
      </c>
      <c r="F182" s="62">
        <f>表2_367162629303456[[#This Row],[累计净值]]-0.146</f>
        <v>1.0668000000000002</v>
      </c>
      <c r="G182" s="20">
        <f>表2_367162629303456[[#This Row],[累计净值]]/$B$21-1</f>
        <v>7.8140279135923363E-2</v>
      </c>
    </row>
    <row r="183" spans="1:7">
      <c r="A183" s="55">
        <v>43945</v>
      </c>
      <c r="B183" s="98">
        <v>1.2096</v>
      </c>
      <c r="C183" s="94">
        <f t="shared" si="50"/>
        <v>-3.2000000000000917E-3</v>
      </c>
      <c r="D183" s="95">
        <f t="shared" si="51"/>
        <v>-3.2000000000000917E-3</v>
      </c>
      <c r="E183" s="95">
        <f ca="1">IF(表2_367162629303456[[#This Row],[累计净值]]/MAX(INDIRECT("B21:B" &amp; ROW()))-1&lt;E182,表2_367162629303456[[#This Row],[累计净值]]/MAX(INDIRECT("B21:B" &amp; ROW()))-1,E182)</f>
        <v>-7.6929652107017299E-3</v>
      </c>
      <c r="F183" s="62">
        <f>表2_367162629303456[[#This Row],[累计净值]]-0.146</f>
        <v>1.0636000000000001</v>
      </c>
      <c r="G183" s="20">
        <f>表2_367162629303456[[#This Row],[累计净值]]/$B$21-1</f>
        <v>7.5295581829496028E-2</v>
      </c>
    </row>
    <row r="184" spans="1:7">
      <c r="A184" s="55">
        <v>43948</v>
      </c>
      <c r="B184" s="98">
        <v>1.2083999999999999</v>
      </c>
      <c r="C184" s="94">
        <f t="shared" si="50"/>
        <v>-1.2000000000000899E-3</v>
      </c>
      <c r="D184" s="95">
        <f t="shared" si="51"/>
        <v>-1.2000000000000899E-3</v>
      </c>
      <c r="E184" s="95">
        <f ca="1">IF(表2_367162629303456[[#This Row],[累计净值]]/MAX(INDIRECT("B21:B" &amp; ROW()))-1&lt;E183,表2_367162629303456[[#This Row],[累计净值]]/MAX(INDIRECT("B21:B" &amp; ROW()))-1,E183)</f>
        <v>-7.6929652107017299E-3</v>
      </c>
      <c r="F184" s="62">
        <f>表2_367162629303456[[#This Row],[累计净值]]-0.146</f>
        <v>1.0624</v>
      </c>
      <c r="G184" s="20">
        <f>表2_367162629303456[[#This Row],[累计净值]]/$B$21-1</f>
        <v>7.4228820339585555E-2</v>
      </c>
    </row>
    <row r="185" spans="1:7">
      <c r="A185" s="55">
        <v>43949</v>
      </c>
      <c r="B185" s="98">
        <v>1.2112000000000001</v>
      </c>
      <c r="C185" s="94">
        <f t="shared" si="50"/>
        <v>2.8000000000001357E-3</v>
      </c>
      <c r="D185" s="95" t="str">
        <f t="shared" si="51"/>
        <v>/</v>
      </c>
      <c r="E185" s="95">
        <f ca="1">IF(表2_367162629303456[[#This Row],[累计净值]]/MAX(INDIRECT("B21:B" &amp; ROW()))-1&lt;E184,表2_367162629303456[[#This Row],[累计净值]]/MAX(INDIRECT("B21:B" &amp; ROW()))-1,E184)</f>
        <v>-7.6929652107017299E-3</v>
      </c>
      <c r="F185" s="62">
        <f>表2_367162629303456[[#This Row],[累计净值]]-0.146</f>
        <v>1.0652000000000001</v>
      </c>
      <c r="G185" s="20">
        <f>表2_367162629303456[[#This Row],[累计净值]]/$B$21-1</f>
        <v>7.6717930482709695E-2</v>
      </c>
    </row>
    <row r="186" spans="1:7">
      <c r="A186" s="55">
        <v>43950</v>
      </c>
      <c r="B186" s="98">
        <v>1.2114</v>
      </c>
      <c r="C186" s="94">
        <f t="shared" ref="C186:C191" si="52">IFERROR(B186-B185,0)</f>
        <v>1.9999999999997797E-4</v>
      </c>
      <c r="D186" s="95" t="str">
        <f t="shared" ref="D186:D191" si="53">IF(C186&lt;0,C186,"/")</f>
        <v>/</v>
      </c>
      <c r="E186" s="95">
        <f ca="1">IF(表2_367162629303456[[#This Row],[累计净值]]/MAX(INDIRECT("B21:B" &amp; ROW()))-1&lt;E185,表2_367162629303456[[#This Row],[累计净值]]/MAX(INDIRECT("B21:B" &amp; ROW()))-1,E185)</f>
        <v>-7.6929652107017299E-3</v>
      </c>
      <c r="F186" s="62">
        <f>表2_367162629303456[[#This Row],[累计净值]]-0.146</f>
        <v>1.0654000000000001</v>
      </c>
      <c r="G186" s="20">
        <f>表2_367162629303456[[#This Row],[累计净值]]/$B$21-1</f>
        <v>7.6895724064361293E-2</v>
      </c>
    </row>
    <row r="187" spans="1:7">
      <c r="A187" s="55">
        <v>43951</v>
      </c>
      <c r="B187" s="98">
        <v>1.2071000000000001</v>
      </c>
      <c r="C187" s="94">
        <f t="shared" si="52"/>
        <v>-4.2999999999999705E-3</v>
      </c>
      <c r="D187" s="95">
        <f t="shared" si="53"/>
        <v>-4.2999999999999705E-3</v>
      </c>
      <c r="E187" s="95">
        <f ca="1">IF(表2_367162629303456[[#This Row],[累计净值]]/MAX(INDIRECT("B21:B" &amp; ROW()))-1&lt;E186,表2_367162629303456[[#This Row],[累计净值]]/MAX(INDIRECT("B21:B" &amp; ROW()))-1,E186)</f>
        <v>-7.6929652107017299E-3</v>
      </c>
      <c r="F187" s="62">
        <f>表2_367162629303456[[#This Row],[累计净值]]-0.146</f>
        <v>1.0611000000000002</v>
      </c>
      <c r="G187" s="20">
        <f>表2_367162629303456[[#This Row],[累计净值]]/$B$21-1</f>
        <v>7.3073162058849617E-2</v>
      </c>
    </row>
    <row r="188" spans="1:7">
      <c r="A188" s="55">
        <v>43957</v>
      </c>
      <c r="B188" s="98">
        <v>1.2104999999999999</v>
      </c>
      <c r="C188" s="94">
        <f t="shared" si="52"/>
        <v>3.3999999999998476E-3</v>
      </c>
      <c r="D188" s="95" t="str">
        <f t="shared" si="53"/>
        <v>/</v>
      </c>
      <c r="E188" s="95">
        <f ca="1">IF(表2_367162629303456[[#This Row],[累计净值]]/MAX(INDIRECT("B21:B" &amp; ROW()))-1&lt;E187,表2_367162629303456[[#This Row],[累计净值]]/MAX(INDIRECT("B21:B" &amp; ROW()))-1,E187)</f>
        <v>-7.6929652107017299E-3</v>
      </c>
      <c r="F188" s="62">
        <f>表2_367162629303456[[#This Row],[累计净值]]-0.146</f>
        <v>1.0645</v>
      </c>
      <c r="G188" s="20">
        <f>表2_367162629303456[[#This Row],[累计净值]]/$B$21-1</f>
        <v>7.6095652946928549E-2</v>
      </c>
    </row>
    <row r="189" spans="1:7">
      <c r="A189" s="55">
        <v>43958</v>
      </c>
      <c r="B189" s="104">
        <v>1.2099</v>
      </c>
      <c r="C189" s="101">
        <f t="shared" si="52"/>
        <v>-5.9999999999993392E-4</v>
      </c>
      <c r="D189" s="102">
        <f t="shared" si="53"/>
        <v>-5.9999999999993392E-4</v>
      </c>
      <c r="E189" s="102">
        <f ca="1">IF(表2_367162629303456[[#This Row],[累计净值]]/MAX(INDIRECT("B21:B" &amp; ROW()))-1&lt;E188,表2_367162629303456[[#This Row],[累计净值]]/MAX(INDIRECT("B21:B" &amp; ROW()))-1,E188)</f>
        <v>-7.6929652107017299E-3</v>
      </c>
      <c r="F189" s="62">
        <f>表2_367162629303456[[#This Row],[累计净值]]-0.146</f>
        <v>1.0639000000000001</v>
      </c>
      <c r="G189" s="20">
        <f>表2_367162629303456[[#This Row],[累计净值]]/$B$21-1</f>
        <v>7.5562272201973535E-2</v>
      </c>
    </row>
    <row r="190" spans="1:7">
      <c r="A190" s="55">
        <v>43959</v>
      </c>
      <c r="B190" s="104">
        <v>1.2103999999999999</v>
      </c>
      <c r="C190" s="101">
        <f t="shared" si="52"/>
        <v>4.9999999999994493E-4</v>
      </c>
      <c r="D190" s="102" t="str">
        <f t="shared" si="53"/>
        <v>/</v>
      </c>
      <c r="E190" s="102">
        <f ca="1">IF(表2_367162629303456[[#This Row],[累计净值]]/MAX(INDIRECT("B21:B" &amp; ROW()))-1&lt;E189,表2_367162629303456[[#This Row],[累计净值]]/MAX(INDIRECT("B21:B" &amp; ROW()))-1,E189)</f>
        <v>-7.6929652107017299E-3</v>
      </c>
      <c r="F190" s="62">
        <f>表2_367162629303456[[#This Row],[累计净值]]-0.146</f>
        <v>1.0644</v>
      </c>
      <c r="G190" s="20">
        <f>表2_367162629303456[[#This Row],[累计净值]]/$B$21-1</f>
        <v>7.6006756156102639E-2</v>
      </c>
    </row>
    <row r="191" spans="1:7">
      <c r="A191" s="55">
        <v>43962</v>
      </c>
      <c r="B191" s="63">
        <v>1.2111000000000001</v>
      </c>
      <c r="C191" s="64">
        <f t="shared" si="52"/>
        <v>7.0000000000014495E-4</v>
      </c>
      <c r="D191" s="65" t="str">
        <f t="shared" si="53"/>
        <v>/</v>
      </c>
      <c r="E191" s="65">
        <f ca="1">IF(表2_367162629303456[[#This Row],[累计净值]]/MAX(INDIRECT("B21:B" &amp; ROW()))-1&lt;E190,表2_367162629303456[[#This Row],[累计净值]]/MAX(INDIRECT("B21:B" &amp; ROW()))-1,E190)</f>
        <v>-7.6929652107017299E-3</v>
      </c>
      <c r="F191" s="62">
        <f>表2_367162629303456[[#This Row],[累计净值]]-0.146</f>
        <v>1.0651000000000002</v>
      </c>
      <c r="G191" s="20">
        <f>表2_367162629303456[[#This Row],[累计净值]]/$B$21-1</f>
        <v>7.6629033691883786E-2</v>
      </c>
    </row>
    <row r="192" spans="1:7">
      <c r="A192" s="55">
        <v>43963</v>
      </c>
      <c r="B192" s="104">
        <v>1.2129000000000001</v>
      </c>
      <c r="C192" s="101">
        <f t="shared" ref="C192:C197" si="54">IFERROR(B192-B191,0)</f>
        <v>1.8000000000000238E-3</v>
      </c>
      <c r="D192" s="102" t="str">
        <f t="shared" ref="D192:D197" si="55">IF(C192&lt;0,C192,"/")</f>
        <v>/</v>
      </c>
      <c r="E192" s="102">
        <f ca="1">IF(表2_367162629303456[[#This Row],[累计净值]]/MAX(INDIRECT("B21:B" &amp; ROW()))-1&lt;E191,表2_367162629303456[[#This Row],[累计净值]]/MAX(INDIRECT("B21:B" &amp; ROW()))-1,E191)</f>
        <v>-7.6929652107017299E-3</v>
      </c>
      <c r="F192" s="62">
        <f>表2_367162629303456[[#This Row],[累计净值]]-0.146</f>
        <v>1.0669000000000002</v>
      </c>
      <c r="G192" s="20">
        <f>表2_367162629303456[[#This Row],[累计净值]]/$B$21-1</f>
        <v>7.8229175926749051E-2</v>
      </c>
    </row>
    <row r="193" spans="1:7">
      <c r="A193" s="55">
        <v>43964</v>
      </c>
      <c r="B193" s="104">
        <v>1.2122999999999999</v>
      </c>
      <c r="C193" s="101">
        <f t="shared" si="54"/>
        <v>-6.0000000000015596E-4</v>
      </c>
      <c r="D193" s="102">
        <f t="shared" si="55"/>
        <v>-6.0000000000015596E-4</v>
      </c>
      <c r="E193" s="102">
        <f ca="1">IF(表2_367162629303456[[#This Row],[累计净值]]/MAX(INDIRECT("B21:B" &amp; ROW()))-1&lt;E192,表2_367162629303456[[#This Row],[累计净值]]/MAX(INDIRECT("B21:B" &amp; ROW()))-1,E192)</f>
        <v>-7.6929652107017299E-3</v>
      </c>
      <c r="F193" s="62">
        <f>表2_367162629303456[[#This Row],[累计净值]]-0.146</f>
        <v>1.0663</v>
      </c>
      <c r="G193" s="20">
        <f>表2_367162629303456[[#This Row],[累计净值]]/$B$21-1</f>
        <v>7.7695795181793814E-2</v>
      </c>
    </row>
    <row r="194" spans="1:7">
      <c r="A194" s="55">
        <v>43965</v>
      </c>
      <c r="B194" s="104">
        <v>1.2109000000000001</v>
      </c>
      <c r="C194" s="101">
        <f t="shared" si="54"/>
        <v>-1.3999999999998458E-3</v>
      </c>
      <c r="D194" s="102">
        <f t="shared" si="55"/>
        <v>-1.3999999999998458E-3</v>
      </c>
      <c r="E194" s="102">
        <f ca="1">IF(表2_367162629303456[[#This Row],[累计净值]]/MAX(INDIRECT("B21:B" &amp; ROW()))-1&lt;E193,表2_367162629303456[[#This Row],[累计净值]]/MAX(INDIRECT("B21:B" &amp; ROW()))-1,E193)</f>
        <v>-7.6929652107017299E-3</v>
      </c>
      <c r="F194" s="62">
        <f>表2_367162629303456[[#This Row],[累计净值]]-0.146</f>
        <v>1.0649000000000002</v>
      </c>
      <c r="G194" s="20">
        <f>表2_367162629303456[[#This Row],[累计净值]]/$B$21-1</f>
        <v>7.6451240110232188E-2</v>
      </c>
    </row>
    <row r="195" spans="1:7">
      <c r="A195" s="55">
        <v>43966</v>
      </c>
      <c r="B195" s="104">
        <v>1.2108000000000001</v>
      </c>
      <c r="C195" s="101">
        <f t="shared" si="54"/>
        <v>-9.9999999999988987E-5</v>
      </c>
      <c r="D195" s="102">
        <f t="shared" si="55"/>
        <v>-9.9999999999988987E-5</v>
      </c>
      <c r="E195" s="102">
        <f ca="1">IF(表2_367162629303456[[#This Row],[累计净值]]/MAX(INDIRECT("B21:B" &amp; ROW()))-1&lt;E194,表2_367162629303456[[#This Row],[累计净值]]/MAX(INDIRECT("B21:B" &amp; ROW()))-1,E194)</f>
        <v>-7.6929652107017299E-3</v>
      </c>
      <c r="F195" s="62">
        <f>表2_367162629303456[[#This Row],[累计净值]]-0.146</f>
        <v>1.0648000000000002</v>
      </c>
      <c r="G195" s="20">
        <f>表2_367162629303456[[#This Row],[累计净值]]/$B$21-1</f>
        <v>7.6362343319406278E-2</v>
      </c>
    </row>
    <row r="196" spans="1:7">
      <c r="A196" s="55">
        <v>43969</v>
      </c>
      <c r="B196" s="104">
        <v>1.2087000000000001</v>
      </c>
      <c r="C196" s="101">
        <f t="shared" si="54"/>
        <v>-2.0999999999999908E-3</v>
      </c>
      <c r="D196" s="102">
        <f t="shared" si="55"/>
        <v>-2.0999999999999908E-3</v>
      </c>
      <c r="E196" s="102">
        <f ca="1">IF(表2_367162629303456[[#This Row],[累计净值]]/MAX(INDIRECT("B21:B" &amp; ROW()))-1&lt;E195,表2_367162629303456[[#This Row],[累计净值]]/MAX(INDIRECT("B21:B" &amp; ROW()))-1,E195)</f>
        <v>-7.6929652107017299E-3</v>
      </c>
      <c r="F196" s="62">
        <f>表2_367162629303456[[#This Row],[累计净值]]-0.146</f>
        <v>1.0627000000000002</v>
      </c>
      <c r="G196" s="20">
        <f>表2_367162629303456[[#This Row],[累计净值]]/$B$21-1</f>
        <v>7.4495510712063284E-2</v>
      </c>
    </row>
    <row r="197" spans="1:7">
      <c r="A197" s="55">
        <v>43970</v>
      </c>
      <c r="B197" s="104">
        <v>1.2119</v>
      </c>
      <c r="C197" s="101">
        <f t="shared" si="54"/>
        <v>3.1999999999998696E-3</v>
      </c>
      <c r="D197" s="102" t="str">
        <f t="shared" si="55"/>
        <v>/</v>
      </c>
      <c r="E197" s="102">
        <f ca="1">IF(表2_367162629303456[[#This Row],[累计净值]]/MAX(INDIRECT("B21:B" &amp; ROW()))-1&lt;E196,表2_367162629303456[[#This Row],[累计净值]]/MAX(INDIRECT("B21:B" &amp; ROW()))-1,E196)</f>
        <v>-7.6929652107017299E-3</v>
      </c>
      <c r="F197" s="62">
        <f>表2_367162629303456[[#This Row],[累计净值]]-0.146</f>
        <v>1.0659000000000001</v>
      </c>
      <c r="G197" s="20">
        <f>表2_367162629303456[[#This Row],[累计净值]]/$B$21-1</f>
        <v>7.7340208018490397E-2</v>
      </c>
    </row>
    <row r="198" spans="1:7">
      <c r="A198" s="55">
        <v>43971</v>
      </c>
      <c r="B198" s="104">
        <v>1.2107000000000001</v>
      </c>
      <c r="C198" s="101">
        <f t="shared" ref="C198:C203" si="56">IFERROR(B198-B197,0)</f>
        <v>-1.1999999999998678E-3</v>
      </c>
      <c r="D198" s="102">
        <f t="shared" ref="D198:D203" si="57">IF(C198&lt;0,C198,"/")</f>
        <v>-1.1999999999998678E-3</v>
      </c>
      <c r="E198" s="102">
        <f ca="1">IF(表2_367162629303456[[#This Row],[累计净值]]/MAX(INDIRECT("B21:B" &amp; ROW()))-1&lt;E197,表2_367162629303456[[#This Row],[累计净值]]/MAX(INDIRECT("B21:B" &amp; ROW()))-1,E197)</f>
        <v>-7.6929652107017299E-3</v>
      </c>
      <c r="F198" s="62">
        <f>表2_367162629303456[[#This Row],[累计净值]]-0.146</f>
        <v>1.0647000000000002</v>
      </c>
      <c r="G198" s="20">
        <f>表2_367162629303456[[#This Row],[累计净值]]/$B$21-1</f>
        <v>7.6273446528580369E-2</v>
      </c>
    </row>
    <row r="199" spans="1:7">
      <c r="A199" s="55">
        <v>43972</v>
      </c>
      <c r="B199" s="104">
        <v>1.2104999999999999</v>
      </c>
      <c r="C199" s="101">
        <f t="shared" si="56"/>
        <v>-2.0000000000020002E-4</v>
      </c>
      <c r="D199" s="102">
        <f t="shared" si="57"/>
        <v>-2.0000000000020002E-4</v>
      </c>
      <c r="E199" s="102">
        <f ca="1">IF(表2_367162629303456[[#This Row],[累计净值]]/MAX(INDIRECT("B21:B" &amp; ROW()))-1&lt;E198,表2_367162629303456[[#This Row],[累计净值]]/MAX(INDIRECT("B21:B" &amp; ROW()))-1,E198)</f>
        <v>-7.6929652107017299E-3</v>
      </c>
      <c r="F199" s="62">
        <f>表2_367162629303456[[#This Row],[累计净值]]-0.146</f>
        <v>1.0645</v>
      </c>
      <c r="G199" s="20">
        <f>表2_367162629303456[[#This Row],[累计净值]]/$B$21-1</f>
        <v>7.6095652946928549E-2</v>
      </c>
    </row>
    <row r="200" spans="1:7">
      <c r="A200" s="55">
        <v>43973</v>
      </c>
      <c r="B200" s="112">
        <v>1.2102999999999999</v>
      </c>
      <c r="C200" s="108">
        <f t="shared" si="56"/>
        <v>-1.9999999999997797E-4</v>
      </c>
      <c r="D200" s="109">
        <f t="shared" si="57"/>
        <v>-1.9999999999997797E-4</v>
      </c>
      <c r="E200" s="109">
        <f ca="1">IF(表2_367162629303456[[#This Row],[累计净值]]/MAX(INDIRECT("B21:B" &amp; ROW()))-1&lt;E199,表2_367162629303456[[#This Row],[累计净值]]/MAX(INDIRECT("B21:B" &amp; ROW()))-1,E199)</f>
        <v>-7.6929652107017299E-3</v>
      </c>
      <c r="F200" s="62">
        <f>表2_367162629303456[[#This Row],[累计净值]]-0.146</f>
        <v>1.0643</v>
      </c>
      <c r="G200" s="20">
        <f>表2_367162629303456[[#This Row],[累计净值]]/$B$21-1</f>
        <v>7.5917859365276952E-2</v>
      </c>
    </row>
    <row r="201" spans="1:7">
      <c r="A201" s="55">
        <v>43976</v>
      </c>
      <c r="B201" s="112">
        <v>1.2125999999999999</v>
      </c>
      <c r="C201" s="108">
        <f t="shared" si="56"/>
        <v>2.2999999999999687E-3</v>
      </c>
      <c r="D201" s="109" t="str">
        <f t="shared" si="57"/>
        <v>/</v>
      </c>
      <c r="E201" s="109">
        <f ca="1">IF(表2_367162629303456[[#This Row],[累计净值]]/MAX(INDIRECT("B21:B" &amp; ROW()))-1&lt;E200,表2_367162629303456[[#This Row],[累计净值]]/MAX(INDIRECT("B21:B" &amp; ROW()))-1,E200)</f>
        <v>-7.6929652107017299E-3</v>
      </c>
      <c r="F201" s="62">
        <f>表2_367162629303456[[#This Row],[累计净值]]-0.146</f>
        <v>1.0666</v>
      </c>
      <c r="G201" s="20">
        <f>表2_367162629303456[[#This Row],[累计净值]]/$B$21-1</f>
        <v>7.7962485554271321E-2</v>
      </c>
    </row>
    <row r="202" spans="1:7">
      <c r="A202" s="55">
        <v>43977</v>
      </c>
      <c r="B202" s="112">
        <v>1.2148000000000001</v>
      </c>
      <c r="C202" s="108">
        <f t="shared" si="56"/>
        <v>2.2000000000002018E-3</v>
      </c>
      <c r="D202" s="109" t="str">
        <f t="shared" si="57"/>
        <v>/</v>
      </c>
      <c r="E202" s="109">
        <f ca="1">IF(表2_367162629303456[[#This Row],[累计净值]]/MAX(INDIRECT("B21:B" &amp; ROW()))-1&lt;E201,表2_367162629303456[[#This Row],[累计净值]]/MAX(INDIRECT("B21:B" &amp; ROW()))-1,E201)</f>
        <v>-7.6929652107017299E-3</v>
      </c>
      <c r="F202" s="62">
        <f>表2_367162629303456[[#This Row],[累计净值]]-0.146</f>
        <v>1.0688000000000002</v>
      </c>
      <c r="G202" s="20">
        <f>表2_367162629303456[[#This Row],[累计净值]]/$B$21-1</f>
        <v>7.9918214952440225E-2</v>
      </c>
    </row>
    <row r="203" spans="1:7">
      <c r="A203" s="55">
        <v>43978</v>
      </c>
      <c r="B203" s="112">
        <v>1.2134</v>
      </c>
      <c r="C203" s="108">
        <f t="shared" si="56"/>
        <v>-1.4000000000000679E-3</v>
      </c>
      <c r="D203" s="109">
        <f t="shared" si="57"/>
        <v>-1.4000000000000679E-3</v>
      </c>
      <c r="E203" s="109">
        <f ca="1">IF(表2_367162629303456[[#This Row],[累计净值]]/MAX(INDIRECT("B21:B" &amp; ROW()))-1&lt;E202,表2_367162629303456[[#This Row],[累计净值]]/MAX(INDIRECT("B21:B" &amp; ROW()))-1,E202)</f>
        <v>-7.6929652107017299E-3</v>
      </c>
      <c r="F203" s="62">
        <f>表2_367162629303456[[#This Row],[累计净值]]-0.146</f>
        <v>1.0674000000000001</v>
      </c>
      <c r="G203" s="20">
        <f>表2_367162629303456[[#This Row],[累计净值]]/$B$21-1</f>
        <v>7.8673659880878377E-2</v>
      </c>
    </row>
    <row r="204" spans="1:7">
      <c r="A204" s="55">
        <v>43979</v>
      </c>
      <c r="B204" s="112">
        <v>1.214</v>
      </c>
      <c r="C204" s="108">
        <f t="shared" ref="C204:C209" si="58">IFERROR(B204-B203,0)</f>
        <v>5.9999999999993392E-4</v>
      </c>
      <c r="D204" s="109" t="str">
        <f t="shared" ref="D204:D209" si="59">IF(C204&lt;0,C204,"/")</f>
        <v>/</v>
      </c>
      <c r="E204" s="109">
        <f ca="1">IF(表2_367162629303456[[#This Row],[累计净值]]/MAX(INDIRECT("B21:B" &amp; ROW()))-1&lt;E203,表2_367162629303456[[#This Row],[累计净值]]/MAX(INDIRECT("B21:B" &amp; ROW()))-1,E203)</f>
        <v>-7.6929652107017299E-3</v>
      </c>
      <c r="F204" s="62">
        <f>表2_367162629303456[[#This Row],[累计净值]]-0.146</f>
        <v>1.0680000000000001</v>
      </c>
      <c r="G204" s="20">
        <f>表2_367162629303456[[#This Row],[累计净值]]/$B$21-1</f>
        <v>7.9207040625833391E-2</v>
      </c>
    </row>
    <row r="205" spans="1:7">
      <c r="A205" s="55">
        <v>43980</v>
      </c>
      <c r="B205" s="76">
        <v>1.216</v>
      </c>
      <c r="C205" s="108">
        <f t="shared" si="58"/>
        <v>2.0000000000000018E-3</v>
      </c>
      <c r="D205" s="109" t="str">
        <f t="shared" si="59"/>
        <v>/</v>
      </c>
      <c r="E205" s="109">
        <f ca="1">IF(表2_367162629303456[[#This Row],[累计净值]]/MAX(INDIRECT("B21:B" &amp; ROW()))-1&lt;E204,表2_367162629303456[[#This Row],[累计净值]]/MAX(INDIRECT("B21:B" &amp; ROW()))-1,E204)</f>
        <v>-7.6929652107017299E-3</v>
      </c>
      <c r="F205" s="62">
        <f>表2_367162629303456[[#This Row],[累计净值]]-0.146</f>
        <v>1.07</v>
      </c>
      <c r="G205" s="20">
        <f>表2_367162629303456[[#This Row],[累计净值]]/$B$21-1</f>
        <v>8.0984976442350476E-2</v>
      </c>
    </row>
    <row r="206" spans="1:7">
      <c r="A206" s="55">
        <v>43983</v>
      </c>
      <c r="B206" s="112">
        <v>1.2135</v>
      </c>
      <c r="C206" s="108">
        <f t="shared" si="58"/>
        <v>-2.4999999999999467E-3</v>
      </c>
      <c r="D206" s="109">
        <f t="shared" si="59"/>
        <v>-2.4999999999999467E-3</v>
      </c>
      <c r="E206" s="109">
        <f ca="1">IF(表2_367162629303456[[#This Row],[累计净值]]/MAX(INDIRECT("B21:B" &amp; ROW()))-1&lt;E205,表2_367162629303456[[#This Row],[累计净值]]/MAX(INDIRECT("B21:B" &amp; ROW()))-1,E205)</f>
        <v>-7.6929652107017299E-3</v>
      </c>
      <c r="F206" s="62">
        <f>表2_367162629303456[[#This Row],[累计净值]]-0.146</f>
        <v>1.0675000000000001</v>
      </c>
      <c r="G206" s="20">
        <f>表2_367162629303456[[#This Row],[累计净值]]/$B$21-1</f>
        <v>7.8762556671704065E-2</v>
      </c>
    </row>
    <row r="207" spans="1:7">
      <c r="A207" s="55">
        <v>43984</v>
      </c>
      <c r="B207" s="112">
        <v>1.2128000000000001</v>
      </c>
      <c r="C207" s="108">
        <f t="shared" si="58"/>
        <v>-6.9999999999992291E-4</v>
      </c>
      <c r="D207" s="109">
        <f t="shared" si="59"/>
        <v>-6.9999999999992291E-4</v>
      </c>
      <c r="E207" s="109">
        <f ca="1">IF(表2_367162629303456[[#This Row],[累计净值]]/MAX(INDIRECT("B21:B" &amp; ROW()))-1&lt;E206,表2_367162629303456[[#This Row],[累计净值]]/MAX(INDIRECT("B21:B" &amp; ROW()))-1,E206)</f>
        <v>-7.6929652107017299E-3</v>
      </c>
      <c r="F207" s="62">
        <f>表2_367162629303456[[#This Row],[累计净值]]-0.146</f>
        <v>1.0668000000000002</v>
      </c>
      <c r="G207" s="20">
        <f>表2_367162629303456[[#This Row],[累计净值]]/$B$21-1</f>
        <v>7.8140279135923363E-2</v>
      </c>
    </row>
    <row r="208" spans="1:7">
      <c r="A208" s="55">
        <v>43985</v>
      </c>
      <c r="B208" s="112">
        <v>1.2121</v>
      </c>
      <c r="C208" s="108">
        <f t="shared" si="58"/>
        <v>-7.0000000000014495E-4</v>
      </c>
      <c r="D208" s="109">
        <f t="shared" si="59"/>
        <v>-7.0000000000014495E-4</v>
      </c>
      <c r="E208" s="109">
        <f ca="1">IF(表2_367162629303456[[#This Row],[累计净值]]/MAX(INDIRECT("B21:B" &amp; ROW()))-1&lt;E207,表2_367162629303456[[#This Row],[累计净值]]/MAX(INDIRECT("B21:B" &amp; ROW()))-1,E207)</f>
        <v>-7.6929652107017299E-3</v>
      </c>
      <c r="F208" s="62">
        <f>表2_367162629303456[[#This Row],[累计净值]]-0.146</f>
        <v>1.0661</v>
      </c>
      <c r="G208" s="20">
        <f>表2_367162629303456[[#This Row],[累计净值]]/$B$21-1</f>
        <v>7.7518001600142217E-2</v>
      </c>
    </row>
    <row r="209" spans="1:7">
      <c r="A209" s="55">
        <v>43986</v>
      </c>
      <c r="B209" s="112">
        <v>1.2138</v>
      </c>
      <c r="C209" s="108">
        <f t="shared" si="58"/>
        <v>1.7000000000000348E-3</v>
      </c>
      <c r="D209" s="109" t="str">
        <f t="shared" si="59"/>
        <v>/</v>
      </c>
      <c r="E209" s="109">
        <f ca="1">IF(表2_367162629303456[[#This Row],[累计净值]]/MAX(INDIRECT("B21:B" &amp; ROW()))-1&lt;E208,表2_367162629303456[[#This Row],[累计净值]]/MAX(INDIRECT("B21:B" &amp; ROW()))-1,E208)</f>
        <v>-7.6929652107017299E-3</v>
      </c>
      <c r="F209" s="62">
        <f>表2_367162629303456[[#This Row],[累计净值]]-0.146</f>
        <v>1.0678000000000001</v>
      </c>
      <c r="G209" s="20">
        <f>表2_367162629303456[[#This Row],[累计净值]]/$B$21-1</f>
        <v>7.9029247044181794E-2</v>
      </c>
    </row>
    <row r="210" spans="1:7">
      <c r="A210" s="55">
        <v>43987</v>
      </c>
      <c r="B210" s="112">
        <v>1.2154</v>
      </c>
      <c r="C210" s="108">
        <f t="shared" ref="C210:C215" si="60">IFERROR(B210-B209,0)</f>
        <v>1.6000000000000458E-3</v>
      </c>
      <c r="D210" s="109" t="str">
        <f t="shared" ref="D210:D215" si="61">IF(C210&lt;0,C210,"/")</f>
        <v>/</v>
      </c>
      <c r="E210" s="109">
        <f ca="1">IF(表2_367162629303456[[#This Row],[累计净值]]/MAX(INDIRECT("B21:B" &amp; ROW()))-1&lt;E209,表2_367162629303456[[#This Row],[累计净值]]/MAX(INDIRECT("B21:B" &amp; ROW()))-1,E209)</f>
        <v>-7.6929652107017299E-3</v>
      </c>
      <c r="F210" s="62">
        <f>表2_367162629303456[[#This Row],[累计净值]]-0.146</f>
        <v>1.0694000000000001</v>
      </c>
      <c r="G210" s="20">
        <f>表2_367162629303456[[#This Row],[累计净值]]/$B$21-1</f>
        <v>8.045159569739524E-2</v>
      </c>
    </row>
    <row r="211" spans="1:7">
      <c r="A211" s="55">
        <v>43990</v>
      </c>
      <c r="B211" s="112">
        <v>1.2168000000000001</v>
      </c>
      <c r="C211" s="108">
        <f t="shared" si="60"/>
        <v>1.4000000000000679E-3</v>
      </c>
      <c r="D211" s="109" t="str">
        <f t="shared" si="61"/>
        <v>/</v>
      </c>
      <c r="E211" s="109">
        <f ca="1">IF(表2_367162629303456[[#This Row],[累计净值]]/MAX(INDIRECT("B21:B" &amp; ROW()))-1&lt;E210,表2_367162629303456[[#This Row],[累计净值]]/MAX(INDIRECT("B21:B" &amp; ROW()))-1,E210)</f>
        <v>-7.6929652107017299E-3</v>
      </c>
      <c r="F211" s="62">
        <f>表2_367162629303456[[#This Row],[累计净值]]-0.146</f>
        <v>1.0708000000000002</v>
      </c>
      <c r="G211" s="20">
        <f>表2_367162629303456[[#This Row],[累计净值]]/$B$21-1</f>
        <v>8.169615076895731E-2</v>
      </c>
    </row>
    <row r="212" spans="1:7">
      <c r="A212" s="55">
        <v>43991</v>
      </c>
      <c r="B212" s="112">
        <v>1.2177</v>
      </c>
      <c r="C212" s="108">
        <f t="shared" si="60"/>
        <v>8.9999999999990088E-4</v>
      </c>
      <c r="D212" s="109" t="str">
        <f t="shared" si="61"/>
        <v>/</v>
      </c>
      <c r="E212" s="109">
        <f ca="1">IF(表2_367162629303456[[#This Row],[累计净值]]/MAX(INDIRECT("B21:B" &amp; ROW()))-1&lt;E211,表2_367162629303456[[#This Row],[累计净值]]/MAX(INDIRECT("B21:B" &amp; ROW()))-1,E211)</f>
        <v>-7.6929652107017299E-3</v>
      </c>
      <c r="F212" s="62">
        <f>表2_367162629303456[[#This Row],[累计净值]]-0.146</f>
        <v>1.0717000000000001</v>
      </c>
      <c r="G212" s="20">
        <f>表2_367162629303456[[#This Row],[累计净值]]/$B$21-1</f>
        <v>8.2496221886389831E-2</v>
      </c>
    </row>
    <row r="213" spans="1:7">
      <c r="A213" s="55">
        <v>43992</v>
      </c>
      <c r="B213" s="112">
        <v>1.2191000000000001</v>
      </c>
      <c r="C213" s="108">
        <f t="shared" si="60"/>
        <v>1.4000000000000679E-3</v>
      </c>
      <c r="D213" s="109" t="str">
        <f t="shared" si="61"/>
        <v>/</v>
      </c>
      <c r="E213" s="109">
        <f ca="1">IF(表2_367162629303456[[#This Row],[累计净值]]/MAX(INDIRECT("B21:B" &amp; ROW()))-1&lt;E212,表2_367162629303456[[#This Row],[累计净值]]/MAX(INDIRECT("B21:B" &amp; ROW()))-1,E212)</f>
        <v>-7.6929652107017299E-3</v>
      </c>
      <c r="F213" s="62">
        <f>表2_367162629303456[[#This Row],[累计净值]]-0.146</f>
        <v>1.0731000000000002</v>
      </c>
      <c r="G213" s="20">
        <f>表2_367162629303456[[#This Row],[累计净值]]/$B$21-1</f>
        <v>8.3740776957951901E-2</v>
      </c>
    </row>
    <row r="214" spans="1:7">
      <c r="A214" s="55">
        <v>43993</v>
      </c>
      <c r="B214" s="112">
        <v>1.2232000000000001</v>
      </c>
      <c r="C214" s="108">
        <f t="shared" si="60"/>
        <v>4.0999999999999925E-3</v>
      </c>
      <c r="D214" s="109" t="str">
        <f t="shared" si="61"/>
        <v>/</v>
      </c>
      <c r="E214" s="109">
        <f ca="1">IF(表2_367162629303456[[#This Row],[累计净值]]/MAX(INDIRECT("B21:B" &amp; ROW()))-1&lt;E213,表2_367162629303456[[#This Row],[累计净值]]/MAX(INDIRECT("B21:B" &amp; ROW()))-1,E213)</f>
        <v>-7.6929652107017299E-3</v>
      </c>
      <c r="F214" s="62">
        <f>表2_367162629303456[[#This Row],[累计净值]]-0.146</f>
        <v>1.0772000000000002</v>
      </c>
      <c r="G214" s="20">
        <f>表2_367162629303456[[#This Row],[累计净值]]/$B$21-1</f>
        <v>8.7385545381811758E-2</v>
      </c>
    </row>
    <row r="215" spans="1:7">
      <c r="A215" s="55">
        <v>43994</v>
      </c>
      <c r="B215" s="112">
        <v>1.2223999999999999</v>
      </c>
      <c r="C215" s="108">
        <f t="shared" si="60"/>
        <v>-8.0000000000013394E-4</v>
      </c>
      <c r="D215" s="109">
        <f t="shared" si="61"/>
        <v>-8.0000000000013394E-4</v>
      </c>
      <c r="E215" s="109">
        <f ca="1">IF(表2_367162629303456[[#This Row],[累计净值]]/MAX(INDIRECT("B21:B" &amp; ROW()))-1&lt;E214,表2_367162629303456[[#This Row],[累计净值]]/MAX(INDIRECT("B21:B" &amp; ROW()))-1,E214)</f>
        <v>-7.6929652107017299E-3</v>
      </c>
      <c r="F215" s="62">
        <f>表2_367162629303456[[#This Row],[累计净值]]-0.146</f>
        <v>1.0764</v>
      </c>
      <c r="G215" s="20">
        <f>表2_367162629303456[[#This Row],[累计净值]]/$B$21-1</f>
        <v>8.6674371055204924E-2</v>
      </c>
    </row>
    <row r="216" spans="1:7">
      <c r="A216" s="55">
        <v>43997</v>
      </c>
      <c r="B216" s="112">
        <v>1.2234</v>
      </c>
      <c r="C216" s="108">
        <f t="shared" ref="C216:C221" si="62">IFERROR(B216-B215,0)</f>
        <v>1.0000000000001119E-3</v>
      </c>
      <c r="D216" s="109" t="str">
        <f t="shared" ref="D216:D221" si="63">IF(C216&lt;0,C216,"/")</f>
        <v>/</v>
      </c>
      <c r="E216" s="109">
        <f ca="1">IF(表2_367162629303456[[#This Row],[累计净值]]/MAX(INDIRECT("B21:B" &amp; ROW()))-1&lt;E215,表2_367162629303456[[#This Row],[累计净值]]/MAX(INDIRECT("B21:B" &amp; ROW()))-1,E215)</f>
        <v>-7.6929652107017299E-3</v>
      </c>
      <c r="F216" s="62">
        <f>表2_367162629303456[[#This Row],[累计净值]]-0.146</f>
        <v>1.0774000000000001</v>
      </c>
      <c r="G216" s="20">
        <f>表2_367162629303456[[#This Row],[累计净值]]/$B$21-1</f>
        <v>8.7563338963463355E-2</v>
      </c>
    </row>
    <row r="217" spans="1:7">
      <c r="A217" s="55">
        <v>43998</v>
      </c>
      <c r="B217" s="76">
        <v>1.2238</v>
      </c>
      <c r="C217" s="108">
        <f t="shared" si="62"/>
        <v>3.9999999999995595E-4</v>
      </c>
      <c r="D217" s="109" t="str">
        <f t="shared" si="63"/>
        <v>/</v>
      </c>
      <c r="E217" s="109">
        <f ca="1">IF(表2_367162629303456[[#This Row],[累计净值]]/MAX(INDIRECT("B21:B" &amp; ROW()))-1&lt;E216,表2_367162629303456[[#This Row],[累计净值]]/MAX(INDIRECT("B21:B" &amp; ROW()))-1,E216)</f>
        <v>-7.6929652107017299E-3</v>
      </c>
      <c r="F217" s="62">
        <f>表2_367162629303456[[#This Row],[累计净值]]-0.146</f>
        <v>1.0778000000000001</v>
      </c>
      <c r="G217" s="20">
        <f>表2_367162629303456[[#This Row],[累计净值]]/$B$21-1</f>
        <v>8.7918926126766772E-2</v>
      </c>
    </row>
    <row r="218" spans="1:7">
      <c r="A218" s="55">
        <v>43999</v>
      </c>
      <c r="B218" s="112">
        <v>1.2233000000000001</v>
      </c>
      <c r="C218" s="108">
        <f t="shared" si="62"/>
        <v>-4.9999999999994493E-4</v>
      </c>
      <c r="D218" s="109">
        <f t="shared" si="63"/>
        <v>-4.9999999999994493E-4</v>
      </c>
      <c r="E218" s="109">
        <f ca="1">IF(表2_367162629303456[[#This Row],[累计净值]]/MAX(INDIRECT("B21:B" &amp; ROW()))-1&lt;E217,表2_367162629303456[[#This Row],[累计净值]]/MAX(INDIRECT("B21:B" &amp; ROW()))-1,E217)</f>
        <v>-7.6929652107017299E-3</v>
      </c>
      <c r="F218" s="62">
        <f>表2_367162629303456[[#This Row],[累计净值]]-0.146</f>
        <v>1.0773000000000001</v>
      </c>
      <c r="G218" s="20">
        <f>表2_367162629303456[[#This Row],[累计净值]]/$B$21-1</f>
        <v>8.7474442172637668E-2</v>
      </c>
    </row>
    <row r="219" spans="1:7">
      <c r="A219" s="55">
        <v>44000</v>
      </c>
      <c r="B219" s="112">
        <v>1.2196</v>
      </c>
      <c r="C219" s="108">
        <f t="shared" si="62"/>
        <v>-3.7000000000000366E-3</v>
      </c>
      <c r="D219" s="109">
        <f t="shared" si="63"/>
        <v>-3.7000000000000366E-3</v>
      </c>
      <c r="E219" s="109">
        <f ca="1">IF(表2_367162629303456[[#This Row],[累计净值]]/MAX(INDIRECT("B21:B" &amp; ROW()))-1&lt;E218,表2_367162629303456[[#This Row],[累计净值]]/MAX(INDIRECT("B21:B" &amp; ROW()))-1,E218)</f>
        <v>-7.6929652107017299E-3</v>
      </c>
      <c r="F219" s="62">
        <f>表2_367162629303456[[#This Row],[累计净值]]-0.146</f>
        <v>1.0736000000000001</v>
      </c>
      <c r="G219" s="20">
        <f>表2_367162629303456[[#This Row],[累计净值]]/$B$21-1</f>
        <v>8.4185260912081006E-2</v>
      </c>
    </row>
    <row r="220" spans="1:7">
      <c r="A220" s="55">
        <v>44001</v>
      </c>
      <c r="B220" s="112">
        <v>1.2116</v>
      </c>
      <c r="C220" s="108">
        <f t="shared" si="62"/>
        <v>-8.0000000000000071E-3</v>
      </c>
      <c r="D220" s="109">
        <f t="shared" si="63"/>
        <v>-8.0000000000000071E-3</v>
      </c>
      <c r="E220" s="109">
        <f ca="1">IF(表2_367162629303456[[#This Row],[累计净值]]/MAX(INDIRECT("B21:B" &amp; ROW()))-1&lt;E219,表2_367162629303456[[#This Row],[累计净值]]/MAX(INDIRECT("B21:B" &amp; ROW()))-1,E219)</f>
        <v>-9.9689491747017023E-3</v>
      </c>
      <c r="F220" s="62">
        <f>表2_367162629303456[[#This Row],[累计净值]]-0.146</f>
        <v>1.0656000000000001</v>
      </c>
      <c r="G220" s="20">
        <f>表2_367162629303456[[#This Row],[累计净值]]/$B$21-1</f>
        <v>7.707351764601289E-2</v>
      </c>
    </row>
    <row r="221" spans="1:7">
      <c r="A221" s="55">
        <v>44004</v>
      </c>
      <c r="B221" s="112">
        <v>1.21</v>
      </c>
      <c r="C221" s="108">
        <f t="shared" si="62"/>
        <v>-1.6000000000000458E-3</v>
      </c>
      <c r="D221" s="109">
        <f t="shared" si="63"/>
        <v>-1.6000000000000458E-3</v>
      </c>
      <c r="E221" s="109">
        <f ca="1">IF(表2_367162629303456[[#This Row],[累计净值]]/MAX(INDIRECT("B21:B" &amp; ROW()))-1&lt;E220,表2_367162629303456[[#This Row],[累计净值]]/MAX(INDIRECT("B21:B" &amp; ROW()))-1,E220)</f>
        <v>-1.127635234515445E-2</v>
      </c>
      <c r="F221" s="62">
        <f>表2_367162629303456[[#This Row],[累计净值]]-0.146</f>
        <v>1.0640000000000001</v>
      </c>
      <c r="G221" s="20">
        <f>表2_367162629303456[[#This Row],[累计净值]]/$B$21-1</f>
        <v>7.5651168992799223E-2</v>
      </c>
    </row>
    <row r="222" spans="1:7">
      <c r="A222" s="55">
        <v>44005</v>
      </c>
      <c r="B222" s="112">
        <v>1.2152000000000001</v>
      </c>
      <c r="C222" s="108">
        <f t="shared" ref="C222:C227" si="64">IFERROR(B222-B221,0)</f>
        <v>5.2000000000000934E-3</v>
      </c>
      <c r="D222" s="109" t="str">
        <f t="shared" ref="D222:D227" si="65">IF(C222&lt;0,C222,"/")</f>
        <v>/</v>
      </c>
      <c r="E222" s="109">
        <f ca="1">IF(表2_367162629303456[[#This Row],[累计净值]]/MAX(INDIRECT("B21:B" &amp; ROW()))-1&lt;E221,表2_367162629303456[[#This Row],[累计净值]]/MAX(INDIRECT("B21:B" &amp; ROW()))-1,E221)</f>
        <v>-1.127635234515445E-2</v>
      </c>
      <c r="F222" s="62">
        <f>表2_367162629303456[[#This Row],[累计净值]]-0.146</f>
        <v>1.0692000000000002</v>
      </c>
      <c r="G222" s="20">
        <f>表2_367162629303456[[#This Row],[累计净值]]/$B$21-1</f>
        <v>8.0273802115743642E-2</v>
      </c>
    </row>
    <row r="223" spans="1:7">
      <c r="A223" s="55">
        <v>44006</v>
      </c>
      <c r="B223" s="112">
        <v>1.2143999999999999</v>
      </c>
      <c r="C223" s="108">
        <f t="shared" si="64"/>
        <v>-8.0000000000013394E-4</v>
      </c>
      <c r="D223" s="109">
        <f t="shared" si="65"/>
        <v>-8.0000000000013394E-4</v>
      </c>
      <c r="E223" s="109">
        <f ca="1">IF(表2_367162629303456[[#This Row],[累计净值]]/MAX(INDIRECT("B21:B" &amp; ROW()))-1&lt;E222,表2_367162629303456[[#This Row],[累计净值]]/MAX(INDIRECT("B21:B" &amp; ROW()))-1,E222)</f>
        <v>-1.127635234515445E-2</v>
      </c>
      <c r="F223" s="62">
        <f>表2_367162629303456[[#This Row],[累计净值]]-0.146</f>
        <v>1.0684</v>
      </c>
      <c r="G223" s="20">
        <f>表2_367162629303456[[#This Row],[累计净值]]/$B$21-1</f>
        <v>7.9562627789136808E-2</v>
      </c>
    </row>
    <row r="224" spans="1:7">
      <c r="A224" s="55">
        <v>44011</v>
      </c>
      <c r="B224" s="112">
        <v>1.216</v>
      </c>
      <c r="C224" s="108">
        <f t="shared" si="64"/>
        <v>1.6000000000000458E-3</v>
      </c>
      <c r="D224" s="109" t="str">
        <f t="shared" si="65"/>
        <v>/</v>
      </c>
      <c r="E224" s="109">
        <f ca="1">IF(表2_367162629303456[[#This Row],[累计净值]]/MAX(INDIRECT("B21:B" &amp; ROW()))-1&lt;E223,表2_367162629303456[[#This Row],[累计净值]]/MAX(INDIRECT("B21:B" &amp; ROW()))-1,E223)</f>
        <v>-1.127635234515445E-2</v>
      </c>
      <c r="F224" s="62">
        <f>表2_367162629303456[[#This Row],[累计净值]]-0.146</f>
        <v>1.07</v>
      </c>
      <c r="G224" s="20">
        <f>表2_367162629303456[[#This Row],[累计净值]]/$B$21-1</f>
        <v>8.0984976442350476E-2</v>
      </c>
    </row>
    <row r="225" spans="1:7">
      <c r="A225" s="55">
        <v>44012</v>
      </c>
      <c r="B225" s="112">
        <v>1.2183999999999999</v>
      </c>
      <c r="C225" s="108">
        <f t="shared" si="64"/>
        <v>2.3999999999999577E-3</v>
      </c>
      <c r="D225" s="109" t="str">
        <f t="shared" si="65"/>
        <v>/</v>
      </c>
      <c r="E225" s="109">
        <f ca="1">IF(表2_367162629303456[[#This Row],[累计净值]]/MAX(INDIRECT("B21:B" &amp; ROW()))-1&lt;E224,表2_367162629303456[[#This Row],[累计净值]]/MAX(INDIRECT("B21:B" &amp; ROW()))-1,E224)</f>
        <v>-1.127635234515445E-2</v>
      </c>
      <c r="F225" s="62">
        <f>表2_367162629303456[[#This Row],[累计净值]]-0.146</f>
        <v>1.0724</v>
      </c>
      <c r="G225" s="20">
        <f>表2_367162629303456[[#This Row],[累计净值]]/$B$21-1</f>
        <v>8.3118499422170755E-2</v>
      </c>
    </row>
    <row r="226" spans="1:7">
      <c r="A226" s="55">
        <v>44013</v>
      </c>
      <c r="B226" s="112">
        <v>1.2212000000000001</v>
      </c>
      <c r="C226" s="108">
        <f t="shared" si="64"/>
        <v>2.8000000000001357E-3</v>
      </c>
      <c r="D226" s="109" t="str">
        <f t="shared" si="65"/>
        <v>/</v>
      </c>
      <c r="E226" s="109">
        <f ca="1">IF(表2_367162629303456[[#This Row],[累计净值]]/MAX(INDIRECT("B21:B" &amp; ROW()))-1&lt;E225,表2_367162629303456[[#This Row],[累计净值]]/MAX(INDIRECT("B21:B" &amp; ROW()))-1,E225)</f>
        <v>-1.127635234515445E-2</v>
      </c>
      <c r="F226" s="62">
        <f>表2_367162629303456[[#This Row],[累计净值]]-0.146</f>
        <v>1.0752000000000002</v>
      </c>
      <c r="G226" s="20">
        <f>表2_367162629303456[[#This Row],[累计净值]]/$B$21-1</f>
        <v>8.5607609565294673E-2</v>
      </c>
    </row>
    <row r="227" spans="1:7">
      <c r="A227" s="55">
        <v>44014</v>
      </c>
      <c r="B227" s="112">
        <v>1.2123999999999999</v>
      </c>
      <c r="C227" s="108">
        <f t="shared" si="64"/>
        <v>-8.800000000000141E-3</v>
      </c>
      <c r="D227" s="109">
        <f t="shared" si="65"/>
        <v>-8.800000000000141E-3</v>
      </c>
      <c r="E227" s="109">
        <f ca="1">IF(表2_367162629303456[[#This Row],[累计净值]]/MAX(INDIRECT("B21:B" &amp; ROW()))-1&lt;E226,表2_367162629303456[[#This Row],[累计净值]]/MAX(INDIRECT("B21:B" &amp; ROW()))-1,E226)</f>
        <v>-1.127635234515445E-2</v>
      </c>
      <c r="F227" s="62">
        <f>表2_367162629303456[[#This Row],[累计净值]]-0.146</f>
        <v>1.0664</v>
      </c>
      <c r="G227" s="20">
        <f>表2_367162629303456[[#This Row],[累计净值]]/$B$21-1</f>
        <v>7.7784691972619724E-2</v>
      </c>
    </row>
    <row r="228" spans="1:7">
      <c r="A228" s="55">
        <v>44015</v>
      </c>
      <c r="B228" s="112">
        <v>1.2141</v>
      </c>
      <c r="C228" s="108">
        <f t="shared" ref="C228:C233" si="66">IFERROR(B228-B227,0)</f>
        <v>1.7000000000000348E-3</v>
      </c>
      <c r="D228" s="109" t="str">
        <f t="shared" ref="D228:D233" si="67">IF(C228&lt;0,C228,"/")</f>
        <v>/</v>
      </c>
      <c r="E228" s="109">
        <f ca="1">IF(表2_367162629303456[[#This Row],[累计净值]]/MAX(INDIRECT("B21:B" &amp; ROW()))-1&lt;E227,表2_367162629303456[[#This Row],[累计净值]]/MAX(INDIRECT("B21:B" &amp; ROW()))-1,E227)</f>
        <v>-1.127635234515445E-2</v>
      </c>
      <c r="F228" s="62">
        <f>表2_367162629303456[[#This Row],[累计净值]]-0.146</f>
        <v>1.0681</v>
      </c>
      <c r="G228" s="20">
        <f>表2_367162629303456[[#This Row],[累计净值]]/$B$21-1</f>
        <v>7.9295937416659301E-2</v>
      </c>
    </row>
    <row r="229" spans="1:7">
      <c r="A229" s="55">
        <v>44018</v>
      </c>
      <c r="B229" s="112">
        <v>1.1919999999999999</v>
      </c>
      <c r="C229" s="108">
        <f t="shared" si="66"/>
        <v>-2.2100000000000009E-2</v>
      </c>
      <c r="D229" s="109">
        <f t="shared" si="67"/>
        <v>-2.2100000000000009E-2</v>
      </c>
      <c r="E229" s="109">
        <f ca="1">IF(表2_367162629303456[[#This Row],[累计净值]]/MAX(INDIRECT("B21:B" &amp; ROW()))-1&lt;E228,表2_367162629303456[[#This Row],[累计净值]]/MAX(INDIRECT("B21:B" &amp; ROW()))-1,E228)</f>
        <v>-2.5984638012747197E-2</v>
      </c>
      <c r="F229" s="62">
        <f>表2_367162629303456[[#This Row],[累计净值]]-0.146</f>
        <v>1.046</v>
      </c>
      <c r="G229" s="20">
        <f>表2_367162629303456[[#This Row],[累计净值]]/$B$21-1</f>
        <v>5.9649746644146129E-2</v>
      </c>
    </row>
    <row r="230" spans="1:7">
      <c r="A230" s="55">
        <v>44019</v>
      </c>
      <c r="B230" s="112">
        <v>1.194</v>
      </c>
      <c r="C230" s="108">
        <f t="shared" si="66"/>
        <v>2.0000000000000018E-3</v>
      </c>
      <c r="D230" s="109" t="str">
        <f t="shared" si="67"/>
        <v>/</v>
      </c>
      <c r="E230" s="109">
        <f ca="1">IF(表2_367162629303456[[#This Row],[累计净值]]/MAX(INDIRECT("B21:B" &amp; ROW()))-1&lt;E229,表2_367162629303456[[#This Row],[累计净值]]/MAX(INDIRECT("B21:B" &amp; ROW()))-1,E229)</f>
        <v>-2.5984638012747197E-2</v>
      </c>
      <c r="F230" s="62">
        <f>表2_367162629303456[[#This Row],[累计净值]]-0.146</f>
        <v>1.048</v>
      </c>
      <c r="G230" s="20">
        <f>表2_367162629303456[[#This Row],[累计净值]]/$B$21-1</f>
        <v>6.1427682460663213E-2</v>
      </c>
    </row>
    <row r="231" spans="1:7">
      <c r="A231" s="55">
        <v>44020</v>
      </c>
      <c r="B231" s="112">
        <v>1.2063999999999999</v>
      </c>
      <c r="C231" s="108">
        <f t="shared" si="66"/>
        <v>1.2399999999999967E-2</v>
      </c>
      <c r="D231" s="109" t="str">
        <f t="shared" si="67"/>
        <v>/</v>
      </c>
      <c r="E231" s="109">
        <f ca="1">IF(表2_367162629303456[[#This Row],[累计净值]]/MAX(INDIRECT("B21:B" &amp; ROW()))-1&lt;E230,表2_367162629303456[[#This Row],[累计净值]]/MAX(INDIRECT("B21:B" &amp; ROW()))-1,E230)</f>
        <v>-2.5984638012747197E-2</v>
      </c>
      <c r="F231" s="62">
        <f>表2_367162629303456[[#This Row],[累计净值]]-0.146</f>
        <v>1.0604</v>
      </c>
      <c r="G231" s="20">
        <f>表2_367162629303456[[#This Row],[累计净值]]/$B$21-1</f>
        <v>7.2450884523068693E-2</v>
      </c>
    </row>
    <row r="232" spans="1:7">
      <c r="A232" s="55">
        <v>44021</v>
      </c>
      <c r="B232" s="112">
        <v>1.212</v>
      </c>
      <c r="C232" s="108">
        <f t="shared" si="66"/>
        <v>5.6000000000000494E-3</v>
      </c>
      <c r="D232" s="109" t="str">
        <f t="shared" si="67"/>
        <v>/</v>
      </c>
      <c r="E232" s="109">
        <f ca="1">IF(表2_367162629303456[[#This Row],[累计净值]]/MAX(INDIRECT("B21:B" &amp; ROW()))-1&lt;E231,表2_367162629303456[[#This Row],[累计净值]]/MAX(INDIRECT("B21:B" &amp; ROW()))-1,E231)</f>
        <v>-2.5984638012747197E-2</v>
      </c>
      <c r="F232" s="62">
        <f>表2_367162629303456[[#This Row],[累计净值]]-0.146</f>
        <v>1.0660000000000001</v>
      </c>
      <c r="G232" s="20">
        <f>表2_367162629303456[[#This Row],[累计净值]]/$B$21-1</f>
        <v>7.7429104809316307E-2</v>
      </c>
    </row>
    <row r="233" spans="1:7">
      <c r="A233" s="55">
        <v>44022</v>
      </c>
      <c r="B233" s="112">
        <v>1.2084999999999999</v>
      </c>
      <c r="C233" s="108">
        <f t="shared" si="66"/>
        <v>-3.5000000000000586E-3</v>
      </c>
      <c r="D233" s="109">
        <f t="shared" si="67"/>
        <v>-3.5000000000000586E-3</v>
      </c>
      <c r="E233" s="109">
        <f ca="1">IF(表2_367162629303456[[#This Row],[累计净值]]/MAX(INDIRECT("B21:B" &amp; ROW()))-1&lt;E232,表2_367162629303456[[#This Row],[累计净值]]/MAX(INDIRECT("B21:B" &amp; ROW()))-1,E232)</f>
        <v>-2.5984638012747197E-2</v>
      </c>
      <c r="F233" s="62">
        <f>表2_367162629303456[[#This Row],[累计净值]]-0.146</f>
        <v>1.0625</v>
      </c>
      <c r="G233" s="20">
        <f>表2_367162629303456[[#This Row],[累计净值]]/$B$21-1</f>
        <v>7.4317717130411465E-2</v>
      </c>
    </row>
    <row r="234" spans="1:7">
      <c r="A234" s="55">
        <v>44025</v>
      </c>
      <c r="B234" s="112">
        <v>1.2149000000000001</v>
      </c>
      <c r="C234" s="108">
        <f t="shared" ref="C234:C239" si="68">IFERROR(B234-B233,0)</f>
        <v>6.4000000000001833E-3</v>
      </c>
      <c r="D234" s="109" t="str">
        <f t="shared" ref="D234:D239" si="69">IF(C234&lt;0,C234,"/")</f>
        <v>/</v>
      </c>
      <c r="E234" s="109">
        <f ca="1">IF(表2_367162629303456[[#This Row],[累计净值]]/MAX(INDIRECT("B21:B" &amp; ROW()))-1&lt;E233,表2_367162629303456[[#This Row],[累计净值]]/MAX(INDIRECT("B21:B" &amp; ROW()))-1,E233)</f>
        <v>-2.5984638012747197E-2</v>
      </c>
      <c r="F234" s="62">
        <f>表2_367162629303456[[#This Row],[累计净值]]-0.146</f>
        <v>1.0689000000000002</v>
      </c>
      <c r="G234" s="20">
        <f>表2_367162629303456[[#This Row],[累计净值]]/$B$21-1</f>
        <v>8.0007111743266135E-2</v>
      </c>
    </row>
    <row r="235" spans="1:7">
      <c r="A235" s="55">
        <v>44026</v>
      </c>
      <c r="B235" s="112">
        <v>1.2214</v>
      </c>
      <c r="C235" s="108">
        <f t="shared" si="68"/>
        <v>6.4999999999999503E-3</v>
      </c>
      <c r="D235" s="109" t="str">
        <f t="shared" si="69"/>
        <v>/</v>
      </c>
      <c r="E235" s="109">
        <f ca="1">IF(表2_367162629303456[[#This Row],[累计净值]]/MAX(INDIRECT("B21:B" &amp; ROW()))-1&lt;E234,表2_367162629303456[[#This Row],[累计净值]]/MAX(INDIRECT("B21:B" &amp; ROW()))-1,E234)</f>
        <v>-2.5984638012747197E-2</v>
      </c>
      <c r="F235" s="62">
        <f>表2_367162629303456[[#This Row],[累计净值]]-0.146</f>
        <v>1.0754000000000001</v>
      </c>
      <c r="G235" s="20">
        <f>表2_367162629303456[[#This Row],[累计净值]]/$B$21-1</f>
        <v>8.5785403146946493E-2</v>
      </c>
    </row>
    <row r="236" spans="1:7">
      <c r="A236" s="55">
        <v>44027</v>
      </c>
      <c r="B236" s="112">
        <v>1.2132000000000001</v>
      </c>
      <c r="C236" s="108">
        <f t="shared" si="68"/>
        <v>-8.1999999999999851E-3</v>
      </c>
      <c r="D236" s="109">
        <f t="shared" si="69"/>
        <v>-8.1999999999999851E-3</v>
      </c>
      <c r="E236" s="109">
        <f ca="1">IF(表2_367162629303456[[#This Row],[累计净值]]/MAX(INDIRECT("B21:B" &amp; ROW()))-1&lt;E235,表2_367162629303456[[#This Row],[累计净值]]/MAX(INDIRECT("B21:B" &amp; ROW()))-1,E235)</f>
        <v>-2.5984638012747197E-2</v>
      </c>
      <c r="F236" s="62">
        <f>表2_367162629303456[[#This Row],[累计净值]]-0.146</f>
        <v>1.0672000000000001</v>
      </c>
      <c r="G236" s="20">
        <f>表2_367162629303456[[#This Row],[累计净值]]/$B$21-1</f>
        <v>7.8495866299226558E-2</v>
      </c>
    </row>
    <row r="237" spans="1:7">
      <c r="A237" s="55">
        <v>44028</v>
      </c>
      <c r="B237" s="112">
        <v>1.2152000000000001</v>
      </c>
      <c r="C237" s="108">
        <f t="shared" si="68"/>
        <v>2.0000000000000018E-3</v>
      </c>
      <c r="D237" s="109" t="str">
        <f t="shared" si="69"/>
        <v>/</v>
      </c>
      <c r="E237" s="109">
        <f ca="1">IF(表2_367162629303456[[#This Row],[累计净值]]/MAX(INDIRECT("B21:B" &amp; ROW()))-1&lt;E236,表2_367162629303456[[#This Row],[累计净值]]/MAX(INDIRECT("B21:B" &amp; ROW()))-1,E236)</f>
        <v>-2.5984638012747197E-2</v>
      </c>
      <c r="F237" s="62">
        <f>表2_367162629303456[[#This Row],[累计净值]]-0.146</f>
        <v>1.0692000000000002</v>
      </c>
      <c r="G237" s="20">
        <f>表2_367162629303456[[#This Row],[累计净值]]/$B$21-1</f>
        <v>8.0273802115743642E-2</v>
      </c>
    </row>
    <row r="238" spans="1:7">
      <c r="A238" s="55">
        <v>44029</v>
      </c>
      <c r="B238" s="112">
        <v>1.2241</v>
      </c>
      <c r="C238" s="108">
        <f t="shared" si="68"/>
        <v>8.899999999999908E-3</v>
      </c>
      <c r="D238" s="109" t="str">
        <f t="shared" si="69"/>
        <v>/</v>
      </c>
      <c r="E238" s="109">
        <f ca="1">IF(表2_367162629303456[[#This Row],[累计净值]]/MAX(INDIRECT("B21:B" &amp; ROW()))-1&lt;E237,表2_367162629303456[[#This Row],[累计净值]]/MAX(INDIRECT("B21:B" &amp; ROW()))-1,E237)</f>
        <v>-2.5984638012747197E-2</v>
      </c>
      <c r="F238" s="62">
        <f>表2_367162629303456[[#This Row],[累计净值]]-0.146</f>
        <v>1.0781000000000001</v>
      </c>
      <c r="G238" s="20">
        <f>表2_367162629303456[[#This Row],[累计净值]]/$B$21-1</f>
        <v>8.8185616499244279E-2</v>
      </c>
    </row>
    <row r="239" spans="1:7">
      <c r="A239" s="55">
        <v>44032</v>
      </c>
      <c r="B239" s="112">
        <v>1.2303999999999999</v>
      </c>
      <c r="C239" s="108">
        <f t="shared" si="68"/>
        <v>6.2999999999999723E-3</v>
      </c>
      <c r="D239" s="109" t="str">
        <f t="shared" si="69"/>
        <v>/</v>
      </c>
      <c r="E239" s="109">
        <f ca="1">IF(表2_367162629303456[[#This Row],[累计净值]]/MAX(INDIRECT("B21:B" &amp; ROW()))-1&lt;E238,表2_367162629303456[[#This Row],[累计净值]]/MAX(INDIRECT("B21:B" &amp; ROW()))-1,E238)</f>
        <v>-2.5984638012747197E-2</v>
      </c>
      <c r="F239" s="62">
        <f>表2_367162629303456[[#This Row],[累计净值]]-0.146</f>
        <v>1.0844</v>
      </c>
      <c r="G239" s="20">
        <f>表2_367162629303456[[#This Row],[累计净值]]/$B$21-1</f>
        <v>9.378611432127304E-2</v>
      </c>
    </row>
    <row r="240" spans="1:7">
      <c r="A240" s="55">
        <v>44033</v>
      </c>
      <c r="B240" s="112">
        <v>1.2311000000000001</v>
      </c>
      <c r="C240" s="108">
        <f>IFERROR(B240-B239,0)</f>
        <v>7.0000000000014495E-4</v>
      </c>
      <c r="D240" s="109" t="str">
        <f>IF(C240&lt;0,C240,"/")</f>
        <v>/</v>
      </c>
      <c r="E240" s="109">
        <f ca="1">IF(表2_367162629303456[[#This Row],[累计净值]]/MAX(INDIRECT("B21:B" &amp; ROW()))-1&lt;E239,表2_367162629303456[[#This Row],[累计净值]]/MAX(INDIRECT("B21:B" &amp; ROW()))-1,E239)</f>
        <v>-2.5984638012747197E-2</v>
      </c>
      <c r="F240" s="62">
        <f>表2_367162629303456[[#This Row],[累计净值]]-0.146</f>
        <v>1.0851000000000002</v>
      </c>
      <c r="G240" s="20">
        <f>表2_367162629303456[[#This Row],[累计净值]]/$B$21-1</f>
        <v>9.4408391857053964E-2</v>
      </c>
    </row>
    <row r="241" spans="1:9">
      <c r="A241" s="55">
        <v>44034</v>
      </c>
      <c r="B241" s="112">
        <v>1.2292000000000001</v>
      </c>
      <c r="C241" s="108">
        <f>IFERROR(B241-B240,0)</f>
        <v>-1.9000000000000128E-3</v>
      </c>
      <c r="D241" s="109">
        <f>IF(C241&lt;0,C241,"/")</f>
        <v>-1.9000000000000128E-3</v>
      </c>
      <c r="E241" s="109">
        <f ca="1">IF(表2_367162629303456[[#This Row],[累计净值]]/MAX(INDIRECT("B21:B" &amp; ROW()))-1&lt;E240,表2_367162629303456[[#This Row],[累计净值]]/MAX(INDIRECT("B21:B" &amp; ROW()))-1,E240)</f>
        <v>-2.5984638012747197E-2</v>
      </c>
      <c r="F241" s="62">
        <f>表2_367162629303456[[#This Row],[累计净值]]-0.146</f>
        <v>1.0832000000000002</v>
      </c>
      <c r="G241" s="20">
        <f>表2_367162629303456[[#This Row],[累计净值]]/$B$21-1</f>
        <v>9.2719352831362789E-2</v>
      </c>
      <c r="I241" s="60">
        <f>表2_367162629303456[[#This Row],[单位净值]]-F195</f>
        <v>1.8399999999999972E-2</v>
      </c>
    </row>
    <row r="242" spans="1:9">
      <c r="A242" s="55">
        <v>44035</v>
      </c>
      <c r="B242" s="112">
        <v>1.2301</v>
      </c>
      <c r="C242" s="108">
        <f>IFERROR(B242-B241,0)</f>
        <v>8.9999999999990088E-4</v>
      </c>
      <c r="D242" s="109" t="str">
        <f>IF(C242&lt;0,C242,"/")</f>
        <v>/</v>
      </c>
      <c r="E242" s="109">
        <f ca="1">IF(表2_367162629303456[[#This Row],[累计净值]]/MAX(INDIRECT("B21:B" &amp; ROW()))-1&lt;E241,表2_367162629303456[[#This Row],[累计净值]]/MAX(INDIRECT("B21:B" &amp; ROW()))-1,E241)</f>
        <v>-2.5984638012747197E-2</v>
      </c>
      <c r="F242" s="62">
        <f>表2_367162629303456[[#This Row],[累计净值]]-0.146</f>
        <v>1.0841000000000001</v>
      </c>
      <c r="G242" s="20">
        <f>表2_367162629303456[[#This Row],[累计净值]]/$B$21-1</f>
        <v>9.3519423948795311E-2</v>
      </c>
    </row>
    <row r="243" spans="1:9">
      <c r="A243" s="55">
        <v>44036</v>
      </c>
      <c r="B243" s="112">
        <v>1.2346999999999999</v>
      </c>
      <c r="C243" s="108">
        <f>IFERROR(B243-B242,0)</f>
        <v>4.5999999999999375E-3</v>
      </c>
      <c r="D243" s="109" t="str">
        <f>IF(C243&lt;0,C243,"/")</f>
        <v>/</v>
      </c>
      <c r="E243" s="109">
        <f ca="1">IF(表2_367162629303456[[#This Row],[累计净值]]/MAX(INDIRECT("B21:B" &amp; ROW()))-1&lt;E242,表2_367162629303456[[#This Row],[累计净值]]/MAX(INDIRECT("B21:B" &amp; ROW()))-1,E242)</f>
        <v>-2.5984638012747197E-2</v>
      </c>
      <c r="F243" s="62">
        <f>表2_367162629303456[[#This Row],[累计净值]]-0.146</f>
        <v>1.0887</v>
      </c>
      <c r="G243" s="20">
        <f>表2_367162629303456[[#This Row],[累计净值]]/$B$21-1</f>
        <v>9.7608676326784494E-2</v>
      </c>
    </row>
    <row r="244" spans="1:9">
      <c r="A244" s="55">
        <v>44039</v>
      </c>
      <c r="B244" s="112">
        <v>1.2371000000000001</v>
      </c>
      <c r="C244" s="108">
        <f t="shared" ref="C244:C249" si="70">IFERROR(B244-B243,0)</f>
        <v>2.4000000000001798E-3</v>
      </c>
      <c r="D244" s="109" t="str">
        <f t="shared" ref="D244:D249" si="71">IF(C244&lt;0,C244,"/")</f>
        <v>/</v>
      </c>
      <c r="E244" s="109">
        <f ca="1">IF(表2_367162629303456[[#This Row],[累计净值]]/MAX(INDIRECT("B21:B" &amp; ROW()))-1&lt;E243,表2_367162629303456[[#This Row],[累计净值]]/MAX(INDIRECT("B21:B" &amp; ROW()))-1,E243)</f>
        <v>-2.5984638012747197E-2</v>
      </c>
      <c r="F244" s="62">
        <f>表2_367162629303456[[#This Row],[累计净值]]-0.146</f>
        <v>1.0911000000000002</v>
      </c>
      <c r="G244" s="20">
        <f>表2_367162629303456[[#This Row],[累计净值]]/$B$21-1</f>
        <v>9.9742199306604995E-2</v>
      </c>
    </row>
    <row r="245" spans="1:9">
      <c r="A245" s="55">
        <v>44040</v>
      </c>
      <c r="B245" s="117">
        <v>1.24</v>
      </c>
      <c r="C245" s="108">
        <f t="shared" si="70"/>
        <v>2.8999999999999027E-3</v>
      </c>
      <c r="D245" s="109" t="str">
        <f t="shared" si="71"/>
        <v>/</v>
      </c>
      <c r="E245" s="109">
        <f ca="1">IF(表2_367162629303456[[#This Row],[累计净值]]/MAX(INDIRECT("B21:B" &amp; ROW()))-1&lt;E244,表2_367162629303456[[#This Row],[累计净值]]/MAX(INDIRECT("B21:B" &amp; ROW()))-1,E244)</f>
        <v>-2.5984638012747197E-2</v>
      </c>
      <c r="F245" s="62">
        <f>表2_367162629303456[[#This Row],[累计净值]]-0.146</f>
        <v>1.0940000000000001</v>
      </c>
      <c r="G245" s="20">
        <f>表2_367162629303456[[#This Row],[累计净值]]/$B$21-1</f>
        <v>0.1023202062405546</v>
      </c>
    </row>
    <row r="246" spans="1:9">
      <c r="A246" s="55">
        <v>44041</v>
      </c>
      <c r="B246" s="112">
        <v>1.2341</v>
      </c>
      <c r="C246" s="108">
        <f t="shared" si="70"/>
        <v>-5.9000000000000163E-3</v>
      </c>
      <c r="D246" s="109">
        <f t="shared" si="71"/>
        <v>-5.9000000000000163E-3</v>
      </c>
      <c r="E246" s="109">
        <f ca="1">IF(表2_367162629303456[[#This Row],[累计净值]]/MAX(INDIRECT("B21:B" &amp; ROW()))-1&lt;E245,表2_367162629303456[[#This Row],[累计净值]]/MAX(INDIRECT("B21:B" &amp; ROW()))-1,E245)</f>
        <v>-2.5984638012747197E-2</v>
      </c>
      <c r="F246" s="62">
        <f>表2_367162629303456[[#This Row],[累计净值]]-0.146</f>
        <v>1.0881000000000001</v>
      </c>
      <c r="G246" s="20">
        <f>表2_367162629303456[[#This Row],[累计净值]]/$B$21-1</f>
        <v>9.7075295581829479E-2</v>
      </c>
    </row>
    <row r="247" spans="1:9">
      <c r="A247" s="55">
        <v>44042</v>
      </c>
      <c r="B247" s="112">
        <v>1.2330000000000001</v>
      </c>
      <c r="C247" s="108">
        <f t="shared" si="70"/>
        <v>-1.0999999999998789E-3</v>
      </c>
      <c r="D247" s="109">
        <f t="shared" si="71"/>
        <v>-1.0999999999998789E-3</v>
      </c>
      <c r="E247" s="109">
        <f ca="1">IF(表2_367162629303456[[#This Row],[累计净值]]/MAX(INDIRECT("B21:B" &amp; ROW()))-1&lt;E246,表2_367162629303456[[#This Row],[累计净值]]/MAX(INDIRECT("B21:B" &amp; ROW()))-1,E246)</f>
        <v>-2.5984638012747197E-2</v>
      </c>
      <c r="F247" s="62">
        <f>表2_367162629303456[[#This Row],[累计净值]]-0.146</f>
        <v>1.0870000000000002</v>
      </c>
      <c r="G247" s="20">
        <f>表2_367162629303456[[#This Row],[累计净值]]/$B$21-1</f>
        <v>9.6097430882745138E-2</v>
      </c>
    </row>
    <row r="248" spans="1:9">
      <c r="A248" s="55">
        <v>44043</v>
      </c>
      <c r="B248" s="112">
        <v>1.2369000000000001</v>
      </c>
      <c r="C248" s="108">
        <f t="shared" si="70"/>
        <v>3.9000000000000146E-3</v>
      </c>
      <c r="D248" s="109" t="str">
        <f t="shared" si="71"/>
        <v>/</v>
      </c>
      <c r="E248" s="109">
        <f ca="1">IF(表2_367162629303456[[#This Row],[累计净值]]/MAX(INDIRECT("B21:B" &amp; ROW()))-1&lt;E247,表2_367162629303456[[#This Row],[累计净值]]/MAX(INDIRECT("B21:B" &amp; ROW()))-1,E247)</f>
        <v>-2.5984638012747197E-2</v>
      </c>
      <c r="F248" s="62">
        <f>表2_367162629303456[[#This Row],[累计净值]]-0.146</f>
        <v>1.0909000000000002</v>
      </c>
      <c r="G248" s="20">
        <f>表2_367162629303456[[#This Row],[累计净值]]/$B$21-1</f>
        <v>9.9564405724953398E-2</v>
      </c>
    </row>
    <row r="249" spans="1:9">
      <c r="A249" s="55">
        <v>44046</v>
      </c>
      <c r="B249" s="112">
        <v>1.2392000000000001</v>
      </c>
      <c r="C249" s="108">
        <f t="shared" si="70"/>
        <v>2.2999999999999687E-3</v>
      </c>
      <c r="D249" s="109" t="str">
        <f t="shared" si="71"/>
        <v>/</v>
      </c>
      <c r="E249" s="109">
        <f ca="1">IF(表2_367162629303456[[#This Row],[累计净值]]/MAX(INDIRECT("B21:B" &amp; ROW()))-1&lt;E248,表2_367162629303456[[#This Row],[累计净值]]/MAX(INDIRECT("B21:B" &amp; ROW()))-1,E248)</f>
        <v>-2.5984638012747197E-2</v>
      </c>
      <c r="F249" s="62">
        <f>表2_367162629303456[[#This Row],[累计净值]]-0.146</f>
        <v>1.0932000000000002</v>
      </c>
      <c r="G249" s="20">
        <f>表2_367162629303456[[#This Row],[累计净值]]/$B$21-1</f>
        <v>0.10160903191394799</v>
      </c>
    </row>
    <row r="250" spans="1:9">
      <c r="A250" s="55">
        <v>44047</v>
      </c>
      <c r="B250" s="112">
        <v>1.2366999999999999</v>
      </c>
      <c r="C250" s="108">
        <f t="shared" ref="C250:C255" si="72">IFERROR(B250-B249,0)</f>
        <v>-2.5000000000001688E-3</v>
      </c>
      <c r="D250" s="109">
        <f t="shared" ref="D250:D255" si="73">IF(C250&lt;0,C250,"/")</f>
        <v>-2.5000000000001688E-3</v>
      </c>
      <c r="E250" s="109">
        <f ca="1">IF(表2_367162629303456[[#This Row],[累计净值]]/MAX(INDIRECT("B21:B" &amp; ROW()))-1&lt;E249,表2_367162629303456[[#This Row],[累计净值]]/MAX(INDIRECT("B21:B" &amp; ROW()))-1,E249)</f>
        <v>-2.5984638012747197E-2</v>
      </c>
      <c r="F250" s="62">
        <f>表2_367162629303456[[#This Row],[累计净值]]-0.146</f>
        <v>1.0907</v>
      </c>
      <c r="G250" s="20">
        <f>表2_367162629303456[[#This Row],[累计净值]]/$B$21-1</f>
        <v>9.9386612143301578E-2</v>
      </c>
    </row>
    <row r="251" spans="1:9">
      <c r="A251" s="55">
        <v>44048</v>
      </c>
      <c r="B251" s="112">
        <v>1.2418</v>
      </c>
      <c r="C251" s="108">
        <f t="shared" si="72"/>
        <v>5.1000000000001044E-3</v>
      </c>
      <c r="D251" s="109" t="str">
        <f t="shared" si="73"/>
        <v>/</v>
      </c>
      <c r="E251" s="109">
        <f ca="1">IF(表2_367162629303456[[#This Row],[累计净值]]/MAX(INDIRECT("B21:B" &amp; ROW()))-1&lt;E250,表2_367162629303456[[#This Row],[累计净值]]/MAX(INDIRECT("B21:B" &amp; ROW()))-1,E250)</f>
        <v>-2.5984638012747197E-2</v>
      </c>
      <c r="F251" s="62">
        <f>表2_367162629303456[[#This Row],[累计净值]]-0.146</f>
        <v>1.0958000000000001</v>
      </c>
      <c r="G251" s="20">
        <f>表2_367162629303456[[#This Row],[累计净值]]/$B$21-1</f>
        <v>0.10392034847542009</v>
      </c>
    </row>
    <row r="252" spans="1:9">
      <c r="A252" s="55">
        <v>44049</v>
      </c>
      <c r="B252" s="117">
        <v>1.2426999999999999</v>
      </c>
      <c r="C252" s="108">
        <f t="shared" si="72"/>
        <v>8.9999999999990088E-4</v>
      </c>
      <c r="D252" s="109" t="str">
        <f t="shared" si="73"/>
        <v>/</v>
      </c>
      <c r="E252" s="109">
        <f ca="1">IF(表2_367162629303456[[#This Row],[累计净值]]/MAX(INDIRECT("B21:B" &amp; ROW()))-1&lt;E251,表2_367162629303456[[#This Row],[累计净值]]/MAX(INDIRECT("B21:B" &amp; ROW()))-1,E251)</f>
        <v>-2.5984638012747197E-2</v>
      </c>
      <c r="F252" s="62">
        <f>表2_367162629303456[[#This Row],[累计净值]]-0.146</f>
        <v>1.0967</v>
      </c>
      <c r="G252" s="20">
        <f>表2_367162629303456[[#This Row],[累计净值]]/$B$21-1</f>
        <v>0.10472041959285261</v>
      </c>
    </row>
    <row r="253" spans="1:9">
      <c r="A253" s="55">
        <v>44050</v>
      </c>
      <c r="B253" s="112">
        <v>1.2390000000000001</v>
      </c>
      <c r="C253" s="108">
        <f t="shared" si="72"/>
        <v>-3.6999999999998145E-3</v>
      </c>
      <c r="D253" s="109">
        <f t="shared" si="73"/>
        <v>-3.6999999999998145E-3</v>
      </c>
      <c r="E253" s="109">
        <f ca="1">IF(表2_367162629303456[[#This Row],[累计净值]]/MAX(INDIRECT("B21:B" &amp; ROW()))-1&lt;E252,表2_367162629303456[[#This Row],[累计净值]]/MAX(INDIRECT("B21:B" &amp; ROW()))-1,E252)</f>
        <v>-2.5984638012747197E-2</v>
      </c>
      <c r="F253" s="62">
        <f>表2_367162629303456[[#This Row],[累计净值]]-0.146</f>
        <v>1.0930000000000002</v>
      </c>
      <c r="G253" s="20">
        <f>表2_367162629303456[[#This Row],[累计净值]]/$B$21-1</f>
        <v>0.10143123833229639</v>
      </c>
    </row>
    <row r="254" spans="1:9">
      <c r="A254" s="55">
        <v>44053</v>
      </c>
      <c r="B254" s="112">
        <v>1.2393000000000001</v>
      </c>
      <c r="C254" s="108">
        <f t="shared" si="72"/>
        <v>2.9999999999996696E-4</v>
      </c>
      <c r="D254" s="109" t="str">
        <f t="shared" si="73"/>
        <v>/</v>
      </c>
      <c r="E254" s="109">
        <f ca="1">IF(表2_367162629303456[[#This Row],[累计净值]]/MAX(INDIRECT("B21:B" &amp; ROW()))-1&lt;E253,表2_367162629303456[[#This Row],[累计净值]]/MAX(INDIRECT("B21:B" &amp; ROW()))-1,E253)</f>
        <v>-2.5984638012747197E-2</v>
      </c>
      <c r="F254" s="62">
        <f>表2_367162629303456[[#This Row],[累计净值]]-0.146</f>
        <v>1.0933000000000002</v>
      </c>
      <c r="G254" s="20">
        <f>表2_367162629303456[[#This Row],[累计净值]]/$B$21-1</f>
        <v>0.1016979287047739</v>
      </c>
    </row>
    <row r="255" spans="1:9">
      <c r="A255" s="55">
        <v>44054</v>
      </c>
      <c r="B255" s="112">
        <v>1.2388999999999999</v>
      </c>
      <c r="C255" s="108">
        <f t="shared" si="72"/>
        <v>-4.0000000000017799E-4</v>
      </c>
      <c r="D255" s="109">
        <f t="shared" si="73"/>
        <v>-4.0000000000017799E-4</v>
      </c>
      <c r="E255" s="109">
        <f ca="1">IF(表2_367162629303456[[#This Row],[累计净值]]/MAX(INDIRECT("B21:B" &amp; ROW()))-1&lt;E254,表2_367162629303456[[#This Row],[累计净值]]/MAX(INDIRECT("B21:B" &amp; ROW()))-1,E254)</f>
        <v>-2.5984638012747197E-2</v>
      </c>
      <c r="F255" s="62">
        <f>表2_367162629303456[[#This Row],[累计净值]]-0.146</f>
        <v>1.0929</v>
      </c>
      <c r="G255" s="20">
        <f>表2_367162629303456[[#This Row],[累计净值]]/$B$21-1</f>
        <v>0.10134234154147026</v>
      </c>
    </row>
    <row r="256" spans="1:9">
      <c r="A256" s="55">
        <v>44055</v>
      </c>
      <c r="B256" s="112">
        <v>1.2452000000000001</v>
      </c>
      <c r="C256" s="108">
        <f t="shared" ref="C256:C261" si="74">IFERROR(B256-B255,0)</f>
        <v>6.3000000000001943E-3</v>
      </c>
      <c r="D256" s="109" t="str">
        <f t="shared" ref="D256:D261" si="75">IF(C256&lt;0,C256,"/")</f>
        <v>/</v>
      </c>
      <c r="E256" s="109">
        <f ca="1">IF(表2_367162629303456[[#This Row],[累计净值]]/MAX(INDIRECT("B21:B" &amp; ROW()))-1&lt;E255,表2_367162629303456[[#This Row],[累计净值]]/MAX(INDIRECT("B21:B" &amp; ROW()))-1,E255)</f>
        <v>-2.5984638012747197E-2</v>
      </c>
      <c r="F256" s="62">
        <f>表2_367162629303456[[#This Row],[累计净值]]-0.146</f>
        <v>1.0992000000000002</v>
      </c>
      <c r="G256" s="20">
        <f>表2_367162629303456[[#This Row],[累计净值]]/$B$21-1</f>
        <v>0.10694283936349902</v>
      </c>
    </row>
    <row r="257" spans="1:7">
      <c r="A257" s="55">
        <v>44056</v>
      </c>
      <c r="B257" s="112">
        <v>1.2433000000000001</v>
      </c>
      <c r="C257" s="108">
        <f t="shared" si="74"/>
        <v>-1.9000000000000128E-3</v>
      </c>
      <c r="D257" s="109">
        <f t="shared" si="75"/>
        <v>-1.9000000000000128E-3</v>
      </c>
      <c r="E257" s="109">
        <f ca="1">IF(表2_367162629303456[[#This Row],[累计净值]]/MAX(INDIRECT("B21:B" &amp; ROW()))-1&lt;E256,表2_367162629303456[[#This Row],[累计净值]]/MAX(INDIRECT("B21:B" &amp; ROW()))-1,E256)</f>
        <v>-2.5984638012747197E-2</v>
      </c>
      <c r="F257" s="62">
        <f>表2_367162629303456[[#This Row],[累计净值]]-0.146</f>
        <v>1.0973000000000002</v>
      </c>
      <c r="G257" s="20">
        <f>表2_367162629303456[[#This Row],[累计净值]]/$B$21-1</f>
        <v>0.10525380033780785</v>
      </c>
    </row>
    <row r="258" spans="1:7">
      <c r="A258" s="55">
        <v>44057</v>
      </c>
      <c r="B258" s="112">
        <v>1.2438</v>
      </c>
      <c r="C258" s="108">
        <f t="shared" si="74"/>
        <v>4.9999999999994493E-4</v>
      </c>
      <c r="D258" s="109" t="str">
        <f t="shared" si="75"/>
        <v>/</v>
      </c>
      <c r="E258" s="109">
        <f ca="1">IF(表2_367162629303456[[#This Row],[累计净值]]/MAX(INDIRECT("B21:B" &amp; ROW()))-1&lt;E257,表2_367162629303456[[#This Row],[累计净值]]/MAX(INDIRECT("B21:B" &amp; ROW()))-1,E257)</f>
        <v>-2.5984638012747197E-2</v>
      </c>
      <c r="F258" s="62">
        <f>表2_367162629303456[[#This Row],[累计净值]]-0.146-0.0578</f>
        <v>1.04</v>
      </c>
      <c r="G258" s="20">
        <f>表2_367162629303456[[#This Row],[累计净值]]/$B$21-1</f>
        <v>0.10569828429193717</v>
      </c>
    </row>
    <row r="259" spans="1:7">
      <c r="A259" s="55">
        <v>44060</v>
      </c>
      <c r="B259" s="112">
        <v>1.2394000000000001</v>
      </c>
      <c r="C259" s="108">
        <f t="shared" si="74"/>
        <v>-4.3999999999999595E-3</v>
      </c>
      <c r="D259" s="109">
        <f t="shared" si="75"/>
        <v>-4.3999999999999595E-3</v>
      </c>
      <c r="E259" s="109">
        <f ca="1">IF(表2_367162629303456[[#This Row],[累计净值]]/MAX(INDIRECT("B21:B" &amp; ROW()))-1&lt;E258,表2_367162629303456[[#This Row],[累计净值]]/MAX(INDIRECT("B21:B" &amp; ROW()))-1,E258)</f>
        <v>-2.5984638012747197E-2</v>
      </c>
      <c r="F259" s="62">
        <f>表2_367162629303456[[#This Row],[累计净值]]-0.146-0.0578</f>
        <v>1.0356000000000001</v>
      </c>
      <c r="G259" s="20">
        <f>表2_367162629303456[[#This Row],[累计净值]]/$B$21-1</f>
        <v>0.10178682549559959</v>
      </c>
    </row>
    <row r="260" spans="1:7">
      <c r="A260" s="55">
        <v>44061</v>
      </c>
      <c r="B260" s="112">
        <v>1.2407999999999999</v>
      </c>
      <c r="C260" s="108">
        <f t="shared" si="74"/>
        <v>1.3999999999998458E-3</v>
      </c>
      <c r="D260" s="109" t="str">
        <f t="shared" si="75"/>
        <v>/</v>
      </c>
      <c r="E260" s="109">
        <f ca="1">IF(表2_367162629303456[[#This Row],[累计净值]]/MAX(INDIRECT("B21:B" &amp; ROW()))-1&lt;E259,表2_367162629303456[[#This Row],[累计净值]]/MAX(INDIRECT("B21:B" &amp; ROW()))-1,E259)</f>
        <v>-2.5984638012747197E-2</v>
      </c>
      <c r="F260" s="62">
        <f>表2_367162629303456[[#This Row],[累计净值]]-0.146-0.0578</f>
        <v>1.0369999999999999</v>
      </c>
      <c r="G260" s="20">
        <f>表2_367162629303456[[#This Row],[累计净值]]/$B$21-1</f>
        <v>0.10303138056716143</v>
      </c>
    </row>
    <row r="261" spans="1:7">
      <c r="A261" s="55">
        <v>44062</v>
      </c>
      <c r="B261" s="112">
        <v>1.2392000000000001</v>
      </c>
      <c r="C261" s="108">
        <f t="shared" si="74"/>
        <v>-1.5999999999998238E-3</v>
      </c>
      <c r="D261" s="109">
        <f t="shared" si="75"/>
        <v>-1.5999999999998238E-3</v>
      </c>
      <c r="E261" s="109">
        <f ca="1">IF(表2_367162629303456[[#This Row],[累计净值]]/MAX(INDIRECT("B21:B" &amp; ROW()))-1&lt;E260,表2_367162629303456[[#This Row],[累计净值]]/MAX(INDIRECT("B21:B" &amp; ROW()))-1,E260)</f>
        <v>-2.5984638012747197E-2</v>
      </c>
      <c r="F261" s="62">
        <f>表2_367162629303456[[#This Row],[累计净值]]-0.146-0.0578</f>
        <v>1.0354000000000001</v>
      </c>
      <c r="G261" s="20">
        <f>表2_367162629303456[[#This Row],[累计净值]]/$B$21-1</f>
        <v>0.10160903191394799</v>
      </c>
    </row>
    <row r="262" spans="1:7">
      <c r="A262" s="55">
        <v>44063</v>
      </c>
      <c r="B262" s="112">
        <v>1.2419</v>
      </c>
      <c r="C262" s="108">
        <f t="shared" ref="C262:C267" si="76">IFERROR(B262-B261,0)</f>
        <v>2.6999999999999247E-3</v>
      </c>
      <c r="D262" s="109" t="str">
        <f t="shared" ref="D262:D267" si="77">IF(C262&lt;0,C262,"/")</f>
        <v>/</v>
      </c>
      <c r="E262" s="109">
        <f ca="1">IF(表2_367162629303456[[#This Row],[累计净值]]/MAX(INDIRECT("B21:B" &amp; ROW()))-1&lt;E261,表2_367162629303456[[#This Row],[累计净值]]/MAX(INDIRECT("B21:B" &amp; ROW()))-1,E261)</f>
        <v>-2.5984638012747197E-2</v>
      </c>
      <c r="F262" s="62">
        <f>表2_367162629303456[[#This Row],[累计净值]]-0.146-0.0578</f>
        <v>1.0381</v>
      </c>
      <c r="G262" s="20">
        <f>表2_367162629303456[[#This Row],[累计净值]]/$B$21-1</f>
        <v>0.10400924526624578</v>
      </c>
    </row>
    <row r="263" spans="1:7">
      <c r="A263" s="55">
        <v>44064</v>
      </c>
      <c r="B263" s="112">
        <v>1.2442</v>
      </c>
      <c r="C263" s="108">
        <f t="shared" si="76"/>
        <v>2.2999999999999687E-3</v>
      </c>
      <c r="D263" s="109" t="str">
        <f t="shared" si="77"/>
        <v>/</v>
      </c>
      <c r="E263" s="109">
        <f ca="1">IF(表2_367162629303456[[#This Row],[累计净值]]/MAX(INDIRECT("B21:B" &amp; ROW()))-1&lt;E262,表2_367162629303456[[#This Row],[累计净值]]/MAX(INDIRECT("B21:B" &amp; ROW()))-1,E262)</f>
        <v>-2.5984638012747197E-2</v>
      </c>
      <c r="F263" s="62">
        <f>表2_367162629303456[[#This Row],[累计净值]]-0.146-0.0578</f>
        <v>1.0404</v>
      </c>
      <c r="G263" s="20">
        <f>表2_367162629303456[[#This Row],[累计净值]]/$B$21-1</f>
        <v>0.10605387145524037</v>
      </c>
    </row>
    <row r="264" spans="1:7">
      <c r="A264" s="55">
        <v>44067</v>
      </c>
      <c r="B264" s="112">
        <v>1.2443</v>
      </c>
      <c r="C264" s="108">
        <f t="shared" si="76"/>
        <v>9.9999999999988987E-5</v>
      </c>
      <c r="D264" s="109" t="str">
        <f t="shared" si="77"/>
        <v>/</v>
      </c>
      <c r="E264" s="109">
        <f ca="1">IF(表2_367162629303456[[#This Row],[累计净值]]/MAX(INDIRECT("B21:B" &amp; ROW()))-1&lt;E263,表2_367162629303456[[#This Row],[累计净值]]/MAX(INDIRECT("B21:B" &amp; ROW()))-1,E263)</f>
        <v>-2.5984638012747197E-2</v>
      </c>
      <c r="F264" s="62">
        <f>表2_367162629303456[[#This Row],[累计净值]]-0.146-0.0578</f>
        <v>1.0405</v>
      </c>
      <c r="G264" s="20">
        <f>表2_367162629303456[[#This Row],[累计净值]]/$B$21-1</f>
        <v>0.10614276824606628</v>
      </c>
    </row>
    <row r="265" spans="1:7">
      <c r="A265" s="55">
        <v>44068</v>
      </c>
      <c r="B265" s="112">
        <v>1.2445999999999999</v>
      </c>
      <c r="C265" s="108">
        <f t="shared" si="76"/>
        <v>2.9999999999996696E-4</v>
      </c>
      <c r="D265" s="109" t="str">
        <f t="shared" si="77"/>
        <v>/</v>
      </c>
      <c r="E265" s="109">
        <f ca="1">IF(表2_367162629303456[[#This Row],[累计净值]]/MAX(INDIRECT("B21:B" &amp; ROW()))-1&lt;E264,表2_367162629303456[[#This Row],[累计净值]]/MAX(INDIRECT("B21:B" &amp; ROW()))-1,E264)</f>
        <v>-2.5984638012747197E-2</v>
      </c>
      <c r="F265" s="62">
        <f>表2_367162629303456[[#This Row],[累计净值]]-0.146-0.0578</f>
        <v>1.0407999999999999</v>
      </c>
      <c r="G265" s="20">
        <f>表2_367162629303456[[#This Row],[累计净值]]/$B$21-1</f>
        <v>0.10640945861854378</v>
      </c>
    </row>
    <row r="266" spans="1:7">
      <c r="A266" s="55">
        <v>44069</v>
      </c>
      <c r="B266" s="112">
        <v>1.2437</v>
      </c>
      <c r="C266" s="108">
        <f t="shared" si="76"/>
        <v>-8.9999999999990088E-4</v>
      </c>
      <c r="D266" s="109">
        <f t="shared" si="77"/>
        <v>-8.9999999999990088E-4</v>
      </c>
      <c r="E266" s="109">
        <f ca="1">IF(表2_367162629303456[[#This Row],[累计净值]]/MAX(INDIRECT("B21:B" &amp; ROW()))-1&lt;E265,表2_367162629303456[[#This Row],[累计净值]]/MAX(INDIRECT("B21:B" &amp; ROW()))-1,E265)</f>
        <v>-2.5984638012747197E-2</v>
      </c>
      <c r="F266" s="62">
        <f>表2_367162629303456[[#This Row],[累计净值]]-0.146-0.0578</f>
        <v>1.0399</v>
      </c>
      <c r="G266" s="20">
        <f>表2_367162629303456[[#This Row],[累计净值]]/$B$21-1</f>
        <v>0.10560938750111126</v>
      </c>
    </row>
    <row r="267" spans="1:7">
      <c r="A267" s="55">
        <v>44070</v>
      </c>
      <c r="B267" s="112">
        <v>1.2444</v>
      </c>
      <c r="C267" s="108">
        <f t="shared" si="76"/>
        <v>6.9999999999992291E-4</v>
      </c>
      <c r="D267" s="109" t="str">
        <f t="shared" si="77"/>
        <v>/</v>
      </c>
      <c r="E267" s="109">
        <f ca="1">IF(表2_367162629303456[[#This Row],[累计净值]]/MAX(INDIRECT("B21:B" &amp; ROW()))-1&lt;E266,表2_367162629303456[[#This Row],[累计净值]]/MAX(INDIRECT("B21:B" &amp; ROW()))-1,E266)</f>
        <v>-2.5984638012747197E-2</v>
      </c>
      <c r="F267" s="62">
        <f>表2_367162629303456[[#This Row],[累计净值]]-0.146-0.0578</f>
        <v>1.0406</v>
      </c>
      <c r="G267" s="20">
        <f>表2_367162629303456[[#This Row],[累计净值]]/$B$21-1</f>
        <v>0.10623166503689219</v>
      </c>
    </row>
    <row r="268" spans="1:7">
      <c r="A268" s="55">
        <v>44071</v>
      </c>
      <c r="B268" s="112">
        <v>1.2418</v>
      </c>
      <c r="C268" s="108">
        <f>IFERROR(B268-B267,0)</f>
        <v>-2.5999999999999357E-3</v>
      </c>
      <c r="D268" s="109">
        <f>IF(C268&lt;0,C268,"/")</f>
        <v>-2.5999999999999357E-3</v>
      </c>
      <c r="E268" s="109">
        <f ca="1">IF(表2_367162629303456[[#This Row],[累计净值]]/MAX(INDIRECT("B21:B" &amp; ROW()))-1&lt;E267,表2_367162629303456[[#This Row],[累计净值]]/MAX(INDIRECT("B21:B" &amp; ROW()))-1,E267)</f>
        <v>-2.5984638012747197E-2</v>
      </c>
      <c r="F268" s="62">
        <f>表2_367162629303456[[#This Row],[累计净值]]-0.146-0.0578</f>
        <v>1.038</v>
      </c>
      <c r="G268" s="20">
        <f>表2_367162629303456[[#This Row],[累计净值]]/$B$21-1</f>
        <v>0.10392034847542009</v>
      </c>
    </row>
    <row r="269" spans="1:7">
      <c r="A269" s="55">
        <v>44074</v>
      </c>
      <c r="B269" s="112">
        <v>1.2393000000000001</v>
      </c>
      <c r="C269" s="108">
        <f>IFERROR(B269-B268,0)</f>
        <v>-2.4999999999999467E-3</v>
      </c>
      <c r="D269" s="109">
        <f>IF(C269&lt;0,C269,"/")</f>
        <v>-2.4999999999999467E-3</v>
      </c>
      <c r="E269" s="109">
        <f ca="1">IF(表2_367162629303456[[#This Row],[累计净值]]/MAX(INDIRECT("B21:B" &amp; ROW()))-1&lt;E268,表2_367162629303456[[#This Row],[累计净值]]/MAX(INDIRECT("B21:B" &amp; ROW()))-1,E268)</f>
        <v>-2.5984638012747197E-2</v>
      </c>
      <c r="F269" s="62">
        <f>表2_367162629303456[[#This Row],[累计净值]]-0.146-0.0578</f>
        <v>1.0355000000000001</v>
      </c>
      <c r="G269" s="20">
        <f>表2_367162629303456[[#This Row],[累计净值]]/$B$21-1</f>
        <v>0.1016979287047739</v>
      </c>
    </row>
    <row r="270" spans="1:7">
      <c r="A270" s="55">
        <v>44075</v>
      </c>
      <c r="B270" s="112">
        <v>1.2439</v>
      </c>
      <c r="C270" s="108">
        <f>IFERROR(B270-B269,0)</f>
        <v>4.5999999999999375E-3</v>
      </c>
      <c r="D270" s="109" t="str">
        <f>IF(C270&lt;0,C270,"/")</f>
        <v>/</v>
      </c>
      <c r="E270" s="109">
        <f ca="1">IF(表2_367162629303456[[#This Row],[累计净值]]/MAX(INDIRECT("B21:B" &amp; ROW()))-1&lt;E269,表2_367162629303456[[#This Row],[累计净值]]/MAX(INDIRECT("B21:B" &amp; ROW()))-1,E269)</f>
        <v>-2.5984638012747197E-2</v>
      </c>
      <c r="F270" s="62">
        <f>表2_367162629303456[[#This Row],[累计净值]]-0.146-0.0578</f>
        <v>1.0401</v>
      </c>
      <c r="G270" s="20">
        <f>表2_367162629303456[[#This Row],[累计净值]]/$B$21-1</f>
        <v>0.10578718108276286</v>
      </c>
    </row>
    <row r="271" spans="1:7">
      <c r="A271" s="55">
        <v>44076</v>
      </c>
      <c r="B271" s="112">
        <v>1.2441</v>
      </c>
      <c r="C271" s="108">
        <f>IFERROR(B271-B270,0)</f>
        <v>1.9999999999997797E-4</v>
      </c>
      <c r="D271" s="109" t="str">
        <f>IF(C271&lt;0,C271,"/")</f>
        <v>/</v>
      </c>
      <c r="E271" s="109">
        <f ca="1">IF(表2_367162629303456[[#This Row],[累计净值]]/MAX(INDIRECT("B21:B" &amp; ROW()))-1&lt;E270,表2_367162629303456[[#This Row],[累计净值]]/MAX(INDIRECT("B21:B" &amp; ROW()))-1,E270)</f>
        <v>-2.5984638012747197E-2</v>
      </c>
      <c r="F271" s="62">
        <f>表2_367162629303456[[#This Row],[累计净值]]-0.146-0.0578</f>
        <v>1.0403</v>
      </c>
      <c r="G271" s="20">
        <f>表2_367162629303456[[#This Row],[累计净值]]/$B$21-1</f>
        <v>0.10596497466441468</v>
      </c>
    </row>
    <row r="272" spans="1:7">
      <c r="A272" s="55">
        <v>44077</v>
      </c>
      <c r="B272" s="117">
        <v>1.2454000000000001</v>
      </c>
      <c r="C272" s="108">
        <f t="shared" ref="C272:C277" si="78">IFERROR(B272-B271,0)</f>
        <v>1.3000000000000789E-3</v>
      </c>
      <c r="D272" s="109" t="str">
        <f t="shared" ref="D272:D277" si="79">IF(C272&lt;0,C272,"/")</f>
        <v>/</v>
      </c>
      <c r="E272" s="109">
        <f ca="1">IF(表2_367162629303456[[#This Row],[累计净值]]/MAX(INDIRECT("B21:B" &amp; ROW()))-1&lt;E271,表2_367162629303456[[#This Row],[累计净值]]/MAX(INDIRECT("B21:B" &amp; ROW()))-1,E271)</f>
        <v>-2.5984638012747197E-2</v>
      </c>
      <c r="F272" s="62">
        <f>表2_367162629303456[[#This Row],[累计净值]]-0.146-0.0578</f>
        <v>1.0416000000000001</v>
      </c>
      <c r="G272" s="20">
        <f>表2_367162629303456[[#This Row],[累计净值]]/$B$21-1</f>
        <v>0.10712063294515062</v>
      </c>
    </row>
    <row r="273" spans="1:7">
      <c r="A273" s="55">
        <v>44078</v>
      </c>
      <c r="B273" s="112">
        <v>1.2452000000000001</v>
      </c>
      <c r="C273" s="108">
        <f t="shared" si="78"/>
        <v>-1.9999999999997797E-4</v>
      </c>
      <c r="D273" s="109">
        <f t="shared" si="79"/>
        <v>-1.9999999999997797E-4</v>
      </c>
      <c r="E273" s="109">
        <f ca="1">IF(表2_367162629303456[[#This Row],[累计净值]]/MAX(INDIRECT("B21:B" &amp; ROW()))-1&lt;E272,表2_367162629303456[[#This Row],[累计净值]]/MAX(INDIRECT("B21:B" &amp; ROW()))-1,E272)</f>
        <v>-2.5984638012747197E-2</v>
      </c>
      <c r="F273" s="62">
        <f>表2_367162629303456[[#This Row],[累计净值]]-0.146-0.0578</f>
        <v>1.0414000000000001</v>
      </c>
      <c r="G273" s="20">
        <f>表2_367162629303456[[#This Row],[累计净值]]/$B$21-1</f>
        <v>0.10694283936349902</v>
      </c>
    </row>
    <row r="274" spans="1:7">
      <c r="A274" s="55">
        <v>44081</v>
      </c>
      <c r="B274" s="112">
        <v>1.2432000000000001</v>
      </c>
      <c r="C274" s="108">
        <f t="shared" si="78"/>
        <v>-2.0000000000000018E-3</v>
      </c>
      <c r="D274" s="109">
        <f t="shared" si="79"/>
        <v>-2.0000000000000018E-3</v>
      </c>
      <c r="E274" s="109">
        <f ca="1">IF(表2_367162629303456[[#This Row],[累计净值]]/MAX(INDIRECT("B21:B" &amp; ROW()))-1&lt;E273,表2_367162629303456[[#This Row],[累计净值]]/MAX(INDIRECT("B21:B" &amp; ROW()))-1,E273)</f>
        <v>-2.5984638012747197E-2</v>
      </c>
      <c r="F274" s="62">
        <f>表2_367162629303456[[#This Row],[累计净值]]-0.146-0.0578</f>
        <v>1.0394000000000001</v>
      </c>
      <c r="G274" s="20">
        <f>表2_367162629303456[[#This Row],[累计净值]]/$B$21-1</f>
        <v>0.10516490354698194</v>
      </c>
    </row>
    <row r="275" spans="1:7">
      <c r="A275" s="55">
        <v>44082</v>
      </c>
      <c r="B275" s="112">
        <v>1.2445999999999999</v>
      </c>
      <c r="C275" s="108">
        <f t="shared" si="78"/>
        <v>1.3999999999998458E-3</v>
      </c>
      <c r="D275" s="109" t="str">
        <f t="shared" si="79"/>
        <v>/</v>
      </c>
      <c r="E275" s="109">
        <f ca="1">IF(表2_367162629303456[[#This Row],[累计净值]]/MAX(INDIRECT("B21:B" &amp; ROW()))-1&lt;E274,表2_367162629303456[[#This Row],[累计净值]]/MAX(INDIRECT("B21:B" &amp; ROW()))-1,E274)</f>
        <v>-2.5984638012747197E-2</v>
      </c>
      <c r="F275" s="62">
        <f>表2_367162629303456[[#This Row],[累计净值]]-0.146-0.0578</f>
        <v>1.0407999999999999</v>
      </c>
      <c r="G275" s="20">
        <f>表2_367162629303456[[#This Row],[累计净值]]/$B$21-1</f>
        <v>0.10640945861854378</v>
      </c>
    </row>
    <row r="276" spans="1:7">
      <c r="A276" s="55">
        <v>44083</v>
      </c>
      <c r="B276" s="112">
        <v>1.2422</v>
      </c>
      <c r="C276" s="108">
        <f t="shared" si="78"/>
        <v>-2.3999999999999577E-3</v>
      </c>
      <c r="D276" s="109">
        <f t="shared" si="79"/>
        <v>-2.3999999999999577E-3</v>
      </c>
      <c r="E276" s="109">
        <f ca="1">IF(表2_367162629303456[[#This Row],[累计净值]]/MAX(INDIRECT("B21:B" &amp; ROW()))-1&lt;E275,表2_367162629303456[[#This Row],[累计净值]]/MAX(INDIRECT("B21:B" &amp; ROW()))-1,E275)</f>
        <v>-2.5984638012747197E-2</v>
      </c>
      <c r="F276" s="62">
        <f>表2_367162629303456[[#This Row],[累计净值]]-0.146-0.0578</f>
        <v>1.0384</v>
      </c>
      <c r="G276" s="20">
        <f>表2_367162629303456[[#This Row],[累计净值]]/$B$21-1</f>
        <v>0.1042759356387235</v>
      </c>
    </row>
    <row r="277" spans="1:7">
      <c r="A277" s="55">
        <v>44084</v>
      </c>
      <c r="B277" s="112">
        <v>1.2436</v>
      </c>
      <c r="C277" s="108">
        <f t="shared" si="78"/>
        <v>1.4000000000000679E-3</v>
      </c>
      <c r="D277" s="109" t="str">
        <f t="shared" si="79"/>
        <v>/</v>
      </c>
      <c r="E277" s="109">
        <f ca="1">IF(表2_367162629303456[[#This Row],[累计净值]]/MAX(INDIRECT("B21:B" &amp; ROW()))-1&lt;E276,表2_367162629303456[[#This Row],[累计净值]]/MAX(INDIRECT("B21:B" &amp; ROW()))-1,E276)</f>
        <v>-2.5984638012747197E-2</v>
      </c>
      <c r="F277" s="62">
        <f>表2_367162629303456[[#This Row],[累计净值]]-0.146-0.0578</f>
        <v>1.0398000000000001</v>
      </c>
      <c r="G277" s="20">
        <f>表2_367162629303456[[#This Row],[累计净值]]/$B$21-1</f>
        <v>0.10552049071028535</v>
      </c>
    </row>
    <row r="278" spans="1:7">
      <c r="A278" s="55">
        <v>44085</v>
      </c>
      <c r="B278" s="112">
        <v>1.2482</v>
      </c>
      <c r="C278" s="108">
        <f t="shared" ref="C278:C283" si="80">IFERROR(B278-B277,0)</f>
        <v>4.5999999999999375E-3</v>
      </c>
      <c r="D278" s="109" t="str">
        <f t="shared" ref="D278:D283" si="81">IF(C278&lt;0,C278,"/")</f>
        <v>/</v>
      </c>
      <c r="E278" s="109">
        <f ca="1">IF(表2_367162629303456[[#This Row],[累计净值]]/MAX(INDIRECT("B21:B" &amp; ROW()))-1&lt;E277,表2_367162629303456[[#This Row],[累计净值]]/MAX(INDIRECT("B21:B" &amp; ROW()))-1,E277)</f>
        <v>-2.5984638012747197E-2</v>
      </c>
      <c r="F278" s="62">
        <f>表2_367162629303456[[#This Row],[累计净值]]-0.146-0.0578</f>
        <v>1.0444</v>
      </c>
      <c r="G278" s="20">
        <f>表2_367162629303456[[#This Row],[累计净值]]/$B$21-1</f>
        <v>0.10960974308827454</v>
      </c>
    </row>
    <row r="279" spans="1:7">
      <c r="A279" s="55">
        <v>44088</v>
      </c>
      <c r="B279" s="112">
        <v>1.2509999999999999</v>
      </c>
      <c r="C279" s="108">
        <f t="shared" si="80"/>
        <v>2.7999999999999137E-3</v>
      </c>
      <c r="D279" s="109" t="str">
        <f t="shared" si="81"/>
        <v>/</v>
      </c>
      <c r="E279" s="109">
        <f ca="1">IF(表2_367162629303456[[#This Row],[累计净值]]/MAX(INDIRECT("B21:B" &amp; ROW()))-1&lt;E278,表2_367162629303456[[#This Row],[累计净值]]/MAX(INDIRECT("B21:B" &amp; ROW()))-1,E278)</f>
        <v>-2.5984638012747197E-2</v>
      </c>
      <c r="F279" s="62">
        <f>表2_367162629303456[[#This Row],[累计净值]]-0.146-0.0578</f>
        <v>1.0471999999999999</v>
      </c>
      <c r="G279" s="20">
        <f>表2_367162629303456[[#This Row],[累计净值]]/$B$21-1</f>
        <v>0.11209885323139823</v>
      </c>
    </row>
    <row r="280" spans="1:7">
      <c r="A280" s="55">
        <v>44089</v>
      </c>
      <c r="B280" s="112">
        <v>1.2504999999999999</v>
      </c>
      <c r="C280" s="108">
        <f t="shared" si="80"/>
        <v>-4.9999999999994493E-4</v>
      </c>
      <c r="D280" s="109">
        <f t="shared" si="81"/>
        <v>-4.9999999999994493E-4</v>
      </c>
      <c r="E280" s="109">
        <f ca="1">IF(表2_367162629303456[[#This Row],[累计净值]]/MAX(INDIRECT("B21:B" &amp; ROW()))-1&lt;E279,表2_367162629303456[[#This Row],[累计净值]]/MAX(INDIRECT("B21:B" &amp; ROW()))-1,E279)</f>
        <v>-2.5984638012747197E-2</v>
      </c>
      <c r="F280" s="62">
        <f>表2_367162629303456[[#This Row],[累计净值]]-0.146-0.0578</f>
        <v>1.0467</v>
      </c>
      <c r="G280" s="20">
        <f>表2_367162629303456[[#This Row],[累计净值]]/$B$21-1</f>
        <v>0.11165436927726913</v>
      </c>
    </row>
    <row r="281" spans="1:7">
      <c r="A281" s="55">
        <v>44090</v>
      </c>
      <c r="B281" s="117">
        <v>1.2521</v>
      </c>
      <c r="C281" s="108">
        <f t="shared" si="80"/>
        <v>1.6000000000000458E-3</v>
      </c>
      <c r="D281" s="109" t="str">
        <f t="shared" si="81"/>
        <v>/</v>
      </c>
      <c r="E281" s="109">
        <f ca="1">IF(表2_367162629303456[[#This Row],[累计净值]]/MAX(INDIRECT("B21:B" &amp; ROW()))-1&lt;E280,表2_367162629303456[[#This Row],[累计净值]]/MAX(INDIRECT("B21:B" &amp; ROW()))-1,E280)</f>
        <v>-2.5984638012747197E-2</v>
      </c>
      <c r="F281" s="62">
        <f>表2_367162629303456[[#This Row],[累计净值]]-0.146-0.0578</f>
        <v>1.0483</v>
      </c>
      <c r="G281" s="20">
        <f>表2_367162629303456[[#This Row],[累计净值]]/$B$21-1</f>
        <v>0.1130767179304828</v>
      </c>
    </row>
    <row r="282" spans="1:7">
      <c r="A282" s="55">
        <v>44091</v>
      </c>
      <c r="B282" s="112">
        <v>1.2478</v>
      </c>
      <c r="C282" s="108">
        <f t="shared" si="80"/>
        <v>-4.2999999999999705E-3</v>
      </c>
      <c r="D282" s="109">
        <f t="shared" si="81"/>
        <v>-4.2999999999999705E-3</v>
      </c>
      <c r="E282" s="109">
        <f ca="1">IF(表2_367162629303456[[#This Row],[累计净值]]/MAX(INDIRECT("B21:B" &amp; ROW()))-1&lt;E281,表2_367162629303456[[#This Row],[累计净值]]/MAX(INDIRECT("B21:B" &amp; ROW()))-1,E281)</f>
        <v>-2.5984638012747197E-2</v>
      </c>
      <c r="F282" s="62">
        <f>表2_367162629303456[[#This Row],[累计净值]]-0.146-0.0578</f>
        <v>1.044</v>
      </c>
      <c r="G282" s="20">
        <f>表2_367162629303456[[#This Row],[累计净值]]/$B$21-1</f>
        <v>0.10925415592497112</v>
      </c>
    </row>
    <row r="283" spans="1:7">
      <c r="A283" s="55">
        <v>44092</v>
      </c>
      <c r="B283" s="112">
        <v>1.2470000000000001</v>
      </c>
      <c r="C283" s="108">
        <f t="shared" si="80"/>
        <v>-7.9999999999991189E-4</v>
      </c>
      <c r="D283" s="109">
        <f t="shared" si="81"/>
        <v>-7.9999999999991189E-4</v>
      </c>
      <c r="E283" s="109">
        <f ca="1">IF(表2_367162629303456[[#This Row],[累计净值]]/MAX(INDIRECT("B21:B" &amp; ROW()))-1&lt;E282,表2_367162629303456[[#This Row],[累计净值]]/MAX(INDIRECT("B21:B" &amp; ROW()))-1,E282)</f>
        <v>-2.5984638012747197E-2</v>
      </c>
      <c r="F283" s="62">
        <f>表2_367162629303456[[#This Row],[累计净值]]-0.146-0.0578</f>
        <v>1.0432000000000001</v>
      </c>
      <c r="G283" s="20">
        <f>表2_367162629303456[[#This Row],[累计净值]]/$B$21-1</f>
        <v>0.10854298159836429</v>
      </c>
    </row>
    <row r="284" spans="1:7">
      <c r="A284" s="55">
        <v>44095</v>
      </c>
      <c r="B284" s="112">
        <v>1.2451000000000001</v>
      </c>
      <c r="C284" s="108">
        <f t="shared" ref="C284:C289" si="82">IFERROR(B284-B283,0)</f>
        <v>-1.9000000000000128E-3</v>
      </c>
      <c r="D284" s="109">
        <f t="shared" ref="D284:D289" si="83">IF(C284&lt;0,C284,"/")</f>
        <v>-1.9000000000000128E-3</v>
      </c>
      <c r="E284" s="109">
        <f ca="1">IF(表2_367162629303456[[#This Row],[累计净值]]/MAX(INDIRECT("B21:B" &amp; ROW()))-1&lt;E283,表2_367162629303456[[#This Row],[累计净值]]/MAX(INDIRECT("B21:B" &amp; ROW()))-1,E283)</f>
        <v>-2.5984638012747197E-2</v>
      </c>
      <c r="F284" s="62">
        <f>表2_367162629303456[[#This Row],[累计净值]]-0.146-0.0578</f>
        <v>1.0413000000000001</v>
      </c>
      <c r="G284" s="20">
        <f>表2_367162629303456[[#This Row],[累计净值]]/$B$21-1</f>
        <v>0.10685394257267311</v>
      </c>
    </row>
    <row r="285" spans="1:7">
      <c r="A285" s="55">
        <v>44096</v>
      </c>
      <c r="B285" s="112">
        <v>1.2470000000000001</v>
      </c>
      <c r="C285" s="108">
        <f t="shared" si="82"/>
        <v>1.9000000000000128E-3</v>
      </c>
      <c r="D285" s="109" t="str">
        <f t="shared" si="83"/>
        <v>/</v>
      </c>
      <c r="E285" s="109">
        <f ca="1">IF(表2_367162629303456[[#This Row],[累计净值]]/MAX(INDIRECT("B21:B" &amp; ROW()))-1&lt;E284,表2_367162629303456[[#This Row],[累计净值]]/MAX(INDIRECT("B21:B" &amp; ROW()))-1,E284)</f>
        <v>-2.5984638012747197E-2</v>
      </c>
      <c r="F285" s="62">
        <f>表2_367162629303456[[#This Row],[累计净值]]-0.146-0.0578</f>
        <v>1.0432000000000001</v>
      </c>
      <c r="G285" s="20">
        <f>表2_367162629303456[[#This Row],[累计净值]]/$B$21-1</f>
        <v>0.10854298159836429</v>
      </c>
    </row>
    <row r="286" spans="1:7">
      <c r="A286" s="55">
        <v>44097</v>
      </c>
      <c r="B286" s="112">
        <v>1.2502</v>
      </c>
      <c r="C286" s="108">
        <f t="shared" si="82"/>
        <v>3.1999999999998696E-3</v>
      </c>
      <c r="D286" s="109" t="str">
        <f t="shared" si="83"/>
        <v>/</v>
      </c>
      <c r="E286" s="109">
        <f ca="1">IF(表2_367162629303456[[#This Row],[累计净值]]/MAX(INDIRECT("B21:B" &amp; ROW()))-1&lt;E285,表2_367162629303456[[#This Row],[累计净值]]/MAX(INDIRECT("B21:B" &amp; ROW()))-1,E285)</f>
        <v>-2.5984638012747197E-2</v>
      </c>
      <c r="F286" s="62">
        <f>表2_367162629303456[[#This Row],[累计净值]]-0.146-0.0578</f>
        <v>1.0464</v>
      </c>
      <c r="G286" s="20">
        <f>表2_367162629303456[[#This Row],[累计净值]]/$B$21-1</f>
        <v>0.1113876789047914</v>
      </c>
    </row>
    <row r="287" spans="1:7">
      <c r="A287" s="55">
        <v>44098</v>
      </c>
      <c r="B287" s="112">
        <v>1.2479</v>
      </c>
      <c r="C287" s="108">
        <f t="shared" si="82"/>
        <v>-2.2999999999999687E-3</v>
      </c>
      <c r="D287" s="109">
        <f t="shared" si="83"/>
        <v>-2.2999999999999687E-3</v>
      </c>
      <c r="E287" s="109">
        <f ca="1">IF(表2_367162629303456[[#This Row],[累计净值]]/MAX(INDIRECT("B21:B" &amp; ROW()))-1&lt;E286,表2_367162629303456[[#This Row],[累计净值]]/MAX(INDIRECT("B21:B" &amp; ROW()))-1,E286)</f>
        <v>-2.5984638012747197E-2</v>
      </c>
      <c r="F287" s="62">
        <f>表2_367162629303456[[#This Row],[累计净值]]-0.146-0.0578</f>
        <v>1.0441</v>
      </c>
      <c r="G287" s="20">
        <f>表2_367162629303456[[#This Row],[累计净值]]/$B$21-1</f>
        <v>0.10934305271579703</v>
      </c>
    </row>
    <row r="288" spans="1:7">
      <c r="A288" s="55">
        <v>44099</v>
      </c>
      <c r="B288" s="112">
        <v>1.246</v>
      </c>
      <c r="C288" s="108">
        <f t="shared" si="82"/>
        <v>-1.9000000000000128E-3</v>
      </c>
      <c r="D288" s="109">
        <f t="shared" si="83"/>
        <v>-1.9000000000000128E-3</v>
      </c>
      <c r="E288" s="109">
        <f ca="1">IF(表2_367162629303456[[#This Row],[累计净值]]/MAX(INDIRECT("B21:B" &amp; ROW()))-1&lt;E287,表2_367162629303456[[#This Row],[累计净值]]/MAX(INDIRECT("B21:B" &amp; ROW()))-1,E287)</f>
        <v>-2.5984638012747197E-2</v>
      </c>
      <c r="F288" s="62">
        <f>表2_367162629303456[[#This Row],[累计净值]]-0.146-0.0578</f>
        <v>1.0422</v>
      </c>
      <c r="G288" s="20">
        <f>表2_367162629303456[[#This Row],[累计净值]]/$B$21-1</f>
        <v>0.10765401369010585</v>
      </c>
    </row>
    <row r="289" spans="1:7">
      <c r="A289" s="55">
        <v>44102</v>
      </c>
      <c r="B289" s="112">
        <v>1.2457</v>
      </c>
      <c r="C289" s="108">
        <f t="shared" si="82"/>
        <v>-2.9999999999996696E-4</v>
      </c>
      <c r="D289" s="109">
        <f t="shared" si="83"/>
        <v>-2.9999999999996696E-4</v>
      </c>
      <c r="E289" s="109">
        <f ca="1">IF(表2_367162629303456[[#This Row],[累计净值]]/MAX(INDIRECT("B21:B" &amp; ROW()))-1&lt;E288,表2_367162629303456[[#This Row],[累计净值]]/MAX(INDIRECT("B21:B" &amp; ROW()))-1,E288)</f>
        <v>-2.5984638012747197E-2</v>
      </c>
      <c r="F289" s="62">
        <f>表2_367162629303456[[#This Row],[累计净值]]-0.146-0.0578</f>
        <v>1.0419</v>
      </c>
      <c r="G289" s="20">
        <f>表2_367162629303456[[#This Row],[累计净值]]/$B$21-1</f>
        <v>0.10738732331762835</v>
      </c>
    </row>
    <row r="290" spans="1:7">
      <c r="A290" s="55">
        <v>44103</v>
      </c>
      <c r="B290" s="112">
        <v>1.2436</v>
      </c>
      <c r="C290" s="108">
        <f t="shared" ref="C290:C295" si="84">IFERROR(B290-B289,0)</f>
        <v>-2.0999999999999908E-3</v>
      </c>
      <c r="D290" s="109">
        <f t="shared" ref="D290:D295" si="85">IF(C290&lt;0,C290,"/")</f>
        <v>-2.0999999999999908E-3</v>
      </c>
      <c r="E290" s="109">
        <f ca="1">IF(表2_367162629303456[[#This Row],[累计净值]]/MAX(INDIRECT("B21:B" &amp; ROW()))-1&lt;E289,表2_367162629303456[[#This Row],[累计净值]]/MAX(INDIRECT("B21:B" &amp; ROW()))-1,E289)</f>
        <v>-2.5984638012747197E-2</v>
      </c>
      <c r="F290" s="62">
        <f>表2_367162629303456[[#This Row],[累计净值]]-0.146-0.0578</f>
        <v>1.0398000000000001</v>
      </c>
      <c r="G290" s="20">
        <f>表2_367162629303456[[#This Row],[累计净值]]/$B$21-1</f>
        <v>0.10552049071028535</v>
      </c>
    </row>
    <row r="291" spans="1:7">
      <c r="A291" s="55">
        <v>44104</v>
      </c>
      <c r="B291" s="112">
        <v>1.25</v>
      </c>
      <c r="C291" s="108">
        <f t="shared" si="84"/>
        <v>6.3999999999999613E-3</v>
      </c>
      <c r="D291" s="109" t="str">
        <f t="shared" si="85"/>
        <v>/</v>
      </c>
      <c r="E291" s="109">
        <f ca="1">IF(表2_367162629303456[[#This Row],[累计净值]]/MAX(INDIRECT("B21:B" &amp; ROW()))-1&lt;E290,表2_367162629303456[[#This Row],[累计净值]]/MAX(INDIRECT("B21:B" &amp; ROW()))-1,E290)</f>
        <v>-2.5984638012747197E-2</v>
      </c>
      <c r="F291" s="62">
        <f>表2_367162629303456[[#This Row],[累计净值]]-0.146-0.0578</f>
        <v>1.0462</v>
      </c>
      <c r="G291" s="20">
        <f>表2_367162629303456[[#This Row],[累计净值]]/$B$21-1</f>
        <v>0.1112098853231398</v>
      </c>
    </row>
    <row r="292" spans="1:7">
      <c r="A292" s="55">
        <v>44113</v>
      </c>
      <c r="B292" s="112">
        <v>1.2487999999999999</v>
      </c>
      <c r="C292" s="108">
        <f t="shared" si="84"/>
        <v>-1.2000000000000899E-3</v>
      </c>
      <c r="D292" s="109">
        <f t="shared" si="85"/>
        <v>-1.2000000000000899E-3</v>
      </c>
      <c r="E292" s="109">
        <f ca="1">IF(表2_367162629303456[[#This Row],[累计净值]]/MAX(INDIRECT("B21:B" &amp; ROW()))-1&lt;E291,表2_367162629303456[[#This Row],[累计净值]]/MAX(INDIRECT("B21:B" &amp; ROW()))-1,E291)</f>
        <v>-2.5984638012747197E-2</v>
      </c>
      <c r="F292" s="62">
        <f>表2_367162629303456[[#This Row],[累计净值]]-0.146-0.0578</f>
        <v>1.0449999999999999</v>
      </c>
      <c r="G292" s="20">
        <f>表2_367162629303456[[#This Row],[累计净值]]/$B$21-1</f>
        <v>0.11014312383322955</v>
      </c>
    </row>
    <row r="293" spans="1:7">
      <c r="A293" s="55">
        <v>44116</v>
      </c>
      <c r="B293" s="112">
        <v>1.2486999999999999</v>
      </c>
      <c r="C293" s="108">
        <f t="shared" si="84"/>
        <v>-9.9999999999988987E-5</v>
      </c>
      <c r="D293" s="109">
        <f t="shared" si="85"/>
        <v>-9.9999999999988987E-5</v>
      </c>
      <c r="E293" s="109">
        <f ca="1">IF(表2_367162629303456[[#This Row],[累计净值]]/MAX(INDIRECT("B21:B" &amp; ROW()))-1&lt;E292,表2_367162629303456[[#This Row],[累计净值]]/MAX(INDIRECT("B21:B" &amp; ROW()))-1,E292)</f>
        <v>-2.5984638012747197E-2</v>
      </c>
      <c r="F293" s="62">
        <f>表2_367162629303456[[#This Row],[累计净值]]-0.146-0.0578</f>
        <v>1.0448999999999999</v>
      </c>
      <c r="G293" s="20">
        <f>表2_367162629303456[[#This Row],[累计净值]]/$B$21-1</f>
        <v>0.11005422704240364</v>
      </c>
    </row>
    <row r="294" spans="1:7">
      <c r="A294" s="55">
        <v>44117</v>
      </c>
      <c r="B294" s="112">
        <v>1.2475000000000001</v>
      </c>
      <c r="C294" s="108">
        <f t="shared" si="84"/>
        <v>-1.1999999999998678E-3</v>
      </c>
      <c r="D294" s="109">
        <f t="shared" si="85"/>
        <v>-1.1999999999998678E-3</v>
      </c>
      <c r="E294" s="109">
        <f ca="1">IF(表2_367162629303456[[#This Row],[累计净值]]/MAX(INDIRECT("B21:B" &amp; ROW()))-1&lt;E293,表2_367162629303456[[#This Row],[累计净值]]/MAX(INDIRECT("B21:B" &amp; ROW()))-1,E293)</f>
        <v>-2.5984638012747197E-2</v>
      </c>
      <c r="F294" s="62">
        <f>表2_367162629303456[[#This Row],[累计净值]]-0.146-0.0578</f>
        <v>1.0437000000000001</v>
      </c>
      <c r="G294" s="20">
        <f>表2_367162629303456[[#This Row],[累计净值]]/$B$21-1</f>
        <v>0.10898746555249361</v>
      </c>
    </row>
    <row r="295" spans="1:7">
      <c r="A295" s="55">
        <v>44118</v>
      </c>
      <c r="B295" s="112">
        <v>1.2458</v>
      </c>
      <c r="C295" s="108">
        <f t="shared" si="84"/>
        <v>-1.7000000000000348E-3</v>
      </c>
      <c r="D295" s="109">
        <f t="shared" si="85"/>
        <v>-1.7000000000000348E-3</v>
      </c>
      <c r="E295" s="109">
        <f ca="1">IF(表2_367162629303456[[#This Row],[累计净值]]/MAX(INDIRECT("B21:B" &amp; ROW()))-1&lt;E294,表2_367162629303456[[#This Row],[累计净值]]/MAX(INDIRECT("B21:B" &amp; ROW()))-1,E294)</f>
        <v>-2.5984638012747197E-2</v>
      </c>
      <c r="F295" s="62">
        <f>表2_367162629303456[[#This Row],[累计净值]]-0.146-0.0578</f>
        <v>1.042</v>
      </c>
      <c r="G295" s="20">
        <f>表2_367162629303456[[#This Row],[累计净值]]/$B$21-1</f>
        <v>0.10747622010845403</v>
      </c>
    </row>
    <row r="296" spans="1:7">
      <c r="A296" s="55">
        <v>44119</v>
      </c>
      <c r="B296" s="112">
        <v>1.2446999999999999</v>
      </c>
      <c r="C296" s="108">
        <f>IFERROR(B296-B295,0)</f>
        <v>-1.1000000000001009E-3</v>
      </c>
      <c r="D296" s="109">
        <f>IF(C296&lt;0,C296,"/")</f>
        <v>-1.1000000000001009E-3</v>
      </c>
      <c r="E296" s="109">
        <f ca="1">IF(表2_367162629303456[[#This Row],[累计净值]]/MAX(INDIRECT("B21:B" &amp; ROW()))-1&lt;E295,表2_367162629303456[[#This Row],[累计净值]]/MAX(INDIRECT("B21:B" &amp; ROW()))-1,E295)</f>
        <v>-2.5984638012747197E-2</v>
      </c>
      <c r="F296" s="62">
        <f>表2_367162629303456[[#This Row],[累计净值]]-0.146-0.0578</f>
        <v>1.0408999999999999</v>
      </c>
      <c r="G296" s="20">
        <f>表2_367162629303456[[#This Row],[累计净值]]/$B$21-1</f>
        <v>0.10649835540936969</v>
      </c>
    </row>
    <row r="297" spans="1:7">
      <c r="A297" s="55">
        <v>44120</v>
      </c>
      <c r="B297" s="112">
        <v>1.2446999999999999</v>
      </c>
      <c r="C297" s="108">
        <f>IFERROR(B297-B296,0)</f>
        <v>0</v>
      </c>
      <c r="D297" s="109" t="str">
        <f>IF(C297&lt;0,C297,"/")</f>
        <v>/</v>
      </c>
      <c r="E297" s="109">
        <f ca="1">IF(表2_367162629303456[[#This Row],[累计净值]]/MAX(INDIRECT("B21:B" &amp; ROW()))-1&lt;E296,表2_367162629303456[[#This Row],[累计净值]]/MAX(INDIRECT("B21:B" &amp; ROW()))-1,E296)</f>
        <v>-2.5984638012747197E-2</v>
      </c>
      <c r="F297" s="62">
        <f>表2_367162629303456[[#This Row],[累计净值]]-0.146-0.0578</f>
        <v>1.0408999999999999</v>
      </c>
      <c r="G297" s="20">
        <f>表2_367162629303456[[#This Row],[累计净值]]/$B$21-1</f>
        <v>0.10649835540936969</v>
      </c>
    </row>
    <row r="298" spans="1:7">
      <c r="A298" s="55">
        <v>44123</v>
      </c>
      <c r="B298" s="112">
        <v>1.2459</v>
      </c>
      <c r="C298" s="108">
        <f>IFERROR(B298-B297,0)</f>
        <v>1.2000000000000899E-3</v>
      </c>
      <c r="D298" s="109" t="str">
        <f>IF(C298&lt;0,C298,"/")</f>
        <v>/</v>
      </c>
      <c r="E298" s="109">
        <f ca="1">IF(表2_367162629303456[[#This Row],[累计净值]]/MAX(INDIRECT("B21:B" &amp; ROW()))-1&lt;E297,表2_367162629303456[[#This Row],[累计净值]]/MAX(INDIRECT("B21:B" &amp; ROW()))-1,E297)</f>
        <v>-2.5984638012747197E-2</v>
      </c>
      <c r="F298" s="62">
        <f>表2_367162629303456[[#This Row],[累计净值]]-0.146-0.0578</f>
        <v>1.0421</v>
      </c>
      <c r="G298" s="20">
        <f>表2_367162629303456[[#This Row],[累计净值]]/$B$21-1</f>
        <v>0.10756511689927994</v>
      </c>
    </row>
  </sheetData>
  <mergeCells count="1">
    <mergeCell ref="G2:G3"/>
  </mergeCells>
  <phoneticPr fontId="24" type="noConversion"/>
  <pageMargins left="0.7" right="0.7" top="0.75" bottom="0.75" header="0.3" footer="0.3"/>
  <pageSetup paperSize="9" orientation="portrait" horizontalDpi="200" verticalDpi="200"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371"/>
  <sheetViews>
    <sheetView workbookViewId="0">
      <pane xSplit="1" ySplit="20" topLeftCell="B354" activePane="bottomRight" state="frozen"/>
      <selection pane="topRight" activeCell="B1" sqref="B1"/>
      <selection pane="bottomLeft" activeCell="A21" sqref="A21"/>
      <selection pane="bottomRight" activeCell="I369" sqref="I36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COUNT(表2_3671626293038912[每日盈亏])</f>
        <v>351</v>
      </c>
      <c r="C2" s="27"/>
      <c r="D2" s="3" t="s">
        <v>1</v>
      </c>
      <c r="E2" s="28"/>
      <c r="F2" s="1" t="s">
        <v>2</v>
      </c>
      <c r="G2" s="400" t="s">
        <v>3</v>
      </c>
    </row>
    <row r="3" spans="1:7">
      <c r="A3" s="25" t="s">
        <v>4</v>
      </c>
      <c r="B3" s="26">
        <f>COUNTIF(表2_3671626293038912[每日盈亏],"&gt;0")</f>
        <v>158</v>
      </c>
      <c r="C3" s="29"/>
      <c r="D3" s="30" t="s">
        <v>5</v>
      </c>
      <c r="E3" s="31">
        <f>245^0.5*(B10-0.025/365)/E10</f>
        <v>0.80101809909492849</v>
      </c>
      <c r="G3" s="400"/>
    </row>
    <row r="4" spans="1:7">
      <c r="A4" s="25" t="s">
        <v>6</v>
      </c>
      <c r="B4" s="26">
        <f>COUNTIF(表2_3671626293038912[每日盈亏],"&lt;0")</f>
        <v>172</v>
      </c>
      <c r="C4" s="29"/>
      <c r="D4" s="32" t="s">
        <v>7</v>
      </c>
      <c r="E4" s="31">
        <f ca="1">-B9/E8</f>
        <v>2.1184123368284187</v>
      </c>
      <c r="G4" s="2">
        <f>LOOKUP(999^10,表2_3671626293038912[累计净值])</f>
        <v>1.1181000000000001</v>
      </c>
    </row>
    <row r="5" spans="1:7">
      <c r="A5" s="25" t="s">
        <v>8</v>
      </c>
      <c r="B5" s="26">
        <f>B2-B3-B4</f>
        <v>21</v>
      </c>
      <c r="C5" s="29"/>
      <c r="D5" s="33" t="s">
        <v>9</v>
      </c>
      <c r="E5" s="4">
        <f>245^0.5*(B10-0.025/365)/E9</f>
        <v>1.3492858675176638</v>
      </c>
    </row>
    <row r="6" spans="1:7" ht="16" thickBot="1">
      <c r="A6" s="34"/>
      <c r="B6" s="35"/>
      <c r="C6" s="35"/>
      <c r="D6" s="35"/>
      <c r="E6" s="36"/>
    </row>
    <row r="7" spans="1:7" ht="16" thickBot="1">
      <c r="A7" s="5" t="s">
        <v>10</v>
      </c>
      <c r="B7" s="35"/>
      <c r="C7" s="35"/>
      <c r="D7" s="3" t="s">
        <v>11</v>
      </c>
      <c r="E7" s="37"/>
    </row>
    <row r="8" spans="1:7">
      <c r="A8" s="38" t="s">
        <v>12</v>
      </c>
      <c r="B8" s="39">
        <f>LOOKUP(999^10,表2_3671626293038912[累计净值])/$B$21-1</f>
        <v>0.11731787748576017</v>
      </c>
      <c r="C8" s="40"/>
      <c r="D8" s="30" t="s">
        <v>13</v>
      </c>
      <c r="E8" s="41">
        <f ca="1">MIN(表2_3671626293038912[最大回撤])</f>
        <v>-3.8655622203179973E-2</v>
      </c>
    </row>
    <row r="9" spans="1:7">
      <c r="A9" s="25" t="s">
        <v>14</v>
      </c>
      <c r="B9" s="32">
        <f>B8*245/B2</f>
        <v>8.1888546962994996E-2</v>
      </c>
      <c r="C9" s="40"/>
      <c r="D9" s="33" t="s">
        <v>15</v>
      </c>
      <c r="E9" s="6">
        <f>STDEV(表2_3671626293038912[下跌幅度])</f>
        <v>3.0855152644516993E-3</v>
      </c>
    </row>
    <row r="10" spans="1:7">
      <c r="A10" s="42" t="s">
        <v>16</v>
      </c>
      <c r="B10" s="43">
        <f>AVERAGE(表2_3671626293038912[每日盈亏])</f>
        <v>3.3447293447293495E-4</v>
      </c>
      <c r="C10" s="44"/>
      <c r="D10" s="33" t="s">
        <v>17</v>
      </c>
      <c r="E10" s="6">
        <f>STDEV(表2_3671626293038912[每日盈亏])</f>
        <v>5.1974382913928642E-3</v>
      </c>
    </row>
    <row r="11" spans="1:7">
      <c r="A11" s="7" t="s">
        <v>18</v>
      </c>
      <c r="B11" s="32">
        <f>B3/B2</f>
        <v>0.45014245014245013</v>
      </c>
      <c r="C11" s="40"/>
      <c r="D11" s="32" t="s">
        <v>19</v>
      </c>
      <c r="E11" s="41">
        <f>245^0.5*E10</f>
        <v>8.1352777298903639E-2</v>
      </c>
    </row>
    <row r="12" spans="1:7" ht="16" thickBot="1">
      <c r="A12" s="45" t="s">
        <v>20</v>
      </c>
      <c r="B12" s="46">
        <f>-(SUMIF(表2_3671626293038912[每日盈亏],"&gt;=0")/B3)/(SUMIF(表2_3671626293038912[每日盈亏],"&lt;0")/B4)</f>
        <v>1.365056938751483</v>
      </c>
      <c r="C12" s="47"/>
      <c r="D12" s="48"/>
      <c r="E12" s="49"/>
    </row>
    <row r="14" spans="1:7" ht="32">
      <c r="A14" s="50" t="s">
        <v>21</v>
      </c>
      <c r="B14" s="50" t="s">
        <v>14</v>
      </c>
      <c r="C14" s="51" t="s">
        <v>19</v>
      </c>
      <c r="D14" s="51" t="s">
        <v>13</v>
      </c>
      <c r="E14" s="51" t="s">
        <v>5</v>
      </c>
      <c r="F14" s="51" t="s">
        <v>7</v>
      </c>
    </row>
    <row r="15" spans="1:7">
      <c r="A15" s="78">
        <f>B2</f>
        <v>351</v>
      </c>
      <c r="B15" s="53">
        <f>B9</f>
        <v>8.1888546962994996E-2</v>
      </c>
      <c r="C15" s="53">
        <f>E11</f>
        <v>8.1352777298903639E-2</v>
      </c>
      <c r="D15" s="53">
        <f ca="1">E8</f>
        <v>-3.8655622203179973E-2</v>
      </c>
      <c r="E15" s="54">
        <f>E3</f>
        <v>0.80101809909492849</v>
      </c>
      <c r="F15" s="54">
        <f ca="1">E4</f>
        <v>2.1184123368284187</v>
      </c>
    </row>
    <row r="19" spans="1:7">
      <c r="A19" s="8"/>
      <c r="B19" s="1" t="s">
        <v>22</v>
      </c>
    </row>
    <row r="20" spans="1:7" ht="16">
      <c r="A20" s="22" t="s">
        <v>23</v>
      </c>
      <c r="B20" s="22" t="s">
        <v>24</v>
      </c>
      <c r="C20" s="22" t="s">
        <v>25</v>
      </c>
      <c r="D20" s="22" t="s">
        <v>26</v>
      </c>
      <c r="E20" s="22" t="s">
        <v>27</v>
      </c>
      <c r="F20" s="22" t="s">
        <v>28</v>
      </c>
      <c r="G20" s="22" t="s">
        <v>29</v>
      </c>
    </row>
    <row r="21" spans="1:7">
      <c r="A21" s="15">
        <v>43801</v>
      </c>
      <c r="B21" s="16">
        <v>1.0006999999999999</v>
      </c>
      <c r="C21" s="11">
        <f>IFERROR(B21-B20,0)</f>
        <v>0</v>
      </c>
      <c r="D21" s="12" t="str">
        <f>IF(C21&lt;0,C21,"/")</f>
        <v>/</v>
      </c>
      <c r="E21" s="12">
        <f ca="1">IF(表2_3671626293038912[[#This Row],[累计净值]]/MAX(INDIRECT("B21:B" &amp; ROW()))-1&lt;E20,表2_3671626293038912[[#This Row],[累计净值]]/MAX(INDIRECT("B21:B" &amp; ROW()))-1,E20)</f>
        <v>0</v>
      </c>
      <c r="F21" s="13">
        <f>表2_3671626293038912[[#This Row],[累计净值]]</f>
        <v>1.0006999999999999</v>
      </c>
      <c r="G21" s="14" t="s">
        <v>30</v>
      </c>
    </row>
    <row r="22" spans="1:7">
      <c r="A22" s="15">
        <v>43802</v>
      </c>
      <c r="B22" s="16">
        <v>1.0006999999999999</v>
      </c>
      <c r="C22" s="17">
        <f>IFERROR(B22-B21,0)</f>
        <v>0</v>
      </c>
      <c r="D22" s="18" t="str">
        <f>IF(C22&lt;0,C22,"/")</f>
        <v>/</v>
      </c>
      <c r="E22" s="18">
        <f ca="1">IF(表2_3671626293038912[[#This Row],[累计净值]]/MAX(INDIRECT("B21:B" &amp; ROW()))-1&lt;E21,表2_3671626293038912[[#This Row],[累计净值]]/MAX(INDIRECT("B21:B" &amp; ROW()))-1,E21)</f>
        <v>0</v>
      </c>
      <c r="F22" s="19">
        <f>表2_3671626293038912[[#This Row],[累计净值]]</f>
        <v>1.0006999999999999</v>
      </c>
      <c r="G22" s="20">
        <f>表2_3671626293038912[[#This Row],[累计净值]]/$B$21-1</f>
        <v>0</v>
      </c>
    </row>
    <row r="23" spans="1:7">
      <c r="A23" s="15">
        <v>43803</v>
      </c>
      <c r="B23" s="16">
        <v>1.0007999999999999</v>
      </c>
      <c r="C23" s="73">
        <f t="shared" ref="C23:C28" si="0">IFERROR(B23-B22,0)</f>
        <v>9.9999999999988987E-5</v>
      </c>
      <c r="D23" s="18" t="str">
        <f t="shared" ref="D23:D28" si="1">IF(C23&lt;0,C23,"/")</f>
        <v>/</v>
      </c>
      <c r="E23" s="18">
        <f ca="1">IF(表2_3671626293038912[[#This Row],[累计净值]]/MAX(INDIRECT("B21:B" &amp; ROW()))-1&lt;E22,表2_3671626293038912[[#This Row],[累计净值]]/MAX(INDIRECT("B21:B" &amp; ROW()))-1,E22)</f>
        <v>0</v>
      </c>
      <c r="F23" s="62">
        <f>表2_3671626293038912[[#This Row],[累计净值]]</f>
        <v>1.0007999999999999</v>
      </c>
      <c r="G23" s="20">
        <f>表2_3671626293038912[[#This Row],[累计净值]]/$B$21-1</f>
        <v>9.9930048965690688E-5</v>
      </c>
    </row>
    <row r="24" spans="1:7">
      <c r="A24" s="15">
        <v>43804</v>
      </c>
      <c r="B24" s="16">
        <v>1.0006999999999999</v>
      </c>
      <c r="C24" s="73">
        <f t="shared" si="0"/>
        <v>-9.9999999999988987E-5</v>
      </c>
      <c r="D24" s="18">
        <f t="shared" si="1"/>
        <v>-9.9999999999988987E-5</v>
      </c>
      <c r="E24" s="18">
        <f ca="1">IF(表2_3671626293038912[[#This Row],[累计净值]]/MAX(INDIRECT("B21:B" &amp; ROW()))-1&lt;E23,表2_3671626293038912[[#This Row],[累计净值]]/MAX(INDIRECT("B21:B" &amp; ROW()))-1,E23)</f>
        <v>-9.9920063948877313E-5</v>
      </c>
      <c r="F24" s="62">
        <f>表2_3671626293038912[[#This Row],[累计净值]]</f>
        <v>1.0006999999999999</v>
      </c>
      <c r="G24" s="20">
        <f>表2_3671626293038912[[#This Row],[累计净值]]/$B$21-1</f>
        <v>0</v>
      </c>
    </row>
    <row r="25" spans="1:7">
      <c r="A25" s="15">
        <v>43805</v>
      </c>
      <c r="B25" s="16">
        <v>0.99960000000000004</v>
      </c>
      <c r="C25" s="73">
        <f t="shared" si="0"/>
        <v>-1.0999999999998789E-3</v>
      </c>
      <c r="D25" s="18">
        <f t="shared" si="1"/>
        <v>-1.0999999999998789E-3</v>
      </c>
      <c r="E25" s="18">
        <f ca="1">IF(表2_3671626293038912[[#This Row],[累计净值]]/MAX(INDIRECT("B21:B" &amp; ROW()))-1&lt;E24,表2_3671626293038912[[#This Row],[累计净值]]/MAX(INDIRECT("B21:B" &amp; ROW()))-1,E24)</f>
        <v>-1.1990407673859727E-3</v>
      </c>
      <c r="F25" s="62">
        <f>表2_3671626293038912[[#This Row],[累计净值]]</f>
        <v>0.99960000000000004</v>
      </c>
      <c r="G25" s="20">
        <f>表2_3671626293038912[[#This Row],[累计净值]]/$B$21-1</f>
        <v>-1.0992305386228196E-3</v>
      </c>
    </row>
    <row r="26" spans="1:7">
      <c r="A26" s="15">
        <v>43808</v>
      </c>
      <c r="B26" s="16">
        <v>1.0031000000000001</v>
      </c>
      <c r="C26" s="73">
        <f t="shared" si="0"/>
        <v>3.5000000000000586E-3</v>
      </c>
      <c r="D26" s="18" t="str">
        <f t="shared" si="1"/>
        <v>/</v>
      </c>
      <c r="E26" s="18">
        <f ca="1">IF(表2_3671626293038912[[#This Row],[累计净值]]/MAX(INDIRECT("B21:B" &amp; ROW()))-1&lt;E25,表2_3671626293038912[[#This Row],[累计净值]]/MAX(INDIRECT("B21:B" &amp; ROW()))-1,E25)</f>
        <v>-1.1990407673859727E-3</v>
      </c>
      <c r="F26" s="62">
        <f>表2_3671626293038912[[#This Row],[累计净值]]</f>
        <v>1.0031000000000001</v>
      </c>
      <c r="G26" s="20">
        <f>表2_3671626293038912[[#This Row],[累计净值]]/$B$21-1</f>
        <v>2.3983211751774647E-3</v>
      </c>
    </row>
    <row r="27" spans="1:7">
      <c r="A27" s="15">
        <v>43809</v>
      </c>
      <c r="B27" s="16">
        <v>1.0055000000000001</v>
      </c>
      <c r="C27" s="73">
        <f t="shared" si="0"/>
        <v>2.3999999999999577E-3</v>
      </c>
      <c r="D27" s="18" t="str">
        <f t="shared" si="1"/>
        <v>/</v>
      </c>
      <c r="E27" s="18">
        <f ca="1">IF(表2_3671626293038912[[#This Row],[累计净值]]/MAX(INDIRECT("B21:B" &amp; ROW()))-1&lt;E26,表2_3671626293038912[[#This Row],[累计净值]]/MAX(INDIRECT("B21:B" &amp; ROW()))-1,E26)</f>
        <v>-1.1990407673859727E-3</v>
      </c>
      <c r="F27" s="62">
        <f>表2_3671626293038912[[#This Row],[累计净值]]</f>
        <v>1.0055000000000001</v>
      </c>
      <c r="G27" s="20">
        <f>表2_3671626293038912[[#This Row],[累计净值]]/$B$21-1</f>
        <v>4.7966423503549294E-3</v>
      </c>
    </row>
    <row r="28" spans="1:7">
      <c r="A28" s="15">
        <v>43810</v>
      </c>
      <c r="B28" s="76">
        <v>1.0067999999999999</v>
      </c>
      <c r="C28" s="73">
        <f t="shared" si="0"/>
        <v>1.2999999999998568E-3</v>
      </c>
      <c r="D28" s="18" t="str">
        <f t="shared" si="1"/>
        <v>/</v>
      </c>
      <c r="E28" s="18">
        <f ca="1">IF(表2_3671626293038912[[#This Row],[累计净值]]/MAX(INDIRECT("B21:B" &amp; ROW()))-1&lt;E27,表2_3671626293038912[[#This Row],[累计净值]]/MAX(INDIRECT("B21:B" &amp; ROW()))-1,E27)</f>
        <v>-1.1990407673859727E-3</v>
      </c>
      <c r="F28" s="62">
        <f>表2_3671626293038912[[#This Row],[累计净值]]</f>
        <v>1.0067999999999999</v>
      </c>
      <c r="G28" s="20">
        <f>表2_3671626293038912[[#This Row],[累计净值]]/$B$21-1</f>
        <v>6.0957329869091303E-3</v>
      </c>
    </row>
    <row r="29" spans="1:7">
      <c r="A29" s="15">
        <v>43811</v>
      </c>
      <c r="B29" s="16">
        <v>1.0061</v>
      </c>
      <c r="C29" s="73">
        <f t="shared" ref="C29:C35" si="2">IFERROR(B29-B28,0)</f>
        <v>-6.9999999999992291E-4</v>
      </c>
      <c r="D29" s="18">
        <f t="shared" ref="D29:D35" si="3">IF(C29&lt;0,C29,"/")</f>
        <v>-6.9999999999992291E-4</v>
      </c>
      <c r="E29" s="18">
        <f ca="1">IF(表2_3671626293038912[[#This Row],[累计净值]]/MAX(INDIRECT("B21:B" &amp; ROW()))-1&lt;E28,表2_3671626293038912[[#This Row],[累计净值]]/MAX(INDIRECT("B21:B" &amp; ROW()))-1,E28)</f>
        <v>-1.1990407673859727E-3</v>
      </c>
      <c r="F29" s="62">
        <f>表2_3671626293038912[[#This Row],[累计净值]]</f>
        <v>1.0061</v>
      </c>
      <c r="G29" s="20">
        <f>表2_3671626293038912[[#This Row],[累计净值]]/$B$21-1</f>
        <v>5.3962226441490735E-3</v>
      </c>
    </row>
    <row r="30" spans="1:7">
      <c r="A30" s="15">
        <v>43812</v>
      </c>
      <c r="B30" s="16">
        <v>1.0052000000000001</v>
      </c>
      <c r="C30" s="73">
        <f t="shared" si="2"/>
        <v>-8.9999999999990088E-4</v>
      </c>
      <c r="D30" s="18">
        <f t="shared" si="3"/>
        <v>-8.9999999999990088E-4</v>
      </c>
      <c r="E30" s="18">
        <f ca="1">IF(表2_3671626293038912[[#This Row],[累计净值]]/MAX(INDIRECT("B21:B" &amp; ROW()))-1&lt;E29,表2_3671626293038912[[#This Row],[累计净值]]/MAX(INDIRECT("B21:B" &amp; ROW()))-1,E29)</f>
        <v>-1.5891934843065281E-3</v>
      </c>
      <c r="F30" s="62">
        <f>表2_3671626293038912[[#This Row],[累计净值]]</f>
        <v>1.0052000000000001</v>
      </c>
      <c r="G30" s="20">
        <f>表2_3671626293038912[[#This Row],[累计净值]]/$B$21-1</f>
        <v>4.4968522034578573E-3</v>
      </c>
    </row>
    <row r="31" spans="1:7">
      <c r="A31" s="15">
        <v>43815</v>
      </c>
      <c r="B31" s="16">
        <v>1.0044</v>
      </c>
      <c r="C31" s="73">
        <f t="shared" si="2"/>
        <v>-8.0000000000013394E-4</v>
      </c>
      <c r="D31" s="18">
        <f t="shared" si="3"/>
        <v>-8.0000000000013394E-4</v>
      </c>
      <c r="E31" s="18">
        <f ca="1">IF(表2_3671626293038912[[#This Row],[累计净值]]/MAX(INDIRECT("B21:B" &amp; ROW()))-1&lt;E30,表2_3671626293038912[[#This Row],[累计净值]]/MAX(INDIRECT("B21:B" &amp; ROW()))-1,E30)</f>
        <v>-2.3837902264600697E-3</v>
      </c>
      <c r="F31" s="62">
        <f>表2_3671626293038912[[#This Row],[累计净值]]</f>
        <v>1.0044</v>
      </c>
      <c r="G31" s="20">
        <f>表2_3671626293038912[[#This Row],[累计净值]]/$B$21-1</f>
        <v>3.6974118117318877E-3</v>
      </c>
    </row>
    <row r="32" spans="1:7">
      <c r="A32" s="15">
        <v>43816</v>
      </c>
      <c r="B32" s="16">
        <v>1.0044999999999999</v>
      </c>
      <c r="C32" s="73">
        <f t="shared" si="2"/>
        <v>9.9999999999988987E-5</v>
      </c>
      <c r="D32" s="18" t="str">
        <f t="shared" si="3"/>
        <v>/</v>
      </c>
      <c r="E32" s="18">
        <f ca="1">IF(表2_3671626293038912[[#This Row],[累计净值]]/MAX(INDIRECT("B21:B" &amp; ROW()))-1&lt;E31,表2_3671626293038912[[#This Row],[累计净值]]/MAX(INDIRECT("B21:B" &amp; ROW()))-1,E31)</f>
        <v>-2.3837902264600697E-3</v>
      </c>
      <c r="F32" s="62">
        <f>表2_3671626293038912[[#This Row],[累计净值]]</f>
        <v>1.0044999999999999</v>
      </c>
      <c r="G32" s="20">
        <f>表2_3671626293038912[[#This Row],[累计净值]]/$B$21-1</f>
        <v>3.7973418606975784E-3</v>
      </c>
    </row>
    <row r="33" spans="1:7">
      <c r="A33" s="15">
        <v>43817</v>
      </c>
      <c r="B33" s="16">
        <v>1.0039</v>
      </c>
      <c r="C33" s="73">
        <f t="shared" si="2"/>
        <v>-5.9999999999993392E-4</v>
      </c>
      <c r="D33" s="18">
        <f t="shared" si="3"/>
        <v>-5.9999999999993392E-4</v>
      </c>
      <c r="E33" s="18">
        <f ca="1">IF(表2_3671626293038912[[#This Row],[累计净值]]/MAX(INDIRECT("B21:B" &amp; ROW()))-1&lt;E32,表2_3671626293038912[[#This Row],[累计净值]]/MAX(INDIRECT("B21:B" &amp; ROW()))-1,E32)</f>
        <v>-2.8804131903058527E-3</v>
      </c>
      <c r="F33" s="62">
        <f>表2_3671626293038912[[#This Row],[累计净值]]</f>
        <v>1.0039</v>
      </c>
      <c r="G33" s="20">
        <f>表2_3671626293038912[[#This Row],[累计净值]]/$B$21-1</f>
        <v>3.1977615669032122E-3</v>
      </c>
    </row>
    <row r="34" spans="1:7">
      <c r="A34" s="15">
        <v>43818</v>
      </c>
      <c r="B34" s="16">
        <v>1.0032000000000001</v>
      </c>
      <c r="C34" s="73">
        <f t="shared" si="2"/>
        <v>-6.9999999999992291E-4</v>
      </c>
      <c r="D34" s="18">
        <f t="shared" si="3"/>
        <v>-6.9999999999992291E-4</v>
      </c>
      <c r="E34" s="18">
        <f ca="1">IF(表2_3671626293038912[[#This Row],[累计净值]]/MAX(INDIRECT("B21:B" &amp; ROW()))-1&lt;E33,表2_3671626293038912[[#This Row],[累计净值]]/MAX(INDIRECT("B21:B" &amp; ROW()))-1,E33)</f>
        <v>-3.5756853396898824E-3</v>
      </c>
      <c r="F34" s="62">
        <f>表2_3671626293038912[[#This Row],[累计净值]]</f>
        <v>1.0032000000000001</v>
      </c>
      <c r="G34" s="20">
        <f>表2_3671626293038912[[#This Row],[累计净值]]/$B$21-1</f>
        <v>2.4982512241433774E-3</v>
      </c>
    </row>
    <row r="35" spans="1:7">
      <c r="A35" s="15">
        <v>43819</v>
      </c>
      <c r="B35" s="16">
        <v>1.0013000000000001</v>
      </c>
      <c r="C35" s="73">
        <f t="shared" si="2"/>
        <v>-1.9000000000000128E-3</v>
      </c>
      <c r="D35" s="18">
        <f t="shared" si="3"/>
        <v>-1.9000000000000128E-3</v>
      </c>
      <c r="E35" s="18">
        <f ca="1">IF(表2_3671626293038912[[#This Row],[累计净值]]/MAX(INDIRECT("B21:B" &amp; ROW()))-1&lt;E34,表2_3671626293038912[[#This Row],[累计净值]]/MAX(INDIRECT("B21:B" &amp; ROW()))-1,E34)</f>
        <v>-5.462852602304169E-3</v>
      </c>
      <c r="F35" s="62">
        <f>表2_3671626293038912[[#This Row],[累计净值]]</f>
        <v>1.0013000000000001</v>
      </c>
      <c r="G35" s="20">
        <f>表2_3671626293038912[[#This Row],[累计净值]]/$B$21-1</f>
        <v>5.9958029379458821E-4</v>
      </c>
    </row>
    <row r="36" spans="1:7">
      <c r="A36" s="15">
        <v>43822</v>
      </c>
      <c r="B36" s="16">
        <v>1.0022</v>
      </c>
      <c r="C36" s="73">
        <f t="shared" ref="C36:C41" si="4">IFERROR(B36-B35,0)</f>
        <v>8.9999999999990088E-4</v>
      </c>
      <c r="D36" s="18" t="str">
        <f t="shared" ref="D36:D41" si="5">IF(C36&lt;0,C36,"/")</f>
        <v>/</v>
      </c>
      <c r="E36" s="18">
        <f ca="1">IF(表2_3671626293038912[[#This Row],[累计净值]]/MAX(INDIRECT("B21:B" &amp; ROW()))-1&lt;E35,表2_3671626293038912[[#This Row],[累计净值]]/MAX(INDIRECT("B21:B" &amp; ROW()))-1,E35)</f>
        <v>-5.462852602304169E-3</v>
      </c>
      <c r="F36" s="62">
        <f>表2_3671626293038912[[#This Row],[累计净值]]</f>
        <v>1.0022</v>
      </c>
      <c r="G36" s="20">
        <f>表2_3671626293038912[[#This Row],[累计净值]]/$B$21-1</f>
        <v>1.4989507344860264E-3</v>
      </c>
    </row>
    <row r="37" spans="1:7">
      <c r="A37" s="15">
        <v>43823</v>
      </c>
      <c r="B37" s="16">
        <v>1.0021</v>
      </c>
      <c r="C37" s="73">
        <f t="shared" si="4"/>
        <v>-9.9999999999988987E-5</v>
      </c>
      <c r="D37" s="18">
        <f t="shared" si="5"/>
        <v>-9.9999999999988987E-5</v>
      </c>
      <c r="E37" s="18">
        <f ca="1">IF(表2_3671626293038912[[#This Row],[累计净值]]/MAX(INDIRECT("B21:B" &amp; ROW()))-1&lt;E36,表2_3671626293038912[[#This Row],[累计净值]]/MAX(INDIRECT("B21:B" &amp; ROW()))-1,E36)</f>
        <v>-5.462852602304169E-3</v>
      </c>
      <c r="F37" s="62">
        <f>表2_3671626293038912[[#This Row],[累计净值]]</f>
        <v>1.0021</v>
      </c>
      <c r="G37" s="20">
        <f>表2_3671626293038912[[#This Row],[累计净值]]/$B$21-1</f>
        <v>1.3990206855201137E-3</v>
      </c>
    </row>
    <row r="38" spans="1:7">
      <c r="A38" s="15">
        <v>43824</v>
      </c>
      <c r="B38" s="16">
        <v>1.0025999999999999</v>
      </c>
      <c r="C38" s="73">
        <f t="shared" si="4"/>
        <v>4.9999999999994493E-4</v>
      </c>
      <c r="D38" s="18" t="str">
        <f t="shared" si="5"/>
        <v>/</v>
      </c>
      <c r="E38" s="18">
        <f ca="1">IF(表2_3671626293038912[[#This Row],[累计净值]]/MAX(INDIRECT("B21:B" &amp; ROW()))-1&lt;E37,表2_3671626293038912[[#This Row],[累计净值]]/MAX(INDIRECT("B21:B" &amp; ROW()))-1,E37)</f>
        <v>-5.462852602304169E-3</v>
      </c>
      <c r="F38" s="62">
        <f>表2_3671626293038912[[#This Row],[累计净值]]</f>
        <v>1.0025999999999999</v>
      </c>
      <c r="G38" s="20">
        <f>表2_3671626293038912[[#This Row],[累计净值]]/$B$21-1</f>
        <v>1.8986709303487892E-3</v>
      </c>
    </row>
    <row r="39" spans="1:7">
      <c r="A39" s="15">
        <v>43825</v>
      </c>
      <c r="B39" s="16">
        <v>1.0024</v>
      </c>
      <c r="C39" s="73">
        <f t="shared" si="4"/>
        <v>-1.9999999999997797E-4</v>
      </c>
      <c r="D39" s="18">
        <f t="shared" si="5"/>
        <v>-1.9999999999997797E-4</v>
      </c>
      <c r="E39" s="18">
        <f ca="1">IF(表2_3671626293038912[[#This Row],[累计净值]]/MAX(INDIRECT("B21:B" &amp; ROW()))-1&lt;E38,表2_3671626293038912[[#This Row],[累计净值]]/MAX(INDIRECT("B21:B" &amp; ROW()))-1,E38)</f>
        <v>-5.462852602304169E-3</v>
      </c>
      <c r="F39" s="62">
        <f>表2_3671626293038912[[#This Row],[累计净值]]</f>
        <v>1.0024</v>
      </c>
      <c r="G39" s="20">
        <f>表2_3671626293038912[[#This Row],[累计净值]]/$B$21-1</f>
        <v>1.6988108324174078E-3</v>
      </c>
    </row>
    <row r="40" spans="1:7">
      <c r="A40" s="15">
        <v>43826</v>
      </c>
      <c r="B40" s="16">
        <v>1.0027999999999999</v>
      </c>
      <c r="C40" s="73">
        <f t="shared" si="4"/>
        <v>3.9999999999995595E-4</v>
      </c>
      <c r="D40" s="18" t="str">
        <f t="shared" si="5"/>
        <v>/</v>
      </c>
      <c r="E40" s="18">
        <f ca="1">IF(表2_3671626293038912[[#This Row],[累计净值]]/MAX(INDIRECT("B21:B" &amp; ROW()))-1&lt;E39,表2_3671626293038912[[#This Row],[累计净值]]/MAX(INDIRECT("B21:B" &amp; ROW()))-1,E39)</f>
        <v>-5.462852602304169E-3</v>
      </c>
      <c r="F40" s="62">
        <f>表2_3671626293038912[[#This Row],[累计净值]]</f>
        <v>1.0027999999999999</v>
      </c>
      <c r="G40" s="20">
        <f>表2_3671626293038912[[#This Row],[累计净值]]/$B$21-1</f>
        <v>2.0985310282801706E-3</v>
      </c>
    </row>
    <row r="41" spans="1:7">
      <c r="A41" s="15">
        <v>43829</v>
      </c>
      <c r="B41" s="16">
        <v>1.0028999999999999</v>
      </c>
      <c r="C41" s="73">
        <f t="shared" si="4"/>
        <v>9.9999999999988987E-5</v>
      </c>
      <c r="D41" s="18" t="str">
        <f t="shared" si="5"/>
        <v>/</v>
      </c>
      <c r="E41" s="18">
        <f ca="1">IF(表2_3671626293038912[[#This Row],[累计净值]]/MAX(INDIRECT("B21:B" &amp; ROW()))-1&lt;E40,表2_3671626293038912[[#This Row],[累计净值]]/MAX(INDIRECT("B21:B" &amp; ROW()))-1,E40)</f>
        <v>-5.462852602304169E-3</v>
      </c>
      <c r="F41" s="62">
        <f>表2_3671626293038912[[#This Row],[累计净值]]</f>
        <v>1.0028999999999999</v>
      </c>
      <c r="G41" s="20">
        <f>表2_3671626293038912[[#This Row],[累计净值]]/$B$21-1</f>
        <v>2.1984610772458613E-3</v>
      </c>
    </row>
    <row r="42" spans="1:7">
      <c r="A42" s="15">
        <v>43830</v>
      </c>
      <c r="B42" s="16">
        <v>1.0029999999999999</v>
      </c>
      <c r="C42" s="73">
        <f t="shared" ref="C42:C47" si="6">IFERROR(B42-B41,0)</f>
        <v>9.9999999999988987E-5</v>
      </c>
      <c r="D42" s="18" t="str">
        <f t="shared" ref="D42:D47" si="7">IF(C42&lt;0,C42,"/")</f>
        <v>/</v>
      </c>
      <c r="E42" s="18">
        <f ca="1">IF(表2_3671626293038912[[#This Row],[累计净值]]/MAX(INDIRECT("B21:B" &amp; ROW()))-1&lt;E41,表2_3671626293038912[[#This Row],[累计净值]]/MAX(INDIRECT("B21:B" &amp; ROW()))-1,E41)</f>
        <v>-5.462852602304169E-3</v>
      </c>
      <c r="F42" s="62">
        <f>表2_3671626293038912[[#This Row],[累计净值]]</f>
        <v>1.0029999999999999</v>
      </c>
      <c r="G42" s="20">
        <f>表2_3671626293038912[[#This Row],[累计净值]]/$B$21-1</f>
        <v>2.2983911262115519E-3</v>
      </c>
    </row>
    <row r="43" spans="1:7">
      <c r="A43" s="15">
        <v>43832</v>
      </c>
      <c r="B43" s="16">
        <v>1.0007999999999999</v>
      </c>
      <c r="C43" s="73">
        <f t="shared" si="6"/>
        <v>-2.1999999999999797E-3</v>
      </c>
      <c r="D43" s="18">
        <f t="shared" si="7"/>
        <v>-2.1999999999999797E-3</v>
      </c>
      <c r="E43" s="18">
        <f ca="1">IF(表2_3671626293038912[[#This Row],[累计净值]]/MAX(INDIRECT("B21:B" &amp; ROW()))-1&lt;E42,表2_3671626293038912[[#This Row],[累计净值]]/MAX(INDIRECT("B21:B" &amp; ROW()))-1,E42)</f>
        <v>-5.9594755661501742E-3</v>
      </c>
      <c r="F43" s="62">
        <f>表2_3671626293038912[[#This Row],[累计净值]]</f>
        <v>1.0007999999999999</v>
      </c>
      <c r="G43" s="20">
        <f>表2_3671626293038912[[#This Row],[累计净值]]/$B$21-1</f>
        <v>9.9930048965690688E-5</v>
      </c>
    </row>
    <row r="44" spans="1:7">
      <c r="A44" s="15">
        <v>43833</v>
      </c>
      <c r="B44" s="16">
        <v>0.99909999999999999</v>
      </c>
      <c r="C44" s="73">
        <f t="shared" si="6"/>
        <v>-1.6999999999999238E-3</v>
      </c>
      <c r="D44" s="18">
        <f t="shared" si="7"/>
        <v>-1.6999999999999238E-3</v>
      </c>
      <c r="E44" s="18">
        <f ca="1">IF(表2_3671626293038912[[#This Row],[累计净值]]/MAX(INDIRECT("B21:B" &amp; ROW()))-1&lt;E43,表2_3671626293038912[[#This Row],[累计净值]]/MAX(INDIRECT("B21:B" &amp; ROW()))-1,E43)</f>
        <v>-7.6479936432259921E-3</v>
      </c>
      <c r="F44" s="62">
        <f>表2_3671626293038912[[#This Row],[累计净值]]</f>
        <v>0.99909999999999999</v>
      </c>
      <c r="G44" s="20">
        <f>表2_3671626293038912[[#This Row],[累计净值]]/$B$21-1</f>
        <v>-1.5988807834514951E-3</v>
      </c>
    </row>
    <row r="45" spans="1:7">
      <c r="A45" s="15">
        <v>43836</v>
      </c>
      <c r="B45" s="16">
        <v>1.0004999999999999</v>
      </c>
      <c r="C45" s="73">
        <f t="shared" si="6"/>
        <v>1.3999999999999568E-3</v>
      </c>
      <c r="D45" s="18" t="str">
        <f t="shared" si="7"/>
        <v>/</v>
      </c>
      <c r="E45" s="18">
        <f ca="1">IF(表2_3671626293038912[[#This Row],[累计净值]]/MAX(INDIRECT("B21:B" &amp; ROW()))-1&lt;E44,表2_3671626293038912[[#This Row],[累计净值]]/MAX(INDIRECT("B21:B" &amp; ROW()))-1,E44)</f>
        <v>-7.6479936432259921E-3</v>
      </c>
      <c r="F45" s="62">
        <f>表2_3671626293038912[[#This Row],[累计净值]]</f>
        <v>1.0004999999999999</v>
      </c>
      <c r="G45" s="20">
        <f>表2_3671626293038912[[#This Row],[累计净值]]/$B$21-1</f>
        <v>-1.9986009793138138E-4</v>
      </c>
    </row>
    <row r="46" spans="1:7">
      <c r="A46" s="15">
        <v>43837</v>
      </c>
      <c r="B46" s="16">
        <v>0.99950000000000006</v>
      </c>
      <c r="C46" s="73">
        <f t="shared" si="6"/>
        <v>-9.9999999999988987E-4</v>
      </c>
      <c r="D46" s="18">
        <f t="shared" si="7"/>
        <v>-9.9999999999988987E-4</v>
      </c>
      <c r="E46" s="18">
        <f ca="1">IF(表2_3671626293038912[[#This Row],[累计净值]]/MAX(INDIRECT("B21:B" &amp; ROW()))-1&lt;E45,表2_3671626293038912[[#This Row],[累计净值]]/MAX(INDIRECT("B21:B" &amp; ROW()))-1,E45)</f>
        <v>-7.6479936432259921E-3</v>
      </c>
      <c r="F46" s="62">
        <f>表2_3671626293038912[[#This Row],[累计净值]]</f>
        <v>0.99950000000000006</v>
      </c>
      <c r="G46" s="20">
        <f>表2_3671626293038912[[#This Row],[累计净值]]/$B$21-1</f>
        <v>-1.1991605875885103E-3</v>
      </c>
    </row>
    <row r="47" spans="1:7">
      <c r="A47" s="15">
        <v>43838</v>
      </c>
      <c r="B47" s="16">
        <v>0.99970000000000003</v>
      </c>
      <c r="C47" s="73">
        <f t="shared" si="6"/>
        <v>1.9999999999997797E-4</v>
      </c>
      <c r="D47" s="18" t="str">
        <f t="shared" si="7"/>
        <v>/</v>
      </c>
      <c r="E47" s="18">
        <f ca="1">IF(表2_3671626293038912[[#This Row],[累计净值]]/MAX(INDIRECT("B21:B" &amp; ROW()))-1&lt;E46,表2_3671626293038912[[#This Row],[累计净值]]/MAX(INDIRECT("B21:B" &amp; ROW()))-1,E46)</f>
        <v>-7.6479936432259921E-3</v>
      </c>
      <c r="F47" s="62">
        <f>表2_3671626293038912[[#This Row],[累计净值]]</f>
        <v>0.99970000000000003</v>
      </c>
      <c r="G47" s="20">
        <f>表2_3671626293038912[[#This Row],[累计净值]]/$B$21-1</f>
        <v>-9.9930048965712892E-4</v>
      </c>
    </row>
    <row r="48" spans="1:7">
      <c r="A48" s="15">
        <v>43839</v>
      </c>
      <c r="B48" s="16">
        <v>0.99150000000000005</v>
      </c>
      <c r="C48" s="73">
        <f t="shared" ref="C48:C58" si="8">IFERROR(B48-B47,0)</f>
        <v>-8.1999999999999851E-3</v>
      </c>
      <c r="D48" s="18">
        <f t="shared" ref="D48:D58" si="9">IF(C48&lt;0,C48,"/")</f>
        <v>-8.1999999999999851E-3</v>
      </c>
      <c r="E48" s="18">
        <f ca="1">IF(表2_3671626293038912[[#This Row],[累计净值]]/MAX(INDIRECT("B21:B" &amp; ROW()))-1&lt;E47,表2_3671626293038912[[#This Row],[累计净值]]/MAX(INDIRECT("B21:B" &amp; ROW()))-1,E47)</f>
        <v>-1.5196662693682805E-2</v>
      </c>
      <c r="F48" s="62">
        <f>表2_3671626293038912[[#This Row],[累计净值]]</f>
        <v>0.99150000000000005</v>
      </c>
      <c r="G48" s="20">
        <f>表2_3671626293038912[[#This Row],[累计净值]]/$B$21-1</f>
        <v>-9.1935645048464298E-3</v>
      </c>
    </row>
    <row r="49" spans="1:7">
      <c r="A49" s="15">
        <v>43840</v>
      </c>
      <c r="B49" s="16">
        <v>0.99490000000000001</v>
      </c>
      <c r="C49" s="73">
        <f t="shared" si="8"/>
        <v>3.3999999999999586E-3</v>
      </c>
      <c r="D49" s="18" t="str">
        <f t="shared" si="9"/>
        <v>/</v>
      </c>
      <c r="E49" s="18">
        <f ca="1">IF(表2_3671626293038912[[#This Row],[累计净值]]/MAX(INDIRECT("B21:B" &amp; ROW()))-1&lt;E48,表2_3671626293038912[[#This Row],[累计净值]]/MAX(INDIRECT("B21:B" &amp; ROW()))-1,E48)</f>
        <v>-1.5196662693682805E-2</v>
      </c>
      <c r="F49" s="62">
        <f>表2_3671626293038912[[#This Row],[累计净值]]</f>
        <v>0.99490000000000001</v>
      </c>
      <c r="G49" s="20">
        <f>表2_3671626293038912[[#This Row],[累计净值]]/$B$21-1</f>
        <v>-5.7959428400119473E-3</v>
      </c>
    </row>
    <row r="50" spans="1:7">
      <c r="A50" s="15">
        <v>43843</v>
      </c>
      <c r="B50" s="16">
        <v>0.99470000000000003</v>
      </c>
      <c r="C50" s="73">
        <f t="shared" si="8"/>
        <v>-1.9999999999997797E-4</v>
      </c>
      <c r="D50" s="18">
        <f t="shared" si="9"/>
        <v>-1.9999999999997797E-4</v>
      </c>
      <c r="E50" s="18">
        <f ca="1">IF(表2_3671626293038912[[#This Row],[累计净值]]/MAX(INDIRECT("B21:B" &amp; ROW()))-1&lt;E49,表2_3671626293038912[[#This Row],[累计净值]]/MAX(INDIRECT("B21:B" &amp; ROW()))-1,E49)</f>
        <v>-1.5196662693682805E-2</v>
      </c>
      <c r="F50" s="62">
        <f>表2_3671626293038912[[#This Row],[累计净值]]</f>
        <v>0.99470000000000003</v>
      </c>
      <c r="G50" s="20">
        <f>表2_3671626293038912[[#This Row],[累计净值]]/$B$21-1</f>
        <v>-5.9958029379433286E-3</v>
      </c>
    </row>
    <row r="51" spans="1:7">
      <c r="A51" s="15">
        <v>43844</v>
      </c>
      <c r="B51" s="16">
        <v>0.99439999999999995</v>
      </c>
      <c r="C51" s="73">
        <f t="shared" si="8"/>
        <v>-3.0000000000007798E-4</v>
      </c>
      <c r="D51" s="18">
        <f t="shared" si="9"/>
        <v>-3.0000000000007798E-4</v>
      </c>
      <c r="E51" s="18">
        <f ca="1">IF(表2_3671626293038912[[#This Row],[累计净值]]/MAX(INDIRECT("B21:B" &amp; ROW()))-1&lt;E50,表2_3671626293038912[[#This Row],[累计净值]]/MAX(INDIRECT("B21:B" &amp; ROW()))-1,E50)</f>
        <v>-1.5196662693682805E-2</v>
      </c>
      <c r="F51" s="62">
        <f>表2_3671626293038912[[#This Row],[累计净值]]</f>
        <v>0.99439999999999995</v>
      </c>
      <c r="G51" s="20">
        <f>表2_3671626293038912[[#This Row],[累计净值]]/$B$21-1</f>
        <v>-6.2955930848406227E-3</v>
      </c>
    </row>
    <row r="52" spans="1:7">
      <c r="A52" s="15">
        <v>43845</v>
      </c>
      <c r="B52" s="16">
        <v>0.99519999999999997</v>
      </c>
      <c r="C52" s="73">
        <f t="shared" si="8"/>
        <v>8.0000000000002292E-4</v>
      </c>
      <c r="D52" s="18" t="str">
        <f t="shared" si="9"/>
        <v>/</v>
      </c>
      <c r="E52" s="18">
        <f ca="1">IF(表2_3671626293038912[[#This Row],[累计净值]]/MAX(INDIRECT("B21:B" &amp; ROW()))-1&lt;E51,表2_3671626293038912[[#This Row],[累计净值]]/MAX(INDIRECT("B21:B" &amp; ROW()))-1,E51)</f>
        <v>-1.5196662693682805E-2</v>
      </c>
      <c r="F52" s="62">
        <f>表2_3671626293038912[[#This Row],[累计净值]]</f>
        <v>0.99519999999999997</v>
      </c>
      <c r="G52" s="20">
        <f>表2_3671626293038912[[#This Row],[累计净值]]/$B$21-1</f>
        <v>-5.4961526931147642E-3</v>
      </c>
    </row>
    <row r="53" spans="1:7">
      <c r="A53" s="15">
        <v>43846</v>
      </c>
      <c r="B53" s="16">
        <v>0.99419999999999997</v>
      </c>
      <c r="C53" s="73">
        <f t="shared" si="8"/>
        <v>-1.0000000000000009E-3</v>
      </c>
      <c r="D53" s="18">
        <f t="shared" si="9"/>
        <v>-1.0000000000000009E-3</v>
      </c>
      <c r="E53" s="18">
        <f ca="1">IF(表2_3671626293038912[[#This Row],[累计净值]]/MAX(INDIRECT("B21:B" &amp; ROW()))-1&lt;E52,表2_3671626293038912[[#This Row],[累计净值]]/MAX(INDIRECT("B21:B" &amp; ROW()))-1,E52)</f>
        <v>-1.5196662693682805E-2</v>
      </c>
      <c r="F53" s="62">
        <f>表2_3671626293038912[[#This Row],[累计净值]]</f>
        <v>0.99419999999999997</v>
      </c>
      <c r="G53" s="20">
        <f>表2_3671626293038912[[#This Row],[累计净值]]/$B$21-1</f>
        <v>-6.4954531827720041E-3</v>
      </c>
    </row>
    <row r="54" spans="1:7">
      <c r="A54" s="15">
        <v>43847</v>
      </c>
      <c r="B54" s="16">
        <v>0.99429999999999996</v>
      </c>
      <c r="C54" s="73">
        <f t="shared" si="8"/>
        <v>9.9999999999988987E-5</v>
      </c>
      <c r="D54" s="18" t="str">
        <f t="shared" si="9"/>
        <v>/</v>
      </c>
      <c r="E54" s="18">
        <f ca="1">IF(表2_3671626293038912[[#This Row],[累计净值]]/MAX(INDIRECT("B21:B" &amp; ROW()))-1&lt;E53,表2_3671626293038912[[#This Row],[累计净值]]/MAX(INDIRECT("B21:B" &amp; ROW()))-1,E53)</f>
        <v>-1.5196662693682805E-2</v>
      </c>
      <c r="F54" s="62">
        <f>表2_3671626293038912[[#This Row],[累计净值]]</f>
        <v>0.99429999999999996</v>
      </c>
      <c r="G54" s="20">
        <f>表2_3671626293038912[[#This Row],[累计净值]]/$B$21-1</f>
        <v>-6.3955231338063134E-3</v>
      </c>
    </row>
    <row r="55" spans="1:7">
      <c r="A55" s="15">
        <v>43850</v>
      </c>
      <c r="B55" s="16">
        <v>0.99429999999999996</v>
      </c>
      <c r="C55" s="73">
        <f t="shared" si="8"/>
        <v>0</v>
      </c>
      <c r="D55" s="18" t="str">
        <f t="shared" si="9"/>
        <v>/</v>
      </c>
      <c r="E55" s="18">
        <f ca="1">IF(表2_3671626293038912[[#This Row],[累计净值]]/MAX(INDIRECT("B21:B" &amp; ROW()))-1&lt;E54,表2_3671626293038912[[#This Row],[累计净值]]/MAX(INDIRECT("B21:B" &amp; ROW()))-1,E54)</f>
        <v>-1.5196662693682805E-2</v>
      </c>
      <c r="F55" s="62">
        <f>表2_3671626293038912[[#This Row],[累计净值]]</f>
        <v>0.99429999999999996</v>
      </c>
      <c r="G55" s="20">
        <f>表2_3671626293038912[[#This Row],[累计净值]]/$B$21-1</f>
        <v>-6.3955231338063134E-3</v>
      </c>
    </row>
    <row r="56" spans="1:7">
      <c r="A56" s="15">
        <v>43851</v>
      </c>
      <c r="B56" s="16">
        <v>0.99429999999999996</v>
      </c>
      <c r="C56" s="73">
        <f t="shared" si="8"/>
        <v>0</v>
      </c>
      <c r="D56" s="18" t="str">
        <f t="shared" si="9"/>
        <v>/</v>
      </c>
      <c r="E56" s="18">
        <f ca="1">IF(表2_3671626293038912[[#This Row],[累计净值]]/MAX(INDIRECT("B21:B" &amp; ROW()))-1&lt;E55,表2_3671626293038912[[#This Row],[累计净值]]/MAX(INDIRECT("B21:B" &amp; ROW()))-1,E55)</f>
        <v>-1.5196662693682805E-2</v>
      </c>
      <c r="F56" s="62">
        <f>表2_3671626293038912[[#This Row],[累计净值]]</f>
        <v>0.99429999999999996</v>
      </c>
      <c r="G56" s="20">
        <f>表2_3671626293038912[[#This Row],[累计净值]]/$B$21-1</f>
        <v>-6.3955231338063134E-3</v>
      </c>
    </row>
    <row r="57" spans="1:7">
      <c r="A57" s="15">
        <v>43852</v>
      </c>
      <c r="B57" s="16">
        <v>0.99429999999999996</v>
      </c>
      <c r="C57" s="73">
        <f t="shared" si="8"/>
        <v>0</v>
      </c>
      <c r="D57" s="18" t="str">
        <f t="shared" si="9"/>
        <v>/</v>
      </c>
      <c r="E57" s="18">
        <f ca="1">IF(表2_3671626293038912[[#This Row],[累计净值]]/MAX(INDIRECT("B21:B" &amp; ROW()))-1&lt;E56,表2_3671626293038912[[#This Row],[累计净值]]/MAX(INDIRECT("B21:B" &amp; ROW()))-1,E56)</f>
        <v>-1.5196662693682805E-2</v>
      </c>
      <c r="F57" s="62">
        <f>表2_3671626293038912[[#This Row],[累计净值]]</f>
        <v>0.99429999999999996</v>
      </c>
      <c r="G57" s="20">
        <f>表2_3671626293038912[[#This Row],[累计净值]]/$B$21-1</f>
        <v>-6.3955231338063134E-3</v>
      </c>
    </row>
    <row r="58" spans="1:7">
      <c r="A58" s="15">
        <v>43853</v>
      </c>
      <c r="B58" s="16">
        <v>0.99429999999999996</v>
      </c>
      <c r="C58" s="73">
        <f t="shared" si="8"/>
        <v>0</v>
      </c>
      <c r="D58" s="18" t="str">
        <f t="shared" si="9"/>
        <v>/</v>
      </c>
      <c r="E58" s="18">
        <f ca="1">IF(表2_3671626293038912[[#This Row],[累计净值]]/MAX(INDIRECT("B21:B" &amp; ROW()))-1&lt;E57,表2_3671626293038912[[#This Row],[累计净值]]/MAX(INDIRECT("B21:B" &amp; ROW()))-1,E57)</f>
        <v>-1.5196662693682805E-2</v>
      </c>
      <c r="F58" s="62">
        <f>表2_3671626293038912[[#This Row],[累计净值]]</f>
        <v>0.99429999999999996</v>
      </c>
      <c r="G58" s="20">
        <f>表2_3671626293038912[[#This Row],[累计净值]]/$B$21-1</f>
        <v>-6.3955231338063134E-3</v>
      </c>
    </row>
    <row r="59" spans="1:7">
      <c r="A59" s="15">
        <v>43864</v>
      </c>
      <c r="B59" s="16">
        <v>0.99450000000000005</v>
      </c>
      <c r="C59" s="73">
        <f t="shared" ref="C59:C64" si="10">IFERROR(B59-B58,0)</f>
        <v>2.00000000000089E-4</v>
      </c>
      <c r="D59" s="18" t="str">
        <f t="shared" ref="D59:D64" si="11">IF(C59&lt;0,C59,"/")</f>
        <v>/</v>
      </c>
      <c r="E59" s="18">
        <f ca="1">IF(表2_3671626293038912[[#This Row],[累计净值]]/MAX(INDIRECT("B21:B" &amp; ROW()))-1&lt;E58,表2_3671626293038912[[#This Row],[累计净值]]/MAX(INDIRECT("B21:B" &amp; ROW()))-1,E58)</f>
        <v>-1.5196662693682805E-2</v>
      </c>
      <c r="F59" s="62">
        <f>表2_3671626293038912[[#This Row],[累计净值]]</f>
        <v>0.99450000000000005</v>
      </c>
      <c r="G59" s="20">
        <f>表2_3671626293038912[[#This Row],[累计净值]]/$B$21-1</f>
        <v>-6.19566303587471E-3</v>
      </c>
    </row>
    <row r="60" spans="1:7">
      <c r="A60" s="15">
        <v>43865</v>
      </c>
      <c r="B60" s="16">
        <v>0.99460000000000004</v>
      </c>
      <c r="C60" s="73">
        <f t="shared" si="10"/>
        <v>9.9999999999988987E-5</v>
      </c>
      <c r="D60" s="18" t="str">
        <f t="shared" si="11"/>
        <v>/</v>
      </c>
      <c r="E60" s="18">
        <f ca="1">IF(表2_3671626293038912[[#This Row],[累计净值]]/MAX(INDIRECT("B21:B" &amp; ROW()))-1&lt;E59,表2_3671626293038912[[#This Row],[累计净值]]/MAX(INDIRECT("B21:B" &amp; ROW()))-1,E59)</f>
        <v>-1.5196662693682805E-2</v>
      </c>
      <c r="F60" s="62">
        <f>表2_3671626293038912[[#This Row],[累计净值]]</f>
        <v>0.99460000000000004</v>
      </c>
      <c r="G60" s="20">
        <f>表2_3671626293038912[[#This Row],[累计净值]]/$B$21-1</f>
        <v>-6.0957329869090193E-3</v>
      </c>
    </row>
    <row r="61" spans="1:7">
      <c r="A61" s="15">
        <v>43866</v>
      </c>
      <c r="B61" s="16">
        <v>0.99460000000000004</v>
      </c>
      <c r="C61" s="73">
        <f t="shared" si="10"/>
        <v>0</v>
      </c>
      <c r="D61" s="18" t="str">
        <f t="shared" si="11"/>
        <v>/</v>
      </c>
      <c r="E61" s="18">
        <f ca="1">IF(表2_3671626293038912[[#This Row],[累计净值]]/MAX(INDIRECT("B21:B" &amp; ROW()))-1&lt;E60,表2_3671626293038912[[#This Row],[累计净值]]/MAX(INDIRECT("B21:B" &amp; ROW()))-1,E60)</f>
        <v>-1.5196662693682805E-2</v>
      </c>
      <c r="F61" s="62">
        <f>表2_3671626293038912[[#This Row],[累计净值]]</f>
        <v>0.99460000000000004</v>
      </c>
      <c r="G61" s="20">
        <f>表2_3671626293038912[[#This Row],[累计净值]]/$B$21-1</f>
        <v>-6.0957329869090193E-3</v>
      </c>
    </row>
    <row r="62" spans="1:7">
      <c r="A62" s="15">
        <v>43867</v>
      </c>
      <c r="B62" s="16">
        <v>0.99470000000000003</v>
      </c>
      <c r="C62" s="73">
        <f t="shared" si="10"/>
        <v>9.9999999999988987E-5</v>
      </c>
      <c r="D62" s="18" t="str">
        <f t="shared" si="11"/>
        <v>/</v>
      </c>
      <c r="E62" s="18">
        <f ca="1">IF(表2_3671626293038912[[#This Row],[累计净值]]/MAX(INDIRECT("B21:B" &amp; ROW()))-1&lt;E61,表2_3671626293038912[[#This Row],[累计净值]]/MAX(INDIRECT("B21:B" &amp; ROW()))-1,E61)</f>
        <v>-1.5196662693682805E-2</v>
      </c>
      <c r="F62" s="62">
        <f>表2_3671626293038912[[#This Row],[累计净值]]</f>
        <v>0.99470000000000003</v>
      </c>
      <c r="G62" s="20">
        <f>表2_3671626293038912[[#This Row],[累计净值]]/$B$21-1</f>
        <v>-5.9958029379433286E-3</v>
      </c>
    </row>
    <row r="63" spans="1:7">
      <c r="A63" s="15">
        <v>43868</v>
      </c>
      <c r="B63" s="16">
        <v>0.99470000000000003</v>
      </c>
      <c r="C63" s="73">
        <f t="shared" si="10"/>
        <v>0</v>
      </c>
      <c r="D63" s="18" t="str">
        <f t="shared" si="11"/>
        <v>/</v>
      </c>
      <c r="E63" s="18">
        <f ca="1">IF(表2_3671626293038912[[#This Row],[累计净值]]/MAX(INDIRECT("B21:B" &amp; ROW()))-1&lt;E62,表2_3671626293038912[[#This Row],[累计净值]]/MAX(INDIRECT("B21:B" &amp; ROW()))-1,E62)</f>
        <v>-1.5196662693682805E-2</v>
      </c>
      <c r="F63" s="62">
        <f>表2_3671626293038912[[#This Row],[累计净值]]</f>
        <v>0.99470000000000003</v>
      </c>
      <c r="G63" s="20">
        <f>表2_3671626293038912[[#This Row],[累计净值]]/$B$21-1</f>
        <v>-5.9958029379433286E-3</v>
      </c>
    </row>
    <row r="64" spans="1:7">
      <c r="A64" s="15">
        <v>43871</v>
      </c>
      <c r="B64" s="16">
        <v>0.99460000000000004</v>
      </c>
      <c r="C64" s="73">
        <f t="shared" si="10"/>
        <v>-9.9999999999988987E-5</v>
      </c>
      <c r="D64" s="18">
        <f t="shared" si="11"/>
        <v>-9.9999999999988987E-5</v>
      </c>
      <c r="E64" s="18">
        <f ca="1">IF(表2_3671626293038912[[#This Row],[累计净值]]/MAX(INDIRECT("B21:B" &amp; ROW()))-1&lt;E63,表2_3671626293038912[[#This Row],[累计净值]]/MAX(INDIRECT("B21:B" &amp; ROW()))-1,E63)</f>
        <v>-1.5196662693682805E-2</v>
      </c>
      <c r="F64" s="62">
        <f>表2_3671626293038912[[#This Row],[累计净值]]</f>
        <v>0.99460000000000004</v>
      </c>
      <c r="G64" s="20">
        <f>表2_3671626293038912[[#This Row],[累计净值]]/$B$21-1</f>
        <v>-6.0957329869090193E-3</v>
      </c>
    </row>
    <row r="65" spans="1:7">
      <c r="A65" s="15">
        <v>43872</v>
      </c>
      <c r="B65" s="16">
        <v>0.99470000000000003</v>
      </c>
      <c r="C65" s="73">
        <f t="shared" ref="C65:C70" si="12">IFERROR(B65-B64,0)</f>
        <v>9.9999999999988987E-5</v>
      </c>
      <c r="D65" s="18" t="str">
        <f t="shared" ref="D65:D70" si="13">IF(C65&lt;0,C65,"/")</f>
        <v>/</v>
      </c>
      <c r="E65" s="18">
        <f ca="1">IF(表2_3671626293038912[[#This Row],[累计净值]]/MAX(INDIRECT("B21:B" &amp; ROW()))-1&lt;E64,表2_3671626293038912[[#This Row],[累计净值]]/MAX(INDIRECT("B21:B" &amp; ROW()))-1,E64)</f>
        <v>-1.5196662693682805E-2</v>
      </c>
      <c r="F65" s="62">
        <f>表2_3671626293038912[[#This Row],[累计净值]]</f>
        <v>0.99470000000000003</v>
      </c>
      <c r="G65" s="20">
        <f>表2_3671626293038912[[#This Row],[累计净值]]/$B$21-1</f>
        <v>-5.9958029379433286E-3</v>
      </c>
    </row>
    <row r="66" spans="1:7">
      <c r="A66" s="15">
        <v>43873</v>
      </c>
      <c r="B66" s="16">
        <v>0.99480000000000002</v>
      </c>
      <c r="C66" s="73">
        <f t="shared" si="12"/>
        <v>9.9999999999988987E-5</v>
      </c>
      <c r="D66" s="18" t="str">
        <f t="shared" si="13"/>
        <v>/</v>
      </c>
      <c r="E66" s="18">
        <f ca="1">IF(表2_3671626293038912[[#This Row],[累计净值]]/MAX(INDIRECT("B21:B" &amp; ROW()))-1&lt;E65,表2_3671626293038912[[#This Row],[累计净值]]/MAX(INDIRECT("B21:B" &amp; ROW()))-1,E65)</f>
        <v>-1.5196662693682805E-2</v>
      </c>
      <c r="F66" s="62">
        <f>表2_3671626293038912[[#This Row],[累计净值]]</f>
        <v>0.99480000000000002</v>
      </c>
      <c r="G66" s="20">
        <f>表2_3671626293038912[[#This Row],[累计净值]]/$B$21-1</f>
        <v>-5.8958728889776379E-3</v>
      </c>
    </row>
    <row r="67" spans="1:7">
      <c r="A67" s="15">
        <v>43874</v>
      </c>
      <c r="B67" s="16">
        <v>0.99419999999999997</v>
      </c>
      <c r="C67" s="73">
        <f t="shared" si="12"/>
        <v>-6.0000000000004494E-4</v>
      </c>
      <c r="D67" s="18">
        <f t="shared" si="13"/>
        <v>-6.0000000000004494E-4</v>
      </c>
      <c r="E67" s="18">
        <f ca="1">IF(表2_3671626293038912[[#This Row],[累计净值]]/MAX(INDIRECT("B21:B" &amp; ROW()))-1&lt;E66,表2_3671626293038912[[#This Row],[累计净值]]/MAX(INDIRECT("B21:B" &amp; ROW()))-1,E66)</f>
        <v>-1.5196662693682805E-2</v>
      </c>
      <c r="F67" s="62">
        <f>表2_3671626293038912[[#This Row],[累计净值]]</f>
        <v>0.99419999999999997</v>
      </c>
      <c r="G67" s="20">
        <f>表2_3671626293038912[[#This Row],[累计净值]]/$B$21-1</f>
        <v>-6.4954531827720041E-3</v>
      </c>
    </row>
    <row r="68" spans="1:7">
      <c r="A68" s="15">
        <v>43875</v>
      </c>
      <c r="B68" s="16">
        <v>0.99309999999999998</v>
      </c>
      <c r="C68" s="73">
        <f t="shared" si="12"/>
        <v>-1.0999999999999899E-3</v>
      </c>
      <c r="D68" s="18">
        <f t="shared" si="13"/>
        <v>-1.0999999999999899E-3</v>
      </c>
      <c r="E68" s="18">
        <f ca="1">IF(表2_3671626293038912[[#This Row],[累计净值]]/MAX(INDIRECT("B21:B" &amp; ROW()))-1&lt;E67,表2_3671626293038912[[#This Row],[累计净值]]/MAX(INDIRECT("B21:B" &amp; ROW()))-1,E67)</f>
        <v>-1.5196662693682805E-2</v>
      </c>
      <c r="F68" s="62">
        <f>表2_3671626293038912[[#This Row],[累计净值]]</f>
        <v>0.99309999999999998</v>
      </c>
      <c r="G68" s="20">
        <f>表2_3671626293038912[[#This Row],[累计净值]]/$B$21-1</f>
        <v>-7.5946837213949348E-3</v>
      </c>
    </row>
    <row r="69" spans="1:7">
      <c r="A69" s="15">
        <v>43878</v>
      </c>
      <c r="B69" s="16">
        <v>0.99280000000000002</v>
      </c>
      <c r="C69" s="73">
        <f t="shared" si="12"/>
        <v>-2.9999999999996696E-4</v>
      </c>
      <c r="D69" s="18">
        <f t="shared" si="13"/>
        <v>-2.9999999999996696E-4</v>
      </c>
      <c r="E69" s="18">
        <f ca="1">IF(表2_3671626293038912[[#This Row],[累计净值]]/MAX(INDIRECT("B21:B" &amp; ROW()))-1&lt;E68,表2_3671626293038912[[#This Row],[累计净值]]/MAX(INDIRECT("B21:B" &amp; ROW()))-1,E68)</f>
        <v>-1.5196662693682805E-2</v>
      </c>
      <c r="F69" s="62">
        <f>表2_3671626293038912[[#This Row],[累计净值]]</f>
        <v>0.99280000000000002</v>
      </c>
      <c r="G69" s="20">
        <f>表2_3671626293038912[[#This Row],[累计净值]]/$B$21-1</f>
        <v>-7.8944738682921178E-3</v>
      </c>
    </row>
    <row r="70" spans="1:7">
      <c r="A70" s="15">
        <v>43879</v>
      </c>
      <c r="B70" s="16">
        <v>0.99080000000000001</v>
      </c>
      <c r="C70" s="73">
        <f t="shared" si="12"/>
        <v>-2.0000000000000018E-3</v>
      </c>
      <c r="D70" s="18">
        <f t="shared" si="13"/>
        <v>-2.0000000000000018E-3</v>
      </c>
      <c r="E70" s="18">
        <f ca="1">IF(表2_3671626293038912[[#This Row],[累计净值]]/MAX(INDIRECT("B21:B" &amp; ROW()))-1&lt;E69,表2_3671626293038912[[#This Row],[累计净值]]/MAX(INDIRECT("B21:B" &amp; ROW()))-1,E69)</f>
        <v>-1.5891934843067057E-2</v>
      </c>
      <c r="F70" s="62">
        <f>表2_3671626293038912[[#This Row],[累计净值]]</f>
        <v>0.99080000000000001</v>
      </c>
      <c r="G70" s="20">
        <f>表2_3671626293038912[[#This Row],[累计净值]]/$B$21-1</f>
        <v>-9.8930748476065977E-3</v>
      </c>
    </row>
    <row r="71" spans="1:7">
      <c r="A71" s="15">
        <v>43880</v>
      </c>
      <c r="B71" s="16">
        <v>0.99080000000000001</v>
      </c>
      <c r="C71" s="73">
        <f t="shared" ref="C71:C77" si="14">IFERROR(B71-B70,0)</f>
        <v>0</v>
      </c>
      <c r="D71" s="18" t="str">
        <f t="shared" ref="D71:D77" si="15">IF(C71&lt;0,C71,"/")</f>
        <v>/</v>
      </c>
      <c r="E71" s="18">
        <f ca="1">IF(表2_3671626293038912[[#This Row],[累计净值]]/MAX(INDIRECT("B21:B" &amp; ROW()))-1&lt;E70,表2_3671626293038912[[#This Row],[累计净值]]/MAX(INDIRECT("B21:B" &amp; ROW()))-1,E70)</f>
        <v>-1.5891934843067057E-2</v>
      </c>
      <c r="F71" s="62">
        <f>表2_3671626293038912[[#This Row],[累计净值]]</f>
        <v>0.99080000000000001</v>
      </c>
      <c r="G71" s="20">
        <f>表2_3671626293038912[[#This Row],[累计净值]]/$B$21-1</f>
        <v>-9.8930748476065977E-3</v>
      </c>
    </row>
    <row r="72" spans="1:7">
      <c r="A72" s="15">
        <v>43881</v>
      </c>
      <c r="B72" s="16">
        <v>0.98970000000000002</v>
      </c>
      <c r="C72" s="73">
        <f t="shared" si="14"/>
        <v>-1.0999999999999899E-3</v>
      </c>
      <c r="D72" s="18">
        <f t="shared" si="15"/>
        <v>-1.0999999999999899E-3</v>
      </c>
      <c r="E72" s="18">
        <f ca="1">IF(表2_3671626293038912[[#This Row],[累计净值]]/MAX(INDIRECT("B21:B" &amp; ROW()))-1&lt;E71,表2_3671626293038912[[#This Row],[累计净值]]/MAX(INDIRECT("B21:B" &amp; ROW()))-1,E71)</f>
        <v>-1.6984505363527913E-2</v>
      </c>
      <c r="F72" s="62">
        <f>表2_3671626293038912[[#This Row],[累计净值]]</f>
        <v>0.98970000000000002</v>
      </c>
      <c r="G72" s="20">
        <f>表2_3671626293038912[[#This Row],[累计净值]]/$B$21-1</f>
        <v>-1.0992305386229528E-2</v>
      </c>
    </row>
    <row r="73" spans="1:7">
      <c r="A73" s="15">
        <v>43882</v>
      </c>
      <c r="B73" s="16">
        <v>0.99150000000000005</v>
      </c>
      <c r="C73" s="73">
        <f t="shared" si="14"/>
        <v>1.8000000000000238E-3</v>
      </c>
      <c r="D73" s="18" t="str">
        <f t="shared" si="15"/>
        <v>/</v>
      </c>
      <c r="E73" s="18">
        <f ca="1">IF(表2_3671626293038912[[#This Row],[累计净值]]/MAX(INDIRECT("B21:B" &amp; ROW()))-1&lt;E72,表2_3671626293038912[[#This Row],[累计净值]]/MAX(INDIRECT("B21:B" &amp; ROW()))-1,E72)</f>
        <v>-1.6984505363527913E-2</v>
      </c>
      <c r="F73" s="62">
        <f>表2_3671626293038912[[#This Row],[累计净值]]</f>
        <v>0.99150000000000005</v>
      </c>
      <c r="G73" s="20">
        <f>表2_3671626293038912[[#This Row],[累计净值]]/$B$21-1</f>
        <v>-9.1935645048464298E-3</v>
      </c>
    </row>
    <row r="74" spans="1:7">
      <c r="A74" s="15">
        <v>43885</v>
      </c>
      <c r="B74" s="16">
        <v>0.99209999999999998</v>
      </c>
      <c r="C74" s="73">
        <f t="shared" si="14"/>
        <v>5.9999999999993392E-4</v>
      </c>
      <c r="D74" s="18" t="str">
        <f t="shared" si="15"/>
        <v>/</v>
      </c>
      <c r="E74" s="18">
        <f ca="1">IF(表2_3671626293038912[[#This Row],[累计净值]]/MAX(INDIRECT("B21:B" &amp; ROW()))-1&lt;E73,表2_3671626293038912[[#This Row],[累计净值]]/MAX(INDIRECT("B21:B" &amp; ROW()))-1,E73)</f>
        <v>-1.6984505363527913E-2</v>
      </c>
      <c r="F74" s="62">
        <f>表2_3671626293038912[[#This Row],[累计净值]]</f>
        <v>0.99209999999999998</v>
      </c>
      <c r="G74" s="20">
        <f>表2_3671626293038912[[#This Row],[累计净值]]/$B$21-1</f>
        <v>-8.5939842110521747E-3</v>
      </c>
    </row>
    <row r="75" spans="1:7">
      <c r="A75" s="15">
        <v>43886</v>
      </c>
      <c r="B75" s="16">
        <v>0.98950000000000005</v>
      </c>
      <c r="C75" s="73">
        <f t="shared" si="14"/>
        <v>-2.5999999999999357E-3</v>
      </c>
      <c r="D75" s="18">
        <f t="shared" si="15"/>
        <v>-2.5999999999999357E-3</v>
      </c>
      <c r="E75" s="18">
        <f ca="1">IF(表2_3671626293038912[[#This Row],[累计净值]]/MAX(INDIRECT("B21:B" &amp; ROW()))-1&lt;E74,表2_3671626293038912[[#This Row],[累计净值]]/MAX(INDIRECT("B21:B" &amp; ROW()))-1,E74)</f>
        <v>-1.7183154549066271E-2</v>
      </c>
      <c r="F75" s="62">
        <f>表2_3671626293038912[[#This Row],[累计净值]]</f>
        <v>0.98950000000000005</v>
      </c>
      <c r="G75" s="20">
        <f>表2_3671626293038912[[#This Row],[累计净值]]/$B$21-1</f>
        <v>-1.119216548416091E-2</v>
      </c>
    </row>
    <row r="76" spans="1:7">
      <c r="A76" s="15">
        <v>43887</v>
      </c>
      <c r="B76" s="16">
        <v>0.98960000000000004</v>
      </c>
      <c r="C76" s="73">
        <f t="shared" si="14"/>
        <v>9.9999999999988987E-5</v>
      </c>
      <c r="D76" s="18" t="str">
        <f t="shared" si="15"/>
        <v>/</v>
      </c>
      <c r="E76" s="18">
        <f ca="1">IF(表2_3671626293038912[[#This Row],[累计净值]]/MAX(INDIRECT("B21:B" &amp; ROW()))-1&lt;E75,表2_3671626293038912[[#This Row],[累计净值]]/MAX(INDIRECT("B21:B" &amp; ROW()))-1,E75)</f>
        <v>-1.7183154549066271E-2</v>
      </c>
      <c r="F76" s="62">
        <f>表2_3671626293038912[[#This Row],[累计净值]]</f>
        <v>0.98960000000000004</v>
      </c>
      <c r="G76" s="20">
        <f>表2_3671626293038912[[#This Row],[累计净值]]/$B$21-1</f>
        <v>-1.1092235435195219E-2</v>
      </c>
    </row>
    <row r="77" spans="1:7">
      <c r="A77" s="15">
        <v>43888</v>
      </c>
      <c r="B77" s="16">
        <v>0.99439999999999995</v>
      </c>
      <c r="C77" s="73">
        <f t="shared" si="14"/>
        <v>4.7999999999999154E-3</v>
      </c>
      <c r="D77" s="18" t="str">
        <f t="shared" si="15"/>
        <v>/</v>
      </c>
      <c r="E77" s="18">
        <f ca="1">IF(表2_3671626293038912[[#This Row],[累计净值]]/MAX(INDIRECT("B21:B" &amp; ROW()))-1&lt;E76,表2_3671626293038912[[#This Row],[累计净值]]/MAX(INDIRECT("B21:B" &amp; ROW()))-1,E76)</f>
        <v>-1.7183154549066271E-2</v>
      </c>
      <c r="F77" s="62">
        <f>表2_3671626293038912[[#This Row],[累计净值]]</f>
        <v>0.99439999999999995</v>
      </c>
      <c r="G77" s="20">
        <f>表2_3671626293038912[[#This Row],[累计净值]]/$B$21-1</f>
        <v>-6.2955930848406227E-3</v>
      </c>
    </row>
    <row r="78" spans="1:7">
      <c r="A78" s="15">
        <v>43889</v>
      </c>
      <c r="B78" s="16">
        <v>1.0056</v>
      </c>
      <c r="C78" s="73">
        <f t="shared" ref="C78:C83" si="16">IFERROR(B78-B77,0)</f>
        <v>1.1200000000000099E-2</v>
      </c>
      <c r="D78" s="18" t="str">
        <f t="shared" ref="D78:D83" si="17">IF(C78&lt;0,C78,"/")</f>
        <v>/</v>
      </c>
      <c r="E78" s="18">
        <f ca="1">IF(表2_3671626293038912[[#This Row],[累计净值]]/MAX(INDIRECT("B21:B" &amp; ROW()))-1&lt;E77,表2_3671626293038912[[#This Row],[累计净值]]/MAX(INDIRECT("B21:B" &amp; ROW()))-1,E77)</f>
        <v>-1.7183154549066271E-2</v>
      </c>
      <c r="F78" s="62">
        <f>表2_3671626293038912[[#This Row],[累计净值]]</f>
        <v>1.0056</v>
      </c>
      <c r="G78" s="20">
        <f>表2_3671626293038912[[#This Row],[累计净值]]/$B$21-1</f>
        <v>4.8965723993206201E-3</v>
      </c>
    </row>
    <row r="79" spans="1:7">
      <c r="A79" s="15">
        <v>43892</v>
      </c>
      <c r="B79" s="16">
        <v>1.0002</v>
      </c>
      <c r="C79" s="73">
        <f t="shared" si="16"/>
        <v>-5.4000000000000714E-3</v>
      </c>
      <c r="D79" s="18">
        <f t="shared" si="17"/>
        <v>-5.4000000000000714E-3</v>
      </c>
      <c r="E79" s="18">
        <f ca="1">IF(表2_3671626293038912[[#This Row],[累计净值]]/MAX(INDIRECT("B21:B" &amp; ROW()))-1&lt;E78,表2_3671626293038912[[#This Row],[累计净值]]/MAX(INDIRECT("B21:B" &amp; ROW()))-1,E78)</f>
        <v>-1.7183154549066271E-2</v>
      </c>
      <c r="F79" s="62">
        <f>表2_3671626293038912[[#This Row],[累计净值]]</f>
        <v>1.0002</v>
      </c>
      <c r="G79" s="20">
        <f>表2_3671626293038912[[#This Row],[累计净值]]/$B$21-1</f>
        <v>-4.9965024482856446E-4</v>
      </c>
    </row>
    <row r="80" spans="1:7">
      <c r="A80" s="15">
        <v>43893</v>
      </c>
      <c r="B80" s="16">
        <v>0.99109999999999998</v>
      </c>
      <c r="C80" s="73">
        <f t="shared" si="16"/>
        <v>-9.099999999999997E-3</v>
      </c>
      <c r="D80" s="18">
        <f t="shared" si="17"/>
        <v>-9.099999999999997E-3</v>
      </c>
      <c r="E80" s="18">
        <f ca="1">IF(表2_3671626293038912[[#This Row],[累计净值]]/MAX(INDIRECT("B21:B" &amp; ROW()))-1&lt;E79,表2_3671626293038912[[#This Row],[累计净值]]/MAX(INDIRECT("B21:B" &amp; ROW()))-1,E79)</f>
        <v>-1.7183154549066271E-2</v>
      </c>
      <c r="F80" s="62">
        <f>表2_3671626293038912[[#This Row],[累计净值]]</f>
        <v>0.99109999999999998</v>
      </c>
      <c r="G80" s="20">
        <f>表2_3671626293038912[[#This Row],[累计净值]]/$B$21-1</f>
        <v>-9.5932847007094146E-3</v>
      </c>
    </row>
    <row r="81" spans="1:7">
      <c r="A81" s="15">
        <v>43894</v>
      </c>
      <c r="B81" s="16">
        <v>0.99099999999999999</v>
      </c>
      <c r="C81" s="73">
        <f t="shared" si="16"/>
        <v>-9.9999999999988987E-5</v>
      </c>
      <c r="D81" s="18">
        <f t="shared" si="17"/>
        <v>-9.9999999999988987E-5</v>
      </c>
      <c r="E81" s="18">
        <f ca="1">IF(表2_3671626293038912[[#This Row],[累计净值]]/MAX(INDIRECT("B21:B" &amp; ROW()))-1&lt;E80,表2_3671626293038912[[#This Row],[累计净值]]/MAX(INDIRECT("B21:B" &amp; ROW()))-1,E80)</f>
        <v>-1.7183154549066271E-2</v>
      </c>
      <c r="F81" s="62">
        <f>表2_3671626293038912[[#This Row],[累计净值]]</f>
        <v>0.99099999999999999</v>
      </c>
      <c r="G81" s="20">
        <f>表2_3671626293038912[[#This Row],[累计净值]]/$B$21-1</f>
        <v>-9.6932147496751053E-3</v>
      </c>
    </row>
    <row r="82" spans="1:7">
      <c r="A82" s="15">
        <v>43895</v>
      </c>
      <c r="B82" s="16">
        <v>0.99099999999999999</v>
      </c>
      <c r="C82" s="73">
        <f t="shared" si="16"/>
        <v>0</v>
      </c>
      <c r="D82" s="18" t="str">
        <f t="shared" si="17"/>
        <v>/</v>
      </c>
      <c r="E82" s="18">
        <f ca="1">IF(表2_3671626293038912[[#This Row],[累计净值]]/MAX(INDIRECT("B21:B" &amp; ROW()))-1&lt;E81,表2_3671626293038912[[#This Row],[累计净值]]/MAX(INDIRECT("B21:B" &amp; ROW()))-1,E81)</f>
        <v>-1.7183154549066271E-2</v>
      </c>
      <c r="F82" s="62">
        <f>表2_3671626293038912[[#This Row],[累计净值]]</f>
        <v>0.99099999999999999</v>
      </c>
      <c r="G82" s="20">
        <f>表2_3671626293038912[[#This Row],[累计净值]]/$B$21-1</f>
        <v>-9.6932147496751053E-3</v>
      </c>
    </row>
    <row r="83" spans="1:7">
      <c r="A83" s="15">
        <v>43896</v>
      </c>
      <c r="B83" s="16">
        <v>0.99019999999999997</v>
      </c>
      <c r="C83" s="73">
        <f t="shared" si="16"/>
        <v>-8.0000000000002292E-4</v>
      </c>
      <c r="D83" s="18">
        <f t="shared" si="17"/>
        <v>-8.0000000000002292E-4</v>
      </c>
      <c r="E83" s="18">
        <f ca="1">IF(表2_3671626293038912[[#This Row],[累计净值]]/MAX(INDIRECT("B21:B" &amp; ROW()))-1&lt;E82,表2_3671626293038912[[#This Row],[累计净值]]/MAX(INDIRECT("B21:B" &amp; ROW()))-1,E82)</f>
        <v>-1.7183154549066271E-2</v>
      </c>
      <c r="F83" s="62">
        <f>表2_3671626293038912[[#This Row],[累计净值]]</f>
        <v>0.99019999999999997</v>
      </c>
      <c r="G83" s="20">
        <f>表2_3671626293038912[[#This Row],[累计净值]]/$B$21-1</f>
        <v>-1.0492655141400964E-2</v>
      </c>
    </row>
    <row r="84" spans="1:7">
      <c r="A84" s="15">
        <v>43899</v>
      </c>
      <c r="B84" s="16">
        <v>0.98839999999999995</v>
      </c>
      <c r="C84" s="73">
        <f t="shared" ref="C84:C89" si="18">IFERROR(B84-B83,0)</f>
        <v>-1.8000000000000238E-3</v>
      </c>
      <c r="D84" s="18">
        <f t="shared" ref="D84:D89" si="19">IF(C84&lt;0,C84,"/")</f>
        <v>-1.8000000000000238E-3</v>
      </c>
      <c r="E84" s="18">
        <f ca="1">IF(表2_3671626293038912[[#This Row],[累计净值]]/MAX(INDIRECT("B21:B" &amp; ROW()))-1&lt;E83,表2_3671626293038912[[#This Row],[累计净值]]/MAX(INDIRECT("B21:B" &amp; ROW()))-1,E83)</f>
        <v>-1.8275725069527238E-2</v>
      </c>
      <c r="F84" s="62">
        <f>表2_3671626293038912[[#This Row],[累计净值]]</f>
        <v>0.98839999999999995</v>
      </c>
      <c r="G84" s="20">
        <f>表2_3671626293038912[[#This Row],[累计净值]]/$B$21-1</f>
        <v>-1.2291396022784062E-2</v>
      </c>
    </row>
    <row r="85" spans="1:7">
      <c r="A85" s="15">
        <v>43900</v>
      </c>
      <c r="B85" s="16">
        <v>0.9829</v>
      </c>
      <c r="C85" s="73">
        <f t="shared" si="18"/>
        <v>-5.4999999999999494E-3</v>
      </c>
      <c r="D85" s="18">
        <f t="shared" si="19"/>
        <v>-5.4999999999999494E-3</v>
      </c>
      <c r="E85" s="18">
        <f ca="1">IF(表2_3671626293038912[[#This Row],[累计净值]]/MAX(INDIRECT("B21:B" &amp; ROW()))-1&lt;E84,表2_3671626293038912[[#This Row],[累计净值]]/MAX(INDIRECT("B21:B" &amp; ROW()))-1,E84)</f>
        <v>-2.3738577671831518E-2</v>
      </c>
      <c r="F85" s="62">
        <f>表2_3671626293038912[[#This Row],[累计净值]]</f>
        <v>0.9829</v>
      </c>
      <c r="G85" s="20">
        <f>表2_3671626293038912[[#This Row],[累计净值]]/$B$21-1</f>
        <v>-1.7787548715898827E-2</v>
      </c>
    </row>
    <row r="86" spans="1:7">
      <c r="A86" s="15">
        <v>43901</v>
      </c>
      <c r="B86" s="16">
        <v>0.9829</v>
      </c>
      <c r="C86" s="73">
        <f t="shared" si="18"/>
        <v>0</v>
      </c>
      <c r="D86" s="18" t="str">
        <f t="shared" si="19"/>
        <v>/</v>
      </c>
      <c r="E86" s="18">
        <f ca="1">IF(表2_3671626293038912[[#This Row],[累计净值]]/MAX(INDIRECT("B21:B" &amp; ROW()))-1&lt;E85,表2_3671626293038912[[#This Row],[累计净值]]/MAX(INDIRECT("B21:B" &amp; ROW()))-1,E85)</f>
        <v>-2.3738577671831518E-2</v>
      </c>
      <c r="F86" s="62">
        <f>表2_3671626293038912[[#This Row],[累计净值]]</f>
        <v>0.9829</v>
      </c>
      <c r="G86" s="20">
        <f>表2_3671626293038912[[#This Row],[累计净值]]/$B$21-1</f>
        <v>-1.7787548715898827E-2</v>
      </c>
    </row>
    <row r="87" spans="1:7">
      <c r="A87" s="15">
        <v>43902</v>
      </c>
      <c r="B87" s="16">
        <v>0.98699999999999999</v>
      </c>
      <c r="C87" s="73">
        <f t="shared" si="18"/>
        <v>4.0999999999999925E-3</v>
      </c>
      <c r="D87" s="18" t="str">
        <f t="shared" si="19"/>
        <v>/</v>
      </c>
      <c r="E87" s="18">
        <f ca="1">IF(表2_3671626293038912[[#This Row],[累计净值]]/MAX(INDIRECT("B21:B" &amp; ROW()))-1&lt;E86,表2_3671626293038912[[#This Row],[累计净值]]/MAX(INDIRECT("B21:B" &amp; ROW()))-1,E86)</f>
        <v>-2.3738577671831518E-2</v>
      </c>
      <c r="F87" s="62">
        <f>表2_3671626293038912[[#This Row],[累计净值]]</f>
        <v>0.98699999999999999</v>
      </c>
      <c r="G87" s="20">
        <f>表2_3671626293038912[[#This Row],[累计净值]]/$B$21-1</f>
        <v>-1.3690416708304176E-2</v>
      </c>
    </row>
    <row r="88" spans="1:7">
      <c r="A88" s="15">
        <v>43903</v>
      </c>
      <c r="B88" s="16">
        <v>0.98640000000000005</v>
      </c>
      <c r="C88" s="73">
        <f t="shared" si="18"/>
        <v>-5.9999999999993392E-4</v>
      </c>
      <c r="D88" s="18">
        <f t="shared" si="19"/>
        <v>-5.9999999999993392E-4</v>
      </c>
      <c r="E88" s="18">
        <f ca="1">IF(表2_3671626293038912[[#This Row],[累计净值]]/MAX(INDIRECT("B21:B" &amp; ROW()))-1&lt;E87,表2_3671626293038912[[#This Row],[累计净值]]/MAX(INDIRECT("B21:B" &amp; ROW()))-1,E87)</f>
        <v>-2.3738577671831518E-2</v>
      </c>
      <c r="F88" s="62">
        <f>表2_3671626293038912[[#This Row],[累计净值]]</f>
        <v>0.98640000000000005</v>
      </c>
      <c r="G88" s="20">
        <f>表2_3671626293038912[[#This Row],[累计净值]]/$B$21-1</f>
        <v>-1.4289997002098431E-2</v>
      </c>
    </row>
    <row r="89" spans="1:7">
      <c r="A89" s="15">
        <v>43906</v>
      </c>
      <c r="B89" s="16">
        <v>0.99039999999999995</v>
      </c>
      <c r="C89" s="73">
        <f t="shared" si="18"/>
        <v>3.9999999999998925E-3</v>
      </c>
      <c r="D89" s="18" t="str">
        <f t="shared" si="19"/>
        <v>/</v>
      </c>
      <c r="E89" s="18">
        <f ca="1">IF(表2_3671626293038912[[#This Row],[累计净值]]/MAX(INDIRECT("B21:B" &amp; ROW()))-1&lt;E88,表2_3671626293038912[[#This Row],[累计净值]]/MAX(INDIRECT("B21:B" &amp; ROW()))-1,E88)</f>
        <v>-2.3738577671831518E-2</v>
      </c>
      <c r="F89" s="62">
        <f>表2_3671626293038912[[#This Row],[累计净值]]</f>
        <v>0.99039999999999995</v>
      </c>
      <c r="G89" s="20">
        <f>表2_3671626293038912[[#This Row],[累计净值]]/$B$21-1</f>
        <v>-1.0292795043469583E-2</v>
      </c>
    </row>
    <row r="90" spans="1:7">
      <c r="A90" s="15">
        <v>43907</v>
      </c>
      <c r="B90" s="16">
        <v>0.99039999999999995</v>
      </c>
      <c r="C90" s="73">
        <f t="shared" ref="C90:C95" si="20">IFERROR(B90-B89,0)</f>
        <v>0</v>
      </c>
      <c r="D90" s="18" t="str">
        <f t="shared" ref="D90:D95" si="21">IF(C90&lt;0,C90,"/")</f>
        <v>/</v>
      </c>
      <c r="E90" s="18">
        <f ca="1">IF(表2_3671626293038912[[#This Row],[累计净值]]/MAX(INDIRECT("B21:B" &amp; ROW()))-1&lt;E89,表2_3671626293038912[[#This Row],[累计净值]]/MAX(INDIRECT("B21:B" &amp; ROW()))-1,E89)</f>
        <v>-2.3738577671831518E-2</v>
      </c>
      <c r="F90" s="62">
        <f>表2_3671626293038912[[#This Row],[累计净值]]</f>
        <v>0.99039999999999995</v>
      </c>
      <c r="G90" s="20">
        <f>表2_3671626293038912[[#This Row],[累计净值]]/$B$21-1</f>
        <v>-1.0292795043469583E-2</v>
      </c>
    </row>
    <row r="91" spans="1:7">
      <c r="A91" s="15">
        <v>43908</v>
      </c>
      <c r="B91" s="16">
        <v>0.99009999999999998</v>
      </c>
      <c r="C91" s="73">
        <f t="shared" si="20"/>
        <v>-2.9999999999996696E-4</v>
      </c>
      <c r="D91" s="18">
        <f t="shared" si="21"/>
        <v>-2.9999999999996696E-4</v>
      </c>
      <c r="E91" s="18">
        <f ca="1">IF(表2_3671626293038912[[#This Row],[累计净值]]/MAX(INDIRECT("B21:B" &amp; ROW()))-1&lt;E90,表2_3671626293038912[[#This Row],[累计净值]]/MAX(INDIRECT("B21:B" &amp; ROW()))-1,E90)</f>
        <v>-2.3738577671831518E-2</v>
      </c>
      <c r="F91" s="62">
        <f>表2_3671626293038912[[#This Row],[累计净值]]</f>
        <v>0.99009999999999998</v>
      </c>
      <c r="G91" s="20">
        <f>表2_3671626293038912[[#This Row],[累计净值]]/$B$21-1</f>
        <v>-1.0592585190366655E-2</v>
      </c>
    </row>
    <row r="92" spans="1:7">
      <c r="A92" s="15">
        <v>43909</v>
      </c>
      <c r="B92" s="16">
        <v>0.98670000000000002</v>
      </c>
      <c r="C92" s="73">
        <f t="shared" si="20"/>
        <v>-3.3999999999999586E-3</v>
      </c>
      <c r="D92" s="18">
        <f t="shared" si="21"/>
        <v>-3.3999999999999586E-3</v>
      </c>
      <c r="E92" s="18">
        <f ca="1">IF(表2_3671626293038912[[#This Row],[累计净值]]/MAX(INDIRECT("B21:B" &amp; ROW()))-1&lt;E91,表2_3671626293038912[[#This Row],[累计净值]]/MAX(INDIRECT("B21:B" &amp; ROW()))-1,E91)</f>
        <v>-2.3738577671831518E-2</v>
      </c>
      <c r="F92" s="62">
        <f>表2_3671626293038912[[#This Row],[累计净值]]</f>
        <v>0.98670000000000002</v>
      </c>
      <c r="G92" s="20">
        <f>表2_3671626293038912[[#This Row],[累计净值]]/$B$21-1</f>
        <v>-1.3990206855201248E-2</v>
      </c>
    </row>
    <row r="93" spans="1:7">
      <c r="A93" s="15">
        <v>43910</v>
      </c>
      <c r="B93" s="16">
        <v>0.98650000000000004</v>
      </c>
      <c r="C93" s="73">
        <f t="shared" si="20"/>
        <v>-1.9999999999997797E-4</v>
      </c>
      <c r="D93" s="18">
        <f t="shared" si="21"/>
        <v>-1.9999999999997797E-4</v>
      </c>
      <c r="E93" s="18">
        <f ca="1">IF(表2_3671626293038912[[#This Row],[累计净值]]/MAX(INDIRECT("B21:B" &amp; ROW()))-1&lt;E92,表2_3671626293038912[[#This Row],[累计净值]]/MAX(INDIRECT("B21:B" &amp; ROW()))-1,E92)</f>
        <v>-2.3738577671831518E-2</v>
      </c>
      <c r="F93" s="62">
        <f>表2_3671626293038912[[#This Row],[累计净值]]</f>
        <v>0.98650000000000004</v>
      </c>
      <c r="G93" s="20">
        <f>表2_3671626293038912[[#This Row],[累计净值]]/$B$21-1</f>
        <v>-1.4190066953132741E-2</v>
      </c>
    </row>
    <row r="94" spans="1:7">
      <c r="A94" s="15">
        <v>43913</v>
      </c>
      <c r="B94" s="16">
        <v>0.98740000000000006</v>
      </c>
      <c r="C94" s="73">
        <f t="shared" si="20"/>
        <v>9.000000000000119E-4</v>
      </c>
      <c r="D94" s="18" t="str">
        <f t="shared" si="21"/>
        <v>/</v>
      </c>
      <c r="E94" s="18">
        <f ca="1">IF(表2_3671626293038912[[#This Row],[累计净值]]/MAX(INDIRECT("B21:B" &amp; ROW()))-1&lt;E93,表2_3671626293038912[[#This Row],[累计净值]]/MAX(INDIRECT("B21:B" &amp; ROW()))-1,E93)</f>
        <v>-2.3738577671831518E-2</v>
      </c>
      <c r="F94" s="62">
        <f>表2_3671626293038912[[#This Row],[累计净值]]</f>
        <v>0.98740000000000006</v>
      </c>
      <c r="G94" s="20">
        <f>表2_3671626293038912[[#This Row],[累计净值]]/$B$21-1</f>
        <v>-1.3290696512441191E-2</v>
      </c>
    </row>
    <row r="95" spans="1:7">
      <c r="A95" s="15">
        <v>43914</v>
      </c>
      <c r="B95" s="16">
        <v>0.9899</v>
      </c>
      <c r="C95" s="73">
        <f t="shared" si="20"/>
        <v>2.4999999999999467E-3</v>
      </c>
      <c r="D95" s="18" t="str">
        <f t="shared" si="21"/>
        <v>/</v>
      </c>
      <c r="E95" s="18">
        <f ca="1">IF(表2_3671626293038912[[#This Row],[累计净值]]/MAX(INDIRECT("B21:B" &amp; ROW()))-1&lt;E94,表2_3671626293038912[[#This Row],[累计净值]]/MAX(INDIRECT("B21:B" &amp; ROW()))-1,E94)</f>
        <v>-2.3738577671831518E-2</v>
      </c>
      <c r="F95" s="62">
        <f>表2_3671626293038912[[#This Row],[累计净值]]</f>
        <v>0.9899</v>
      </c>
      <c r="G95" s="20">
        <f>表2_3671626293038912[[#This Row],[累计净值]]/$B$21-1</f>
        <v>-1.0792445288298147E-2</v>
      </c>
    </row>
    <row r="96" spans="1:7">
      <c r="A96" s="15">
        <v>43915</v>
      </c>
      <c r="B96" s="16">
        <v>0.98980000000000001</v>
      </c>
      <c r="C96" s="73">
        <f t="shared" ref="C96:C101" si="22">IFERROR(B96-B95,0)</f>
        <v>-9.9999999999988987E-5</v>
      </c>
      <c r="D96" s="18">
        <f t="shared" ref="D96:D101" si="23">IF(C96&lt;0,C96,"/")</f>
        <v>-9.9999999999988987E-5</v>
      </c>
      <c r="E96" s="18">
        <f ca="1">IF(表2_3671626293038912[[#This Row],[累计净值]]/MAX(INDIRECT("B21:B" &amp; ROW()))-1&lt;E95,表2_3671626293038912[[#This Row],[累计净值]]/MAX(INDIRECT("B21:B" &amp; ROW()))-1,E95)</f>
        <v>-2.3738577671831518E-2</v>
      </c>
      <c r="F96" s="62">
        <f>表2_3671626293038912[[#This Row],[累计净值]]</f>
        <v>0.98980000000000001</v>
      </c>
      <c r="G96" s="20">
        <f>表2_3671626293038912[[#This Row],[累计净值]]/$B$21-1</f>
        <v>-1.0892375337263838E-2</v>
      </c>
    </row>
    <row r="97" spans="1:7">
      <c r="A97" s="15">
        <v>43916</v>
      </c>
      <c r="B97" s="16">
        <v>0.99060000000000004</v>
      </c>
      <c r="C97" s="73">
        <f t="shared" si="22"/>
        <v>8.0000000000002292E-4</v>
      </c>
      <c r="D97" s="18" t="str">
        <f t="shared" si="23"/>
        <v>/</v>
      </c>
      <c r="E97" s="18">
        <f ca="1">IF(表2_3671626293038912[[#This Row],[累计净值]]/MAX(INDIRECT("B21:B" &amp; ROW()))-1&lt;E96,表2_3671626293038912[[#This Row],[累计净值]]/MAX(INDIRECT("B21:B" &amp; ROW()))-1,E96)</f>
        <v>-2.3738577671831518E-2</v>
      </c>
      <c r="F97" s="62">
        <f>表2_3671626293038912[[#This Row],[累计净值]]</f>
        <v>0.99060000000000004</v>
      </c>
      <c r="G97" s="20">
        <f>表2_3671626293038912[[#This Row],[累计净值]]/$B$21-1</f>
        <v>-1.0092934945537979E-2</v>
      </c>
    </row>
    <row r="98" spans="1:7">
      <c r="A98" s="15">
        <v>43917</v>
      </c>
      <c r="B98" s="16">
        <v>0.99150000000000005</v>
      </c>
      <c r="C98" s="73">
        <f t="shared" si="22"/>
        <v>9.000000000000119E-4</v>
      </c>
      <c r="D98" s="18" t="str">
        <f t="shared" si="23"/>
        <v>/</v>
      </c>
      <c r="E98" s="18">
        <f ca="1">IF(表2_3671626293038912[[#This Row],[累计净值]]/MAX(INDIRECT("B21:B" &amp; ROW()))-1&lt;E97,表2_3671626293038912[[#This Row],[累计净值]]/MAX(INDIRECT("B21:B" &amp; ROW()))-1,E97)</f>
        <v>-2.3738577671831518E-2</v>
      </c>
      <c r="F98" s="62">
        <f>表2_3671626293038912[[#This Row],[累计净值]]</f>
        <v>0.99150000000000005</v>
      </c>
      <c r="G98" s="20">
        <f>表2_3671626293038912[[#This Row],[累计净值]]/$B$21-1</f>
        <v>-9.1935645048464298E-3</v>
      </c>
    </row>
    <row r="99" spans="1:7">
      <c r="A99" s="15">
        <v>43920</v>
      </c>
      <c r="B99" s="16">
        <v>0.9929</v>
      </c>
      <c r="C99" s="73">
        <f t="shared" si="22"/>
        <v>1.3999999999999568E-3</v>
      </c>
      <c r="D99" s="18" t="str">
        <f t="shared" si="23"/>
        <v>/</v>
      </c>
      <c r="E99" s="18">
        <f ca="1">IF(表2_3671626293038912[[#This Row],[累计净值]]/MAX(INDIRECT("B21:B" &amp; ROW()))-1&lt;E98,表2_3671626293038912[[#This Row],[累计净值]]/MAX(INDIRECT("B21:B" &amp; ROW()))-1,E98)</f>
        <v>-2.3738577671831518E-2</v>
      </c>
      <c r="F99" s="62">
        <f>表2_3671626293038912[[#This Row],[累计净值]]</f>
        <v>0.9929</v>
      </c>
      <c r="G99" s="20">
        <f>表2_3671626293038912[[#This Row],[累计净值]]/$B$21-1</f>
        <v>-7.7945438193264271E-3</v>
      </c>
    </row>
    <row r="100" spans="1:7">
      <c r="A100" s="15">
        <v>43921</v>
      </c>
      <c r="B100" s="16">
        <v>0.99139999999999995</v>
      </c>
      <c r="C100" s="73">
        <f t="shared" si="22"/>
        <v>-1.5000000000000568E-3</v>
      </c>
      <c r="D100" s="18">
        <f t="shared" si="23"/>
        <v>-1.5000000000000568E-3</v>
      </c>
      <c r="E100" s="18">
        <f ca="1">IF(表2_3671626293038912[[#This Row],[累计净值]]/MAX(INDIRECT("B21:B" &amp; ROW()))-1&lt;E99,表2_3671626293038912[[#This Row],[累计净值]]/MAX(INDIRECT("B21:B" &amp; ROW()))-1,E99)</f>
        <v>-2.3738577671831518E-2</v>
      </c>
      <c r="F100" s="62">
        <f>表2_3671626293038912[[#This Row],[累计净值]]</f>
        <v>0.99139999999999995</v>
      </c>
      <c r="G100" s="20">
        <f>表2_3671626293038912[[#This Row],[累计净值]]/$B$21-1</f>
        <v>-9.2934945538123426E-3</v>
      </c>
    </row>
    <row r="101" spans="1:7">
      <c r="A101" s="15">
        <v>43922</v>
      </c>
      <c r="B101" s="16">
        <v>0.99219999999999997</v>
      </c>
      <c r="C101" s="73">
        <f t="shared" si="22"/>
        <v>8.0000000000002292E-4</v>
      </c>
      <c r="D101" s="18" t="str">
        <f t="shared" si="23"/>
        <v>/</v>
      </c>
      <c r="E101" s="18">
        <f ca="1">IF(表2_3671626293038912[[#This Row],[累计净值]]/MAX(INDIRECT("B21:B" &amp; ROW()))-1&lt;E100,表2_3671626293038912[[#This Row],[累计净值]]/MAX(INDIRECT("B21:B" &amp; ROW()))-1,E100)</f>
        <v>-2.3738577671831518E-2</v>
      </c>
      <c r="F101" s="62">
        <f>表2_3671626293038912[[#This Row],[累计净值]]</f>
        <v>0.99219999999999997</v>
      </c>
      <c r="G101" s="20">
        <f>表2_3671626293038912[[#This Row],[累计净值]]/$B$21-1</f>
        <v>-8.494054162086484E-3</v>
      </c>
    </row>
    <row r="102" spans="1:7">
      <c r="A102" s="15">
        <v>43923</v>
      </c>
      <c r="B102" s="16">
        <v>0.98950000000000005</v>
      </c>
      <c r="C102" s="73">
        <f t="shared" ref="C102:C107" si="24">IFERROR(B102-B101,0)</f>
        <v>-2.6999999999999247E-3</v>
      </c>
      <c r="D102" s="18">
        <f t="shared" ref="D102:D107" si="25">IF(C102&lt;0,C102,"/")</f>
        <v>-2.6999999999999247E-3</v>
      </c>
      <c r="E102" s="18">
        <f ca="1">IF(表2_3671626293038912[[#This Row],[累计净值]]/MAX(INDIRECT("B21:B" &amp; ROW()))-1&lt;E101,表2_3671626293038912[[#This Row],[累计净值]]/MAX(INDIRECT("B21:B" &amp; ROW()))-1,E101)</f>
        <v>-2.3738577671831518E-2</v>
      </c>
      <c r="F102" s="62">
        <f>表2_3671626293038912[[#This Row],[累计净值]]</f>
        <v>0.98950000000000005</v>
      </c>
      <c r="G102" s="20">
        <f>表2_3671626293038912[[#This Row],[累计净值]]/$B$21-1</f>
        <v>-1.119216548416091E-2</v>
      </c>
    </row>
    <row r="103" spans="1:7">
      <c r="A103" s="15">
        <v>43924</v>
      </c>
      <c r="B103" s="16">
        <v>0.98770000000000002</v>
      </c>
      <c r="C103" s="73">
        <f t="shared" si="24"/>
        <v>-1.8000000000000238E-3</v>
      </c>
      <c r="D103" s="18">
        <f t="shared" si="25"/>
        <v>-1.8000000000000238E-3</v>
      </c>
      <c r="E103" s="18">
        <f ca="1">IF(表2_3671626293038912[[#This Row],[累计净值]]/MAX(INDIRECT("B21:B" &amp; ROW()))-1&lt;E102,表2_3671626293038912[[#This Row],[累计净值]]/MAX(INDIRECT("B21:B" &amp; ROW()))-1,E102)</f>
        <v>-2.3738577671831518E-2</v>
      </c>
      <c r="F103" s="62">
        <f>表2_3671626293038912[[#This Row],[累计净值]]</f>
        <v>0.98770000000000002</v>
      </c>
      <c r="G103" s="20">
        <f>表2_3671626293038912[[#This Row],[累计净值]]/$B$21-1</f>
        <v>-1.2990906365544008E-2</v>
      </c>
    </row>
    <row r="104" spans="1:7">
      <c r="A104" s="15">
        <v>43928</v>
      </c>
      <c r="B104" s="16">
        <v>0.98709999999999998</v>
      </c>
      <c r="C104" s="73">
        <f t="shared" si="24"/>
        <v>-6.0000000000004494E-4</v>
      </c>
      <c r="D104" s="18">
        <f t="shared" si="25"/>
        <v>-6.0000000000004494E-4</v>
      </c>
      <c r="E104" s="18">
        <f ca="1">IF(表2_3671626293038912[[#This Row],[累计净值]]/MAX(INDIRECT("B21:B" &amp; ROW()))-1&lt;E103,表2_3671626293038912[[#This Row],[累计净值]]/MAX(INDIRECT("B21:B" &amp; ROW()))-1,E103)</f>
        <v>-2.3738577671831518E-2</v>
      </c>
      <c r="F104" s="62">
        <f>表2_3671626293038912[[#This Row],[累计净值]]</f>
        <v>0.98709999999999998</v>
      </c>
      <c r="G104" s="20">
        <f>表2_3671626293038912[[#This Row],[累计净值]]/$B$21-1</f>
        <v>-1.3590486659338374E-2</v>
      </c>
    </row>
    <row r="105" spans="1:7">
      <c r="A105" s="15">
        <v>43929</v>
      </c>
      <c r="B105" s="16">
        <v>0.98680000000000001</v>
      </c>
      <c r="C105" s="73">
        <f t="shared" si="24"/>
        <v>-2.9999999999996696E-4</v>
      </c>
      <c r="D105" s="18">
        <f t="shared" si="25"/>
        <v>-2.9999999999996696E-4</v>
      </c>
      <c r="E105" s="18">
        <f ca="1">IF(表2_3671626293038912[[#This Row],[累计净值]]/MAX(INDIRECT("B21:B" &amp; ROW()))-1&lt;E104,表2_3671626293038912[[#This Row],[累计净值]]/MAX(INDIRECT("B21:B" &amp; ROW()))-1,E104)</f>
        <v>-2.3738577671831518E-2</v>
      </c>
      <c r="F105" s="62">
        <f>表2_3671626293038912[[#This Row],[累计净值]]</f>
        <v>0.98680000000000001</v>
      </c>
      <c r="G105" s="20">
        <f>表2_3671626293038912[[#This Row],[累计净值]]/$B$21-1</f>
        <v>-1.3890276806235557E-2</v>
      </c>
    </row>
    <row r="106" spans="1:7">
      <c r="A106" s="15">
        <v>43930</v>
      </c>
      <c r="B106" s="16">
        <v>0.98670000000000002</v>
      </c>
      <c r="C106" s="73">
        <f t="shared" si="24"/>
        <v>-9.9999999999988987E-5</v>
      </c>
      <c r="D106" s="18">
        <f t="shared" si="25"/>
        <v>-9.9999999999988987E-5</v>
      </c>
      <c r="E106" s="18">
        <f ca="1">IF(表2_3671626293038912[[#This Row],[累计净值]]/MAX(INDIRECT("B21:B" &amp; ROW()))-1&lt;E105,表2_3671626293038912[[#This Row],[累计净值]]/MAX(INDIRECT("B21:B" &amp; ROW()))-1,E105)</f>
        <v>-2.3738577671831518E-2</v>
      </c>
      <c r="F106" s="62">
        <f>表2_3671626293038912[[#This Row],[累计净值]]</f>
        <v>0.98670000000000002</v>
      </c>
      <c r="G106" s="20">
        <f>表2_3671626293038912[[#This Row],[累计净值]]/$B$21-1</f>
        <v>-1.3990206855201248E-2</v>
      </c>
    </row>
    <row r="107" spans="1:7">
      <c r="A107" s="15">
        <v>43931</v>
      </c>
      <c r="B107" s="16">
        <v>0.98560000000000003</v>
      </c>
      <c r="C107" s="73">
        <f t="shared" si="24"/>
        <v>-1.0999999999999899E-3</v>
      </c>
      <c r="D107" s="18">
        <f t="shared" si="25"/>
        <v>-1.0999999999999899E-3</v>
      </c>
      <c r="E107" s="18">
        <f ca="1">IF(表2_3671626293038912[[#This Row],[累计净值]]/MAX(INDIRECT("B21:B" &amp; ROW()))-1&lt;E106,表2_3671626293038912[[#This Row],[累计净值]]/MAX(INDIRECT("B21:B" &amp; ROW()))-1,E106)</f>
        <v>-2.3738577671831518E-2</v>
      </c>
      <c r="F107" s="62">
        <f>表2_3671626293038912[[#This Row],[累计净值]]</f>
        <v>0.98560000000000003</v>
      </c>
      <c r="G107" s="20">
        <f>表2_3671626293038912[[#This Row],[累计净值]]/$B$21-1</f>
        <v>-1.5089437393824179E-2</v>
      </c>
    </row>
    <row r="108" spans="1:7">
      <c r="A108" s="15">
        <v>43934</v>
      </c>
      <c r="B108" s="16">
        <v>0.98580000000000001</v>
      </c>
      <c r="C108" s="73">
        <f t="shared" ref="C108:C113" si="26">IFERROR(B108-B107,0)</f>
        <v>1.9999999999997797E-4</v>
      </c>
      <c r="D108" s="18" t="str">
        <f t="shared" ref="D108:D113" si="27">IF(C108&lt;0,C108,"/")</f>
        <v>/</v>
      </c>
      <c r="E108" s="18">
        <f ca="1">IF(表2_3671626293038912[[#This Row],[累计净值]]/MAX(INDIRECT("B21:B" &amp; ROW()))-1&lt;E107,表2_3671626293038912[[#This Row],[累计净值]]/MAX(INDIRECT("B21:B" &amp; ROW()))-1,E107)</f>
        <v>-2.3738577671831518E-2</v>
      </c>
      <c r="F108" s="62">
        <f>表2_3671626293038912[[#This Row],[累计净值]]</f>
        <v>0.98580000000000001</v>
      </c>
      <c r="G108" s="20">
        <f>表2_3671626293038912[[#This Row],[累计净值]]/$B$21-1</f>
        <v>-1.4889577295892797E-2</v>
      </c>
    </row>
    <row r="109" spans="1:7">
      <c r="A109" s="15">
        <v>43935</v>
      </c>
      <c r="B109" s="16">
        <v>0.98540000000000005</v>
      </c>
      <c r="C109" s="73">
        <f t="shared" si="26"/>
        <v>-3.9999999999995595E-4</v>
      </c>
      <c r="D109" s="18">
        <f t="shared" si="27"/>
        <v>-3.9999999999995595E-4</v>
      </c>
      <c r="E109" s="18">
        <f ca="1">IF(表2_3671626293038912[[#This Row],[累计净值]]/MAX(INDIRECT("B21:B" &amp; ROW()))-1&lt;E108,表2_3671626293038912[[#This Row],[累计净值]]/MAX(INDIRECT("B21:B" &amp; ROW()))-1,E108)</f>
        <v>-2.3738577671831518E-2</v>
      </c>
      <c r="F109" s="62">
        <f>表2_3671626293038912[[#This Row],[累计净值]]</f>
        <v>0.98540000000000005</v>
      </c>
      <c r="G109" s="20">
        <f>表2_3671626293038912[[#This Row],[累计净值]]/$B$21-1</f>
        <v>-1.5289297491755671E-2</v>
      </c>
    </row>
    <row r="110" spans="1:7">
      <c r="A110" s="15">
        <v>43936</v>
      </c>
      <c r="B110" s="96">
        <v>0.98350000000000004</v>
      </c>
      <c r="C110" s="94">
        <f t="shared" si="26"/>
        <v>-1.9000000000000128E-3</v>
      </c>
      <c r="D110" s="95">
        <f t="shared" si="27"/>
        <v>-1.9000000000000128E-3</v>
      </c>
      <c r="E110" s="95">
        <f ca="1">IF(表2_3671626293038912[[#This Row],[累计净值]]/MAX(INDIRECT("B21:B" &amp; ROW()))-1&lt;E109,表2_3671626293038912[[#This Row],[累计净值]]/MAX(INDIRECT("B21:B" &amp; ROW()))-1,E109)</f>
        <v>-2.3738577671831518E-2</v>
      </c>
      <c r="F110" s="97">
        <f>表2_3671626293038912[[#This Row],[累计净值]]</f>
        <v>0.98350000000000004</v>
      </c>
      <c r="G110" s="20">
        <f>表2_3671626293038912[[#This Row],[累计净值]]/$B$21-1</f>
        <v>-1.718796842210446E-2</v>
      </c>
    </row>
    <row r="111" spans="1:7">
      <c r="A111" s="15">
        <v>43937</v>
      </c>
      <c r="B111" s="96">
        <v>0.98180000000000001</v>
      </c>
      <c r="C111" s="94">
        <f t="shared" si="26"/>
        <v>-1.7000000000000348E-3</v>
      </c>
      <c r="D111" s="95">
        <f t="shared" si="27"/>
        <v>-1.7000000000000348E-3</v>
      </c>
      <c r="E111" s="95">
        <f ca="1">IF(表2_3671626293038912[[#This Row],[累计净值]]/MAX(INDIRECT("B21:B" &amp; ROW()))-1&lt;E110,表2_3671626293038912[[#This Row],[累计净值]]/MAX(INDIRECT("B21:B" &amp; ROW()))-1,E110)</f>
        <v>-2.4831148192292374E-2</v>
      </c>
      <c r="F111" s="97">
        <f>表2_3671626293038912[[#This Row],[累计净值]]</f>
        <v>0.98180000000000001</v>
      </c>
      <c r="G111" s="20">
        <f>表2_3671626293038912[[#This Row],[累计净值]]/$B$21-1</f>
        <v>-1.8886779254521757E-2</v>
      </c>
    </row>
    <row r="112" spans="1:7">
      <c r="A112" s="15">
        <v>43938</v>
      </c>
      <c r="B112" s="96">
        <v>0.98060000000000003</v>
      </c>
      <c r="C112" s="94">
        <f t="shared" si="26"/>
        <v>-1.1999999999999789E-3</v>
      </c>
      <c r="D112" s="95">
        <f t="shared" si="27"/>
        <v>-1.1999999999999789E-3</v>
      </c>
      <c r="E112" s="95">
        <f ca="1">IF(表2_3671626293038912[[#This Row],[累计净值]]/MAX(INDIRECT("B21:B" &amp; ROW()))-1&lt;E111,表2_3671626293038912[[#This Row],[累计净值]]/MAX(INDIRECT("B21:B" &amp; ROW()))-1,E111)</f>
        <v>-2.6023043305522298E-2</v>
      </c>
      <c r="F112" s="97">
        <f>表2_3671626293038912[[#This Row],[累计净值]]</f>
        <v>0.98060000000000003</v>
      </c>
      <c r="G112" s="20">
        <f>表2_3671626293038912[[#This Row],[累计净值]]/$B$21-1</f>
        <v>-2.0085939842110379E-2</v>
      </c>
    </row>
    <row r="113" spans="1:10">
      <c r="A113" s="15">
        <v>43941</v>
      </c>
      <c r="B113" s="96">
        <v>0.9859</v>
      </c>
      <c r="C113" s="94">
        <f t="shared" si="26"/>
        <v>5.2999999999999714E-3</v>
      </c>
      <c r="D113" s="95" t="str">
        <f t="shared" si="27"/>
        <v>/</v>
      </c>
      <c r="E113" s="95">
        <f ca="1">IF(表2_3671626293038912[[#This Row],[累计净值]]/MAX(INDIRECT("B21:B" &amp; ROW()))-1&lt;E112,表2_3671626293038912[[#This Row],[累计净值]]/MAX(INDIRECT("B21:B" &amp; ROW()))-1,E112)</f>
        <v>-2.6023043305522298E-2</v>
      </c>
      <c r="F113" s="97">
        <f>表2_3671626293038912[[#This Row],[累计净值]]</f>
        <v>0.9859</v>
      </c>
      <c r="G113" s="20">
        <f>表2_3671626293038912[[#This Row],[累计净值]]/$B$21-1</f>
        <v>-1.4789647246927107E-2</v>
      </c>
    </row>
    <row r="114" spans="1:10">
      <c r="A114" s="15">
        <v>43942</v>
      </c>
      <c r="B114" s="96">
        <v>0.98680000000000001</v>
      </c>
      <c r="C114" s="94">
        <f t="shared" ref="C114:C119" si="28">IFERROR(B114-B113,0)</f>
        <v>9.000000000000119E-4</v>
      </c>
      <c r="D114" s="95" t="str">
        <f t="shared" ref="D114:D119" si="29">IF(C114&lt;0,C114,"/")</f>
        <v>/</v>
      </c>
      <c r="E114" s="95">
        <f ca="1">IF(表2_3671626293038912[[#This Row],[累计净值]]/MAX(INDIRECT("B21:B" &amp; ROW()))-1&lt;E113,表2_3671626293038912[[#This Row],[累计净值]]/MAX(INDIRECT("B21:B" &amp; ROW()))-1,E113)</f>
        <v>-2.6023043305522298E-2</v>
      </c>
      <c r="F114" s="97">
        <f>表2_3671626293038912[[#This Row],[累计净值]]</f>
        <v>0.98680000000000001</v>
      </c>
      <c r="G114" s="20">
        <f>表2_3671626293038912[[#This Row],[累计净值]]/$B$21-1</f>
        <v>-1.3890276806235557E-2</v>
      </c>
    </row>
    <row r="115" spans="1:10">
      <c r="A115" s="15">
        <v>43943</v>
      </c>
      <c r="B115" s="96">
        <v>0.98180000000000001</v>
      </c>
      <c r="C115" s="94">
        <f t="shared" si="28"/>
        <v>-5.0000000000000044E-3</v>
      </c>
      <c r="D115" s="95">
        <f t="shared" si="29"/>
        <v>-5.0000000000000044E-3</v>
      </c>
      <c r="E115" s="95">
        <f ca="1">IF(表2_3671626293038912[[#This Row],[累计净值]]/MAX(INDIRECT("B21:B" &amp; ROW()))-1&lt;E114,表2_3671626293038912[[#This Row],[累计净值]]/MAX(INDIRECT("B21:B" &amp; ROW()))-1,E114)</f>
        <v>-2.6023043305522298E-2</v>
      </c>
      <c r="F115" s="97">
        <f>表2_3671626293038912[[#This Row],[累计净值]]</f>
        <v>0.98180000000000001</v>
      </c>
      <c r="G115" s="20">
        <f>表2_3671626293038912[[#This Row],[累计净值]]/$B$21-1</f>
        <v>-1.8886779254521757E-2</v>
      </c>
      <c r="J115" s="1">
        <f>1.25^10</f>
        <v>9.3132257461547852</v>
      </c>
    </row>
    <row r="116" spans="1:10">
      <c r="A116" s="15">
        <v>43944</v>
      </c>
      <c r="B116" s="96">
        <v>0.97970000000000002</v>
      </c>
      <c r="C116" s="94">
        <f t="shared" si="28"/>
        <v>-2.0999999999999908E-3</v>
      </c>
      <c r="D116" s="95">
        <f t="shared" si="29"/>
        <v>-2.0999999999999908E-3</v>
      </c>
      <c r="E116" s="95">
        <f ca="1">IF(表2_3671626293038912[[#This Row],[累计净值]]/MAX(INDIRECT("B21:B" &amp; ROW()))-1&lt;E115,表2_3671626293038912[[#This Row],[累计净值]]/MAX(INDIRECT("B21:B" &amp; ROW()))-1,E115)</f>
        <v>-2.6916964640444907E-2</v>
      </c>
      <c r="F116" s="97">
        <f>表2_3671626293038912[[#This Row],[累计净值]]</f>
        <v>0.97970000000000002</v>
      </c>
      <c r="G116" s="20">
        <f>表2_3671626293038912[[#This Row],[累计净值]]/$B$21-1</f>
        <v>-2.0985310282801928E-2</v>
      </c>
    </row>
    <row r="117" spans="1:10">
      <c r="A117" s="15">
        <v>43945</v>
      </c>
      <c r="B117" s="96">
        <v>0.98089999999999999</v>
      </c>
      <c r="C117" s="94">
        <f t="shared" si="28"/>
        <v>1.1999999999999789E-3</v>
      </c>
      <c r="D117" s="95" t="str">
        <f t="shared" si="29"/>
        <v>/</v>
      </c>
      <c r="E117" s="95">
        <f ca="1">IF(表2_3671626293038912[[#This Row],[累计净值]]/MAX(INDIRECT("B21:B" &amp; ROW()))-1&lt;E116,表2_3671626293038912[[#This Row],[累计净值]]/MAX(INDIRECT("B21:B" &amp; ROW()))-1,E116)</f>
        <v>-2.6916964640444907E-2</v>
      </c>
      <c r="F117" s="97">
        <f>表2_3671626293038912[[#This Row],[累计净值]]</f>
        <v>0.98089999999999999</v>
      </c>
      <c r="G117" s="20">
        <f>表2_3671626293038912[[#This Row],[累计净值]]/$B$21-1</f>
        <v>-1.9786149695213306E-2</v>
      </c>
    </row>
    <row r="118" spans="1:10">
      <c r="A118" s="15">
        <v>43948</v>
      </c>
      <c r="B118" s="96">
        <v>0.97850000000000004</v>
      </c>
      <c r="C118" s="94">
        <f t="shared" si="28"/>
        <v>-2.3999999999999577E-3</v>
      </c>
      <c r="D118" s="95">
        <f t="shared" si="29"/>
        <v>-2.3999999999999577E-3</v>
      </c>
      <c r="E118" s="95">
        <f ca="1">IF(表2_3671626293038912[[#This Row],[累计净值]]/MAX(INDIRECT("B21:B" &amp; ROW()))-1&lt;E117,表2_3671626293038912[[#This Row],[累计净值]]/MAX(INDIRECT("B21:B" &amp; ROW()))-1,E117)</f>
        <v>-2.8108859753674942E-2</v>
      </c>
      <c r="F118" s="97">
        <f>表2_3671626293038912[[#This Row],[累计净值]]</f>
        <v>0.97850000000000004</v>
      </c>
      <c r="G118" s="20">
        <f>表2_3671626293038912[[#This Row],[累计净值]]/$B$21-1</f>
        <v>-2.218447087039066E-2</v>
      </c>
    </row>
    <row r="119" spans="1:10">
      <c r="A119" s="15">
        <v>43949</v>
      </c>
      <c r="B119" s="96">
        <v>0.96989999999999998</v>
      </c>
      <c r="C119" s="94">
        <f t="shared" si="28"/>
        <v>-8.600000000000052E-3</v>
      </c>
      <c r="D119" s="95">
        <f t="shared" si="29"/>
        <v>-8.600000000000052E-3</v>
      </c>
      <c r="E119" s="95">
        <f ca="1">IF(表2_3671626293038912[[#This Row],[累计净值]]/MAX(INDIRECT("B21:B" &amp; ROW()))-1&lt;E118,表2_3671626293038912[[#This Row],[累计净值]]/MAX(INDIRECT("B21:B" &amp; ROW()))-1,E118)</f>
        <v>-3.6650774731823543E-2</v>
      </c>
      <c r="F119" s="97">
        <f>表2_3671626293038912[[#This Row],[累计净值]]</f>
        <v>0.96989999999999998</v>
      </c>
      <c r="G119" s="20">
        <f>表2_3671626293038912[[#This Row],[累计净值]]/$B$21-1</f>
        <v>-3.0778455081442946E-2</v>
      </c>
    </row>
    <row r="120" spans="1:10">
      <c r="A120" s="15">
        <v>43950</v>
      </c>
      <c r="B120" s="99">
        <v>0.97089999999999999</v>
      </c>
      <c r="C120" s="94">
        <f t="shared" ref="C120:C125" si="30">IFERROR(B120-B119,0)</f>
        <v>1.0000000000000009E-3</v>
      </c>
      <c r="D120" s="95" t="str">
        <f t="shared" ref="D120:D125" si="31">IF(C120&lt;0,C120,"/")</f>
        <v>/</v>
      </c>
      <c r="E120" s="95">
        <f ca="1">IF(表2_3671626293038912[[#This Row],[累计净值]]/MAX(INDIRECT("B21:B" &amp; ROW()))-1&lt;E119,表2_3671626293038912[[#This Row],[累计净值]]/MAX(INDIRECT("B21:B" &amp; ROW()))-1,E119)</f>
        <v>-3.6650774731823543E-2</v>
      </c>
      <c r="F120" s="97">
        <f>表2_3671626293038912[[#This Row],[累计净值]]</f>
        <v>0.97089999999999999</v>
      </c>
      <c r="G120" s="20">
        <f>表2_3671626293038912[[#This Row],[累计净值]]/$B$21-1</f>
        <v>-2.9779154591785706E-2</v>
      </c>
    </row>
    <row r="121" spans="1:10">
      <c r="A121" s="15">
        <v>43951</v>
      </c>
      <c r="B121" s="99">
        <v>0.97240000000000004</v>
      </c>
      <c r="C121" s="94">
        <f t="shared" si="30"/>
        <v>1.5000000000000568E-3</v>
      </c>
      <c r="D121" s="95" t="str">
        <f t="shared" si="31"/>
        <v>/</v>
      </c>
      <c r="E121" s="95">
        <f ca="1">IF(表2_3671626293038912[[#This Row],[累计净值]]/MAX(INDIRECT("B21:B" &amp; ROW()))-1&lt;E120,表2_3671626293038912[[#This Row],[累计净值]]/MAX(INDIRECT("B21:B" &amp; ROW()))-1,E120)</f>
        <v>-3.6650774731823543E-2</v>
      </c>
      <c r="F121" s="97">
        <f>表2_3671626293038912[[#This Row],[累计净值]]</f>
        <v>0.97240000000000004</v>
      </c>
      <c r="G121" s="20">
        <f>表2_3671626293038912[[#This Row],[累计净值]]/$B$21-1</f>
        <v>-2.828020385729979E-2</v>
      </c>
    </row>
    <row r="122" spans="1:10">
      <c r="A122" s="15">
        <v>43957</v>
      </c>
      <c r="B122" s="100">
        <v>0.9708</v>
      </c>
      <c r="C122" s="101">
        <f t="shared" si="30"/>
        <v>-1.6000000000000458E-3</v>
      </c>
      <c r="D122" s="102">
        <f t="shared" si="31"/>
        <v>-1.6000000000000458E-3</v>
      </c>
      <c r="E122" s="102">
        <f ca="1">IF(表2_3671626293038912[[#This Row],[累计净值]]/MAX(INDIRECT("B21:B" &amp; ROW()))-1&lt;E121,表2_3671626293038912[[#This Row],[累计净值]]/MAX(INDIRECT("B21:B" &amp; ROW()))-1,E121)</f>
        <v>-3.6650774731823543E-2</v>
      </c>
      <c r="F122" s="103">
        <f>表2_3671626293038912[[#This Row],[累计净值]]</f>
        <v>0.9708</v>
      </c>
      <c r="G122" s="20">
        <f>表2_3671626293038912[[#This Row],[累计净值]]/$B$21-1</f>
        <v>-2.9879084640751397E-2</v>
      </c>
    </row>
    <row r="123" spans="1:10">
      <c r="A123" s="15">
        <v>43958</v>
      </c>
      <c r="B123" s="100">
        <v>0.96830000000000005</v>
      </c>
      <c r="C123" s="101">
        <f t="shared" si="30"/>
        <v>-2.4999999999999467E-3</v>
      </c>
      <c r="D123" s="102">
        <f t="shared" si="31"/>
        <v>-2.4999999999999467E-3</v>
      </c>
      <c r="E123" s="102">
        <f ca="1">IF(表2_3671626293038912[[#This Row],[累计净值]]/MAX(INDIRECT("B21:B" &amp; ROW()))-1&lt;E122,表2_3671626293038912[[#This Row],[累计净值]]/MAX(INDIRECT("B21:B" &amp; ROW()))-1,E122)</f>
        <v>-3.8239968216130182E-2</v>
      </c>
      <c r="F123" s="103">
        <f>表2_3671626293038912[[#This Row],[累计净值]]</f>
        <v>0.96830000000000005</v>
      </c>
      <c r="G123" s="20">
        <f>表2_3671626293038912[[#This Row],[累计净值]]/$B$21-1</f>
        <v>-3.2377335864894441E-2</v>
      </c>
    </row>
    <row r="124" spans="1:10">
      <c r="A124" s="15">
        <v>43959</v>
      </c>
      <c r="B124" s="100">
        <v>0.9768</v>
      </c>
      <c r="C124" s="101">
        <f t="shared" si="30"/>
        <v>8.499999999999952E-3</v>
      </c>
      <c r="D124" s="102" t="str">
        <f t="shared" si="31"/>
        <v>/</v>
      </c>
      <c r="E124" s="102">
        <f ca="1">IF(表2_3671626293038912[[#This Row],[累计净值]]/MAX(INDIRECT("B21:B" &amp; ROW()))-1&lt;E123,表2_3671626293038912[[#This Row],[累计净值]]/MAX(INDIRECT("B21:B" &amp; ROW()))-1,E123)</f>
        <v>-3.8239968216130182E-2</v>
      </c>
      <c r="F124" s="103">
        <f>表2_3671626293038912[[#This Row],[累计净值]]</f>
        <v>0.9768</v>
      </c>
      <c r="G124" s="20">
        <f>表2_3671626293038912[[#This Row],[累计净值]]/$B$21-1</f>
        <v>-2.3883281702807957E-2</v>
      </c>
    </row>
    <row r="125" spans="1:10">
      <c r="A125" s="15">
        <v>43962</v>
      </c>
      <c r="B125" s="100">
        <v>0.9758</v>
      </c>
      <c r="C125" s="101">
        <f t="shared" si="30"/>
        <v>-1.0000000000000009E-3</v>
      </c>
      <c r="D125" s="102">
        <f t="shared" si="31"/>
        <v>-1.0000000000000009E-3</v>
      </c>
      <c r="E125" s="102">
        <f ca="1">IF(表2_3671626293038912[[#This Row],[累计净值]]/MAX(INDIRECT("B21:B" &amp; ROW()))-1&lt;E124,表2_3671626293038912[[#This Row],[累计净值]]/MAX(INDIRECT("B21:B" &amp; ROW()))-1,E124)</f>
        <v>-3.8239968216130182E-2</v>
      </c>
      <c r="F125" s="103">
        <f>表2_3671626293038912[[#This Row],[累计净值]]</f>
        <v>0.9758</v>
      </c>
      <c r="G125" s="20">
        <f>表2_3671626293038912[[#This Row],[累计净值]]/$B$21-1</f>
        <v>-2.4882582192465197E-2</v>
      </c>
    </row>
    <row r="126" spans="1:10">
      <c r="A126" s="15">
        <v>43963</v>
      </c>
      <c r="B126" s="100">
        <v>0.97409999999999997</v>
      </c>
      <c r="C126" s="101">
        <f t="shared" ref="C126:C131" si="32">IFERROR(B126-B125,0)</f>
        <v>-1.7000000000000348E-3</v>
      </c>
      <c r="D126" s="102">
        <f t="shared" ref="D126:D131" si="33">IF(C126&lt;0,C126,"/")</f>
        <v>-1.7000000000000348E-3</v>
      </c>
      <c r="E126" s="102">
        <f ca="1">IF(表2_3671626293038912[[#This Row],[累计净值]]/MAX(INDIRECT("B21:B" &amp; ROW()))-1&lt;E125,表2_3671626293038912[[#This Row],[累计净值]]/MAX(INDIRECT("B21:B" &amp; ROW()))-1,E125)</f>
        <v>-3.8239968216130182E-2</v>
      </c>
      <c r="F126" s="103">
        <f>表2_3671626293038912[[#This Row],[累计净值]]</f>
        <v>0.97409999999999997</v>
      </c>
      <c r="G126" s="20">
        <f>表2_3671626293038912[[#This Row],[累计净值]]/$B$21-1</f>
        <v>-2.6581393024882494E-2</v>
      </c>
    </row>
    <row r="127" spans="1:10">
      <c r="A127" s="15">
        <v>43964</v>
      </c>
      <c r="B127" s="100">
        <v>0.9738</v>
      </c>
      <c r="C127" s="101">
        <f t="shared" si="32"/>
        <v>-2.9999999999996696E-4</v>
      </c>
      <c r="D127" s="102">
        <f t="shared" si="33"/>
        <v>-2.9999999999996696E-4</v>
      </c>
      <c r="E127" s="102">
        <f ca="1">IF(表2_3671626293038912[[#This Row],[累计净值]]/MAX(INDIRECT("B21:B" &amp; ROW()))-1&lt;E126,表2_3671626293038912[[#This Row],[累计净值]]/MAX(INDIRECT("B21:B" &amp; ROW()))-1,E126)</f>
        <v>-3.8239968216130182E-2</v>
      </c>
      <c r="F127" s="103">
        <f>表2_3671626293038912[[#This Row],[累计净值]]</f>
        <v>0.9738</v>
      </c>
      <c r="G127" s="20">
        <f>表2_3671626293038912[[#This Row],[累计净值]]/$B$21-1</f>
        <v>-2.6881183171779677E-2</v>
      </c>
    </row>
    <row r="128" spans="1:10">
      <c r="A128" s="15">
        <v>43965</v>
      </c>
      <c r="B128" s="100">
        <v>0.97060000000000002</v>
      </c>
      <c r="C128" s="101">
        <f t="shared" si="32"/>
        <v>-3.1999999999999806E-3</v>
      </c>
      <c r="D128" s="102">
        <f t="shared" si="33"/>
        <v>-3.1999999999999806E-3</v>
      </c>
      <c r="E128" s="102">
        <f ca="1">IF(表2_3671626293038912[[#This Row],[累计净值]]/MAX(INDIRECT("B21:B" &amp; ROW()))-1&lt;E127,表2_3671626293038912[[#This Row],[累计净值]]/MAX(INDIRECT("B21:B" &amp; ROW()))-1,E127)</f>
        <v>-3.8239968216130182E-2</v>
      </c>
      <c r="F128" s="103">
        <f>表2_3671626293038912[[#This Row],[累计净值]]</f>
        <v>0.97060000000000002</v>
      </c>
      <c r="G128" s="20">
        <f>表2_3671626293038912[[#This Row],[累计净值]]/$B$21-1</f>
        <v>-3.0078944738682778E-2</v>
      </c>
    </row>
    <row r="129" spans="1:7">
      <c r="A129" s="15">
        <v>43966</v>
      </c>
      <c r="B129" s="100">
        <v>0.99180000000000001</v>
      </c>
      <c r="C129" s="101">
        <f t="shared" si="32"/>
        <v>2.1199999999999997E-2</v>
      </c>
      <c r="D129" s="102" t="str">
        <f t="shared" si="33"/>
        <v>/</v>
      </c>
      <c r="E129" s="102">
        <f ca="1">IF(表2_3671626293038912[[#This Row],[累计净值]]/MAX(INDIRECT("B21:B" &amp; ROW()))-1&lt;E128,表2_3671626293038912[[#This Row],[累计净值]]/MAX(INDIRECT("B21:B" &amp; ROW()))-1,E128)</f>
        <v>-3.8239968216130182E-2</v>
      </c>
      <c r="F129" s="103">
        <f>表2_3671626293038912[[#This Row],[累计净值]]</f>
        <v>0.99180000000000001</v>
      </c>
      <c r="G129" s="20">
        <f>表2_3671626293038912[[#This Row],[累计净值]]/$B$21-1</f>
        <v>-8.8937743579493578E-3</v>
      </c>
    </row>
    <row r="130" spans="1:7">
      <c r="A130" s="15">
        <v>43969</v>
      </c>
      <c r="B130" s="100">
        <v>1.0276000000000001</v>
      </c>
      <c r="C130" s="101">
        <f t="shared" si="32"/>
        <v>3.5800000000000054E-2</v>
      </c>
      <c r="D130" s="102" t="str">
        <f t="shared" si="33"/>
        <v>/</v>
      </c>
      <c r="E130" s="102">
        <f ca="1">IF(表2_3671626293038912[[#This Row],[累计净值]]/MAX(INDIRECT("B21:B" &amp; ROW()))-1&lt;E129,表2_3671626293038912[[#This Row],[累计净值]]/MAX(INDIRECT("B21:B" &amp; ROW()))-1,E129)</f>
        <v>-3.8239968216130182E-2</v>
      </c>
      <c r="F130" s="103">
        <f>表2_3671626293038912[[#This Row],[累计净值]]</f>
        <v>1.0276000000000001</v>
      </c>
      <c r="G130" s="20">
        <f>表2_3671626293038912[[#This Row],[累计净值]]/$B$21-1</f>
        <v>2.6881183171779899E-2</v>
      </c>
    </row>
    <row r="131" spans="1:7">
      <c r="A131" s="15">
        <v>43970</v>
      </c>
      <c r="B131" s="100">
        <v>1.0291999999999999</v>
      </c>
      <c r="C131" s="101">
        <f t="shared" si="32"/>
        <v>1.5999999999998238E-3</v>
      </c>
      <c r="D131" s="102" t="str">
        <f t="shared" si="33"/>
        <v>/</v>
      </c>
      <c r="E131" s="102">
        <f ca="1">IF(表2_3671626293038912[[#This Row],[累计净值]]/MAX(INDIRECT("B21:B" &amp; ROW()))-1&lt;E130,表2_3671626293038912[[#This Row],[累计净值]]/MAX(INDIRECT("B21:B" &amp; ROW()))-1,E130)</f>
        <v>-3.8239968216130182E-2</v>
      </c>
      <c r="F131" s="103">
        <f>表2_3671626293038912[[#This Row],[累计净值]]</f>
        <v>1.0291999999999999</v>
      </c>
      <c r="G131" s="20">
        <f>表2_3671626293038912[[#This Row],[累计净值]]/$B$21-1</f>
        <v>2.8480063955231394E-2</v>
      </c>
    </row>
    <row r="132" spans="1:7">
      <c r="A132" s="15">
        <v>43971</v>
      </c>
      <c r="B132" s="100">
        <v>1.0364</v>
      </c>
      <c r="C132" s="101">
        <f t="shared" ref="C132:C137" si="34">IFERROR(B132-B131,0)</f>
        <v>7.2000000000000952E-3</v>
      </c>
      <c r="D132" s="102" t="str">
        <f t="shared" ref="D132:D137" si="35">IF(C132&lt;0,C132,"/")</f>
        <v>/</v>
      </c>
      <c r="E132" s="102">
        <f ca="1">IF(表2_3671626293038912[[#This Row],[累计净值]]/MAX(INDIRECT("B21:B" &amp; ROW()))-1&lt;E131,表2_3671626293038912[[#This Row],[累计净值]]/MAX(INDIRECT("B21:B" &amp; ROW()))-1,E131)</f>
        <v>-3.8239968216130182E-2</v>
      </c>
      <c r="F132" s="103">
        <f>表2_3671626293038912[[#This Row],[累计净值]]</f>
        <v>1.0364</v>
      </c>
      <c r="G132" s="20">
        <f>表2_3671626293038912[[#This Row],[累计净值]]/$B$21-1</f>
        <v>3.5675027480763566E-2</v>
      </c>
    </row>
    <row r="133" spans="1:7">
      <c r="A133" s="15">
        <v>43972</v>
      </c>
      <c r="B133" s="113">
        <v>1.0422</v>
      </c>
      <c r="C133" s="108">
        <f t="shared" si="34"/>
        <v>5.8000000000000274E-3</v>
      </c>
      <c r="D133" s="109" t="str">
        <f t="shared" si="35"/>
        <v>/</v>
      </c>
      <c r="E133" s="109">
        <f ca="1">IF(表2_3671626293038912[[#This Row],[累计净值]]/MAX(INDIRECT("B21:B" &amp; ROW()))-1&lt;E132,表2_3671626293038912[[#This Row],[累计净值]]/MAX(INDIRECT("B21:B" &amp; ROW()))-1,E132)</f>
        <v>-3.8239968216130182E-2</v>
      </c>
      <c r="F133" s="110">
        <f>表2_3671626293038912[[#This Row],[累计净值]]</f>
        <v>1.0422</v>
      </c>
      <c r="G133" s="20">
        <f>表2_3671626293038912[[#This Row],[累计净值]]/$B$21-1</f>
        <v>4.1470970320775624E-2</v>
      </c>
    </row>
    <row r="134" spans="1:7">
      <c r="A134" s="15">
        <v>43973</v>
      </c>
      <c r="B134" s="113">
        <v>1.0223</v>
      </c>
      <c r="C134" s="108">
        <f t="shared" si="34"/>
        <v>-1.9900000000000029E-2</v>
      </c>
      <c r="D134" s="109">
        <f t="shared" si="35"/>
        <v>-1.9900000000000029E-2</v>
      </c>
      <c r="E134" s="109">
        <f ca="1">IF(表2_3671626293038912[[#This Row],[累计净值]]/MAX(INDIRECT("B21:B" &amp; ROW()))-1&lt;E133,表2_3671626293038912[[#This Row],[累计净值]]/MAX(INDIRECT("B21:B" &amp; ROW()))-1,E133)</f>
        <v>-3.8239968216130182E-2</v>
      </c>
      <c r="F134" s="110">
        <f>表2_3671626293038912[[#This Row],[累计净值]]</f>
        <v>1.0223</v>
      </c>
      <c r="G134" s="20">
        <f>表2_3671626293038912[[#This Row],[累计净值]]/$B$21-1</f>
        <v>2.1584890576596516E-2</v>
      </c>
    </row>
    <row r="135" spans="1:7">
      <c r="A135" s="15">
        <v>43976</v>
      </c>
      <c r="B135" s="113">
        <v>1.0250999999999999</v>
      </c>
      <c r="C135" s="108">
        <f t="shared" si="34"/>
        <v>2.7999999999999137E-3</v>
      </c>
      <c r="D135" s="109" t="str">
        <f t="shared" si="35"/>
        <v>/</v>
      </c>
      <c r="E135" s="109">
        <f ca="1">IF(表2_3671626293038912[[#This Row],[累计净值]]/MAX(INDIRECT("B21:B" &amp; ROW()))-1&lt;E134,表2_3671626293038912[[#This Row],[累计净值]]/MAX(INDIRECT("B21:B" &amp; ROW()))-1,E134)</f>
        <v>-3.8239968216130182E-2</v>
      </c>
      <c r="F135" s="110">
        <f>表2_3671626293038912[[#This Row],[累计净值]]</f>
        <v>1.0250999999999999</v>
      </c>
      <c r="G135" s="20">
        <f>表2_3671626293038912[[#This Row],[累计净值]]/$B$21-1</f>
        <v>2.4382931947636743E-2</v>
      </c>
    </row>
    <row r="136" spans="1:7">
      <c r="A136" s="15">
        <v>43977</v>
      </c>
      <c r="B136" s="113">
        <v>1.0251999999999999</v>
      </c>
      <c r="C136" s="108">
        <f t="shared" si="34"/>
        <v>9.9999999999988987E-5</v>
      </c>
      <c r="D136" s="109" t="str">
        <f t="shared" si="35"/>
        <v>/</v>
      </c>
      <c r="E136" s="109">
        <f ca="1">IF(表2_3671626293038912[[#This Row],[累计净值]]/MAX(INDIRECT("B21:B" &amp; ROW()))-1&lt;E135,表2_3671626293038912[[#This Row],[累计净值]]/MAX(INDIRECT("B21:B" &amp; ROW()))-1,E135)</f>
        <v>-3.8239968216130182E-2</v>
      </c>
      <c r="F136" s="110">
        <f>表2_3671626293038912[[#This Row],[累计净值]]</f>
        <v>1.0251999999999999</v>
      </c>
      <c r="G136" s="20">
        <f>表2_3671626293038912[[#This Row],[累计净值]]/$B$21-1</f>
        <v>2.4482861996602434E-2</v>
      </c>
    </row>
    <row r="137" spans="1:7">
      <c r="A137" s="15">
        <v>43978</v>
      </c>
      <c r="B137" s="113">
        <v>1.0241</v>
      </c>
      <c r="C137" s="108">
        <f t="shared" si="34"/>
        <v>-1.0999999999998789E-3</v>
      </c>
      <c r="D137" s="109">
        <f t="shared" si="35"/>
        <v>-1.0999999999998789E-3</v>
      </c>
      <c r="E137" s="109">
        <f ca="1">IF(表2_3671626293038912[[#This Row],[累计净值]]/MAX(INDIRECT("B21:B" &amp; ROW()))-1&lt;E136,表2_3671626293038912[[#This Row],[累计净值]]/MAX(INDIRECT("B21:B" &amp; ROW()))-1,E136)</f>
        <v>-3.8239968216130182E-2</v>
      </c>
      <c r="F137" s="110">
        <f>表2_3671626293038912[[#This Row],[累计净值]]</f>
        <v>1.0241</v>
      </c>
      <c r="G137" s="20">
        <f>表2_3671626293038912[[#This Row],[累计净值]]/$B$21-1</f>
        <v>2.3383631457979615E-2</v>
      </c>
    </row>
    <row r="138" spans="1:7">
      <c r="A138" s="15">
        <v>43979</v>
      </c>
      <c r="B138" s="113">
        <v>1.0242</v>
      </c>
      <c r="C138" s="108">
        <f t="shared" ref="C138:C143" si="36">IFERROR(B138-B137,0)</f>
        <v>9.9999999999988987E-5</v>
      </c>
      <c r="D138" s="109" t="str">
        <f t="shared" ref="D138:D143" si="37">IF(C138&lt;0,C138,"/")</f>
        <v>/</v>
      </c>
      <c r="E138" s="109">
        <f ca="1">IF(表2_3671626293038912[[#This Row],[累计净值]]/MAX(INDIRECT("B21:B" &amp; ROW()))-1&lt;E137,表2_3671626293038912[[#This Row],[累计净值]]/MAX(INDIRECT("B21:B" &amp; ROW()))-1,E137)</f>
        <v>-3.8239968216130182E-2</v>
      </c>
      <c r="F138" s="110">
        <f>表2_3671626293038912[[#This Row],[累计净值]]</f>
        <v>1.0242</v>
      </c>
      <c r="G138" s="20">
        <f>表2_3671626293038912[[#This Row],[累计净值]]/$B$21-1</f>
        <v>2.3483561506945305E-2</v>
      </c>
    </row>
    <row r="139" spans="1:7">
      <c r="A139" s="15">
        <v>43980</v>
      </c>
      <c r="B139" s="113">
        <v>1.0218</v>
      </c>
      <c r="C139" s="108">
        <f t="shared" si="36"/>
        <v>-2.3999999999999577E-3</v>
      </c>
      <c r="D139" s="109">
        <f t="shared" si="37"/>
        <v>-2.3999999999999577E-3</v>
      </c>
      <c r="E139" s="109">
        <f ca="1">IF(表2_3671626293038912[[#This Row],[累计净值]]/MAX(INDIRECT("B21:B" &amp; ROW()))-1&lt;E138,表2_3671626293038912[[#This Row],[累计净值]]/MAX(INDIRECT("B21:B" &amp; ROW()))-1,E138)</f>
        <v>-3.8239968216130182E-2</v>
      </c>
      <c r="F139" s="110">
        <f>表2_3671626293038912[[#This Row],[累计净值]]</f>
        <v>1.0218</v>
      </c>
      <c r="G139" s="20">
        <f>表2_3671626293038912[[#This Row],[累计净值]]/$B$21-1</f>
        <v>2.1085240331767841E-2</v>
      </c>
    </row>
    <row r="140" spans="1:7">
      <c r="A140" s="15">
        <v>43983</v>
      </c>
      <c r="B140" s="113">
        <v>1.0289999999999999</v>
      </c>
      <c r="C140" s="108">
        <f t="shared" si="36"/>
        <v>7.1999999999998732E-3</v>
      </c>
      <c r="D140" s="109" t="str">
        <f t="shared" si="37"/>
        <v>/</v>
      </c>
      <c r="E140" s="109">
        <f ca="1">IF(表2_3671626293038912[[#This Row],[累计净值]]/MAX(INDIRECT("B21:B" &amp; ROW()))-1&lt;E139,表2_3671626293038912[[#This Row],[累计净值]]/MAX(INDIRECT("B21:B" &amp; ROW()))-1,E139)</f>
        <v>-3.8239968216130182E-2</v>
      </c>
      <c r="F140" s="110">
        <f>表2_3671626293038912[[#This Row],[累计净值]]</f>
        <v>1.0289999999999999</v>
      </c>
      <c r="G140" s="20">
        <f>表2_3671626293038912[[#This Row],[累计净值]]/$B$21-1</f>
        <v>2.828020385729979E-2</v>
      </c>
    </row>
    <row r="141" spans="1:7">
      <c r="A141" s="15">
        <v>43984</v>
      </c>
      <c r="B141" s="113">
        <v>1.0383</v>
      </c>
      <c r="C141" s="108">
        <f t="shared" si="36"/>
        <v>9.300000000000086E-3</v>
      </c>
      <c r="D141" s="109" t="str">
        <f t="shared" si="37"/>
        <v>/</v>
      </c>
      <c r="E141" s="109">
        <f ca="1">IF(表2_3671626293038912[[#This Row],[累计净值]]/MAX(INDIRECT("B21:B" &amp; ROW()))-1&lt;E140,表2_3671626293038912[[#This Row],[累计净值]]/MAX(INDIRECT("B21:B" &amp; ROW()))-1,E140)</f>
        <v>-3.8239968216130182E-2</v>
      </c>
      <c r="F141" s="110">
        <f>表2_3671626293038912[[#This Row],[累计净值]]</f>
        <v>1.0383</v>
      </c>
      <c r="G141" s="20">
        <f>表2_3671626293038912[[#This Row],[累计净值]]/$B$21-1</f>
        <v>3.7573698411112355E-2</v>
      </c>
    </row>
    <row r="142" spans="1:7">
      <c r="A142" s="15">
        <v>43985</v>
      </c>
      <c r="B142" s="117">
        <v>1.0503</v>
      </c>
      <c r="C142" s="108">
        <f t="shared" si="36"/>
        <v>1.2000000000000011E-2</v>
      </c>
      <c r="D142" s="109" t="str">
        <f t="shared" si="37"/>
        <v>/</v>
      </c>
      <c r="E142" s="109">
        <f ca="1">IF(表2_3671626293038912[[#This Row],[累计净值]]/MAX(INDIRECT("B21:B" &amp; ROW()))-1&lt;E141,表2_3671626293038912[[#This Row],[累计净值]]/MAX(INDIRECT("B21:B" &amp; ROW()))-1,E141)</f>
        <v>-3.8239968216130182E-2</v>
      </c>
      <c r="F142" s="110">
        <f>表2_3671626293038912[[#This Row],[累计净值]]</f>
        <v>1.0503</v>
      </c>
      <c r="G142" s="20">
        <f>表2_3671626293038912[[#This Row],[累计净值]]/$B$21-1</f>
        <v>4.9565304286999234E-2</v>
      </c>
    </row>
    <row r="143" spans="1:7">
      <c r="A143" s="15">
        <v>43986</v>
      </c>
      <c r="B143" s="113">
        <v>1.0399</v>
      </c>
      <c r="C143" s="108">
        <f t="shared" si="36"/>
        <v>-1.0399999999999965E-2</v>
      </c>
      <c r="D143" s="109">
        <f t="shared" si="37"/>
        <v>-1.0399999999999965E-2</v>
      </c>
      <c r="E143" s="109">
        <f ca="1">IF(表2_3671626293038912[[#This Row],[累计净值]]/MAX(INDIRECT("B21:B" &amp; ROW()))-1&lt;E142,表2_3671626293038912[[#This Row],[累计净值]]/MAX(INDIRECT("B21:B" &amp; ROW()))-1,E142)</f>
        <v>-3.8239968216130182E-2</v>
      </c>
      <c r="F143" s="110">
        <f>表2_3671626293038912[[#This Row],[累计净值]]</f>
        <v>1.0399</v>
      </c>
      <c r="G143" s="20">
        <f>表2_3671626293038912[[#This Row],[累计净值]]/$B$21-1</f>
        <v>3.917257919456385E-2</v>
      </c>
    </row>
    <row r="144" spans="1:7">
      <c r="A144" s="15">
        <v>43987</v>
      </c>
      <c r="B144" s="113">
        <v>1.0427999999999999</v>
      </c>
      <c r="C144" s="108">
        <f t="shared" ref="C144:C149" si="38">IFERROR(B144-B143,0)</f>
        <v>2.8999999999999027E-3</v>
      </c>
      <c r="D144" s="109" t="str">
        <f t="shared" ref="D144:D149" si="39">IF(C144&lt;0,C144,"/")</f>
        <v>/</v>
      </c>
      <c r="E144" s="109">
        <f ca="1">IF(表2_3671626293038912[[#This Row],[累计净值]]/MAX(INDIRECT("B21:B" &amp; ROW()))-1&lt;E143,表2_3671626293038912[[#This Row],[累计净值]]/MAX(INDIRECT("B21:B" &amp; ROW()))-1,E143)</f>
        <v>-3.8239968216130182E-2</v>
      </c>
      <c r="F144" s="110">
        <f>表2_3671626293038912[[#This Row],[累计净值]]</f>
        <v>1.0427999999999999</v>
      </c>
      <c r="G144" s="20">
        <f>表2_3671626293038912[[#This Row],[累计净值]]/$B$21-1</f>
        <v>4.2070550614569768E-2</v>
      </c>
    </row>
    <row r="145" spans="1:7">
      <c r="A145" s="15">
        <v>43990</v>
      </c>
      <c r="B145" s="113">
        <v>1.042</v>
      </c>
      <c r="C145" s="108">
        <f t="shared" si="38"/>
        <v>-7.9999999999991189E-4</v>
      </c>
      <c r="D145" s="109">
        <f t="shared" si="39"/>
        <v>-7.9999999999991189E-4</v>
      </c>
      <c r="E145" s="109">
        <f ca="1">IF(表2_3671626293038912[[#This Row],[累计净值]]/MAX(INDIRECT("B21:B" &amp; ROW()))-1&lt;E144,表2_3671626293038912[[#This Row],[累计净值]]/MAX(INDIRECT("B21:B" &amp; ROW()))-1,E144)</f>
        <v>-3.8239968216130182E-2</v>
      </c>
      <c r="F145" s="110">
        <f>表2_3671626293038912[[#This Row],[累计净值]]</f>
        <v>1.042</v>
      </c>
      <c r="G145" s="20">
        <f>表2_3671626293038912[[#This Row],[累计净值]]/$B$21-1</f>
        <v>4.1271110222844021E-2</v>
      </c>
    </row>
    <row r="146" spans="1:7">
      <c r="A146" s="15">
        <v>43991</v>
      </c>
      <c r="B146" s="113">
        <v>1.0294000000000001</v>
      </c>
      <c r="C146" s="108">
        <f t="shared" si="38"/>
        <v>-1.2599999999999945E-2</v>
      </c>
      <c r="D146" s="109">
        <f t="shared" si="39"/>
        <v>-1.2599999999999945E-2</v>
      </c>
      <c r="E146" s="109">
        <f ca="1">IF(表2_3671626293038912[[#This Row],[累计净值]]/MAX(INDIRECT("B21:B" &amp; ROW()))-1&lt;E145,表2_3671626293038912[[#This Row],[累计净值]]/MAX(INDIRECT("B21:B" &amp; ROW()))-1,E145)</f>
        <v>-3.8239968216130182E-2</v>
      </c>
      <c r="F146" s="110">
        <f>表2_3671626293038912[[#This Row],[累计净值]]</f>
        <v>1.0294000000000001</v>
      </c>
      <c r="G146" s="20">
        <f>表2_3671626293038912[[#This Row],[累计净值]]/$B$21-1</f>
        <v>2.8679924053162997E-2</v>
      </c>
    </row>
    <row r="147" spans="1:7">
      <c r="A147" s="15">
        <v>43992</v>
      </c>
      <c r="B147" s="113">
        <v>1.0219</v>
      </c>
      <c r="C147" s="108">
        <f t="shared" si="38"/>
        <v>-7.5000000000000622E-3</v>
      </c>
      <c r="D147" s="109">
        <f t="shared" si="39"/>
        <v>-7.5000000000000622E-3</v>
      </c>
      <c r="E147" s="109">
        <f ca="1">IF(表2_3671626293038912[[#This Row],[累计净值]]/MAX(INDIRECT("B21:B" &amp; ROW()))-1&lt;E146,表2_3671626293038912[[#This Row],[累计净值]]/MAX(INDIRECT("B21:B" &amp; ROW()))-1,E146)</f>
        <v>-3.8239968216130182E-2</v>
      </c>
      <c r="F147" s="110">
        <f>表2_3671626293038912[[#This Row],[累计净值]]</f>
        <v>1.0219</v>
      </c>
      <c r="G147" s="20">
        <f>表2_3671626293038912[[#This Row],[累计净值]]/$B$21-1</f>
        <v>2.1185170380733531E-2</v>
      </c>
    </row>
    <row r="148" spans="1:7">
      <c r="A148" s="15">
        <v>43993</v>
      </c>
      <c r="B148" s="113">
        <v>1.0218</v>
      </c>
      <c r="C148" s="108">
        <f t="shared" si="38"/>
        <v>-9.9999999999988987E-5</v>
      </c>
      <c r="D148" s="109">
        <f t="shared" si="39"/>
        <v>-9.9999999999988987E-5</v>
      </c>
      <c r="E148" s="109">
        <f ca="1">IF(表2_3671626293038912[[#This Row],[累计净值]]/MAX(INDIRECT("B21:B" &amp; ROW()))-1&lt;E147,表2_3671626293038912[[#This Row],[累计净值]]/MAX(INDIRECT("B21:B" &amp; ROW()))-1,E147)</f>
        <v>-3.8239968216130182E-2</v>
      </c>
      <c r="F148" s="110">
        <f>表2_3671626293038912[[#This Row],[累计净值]]</f>
        <v>1.0218</v>
      </c>
      <c r="G148" s="20">
        <f>表2_3671626293038912[[#This Row],[累计净值]]/$B$21-1</f>
        <v>2.1085240331767841E-2</v>
      </c>
    </row>
    <row r="149" spans="1:7">
      <c r="A149" s="15">
        <v>43994</v>
      </c>
      <c r="B149" s="113">
        <v>1.0216000000000001</v>
      </c>
      <c r="C149" s="108">
        <f t="shared" si="38"/>
        <v>-1.9999999999997797E-4</v>
      </c>
      <c r="D149" s="109">
        <f t="shared" si="39"/>
        <v>-1.9999999999997797E-4</v>
      </c>
      <c r="E149" s="109">
        <f ca="1">IF(表2_3671626293038912[[#This Row],[累计净值]]/MAX(INDIRECT("B21:B" &amp; ROW()))-1&lt;E148,表2_3671626293038912[[#This Row],[累计净值]]/MAX(INDIRECT("B21:B" &amp; ROW()))-1,E148)</f>
        <v>-3.8239968216130182E-2</v>
      </c>
      <c r="F149" s="110">
        <f>表2_3671626293038912[[#This Row],[累计净值]]</f>
        <v>1.0216000000000001</v>
      </c>
      <c r="G149" s="20">
        <f>表2_3671626293038912[[#This Row],[累计净值]]/$B$21-1</f>
        <v>2.0885380233836459E-2</v>
      </c>
    </row>
    <row r="150" spans="1:7">
      <c r="A150" s="15">
        <v>43997</v>
      </c>
      <c r="B150" s="113">
        <v>1.0188999999999999</v>
      </c>
      <c r="C150" s="108">
        <f t="shared" ref="C150:C155" si="40">IFERROR(B150-B149,0)</f>
        <v>-2.7000000000001467E-3</v>
      </c>
      <c r="D150" s="109">
        <f t="shared" ref="D150:D155" si="41">IF(C150&lt;0,C150,"/")</f>
        <v>-2.7000000000001467E-3</v>
      </c>
      <c r="E150" s="109">
        <f ca="1">IF(表2_3671626293038912[[#This Row],[累计净值]]/MAX(INDIRECT("B21:B" &amp; ROW()))-1&lt;E149,表2_3671626293038912[[#This Row],[累计净值]]/MAX(INDIRECT("B21:B" &amp; ROW()))-1,E149)</f>
        <v>-3.8239968216130182E-2</v>
      </c>
      <c r="F150" s="110">
        <f>表2_3671626293038912[[#This Row],[累计净值]]</f>
        <v>1.0188999999999999</v>
      </c>
      <c r="G150" s="20">
        <f>表2_3671626293038912[[#This Row],[累计净值]]/$B$21-1</f>
        <v>1.81872689117617E-2</v>
      </c>
    </row>
    <row r="151" spans="1:7">
      <c r="A151" s="15">
        <v>43998</v>
      </c>
      <c r="B151" s="113">
        <v>1.0233000000000001</v>
      </c>
      <c r="C151" s="108">
        <f t="shared" si="40"/>
        <v>4.4000000000001815E-3</v>
      </c>
      <c r="D151" s="109" t="str">
        <f t="shared" si="41"/>
        <v>/</v>
      </c>
      <c r="E151" s="109">
        <f ca="1">IF(表2_3671626293038912[[#This Row],[累计净值]]/MAX(INDIRECT("B21:B" &amp; ROW()))-1&lt;E150,表2_3671626293038912[[#This Row],[累计净值]]/MAX(INDIRECT("B21:B" &amp; ROW()))-1,E150)</f>
        <v>-3.8239968216130182E-2</v>
      </c>
      <c r="F151" s="110">
        <f>表2_3671626293038912[[#This Row],[累计净值]]</f>
        <v>1.0233000000000001</v>
      </c>
      <c r="G151" s="20">
        <f>表2_3671626293038912[[#This Row],[累计净值]]/$B$21-1</f>
        <v>2.2584191066253867E-2</v>
      </c>
    </row>
    <row r="152" spans="1:7">
      <c r="A152" s="15">
        <v>43999</v>
      </c>
      <c r="B152" s="113">
        <v>1.0187999999999999</v>
      </c>
      <c r="C152" s="108">
        <f t="shared" si="40"/>
        <v>-4.5000000000001705E-3</v>
      </c>
      <c r="D152" s="109">
        <f t="shared" si="41"/>
        <v>-4.5000000000001705E-3</v>
      </c>
      <c r="E152" s="109">
        <f ca="1">IF(表2_3671626293038912[[#This Row],[累计净值]]/MAX(INDIRECT("B21:B" &amp; ROW()))-1&lt;E151,表2_3671626293038912[[#This Row],[累计净值]]/MAX(INDIRECT("B21:B" &amp; ROW()))-1,E151)</f>
        <v>-3.8239968216130182E-2</v>
      </c>
      <c r="F152" s="110">
        <f>表2_3671626293038912[[#This Row],[累计净值]]</f>
        <v>1.0187999999999999</v>
      </c>
      <c r="G152" s="20">
        <f>表2_3671626293038912[[#This Row],[累计净值]]/$B$21-1</f>
        <v>1.808733886279601E-2</v>
      </c>
    </row>
    <row r="153" spans="1:7">
      <c r="A153" s="15">
        <v>44000</v>
      </c>
      <c r="B153" s="113">
        <v>1.0185999999999999</v>
      </c>
      <c r="C153" s="108">
        <f t="shared" si="40"/>
        <v>-1.9999999999997797E-4</v>
      </c>
      <c r="D153" s="109">
        <f t="shared" si="41"/>
        <v>-1.9999999999997797E-4</v>
      </c>
      <c r="E153" s="109">
        <f ca="1">IF(表2_3671626293038912[[#This Row],[累计净值]]/MAX(INDIRECT("B21:B" &amp; ROW()))-1&lt;E152,表2_3671626293038912[[#This Row],[累计净值]]/MAX(INDIRECT("B21:B" &amp; ROW()))-1,E152)</f>
        <v>-3.8239968216130182E-2</v>
      </c>
      <c r="F153" s="110">
        <f>表2_3671626293038912[[#This Row],[累计净值]]</f>
        <v>1.0185999999999999</v>
      </c>
      <c r="G153" s="20">
        <f>表2_3671626293038912[[#This Row],[累计净值]]/$B$21-1</f>
        <v>1.7887478764864628E-2</v>
      </c>
    </row>
    <row r="154" spans="1:7">
      <c r="A154" s="15">
        <v>44001</v>
      </c>
      <c r="B154" s="113">
        <v>1.0142</v>
      </c>
      <c r="C154" s="108">
        <f t="shared" si="40"/>
        <v>-4.3999999999999595E-3</v>
      </c>
      <c r="D154" s="109">
        <f t="shared" si="41"/>
        <v>-4.3999999999999595E-3</v>
      </c>
      <c r="E154" s="109">
        <f ca="1">IF(表2_3671626293038912[[#This Row],[累计净值]]/MAX(INDIRECT("B21:B" &amp; ROW()))-1&lt;E153,表2_3671626293038912[[#This Row],[累计净值]]/MAX(INDIRECT("B21:B" &amp; ROW()))-1,E153)</f>
        <v>-3.8239968216130182E-2</v>
      </c>
      <c r="F154" s="110">
        <f>表2_3671626293038912[[#This Row],[累计净值]]</f>
        <v>1.0142</v>
      </c>
      <c r="G154" s="20">
        <f>表2_3671626293038912[[#This Row],[累计净值]]/$B$21-1</f>
        <v>1.3490556610372906E-2</v>
      </c>
    </row>
    <row r="155" spans="1:7">
      <c r="A155" s="15">
        <v>44004</v>
      </c>
      <c r="B155" s="112">
        <v>1.0185999999999999</v>
      </c>
      <c r="C155" s="108">
        <f t="shared" si="40"/>
        <v>4.3999999999999595E-3</v>
      </c>
      <c r="D155" s="109" t="str">
        <f t="shared" si="41"/>
        <v>/</v>
      </c>
      <c r="E155" s="109">
        <f ca="1">IF(表2_3671626293038912[[#This Row],[累计净值]]/MAX(INDIRECT("B21:B" &amp; ROW()))-1&lt;E154,表2_3671626293038912[[#This Row],[累计净值]]/MAX(INDIRECT("B21:B" &amp; ROW()))-1,E154)</f>
        <v>-3.8239968216130182E-2</v>
      </c>
      <c r="F155" s="110">
        <f>表2_3671626293038912[[#This Row],[累计净值]]</f>
        <v>1.0185999999999999</v>
      </c>
      <c r="G155" s="20">
        <f>表2_3671626293038912[[#This Row],[累计净值]]/$B$21-1</f>
        <v>1.7887478764864628E-2</v>
      </c>
    </row>
    <row r="156" spans="1:7">
      <c r="A156" s="15">
        <v>44005</v>
      </c>
      <c r="B156" s="112">
        <v>1.0123</v>
      </c>
      <c r="C156" s="108">
        <f t="shared" ref="C156:C162" si="42">IFERROR(B156-B155,0)</f>
        <v>-6.2999999999999723E-3</v>
      </c>
      <c r="D156" s="109">
        <f t="shared" ref="D156:D162" si="43">IF(C156&lt;0,C156,"/")</f>
        <v>-6.2999999999999723E-3</v>
      </c>
      <c r="E156" s="109">
        <f ca="1">IF(表2_3671626293038912[[#This Row],[累计净值]]/MAX(INDIRECT("B21:B" &amp; ROW()))-1&lt;E155,表2_3671626293038912[[#This Row],[累计净值]]/MAX(INDIRECT("B21:B" &amp; ROW()))-1,E155)</f>
        <v>-3.8239968216130182E-2</v>
      </c>
      <c r="F156" s="110">
        <f>表2_3671626293038912[[#This Row],[累计净值]]</f>
        <v>1.0123</v>
      </c>
      <c r="G156" s="20">
        <f>表2_3671626293038912[[#This Row],[累计净值]]/$B$21-1</f>
        <v>1.1591885680024117E-2</v>
      </c>
    </row>
    <row r="157" spans="1:7">
      <c r="A157" s="15">
        <v>44006</v>
      </c>
      <c r="B157" s="112">
        <v>1.0176000000000001</v>
      </c>
      <c r="C157" s="108">
        <f t="shared" si="42"/>
        <v>5.3000000000000824E-3</v>
      </c>
      <c r="D157" s="109" t="str">
        <f t="shared" si="43"/>
        <v>/</v>
      </c>
      <c r="E157" s="109">
        <f ca="1">IF(表2_3671626293038912[[#This Row],[累计净值]]/MAX(INDIRECT("B21:B" &amp; ROW()))-1&lt;E156,表2_3671626293038912[[#This Row],[累计净值]]/MAX(INDIRECT("B21:B" &amp; ROW()))-1,E156)</f>
        <v>-3.8239968216130182E-2</v>
      </c>
      <c r="F157" s="110">
        <f>表2_3671626293038912[[#This Row],[累计净值]]</f>
        <v>1.0176000000000001</v>
      </c>
      <c r="G157" s="20">
        <f>表2_3671626293038912[[#This Row],[累计净值]]/$B$21-1</f>
        <v>1.6888178275207499E-2</v>
      </c>
    </row>
    <row r="158" spans="1:7">
      <c r="A158" s="15">
        <v>44011</v>
      </c>
      <c r="B158" s="112">
        <v>1.0175000000000001</v>
      </c>
      <c r="C158" s="108">
        <f t="shared" si="42"/>
        <v>-9.9999999999988987E-5</v>
      </c>
      <c r="D158" s="109">
        <f t="shared" si="43"/>
        <v>-9.9999999999988987E-5</v>
      </c>
      <c r="E158" s="109">
        <f ca="1">IF(表2_3671626293038912[[#This Row],[累计净值]]/MAX(INDIRECT("B21:B" &amp; ROW()))-1&lt;E157,表2_3671626293038912[[#This Row],[累计净值]]/MAX(INDIRECT("B21:B" &amp; ROW()))-1,E157)</f>
        <v>-3.8239968216130182E-2</v>
      </c>
      <c r="F158" s="110">
        <f>表2_3671626293038912[[#This Row],[累计净值]]</f>
        <v>1.0175000000000001</v>
      </c>
      <c r="G158" s="20">
        <f>表2_3671626293038912[[#This Row],[累计净值]]/$B$21-1</f>
        <v>1.6788248226241809E-2</v>
      </c>
    </row>
    <row r="159" spans="1:7">
      <c r="A159" s="15">
        <v>44012</v>
      </c>
      <c r="B159" s="112">
        <v>1.018</v>
      </c>
      <c r="C159" s="108">
        <f t="shared" si="42"/>
        <v>4.9999999999994493E-4</v>
      </c>
      <c r="D159" s="109" t="str">
        <f t="shared" si="43"/>
        <v>/</v>
      </c>
      <c r="E159" s="109">
        <f ca="1">IF(表2_3671626293038912[[#This Row],[累计净值]]/MAX(INDIRECT("B21:B" &amp; ROW()))-1&lt;E158,表2_3671626293038912[[#This Row],[累计净值]]/MAX(INDIRECT("B21:B" &amp; ROW()))-1,E158)</f>
        <v>-3.8239968216130182E-2</v>
      </c>
      <c r="F159" s="110">
        <f>表2_3671626293038912[[#This Row],[累计净值]]</f>
        <v>1.018</v>
      </c>
      <c r="G159" s="20">
        <f>表2_3671626293038912[[#This Row],[累计净值]]/$B$21-1</f>
        <v>1.7287898471070262E-2</v>
      </c>
    </row>
    <row r="160" spans="1:7">
      <c r="A160" s="15">
        <v>44013</v>
      </c>
      <c r="B160" s="112">
        <v>1.0249999999999999</v>
      </c>
      <c r="C160" s="108">
        <f t="shared" si="42"/>
        <v>6.9999999999998952E-3</v>
      </c>
      <c r="D160" s="109" t="str">
        <f t="shared" si="43"/>
        <v>/</v>
      </c>
      <c r="E160" s="109">
        <f ca="1">IF(表2_3671626293038912[[#This Row],[累计净值]]/MAX(INDIRECT("B21:B" &amp; ROW()))-1&lt;E159,表2_3671626293038912[[#This Row],[累计净值]]/MAX(INDIRECT("B21:B" &amp; ROW()))-1,E159)</f>
        <v>-3.8239968216130182E-2</v>
      </c>
      <c r="F160" s="110">
        <f>表2_3671626293038912[[#This Row],[累计净值]]</f>
        <v>1.0249999999999999</v>
      </c>
      <c r="G160" s="20">
        <f>表2_3671626293038912[[#This Row],[累计净值]]/$B$21-1</f>
        <v>2.4283001898670831E-2</v>
      </c>
    </row>
    <row r="161" spans="1:7">
      <c r="A161" s="15">
        <v>44014</v>
      </c>
      <c r="B161" s="112">
        <v>1.0173000000000001</v>
      </c>
      <c r="C161" s="108">
        <f t="shared" si="42"/>
        <v>-7.6999999999998181E-3</v>
      </c>
      <c r="D161" s="109">
        <f t="shared" si="43"/>
        <v>-7.6999999999998181E-3</v>
      </c>
      <c r="E161" s="109">
        <f ca="1">IF(表2_3671626293038912[[#This Row],[累计净值]]/MAX(INDIRECT("B21:B" &amp; ROW()))-1&lt;E160,表2_3671626293038912[[#This Row],[累计净值]]/MAX(INDIRECT("B21:B" &amp; ROW()))-1,E160)</f>
        <v>-3.8239968216130182E-2</v>
      </c>
      <c r="F161" s="110">
        <f>表2_3671626293038912[[#This Row],[累计净值]]</f>
        <v>1.0173000000000001</v>
      </c>
      <c r="G161" s="20">
        <f>表2_3671626293038912[[#This Row],[累计净值]]/$B$21-1</f>
        <v>1.6588388128310427E-2</v>
      </c>
    </row>
    <row r="162" spans="1:7">
      <c r="A162" s="15">
        <v>44015</v>
      </c>
      <c r="B162" s="112">
        <v>1.0198</v>
      </c>
      <c r="C162" s="108">
        <f t="shared" si="42"/>
        <v>2.4999999999999467E-3</v>
      </c>
      <c r="D162" s="109" t="str">
        <f t="shared" si="43"/>
        <v>/</v>
      </c>
      <c r="E162" s="109">
        <f ca="1">IF(表2_3671626293038912[[#This Row],[累计净值]]/MAX(INDIRECT("B21:B" &amp; ROW()))-1&lt;E161,表2_3671626293038912[[#This Row],[累计净值]]/MAX(INDIRECT("B21:B" &amp; ROW()))-1,E161)</f>
        <v>-3.8239968216130182E-2</v>
      </c>
      <c r="F162" s="110">
        <f>表2_3671626293038912[[#This Row],[累计净值]]</f>
        <v>1.0198</v>
      </c>
      <c r="G162" s="20">
        <f>表2_3671626293038912[[#This Row],[累计净值]]/$B$21-1</f>
        <v>1.9086639352453361E-2</v>
      </c>
    </row>
    <row r="163" spans="1:7">
      <c r="A163" s="15">
        <v>44018</v>
      </c>
      <c r="B163" s="112">
        <v>1.0174000000000001</v>
      </c>
      <c r="C163" s="108">
        <f t="shared" ref="C163:C168" si="44">IFERROR(B163-B162,0)</f>
        <v>-2.3999999999999577E-3</v>
      </c>
      <c r="D163" s="109">
        <f t="shared" ref="D163:D168" si="45">IF(C163&lt;0,C163,"/")</f>
        <v>-2.3999999999999577E-3</v>
      </c>
      <c r="E163" s="109">
        <f ca="1">IF(表2_3671626293038912[[#This Row],[累计净值]]/MAX(INDIRECT("B21:B" &amp; ROW()))-1&lt;E162,表2_3671626293038912[[#This Row],[累计净值]]/MAX(INDIRECT("B21:B" &amp; ROW()))-1,E162)</f>
        <v>-3.8239968216130182E-2</v>
      </c>
      <c r="F163" s="110">
        <f>表2_3671626293038912[[#This Row],[累计净值]]</f>
        <v>1.0174000000000001</v>
      </c>
      <c r="G163" s="20">
        <f>表2_3671626293038912[[#This Row],[累计净值]]/$B$21-1</f>
        <v>1.6688318177276118E-2</v>
      </c>
    </row>
    <row r="164" spans="1:7">
      <c r="A164" s="15">
        <v>44019</v>
      </c>
      <c r="B164" s="112">
        <v>1.0121</v>
      </c>
      <c r="C164" s="108">
        <f t="shared" si="44"/>
        <v>-5.3000000000000824E-3</v>
      </c>
      <c r="D164" s="109">
        <f t="shared" si="45"/>
        <v>-5.3000000000000824E-3</v>
      </c>
      <c r="E164" s="109">
        <f ca="1">IF(表2_3671626293038912[[#This Row],[累计净值]]/MAX(INDIRECT("B21:B" &amp; ROW()))-1&lt;E163,表2_3671626293038912[[#This Row],[累计净值]]/MAX(INDIRECT("B21:B" &amp; ROW()))-1,E163)</f>
        <v>-3.8239968216130182E-2</v>
      </c>
      <c r="F164" s="110">
        <f>表2_3671626293038912[[#This Row],[累计净值]]</f>
        <v>1.0121</v>
      </c>
      <c r="G164" s="20">
        <f>表2_3671626293038912[[#This Row],[累计净值]]/$B$21-1</f>
        <v>1.1392025582092513E-2</v>
      </c>
    </row>
    <row r="165" spans="1:7">
      <c r="A165" s="15">
        <v>44020</v>
      </c>
      <c r="B165" s="112">
        <v>1.014</v>
      </c>
      <c r="C165" s="108">
        <f t="shared" si="44"/>
        <v>1.9000000000000128E-3</v>
      </c>
      <c r="D165" s="109" t="str">
        <f t="shared" si="45"/>
        <v>/</v>
      </c>
      <c r="E165" s="109">
        <f ca="1">IF(表2_3671626293038912[[#This Row],[累计净值]]/MAX(INDIRECT("B21:B" &amp; ROW()))-1&lt;E164,表2_3671626293038912[[#This Row],[累计净值]]/MAX(INDIRECT("B21:B" &amp; ROW()))-1,E164)</f>
        <v>-3.8239968216130182E-2</v>
      </c>
      <c r="F165" s="110">
        <f>表2_3671626293038912[[#This Row],[累计净值]]</f>
        <v>1.014</v>
      </c>
      <c r="G165" s="20">
        <f>表2_3671626293038912[[#This Row],[累计净值]]/$B$21-1</f>
        <v>1.3290696512441302E-2</v>
      </c>
    </row>
    <row r="166" spans="1:7">
      <c r="A166" s="15">
        <v>44021</v>
      </c>
      <c r="B166" s="112">
        <v>1.0245</v>
      </c>
      <c r="C166" s="108">
        <f t="shared" si="44"/>
        <v>1.0499999999999954E-2</v>
      </c>
      <c r="D166" s="109" t="str">
        <f t="shared" si="45"/>
        <v>/</v>
      </c>
      <c r="E166" s="109">
        <f ca="1">IF(表2_3671626293038912[[#This Row],[累计净值]]/MAX(INDIRECT("B21:B" &amp; ROW()))-1&lt;E165,表2_3671626293038912[[#This Row],[累计净值]]/MAX(INDIRECT("B21:B" &amp; ROW()))-1,E165)</f>
        <v>-3.8239968216130182E-2</v>
      </c>
      <c r="F166" s="110">
        <f>表2_3671626293038912[[#This Row],[累计净值]]</f>
        <v>1.0245</v>
      </c>
      <c r="G166" s="20">
        <f>表2_3671626293038912[[#This Row],[累计净值]]/$B$21-1</f>
        <v>2.3783351653842377E-2</v>
      </c>
    </row>
    <row r="167" spans="1:7">
      <c r="A167" s="15">
        <v>44022</v>
      </c>
      <c r="B167" s="112">
        <v>1.0135000000000001</v>
      </c>
      <c r="C167" s="108">
        <f t="shared" si="44"/>
        <v>-1.0999999999999899E-2</v>
      </c>
      <c r="D167" s="109">
        <f t="shared" si="45"/>
        <v>-1.0999999999999899E-2</v>
      </c>
      <c r="E167" s="109">
        <f ca="1">IF(表2_3671626293038912[[#This Row],[累计净值]]/MAX(INDIRECT("B21:B" &amp; ROW()))-1&lt;E166,表2_3671626293038912[[#This Row],[累计净值]]/MAX(INDIRECT("B21:B" &amp; ROW()))-1,E166)</f>
        <v>-3.8239968216130182E-2</v>
      </c>
      <c r="F167" s="110">
        <f>表2_3671626293038912[[#This Row],[累计净值]]</f>
        <v>1.0135000000000001</v>
      </c>
      <c r="G167" s="20">
        <f>表2_3671626293038912[[#This Row],[累计净值]]/$B$21-1</f>
        <v>1.2791046267612849E-2</v>
      </c>
    </row>
    <row r="168" spans="1:7">
      <c r="A168" s="15">
        <v>44025</v>
      </c>
      <c r="B168" s="112">
        <v>1.0206</v>
      </c>
      <c r="C168" s="108">
        <f t="shared" si="44"/>
        <v>7.0999999999998842E-3</v>
      </c>
      <c r="D168" s="109" t="str">
        <f t="shared" si="45"/>
        <v>/</v>
      </c>
      <c r="E168" s="109">
        <f ca="1">IF(表2_3671626293038912[[#This Row],[累计净值]]/MAX(INDIRECT("B21:B" &amp; ROW()))-1&lt;E167,表2_3671626293038912[[#This Row],[累计净值]]/MAX(INDIRECT("B21:B" &amp; ROW()))-1,E167)</f>
        <v>-3.8239968216130182E-2</v>
      </c>
      <c r="F168" s="110">
        <f>表2_3671626293038912[[#This Row],[累计净值]]</f>
        <v>1.0206</v>
      </c>
      <c r="G168" s="20">
        <f>表2_3671626293038912[[#This Row],[累计净值]]/$B$21-1</f>
        <v>1.9886079744179108E-2</v>
      </c>
    </row>
    <row r="169" spans="1:7">
      <c r="A169" s="15">
        <v>44026</v>
      </c>
      <c r="B169" s="112">
        <v>1.0194000000000001</v>
      </c>
      <c r="C169" s="108">
        <f t="shared" ref="C169:C174" si="46">IFERROR(B169-B168,0)</f>
        <v>-1.1999999999998678E-3</v>
      </c>
      <c r="D169" s="109">
        <f t="shared" ref="D169:D174" si="47">IF(C169&lt;0,C169,"/")</f>
        <v>-1.1999999999998678E-3</v>
      </c>
      <c r="E169" s="109">
        <f ca="1">IF(表2_3671626293038912[[#This Row],[累计净值]]/MAX(INDIRECT("B21:B" &amp; ROW()))-1&lt;E168,表2_3671626293038912[[#This Row],[累计净值]]/MAX(INDIRECT("B21:B" &amp; ROW()))-1,E168)</f>
        <v>-3.8239968216130182E-2</v>
      </c>
      <c r="F169" s="110">
        <f>表2_3671626293038912[[#This Row],[累计净值]]</f>
        <v>1.0194000000000001</v>
      </c>
      <c r="G169" s="20">
        <f>表2_3671626293038912[[#This Row],[累计净值]]/$B$21-1</f>
        <v>1.8686919156590598E-2</v>
      </c>
    </row>
    <row r="170" spans="1:7">
      <c r="A170" s="15">
        <v>44027</v>
      </c>
      <c r="B170" s="112">
        <v>1.0172000000000001</v>
      </c>
      <c r="C170" s="108">
        <f t="shared" si="46"/>
        <v>-2.1999999999999797E-3</v>
      </c>
      <c r="D170" s="109">
        <f t="shared" si="47"/>
        <v>-2.1999999999999797E-3</v>
      </c>
      <c r="E170" s="109">
        <f ca="1">IF(表2_3671626293038912[[#This Row],[累计净值]]/MAX(INDIRECT("B21:B" &amp; ROW()))-1&lt;E169,表2_3671626293038912[[#This Row],[累计净值]]/MAX(INDIRECT("B21:B" &amp; ROW()))-1,E169)</f>
        <v>-3.8239968216130182E-2</v>
      </c>
      <c r="F170" s="110">
        <f>表2_3671626293038912[[#This Row],[累计净值]]</f>
        <v>1.0172000000000001</v>
      </c>
      <c r="G170" s="20">
        <f>表2_3671626293038912[[#This Row],[累计净值]]/$B$21-1</f>
        <v>1.6488458079344737E-2</v>
      </c>
    </row>
    <row r="171" spans="1:7">
      <c r="A171" s="15">
        <v>44028</v>
      </c>
      <c r="B171" s="112">
        <v>1.0133000000000001</v>
      </c>
      <c r="C171" s="108">
        <f t="shared" si="46"/>
        <v>-3.9000000000000146E-3</v>
      </c>
      <c r="D171" s="109">
        <f t="shared" si="47"/>
        <v>-3.9000000000000146E-3</v>
      </c>
      <c r="E171" s="109">
        <f ca="1">IF(表2_3671626293038912[[#This Row],[累计净值]]/MAX(INDIRECT("B21:B" &amp; ROW()))-1&lt;E170,表2_3671626293038912[[#This Row],[累计净值]]/MAX(INDIRECT("B21:B" &amp; ROW()))-1,E170)</f>
        <v>-3.8239968216130182E-2</v>
      </c>
      <c r="F171" s="110">
        <f>表2_3671626293038912[[#This Row],[累计净值]]</f>
        <v>1.0133000000000001</v>
      </c>
      <c r="G171" s="20">
        <f>表2_3671626293038912[[#This Row],[累计净值]]/$B$21-1</f>
        <v>1.2591186169681468E-2</v>
      </c>
    </row>
    <row r="172" spans="1:7">
      <c r="A172" s="15">
        <v>44029</v>
      </c>
      <c r="B172" s="112">
        <v>1.0097</v>
      </c>
      <c r="C172" s="108">
        <f t="shared" si="46"/>
        <v>-3.6000000000000476E-3</v>
      </c>
      <c r="D172" s="109">
        <f t="shared" si="47"/>
        <v>-3.6000000000000476E-3</v>
      </c>
      <c r="E172" s="109">
        <f ca="1">IF(表2_3671626293038912[[#This Row],[累计净值]]/MAX(INDIRECT("B21:B" &amp; ROW()))-1&lt;E171,表2_3671626293038912[[#This Row],[累计净值]]/MAX(INDIRECT("B21:B" &amp; ROW()))-1,E171)</f>
        <v>-3.8655622203179973E-2</v>
      </c>
      <c r="F172" s="110">
        <f>表2_3671626293038912[[#This Row],[累计净值]]</f>
        <v>1.0097</v>
      </c>
      <c r="G172" s="20">
        <f>表2_3671626293038912[[#This Row],[累计净值]]/$B$21-1</f>
        <v>8.9937044069152705E-3</v>
      </c>
    </row>
    <row r="173" spans="1:7">
      <c r="A173" s="15">
        <v>44032</v>
      </c>
      <c r="B173" s="112">
        <v>1.0176000000000001</v>
      </c>
      <c r="C173" s="108">
        <f t="shared" si="46"/>
        <v>7.9000000000000181E-3</v>
      </c>
      <c r="D173" s="109" t="str">
        <f t="shared" si="47"/>
        <v>/</v>
      </c>
      <c r="E173" s="109">
        <f ca="1">IF(表2_3671626293038912[[#This Row],[累计净值]]/MAX(INDIRECT("B21:B" &amp; ROW()))-1&lt;E172,表2_3671626293038912[[#This Row],[累计净值]]/MAX(INDIRECT("B21:B" &amp; ROW()))-1,E172)</f>
        <v>-3.8655622203179973E-2</v>
      </c>
      <c r="F173" s="110">
        <f>表2_3671626293038912[[#This Row],[累计净值]]</f>
        <v>1.0176000000000001</v>
      </c>
      <c r="G173" s="20">
        <f>表2_3671626293038912[[#This Row],[累计净值]]/$B$21-1</f>
        <v>1.6888178275207499E-2</v>
      </c>
    </row>
    <row r="174" spans="1:7">
      <c r="A174" s="15">
        <v>44033</v>
      </c>
      <c r="B174" s="112">
        <v>1.0147999999999999</v>
      </c>
      <c r="C174" s="108">
        <f t="shared" si="46"/>
        <v>-2.8000000000001357E-3</v>
      </c>
      <c r="D174" s="109">
        <f t="shared" si="47"/>
        <v>-2.8000000000001357E-3</v>
      </c>
      <c r="E174" s="109">
        <f ca="1">IF(表2_3671626293038912[[#This Row],[累计净值]]/MAX(INDIRECT("B21:B" &amp; ROW()))-1&lt;E173,表2_3671626293038912[[#This Row],[累计净值]]/MAX(INDIRECT("B21:B" &amp; ROW()))-1,E173)</f>
        <v>-3.8655622203179973E-2</v>
      </c>
      <c r="F174" s="110">
        <f>表2_3671626293038912[[#This Row],[累计净值]]</f>
        <v>1.0147999999999999</v>
      </c>
      <c r="G174" s="20">
        <f>表2_3671626293038912[[#This Row],[累计净值]]/$B$21-1</f>
        <v>1.409013690416705E-2</v>
      </c>
    </row>
    <row r="175" spans="1:7">
      <c r="A175" s="15">
        <v>44034</v>
      </c>
      <c r="B175" s="112">
        <v>1.0342</v>
      </c>
      <c r="C175" s="108">
        <f>IFERROR(B175-B174,0)</f>
        <v>1.9400000000000084E-2</v>
      </c>
      <c r="D175" s="109" t="str">
        <f>IF(C175&lt;0,C175,"/")</f>
        <v>/</v>
      </c>
      <c r="E175" s="109">
        <f ca="1">IF(表2_3671626293038912[[#This Row],[累计净值]]/MAX(INDIRECT("B21:B" &amp; ROW()))-1&lt;E174,表2_3671626293038912[[#This Row],[累计净值]]/MAX(INDIRECT("B21:B" &amp; ROW()))-1,E174)</f>
        <v>-3.8655622203179973E-2</v>
      </c>
      <c r="F175" s="110">
        <f>表2_3671626293038912[[#This Row],[累计净值]]</f>
        <v>1.0342</v>
      </c>
      <c r="G175" s="20">
        <f>表2_3671626293038912[[#This Row],[累计净值]]/$B$21-1</f>
        <v>3.3476566403517705E-2</v>
      </c>
    </row>
    <row r="176" spans="1:7">
      <c r="A176" s="15">
        <v>44035</v>
      </c>
      <c r="B176" s="117">
        <v>1.0682</v>
      </c>
      <c r="C176" s="108">
        <f>IFERROR(B176-B175,0)</f>
        <v>3.400000000000003E-2</v>
      </c>
      <c r="D176" s="109" t="str">
        <f>IF(C176&lt;0,C176,"/")</f>
        <v>/</v>
      </c>
      <c r="E176" s="109">
        <f ca="1">IF(表2_3671626293038912[[#This Row],[累计净值]]/MAX(INDIRECT("B21:B" &amp; ROW()))-1&lt;E175,表2_3671626293038912[[#This Row],[累计净值]]/MAX(INDIRECT("B21:B" &amp; ROW()))-1,E175)</f>
        <v>-3.8655622203179973E-2</v>
      </c>
      <c r="F176" s="110">
        <f>表2_3671626293038912[[#This Row],[累计净值]]</f>
        <v>1.0682</v>
      </c>
      <c r="G176" s="20">
        <f>表2_3671626293038912[[#This Row],[累计净值]]/$B$21-1</f>
        <v>6.7452783051863863E-2</v>
      </c>
    </row>
    <row r="177" spans="1:7">
      <c r="A177" s="15">
        <v>44036</v>
      </c>
      <c r="B177" s="112">
        <v>1.0652999999999999</v>
      </c>
      <c r="C177" s="108">
        <f>IFERROR(B177-B176,0)</f>
        <v>-2.9000000000001247E-3</v>
      </c>
      <c r="D177" s="109">
        <f>IF(C177&lt;0,C177,"/")</f>
        <v>-2.9000000000001247E-3</v>
      </c>
      <c r="E177" s="109">
        <f ca="1">IF(表2_3671626293038912[[#This Row],[累计净值]]/MAX(INDIRECT("B21:B" &amp; ROW()))-1&lt;E176,表2_3671626293038912[[#This Row],[累计净值]]/MAX(INDIRECT("B21:B" &amp; ROW()))-1,E176)</f>
        <v>-3.8655622203179973E-2</v>
      </c>
      <c r="F177" s="110">
        <f>表2_3671626293038912[[#This Row],[累计净值]]</f>
        <v>1.0652999999999999</v>
      </c>
      <c r="G177" s="20">
        <f>表2_3671626293038912[[#This Row],[累计净值]]/$B$21-1</f>
        <v>6.4554811631857723E-2</v>
      </c>
    </row>
    <row r="178" spans="1:7">
      <c r="A178" s="15">
        <v>44039</v>
      </c>
      <c r="B178" s="112">
        <v>1.0665</v>
      </c>
      <c r="C178" s="108">
        <f t="shared" ref="C178:C183" si="48">IFERROR(B178-B177,0)</f>
        <v>1.2000000000000899E-3</v>
      </c>
      <c r="D178" s="109" t="str">
        <f t="shared" ref="D178:D183" si="49">IF(C178&lt;0,C178,"/")</f>
        <v>/</v>
      </c>
      <c r="E178" s="109">
        <f ca="1">IF(表2_3671626293038912[[#This Row],[累计净值]]/MAX(INDIRECT("B21:B" &amp; ROW()))-1&lt;E177,表2_3671626293038912[[#This Row],[累计净值]]/MAX(INDIRECT("B21:B" &amp; ROW()))-1,E177)</f>
        <v>-3.8655622203179973E-2</v>
      </c>
      <c r="F178" s="110">
        <f>表2_3671626293038912[[#This Row],[累计净值]]</f>
        <v>1.0665</v>
      </c>
      <c r="G178" s="20">
        <f>表2_3671626293038912[[#This Row],[累计净值]]/$B$21-1</f>
        <v>6.5753972219446455E-2</v>
      </c>
    </row>
    <row r="179" spans="1:7">
      <c r="A179" s="15">
        <v>44040</v>
      </c>
      <c r="B179" s="112">
        <v>1.0677000000000001</v>
      </c>
      <c r="C179" s="108">
        <f t="shared" si="48"/>
        <v>1.2000000000000899E-3</v>
      </c>
      <c r="D179" s="109" t="str">
        <f t="shared" si="49"/>
        <v>/</v>
      </c>
      <c r="E179" s="109">
        <f ca="1">IF(表2_3671626293038912[[#This Row],[累计净值]]/MAX(INDIRECT("B21:B" &amp; ROW()))-1&lt;E178,表2_3671626293038912[[#This Row],[累计净值]]/MAX(INDIRECT("B21:B" &amp; ROW()))-1,E178)</f>
        <v>-3.8655622203179973E-2</v>
      </c>
      <c r="F179" s="110">
        <f>表2_3671626293038912[[#This Row],[累计净值]]</f>
        <v>1.0677000000000001</v>
      </c>
      <c r="G179" s="20">
        <f>表2_3671626293038912[[#This Row],[累计净值]]/$B$21-1</f>
        <v>6.6953132807035187E-2</v>
      </c>
    </row>
    <row r="180" spans="1:7">
      <c r="A180" s="15">
        <v>44041</v>
      </c>
      <c r="B180" s="112">
        <v>1.0656000000000001</v>
      </c>
      <c r="C180" s="108">
        <f t="shared" si="48"/>
        <v>-2.0999999999999908E-3</v>
      </c>
      <c r="D180" s="109">
        <f t="shared" si="49"/>
        <v>-2.0999999999999908E-3</v>
      </c>
      <c r="E180" s="109">
        <f ca="1">IF(表2_3671626293038912[[#This Row],[累计净值]]/MAX(INDIRECT("B21:B" &amp; ROW()))-1&lt;E179,表2_3671626293038912[[#This Row],[累计净值]]/MAX(INDIRECT("B21:B" &amp; ROW()))-1,E179)</f>
        <v>-3.8655622203179973E-2</v>
      </c>
      <c r="F180" s="110">
        <f>表2_3671626293038912[[#This Row],[累计净值]]</f>
        <v>1.0656000000000001</v>
      </c>
      <c r="G180" s="20">
        <f>表2_3671626293038912[[#This Row],[累计净值]]/$B$21-1</f>
        <v>6.4854601778755017E-2</v>
      </c>
    </row>
    <row r="181" spans="1:7">
      <c r="A181" s="15">
        <v>44042</v>
      </c>
      <c r="B181" s="112">
        <v>1.0638000000000001</v>
      </c>
      <c r="C181" s="108">
        <f t="shared" si="48"/>
        <v>-1.8000000000000238E-3</v>
      </c>
      <c r="D181" s="109">
        <f t="shared" si="49"/>
        <v>-1.8000000000000238E-3</v>
      </c>
      <c r="E181" s="109">
        <f ca="1">IF(表2_3671626293038912[[#This Row],[累计净值]]/MAX(INDIRECT("B21:B" &amp; ROW()))-1&lt;E180,表2_3671626293038912[[#This Row],[累计净值]]/MAX(INDIRECT("B21:B" &amp; ROW()))-1,E180)</f>
        <v>-3.8655622203179973E-2</v>
      </c>
      <c r="F181" s="110">
        <f>表2_3671626293038912[[#This Row],[累计净值]]</f>
        <v>1.0638000000000001</v>
      </c>
      <c r="G181" s="20">
        <f>表2_3671626293038912[[#This Row],[累计净值]]/$B$21-1</f>
        <v>6.3055860897371918E-2</v>
      </c>
    </row>
    <row r="182" spans="1:7">
      <c r="A182" s="15">
        <v>44043</v>
      </c>
      <c r="B182" s="112">
        <v>1.0650999999999999</v>
      </c>
      <c r="C182" s="108">
        <f t="shared" si="48"/>
        <v>1.2999999999998568E-3</v>
      </c>
      <c r="D182" s="109" t="str">
        <f t="shared" si="49"/>
        <v>/</v>
      </c>
      <c r="E182" s="109">
        <f ca="1">IF(表2_3671626293038912[[#This Row],[累计净值]]/MAX(INDIRECT("B21:B" &amp; ROW()))-1&lt;E181,表2_3671626293038912[[#This Row],[累计净值]]/MAX(INDIRECT("B21:B" &amp; ROW()))-1,E181)</f>
        <v>-3.8655622203179973E-2</v>
      </c>
      <c r="F182" s="110">
        <f>表2_3671626293038912[[#This Row],[累计净值]]</f>
        <v>1.0650999999999999</v>
      </c>
      <c r="G182" s="20">
        <f>表2_3671626293038912[[#This Row],[累计净值]]/$B$21-1</f>
        <v>6.4354951533926341E-2</v>
      </c>
    </row>
    <row r="183" spans="1:7">
      <c r="A183" s="15">
        <v>44046</v>
      </c>
      <c r="B183" s="112">
        <v>1.0583</v>
      </c>
      <c r="C183" s="108">
        <f t="shared" si="48"/>
        <v>-6.7999999999999172E-3</v>
      </c>
      <c r="D183" s="109">
        <f t="shared" si="49"/>
        <v>-6.7999999999999172E-3</v>
      </c>
      <c r="E183" s="109">
        <f ca="1">IF(表2_3671626293038912[[#This Row],[累计净值]]/MAX(INDIRECT("B21:B" &amp; ROW()))-1&lt;E182,表2_3671626293038912[[#This Row],[累计净值]]/MAX(INDIRECT("B21:B" &amp; ROW()))-1,E182)</f>
        <v>-3.8655622203179973E-2</v>
      </c>
      <c r="F183" s="110">
        <f>表2_3671626293038912[[#This Row],[累计净值]]</f>
        <v>1.0583</v>
      </c>
      <c r="G183" s="20">
        <f>表2_3671626293038912[[#This Row],[累计净值]]/$B$21-1</f>
        <v>5.7559708204257154E-2</v>
      </c>
    </row>
    <row r="184" spans="1:7">
      <c r="A184" s="15">
        <v>44047</v>
      </c>
      <c r="B184" s="112">
        <v>1.0645</v>
      </c>
      <c r="C184" s="108">
        <f t="shared" ref="C184:C189" si="50">IFERROR(B184-B183,0)</f>
        <v>6.1999999999999833E-3</v>
      </c>
      <c r="D184" s="109" t="str">
        <f t="shared" ref="D184:D189" si="51">IF(C184&lt;0,C184,"/")</f>
        <v>/</v>
      </c>
      <c r="E184" s="109">
        <f ca="1">IF(表2_3671626293038912[[#This Row],[累计净值]]/MAX(INDIRECT("B21:B" &amp; ROW()))-1&lt;E183,表2_3671626293038912[[#This Row],[累计净值]]/MAX(INDIRECT("B21:B" &amp; ROW()))-1,E183)</f>
        <v>-3.8655622203179973E-2</v>
      </c>
      <c r="F184" s="110">
        <f>表2_3671626293038912[[#This Row],[累计净值]]</f>
        <v>1.0645</v>
      </c>
      <c r="G184" s="20">
        <f>表2_3671626293038912[[#This Row],[累计净值]]/$B$21-1</f>
        <v>6.3755371240131975E-2</v>
      </c>
    </row>
    <row r="185" spans="1:7">
      <c r="A185" s="15">
        <v>44048</v>
      </c>
      <c r="B185" s="112">
        <v>1.0644</v>
      </c>
      <c r="C185" s="108">
        <f t="shared" si="50"/>
        <v>-9.9999999999988987E-5</v>
      </c>
      <c r="D185" s="109">
        <f t="shared" si="51"/>
        <v>-9.9999999999988987E-5</v>
      </c>
      <c r="E185" s="109">
        <f ca="1">IF(表2_3671626293038912[[#This Row],[累计净值]]/MAX(INDIRECT("B21:B" &amp; ROW()))-1&lt;E184,表2_3671626293038912[[#This Row],[累计净值]]/MAX(INDIRECT("B21:B" &amp; ROW()))-1,E184)</f>
        <v>-3.8655622203179973E-2</v>
      </c>
      <c r="F185" s="110">
        <f>表2_3671626293038912[[#This Row],[累计净值]]</f>
        <v>1.0644</v>
      </c>
      <c r="G185" s="20">
        <f>表2_3671626293038912[[#This Row],[累计净值]]/$B$21-1</f>
        <v>6.3655441191166284E-2</v>
      </c>
    </row>
    <row r="186" spans="1:7">
      <c r="A186" s="15">
        <v>44049</v>
      </c>
      <c r="B186" s="112">
        <v>1.0919000000000001</v>
      </c>
      <c r="C186" s="108">
        <f t="shared" si="50"/>
        <v>2.750000000000008E-2</v>
      </c>
      <c r="D186" s="109" t="str">
        <f t="shared" si="51"/>
        <v>/</v>
      </c>
      <c r="E186" s="109">
        <f ca="1">IF(表2_3671626293038912[[#This Row],[累计净值]]/MAX(INDIRECT("B21:B" &amp; ROW()))-1&lt;E185,表2_3671626293038912[[#This Row],[累计净值]]/MAX(INDIRECT("B21:B" &amp; ROW()))-1,E185)</f>
        <v>-3.8655622203179973E-2</v>
      </c>
      <c r="F186" s="110">
        <f>表2_3671626293038912[[#This Row],[累计净值]]</f>
        <v>1.0919000000000001</v>
      </c>
      <c r="G186" s="20">
        <f>表2_3671626293038912[[#This Row],[累计净值]]/$B$21-1</f>
        <v>9.1136204656740549E-2</v>
      </c>
    </row>
    <row r="187" spans="1:7">
      <c r="A187" s="15">
        <v>44050</v>
      </c>
      <c r="B187" s="117">
        <v>1.1004</v>
      </c>
      <c r="C187" s="108">
        <f t="shared" si="50"/>
        <v>8.499999999999952E-3</v>
      </c>
      <c r="D187" s="109" t="str">
        <f t="shared" si="51"/>
        <v>/</v>
      </c>
      <c r="E187" s="109">
        <f ca="1">IF(表2_3671626293038912[[#This Row],[累计净值]]/MAX(INDIRECT("B21:B" &amp; ROW()))-1&lt;E186,表2_3671626293038912[[#This Row],[累计净值]]/MAX(INDIRECT("B21:B" &amp; ROW()))-1,E186)</f>
        <v>-3.8655622203179973E-2</v>
      </c>
      <c r="F187" s="110">
        <f>表2_3671626293038912[[#This Row],[累计净值]]</f>
        <v>1.1004</v>
      </c>
      <c r="G187" s="20">
        <f>表2_3671626293038912[[#This Row],[累计净值]]/$B$21-1</f>
        <v>9.9630258818826922E-2</v>
      </c>
    </row>
    <row r="188" spans="1:7">
      <c r="A188" s="15">
        <v>44053</v>
      </c>
      <c r="B188" s="112">
        <v>1.0813999999999999</v>
      </c>
      <c r="C188" s="108">
        <f t="shared" si="50"/>
        <v>-1.9000000000000128E-2</v>
      </c>
      <c r="D188" s="109">
        <f t="shared" si="51"/>
        <v>-1.9000000000000128E-2</v>
      </c>
      <c r="E188" s="109">
        <f ca="1">IF(表2_3671626293038912[[#This Row],[累计净值]]/MAX(INDIRECT("B21:B" &amp; ROW()))-1&lt;E187,表2_3671626293038912[[#This Row],[累计净值]]/MAX(INDIRECT("B21:B" &amp; ROW()))-1,E187)</f>
        <v>-3.8655622203179973E-2</v>
      </c>
      <c r="F188" s="110">
        <f>表2_3671626293038912[[#This Row],[累计净值]]</f>
        <v>1.0813999999999999</v>
      </c>
      <c r="G188" s="20">
        <f>表2_3671626293038912[[#This Row],[累计净值]]/$B$21-1</f>
        <v>8.0643549515339252E-2</v>
      </c>
    </row>
    <row r="189" spans="1:7">
      <c r="A189" s="15">
        <v>44054</v>
      </c>
      <c r="B189" s="112">
        <v>1.0775999999999999</v>
      </c>
      <c r="C189" s="108">
        <f t="shared" si="50"/>
        <v>-3.8000000000000256E-3</v>
      </c>
      <c r="D189" s="109">
        <f t="shared" si="51"/>
        <v>-3.8000000000000256E-3</v>
      </c>
      <c r="E189" s="109">
        <f ca="1">IF(表2_3671626293038912[[#This Row],[累计净值]]/MAX(INDIRECT("B21:B" &amp; ROW()))-1&lt;E188,表2_3671626293038912[[#This Row],[累计净值]]/MAX(INDIRECT("B21:B" &amp; ROW()))-1,E188)</f>
        <v>-3.8655622203179973E-2</v>
      </c>
      <c r="F189" s="110">
        <f>表2_3671626293038912[[#This Row],[累计净值]]</f>
        <v>1.0775999999999999</v>
      </c>
      <c r="G189" s="20">
        <f>表2_3671626293038912[[#This Row],[累计净值]]/$B$21-1</f>
        <v>7.6846207654641674E-2</v>
      </c>
    </row>
    <row r="190" spans="1:7">
      <c r="A190" s="15">
        <v>44055</v>
      </c>
      <c r="B190" s="112">
        <v>1.081</v>
      </c>
      <c r="C190" s="108">
        <f t="shared" ref="C190:C196" si="52">IFERROR(B190-B189,0)</f>
        <v>3.4000000000000696E-3</v>
      </c>
      <c r="D190" s="109" t="str">
        <f t="shared" ref="D190:D196" si="53">IF(C190&lt;0,C190,"/")</f>
        <v>/</v>
      </c>
      <c r="E190" s="109">
        <f ca="1">IF(表2_3671626293038912[[#This Row],[累计净值]]/MAX(INDIRECT("B21:B" &amp; ROW()))-1&lt;E189,表2_3671626293038912[[#This Row],[累计净值]]/MAX(INDIRECT("B21:B" &amp; ROW()))-1,E189)</f>
        <v>-3.8655622203179973E-2</v>
      </c>
      <c r="F190" s="110">
        <f>表2_3671626293038912[[#This Row],[累计净值]]</f>
        <v>1.081</v>
      </c>
      <c r="G190" s="20">
        <f>表2_3671626293038912[[#This Row],[累计净值]]/$B$21-1</f>
        <v>8.024382931947649E-2</v>
      </c>
    </row>
    <row r="191" spans="1:7">
      <c r="A191" s="15">
        <v>44056</v>
      </c>
      <c r="B191" s="112">
        <v>1.0774999999999999</v>
      </c>
      <c r="C191" s="108">
        <f t="shared" si="52"/>
        <v>-3.5000000000000586E-3</v>
      </c>
      <c r="D191" s="109">
        <f t="shared" si="53"/>
        <v>-3.5000000000000586E-3</v>
      </c>
      <c r="E191" s="109">
        <f ca="1">IF(表2_3671626293038912[[#This Row],[累计净值]]/MAX(INDIRECT("B21:B" &amp; ROW()))-1&lt;E190,表2_3671626293038912[[#This Row],[累计净值]]/MAX(INDIRECT("B21:B" &amp; ROW()))-1,E190)</f>
        <v>-3.8655622203179973E-2</v>
      </c>
      <c r="F191" s="110">
        <f>表2_3671626293038912[[#This Row],[累计净值]]</f>
        <v>1.0774999999999999</v>
      </c>
      <c r="G191" s="20">
        <f>表2_3671626293038912[[#This Row],[累计净值]]/$B$21-1</f>
        <v>7.6746277605675983E-2</v>
      </c>
    </row>
    <row r="192" spans="1:7">
      <c r="A192" s="15">
        <v>44057</v>
      </c>
      <c r="B192" s="112">
        <v>1.0774999999999999</v>
      </c>
      <c r="C192" s="108">
        <f t="shared" si="52"/>
        <v>0</v>
      </c>
      <c r="D192" s="109" t="str">
        <f t="shared" si="53"/>
        <v>/</v>
      </c>
      <c r="E192" s="109">
        <f ca="1">IF(表2_3671626293038912[[#This Row],[累计净值]]/MAX(INDIRECT("B21:B" &amp; ROW()))-1&lt;E191,表2_3671626293038912[[#This Row],[累计净值]]/MAX(INDIRECT("B21:B" &amp; ROW()))-1,E191)</f>
        <v>-3.8655622203179973E-2</v>
      </c>
      <c r="F192" s="110">
        <f>表2_3671626293038912[[#This Row],[累计净值]]</f>
        <v>1.0774999999999999</v>
      </c>
      <c r="G192" s="20">
        <f>表2_3671626293038912[[#This Row],[累计净值]]/$B$21-1</f>
        <v>7.6746277605675983E-2</v>
      </c>
    </row>
    <row r="193" spans="1:7">
      <c r="A193" s="15">
        <v>44060</v>
      </c>
      <c r="B193" s="112">
        <v>1.0769</v>
      </c>
      <c r="C193" s="108">
        <f t="shared" si="52"/>
        <v>-5.9999999999993392E-4</v>
      </c>
      <c r="D193" s="109">
        <f t="shared" si="53"/>
        <v>-5.9999999999993392E-4</v>
      </c>
      <c r="E193" s="109">
        <f ca="1">IF(表2_3671626293038912[[#This Row],[累计净值]]/MAX(INDIRECT("B21:B" &amp; ROW()))-1&lt;E192,表2_3671626293038912[[#This Row],[累计净值]]/MAX(INDIRECT("B21:B" &amp; ROW()))-1,E192)</f>
        <v>-3.8655622203179973E-2</v>
      </c>
      <c r="F193" s="110">
        <f>表2_3671626293038912[[#This Row],[累计净值]]</f>
        <v>1.0769</v>
      </c>
      <c r="G193" s="20">
        <f>表2_3671626293038912[[#This Row],[累计净值]]/$B$21-1</f>
        <v>7.6146697311881839E-2</v>
      </c>
    </row>
    <row r="194" spans="1:7">
      <c r="A194" s="15">
        <v>44061</v>
      </c>
      <c r="B194" s="112">
        <v>1.0768</v>
      </c>
      <c r="C194" s="108">
        <f t="shared" si="52"/>
        <v>-9.9999999999988987E-5</v>
      </c>
      <c r="D194" s="109">
        <f t="shared" si="53"/>
        <v>-9.9999999999988987E-5</v>
      </c>
      <c r="E194" s="109">
        <f ca="1">IF(表2_3671626293038912[[#This Row],[累计净值]]/MAX(INDIRECT("B21:B" &amp; ROW()))-1&lt;E193,表2_3671626293038912[[#This Row],[累计净值]]/MAX(INDIRECT("B21:B" &amp; ROW()))-1,E193)</f>
        <v>-3.8655622203179973E-2</v>
      </c>
      <c r="F194" s="110">
        <f>表2_3671626293038912[[#This Row],[累计净值]]</f>
        <v>1.0768</v>
      </c>
      <c r="G194" s="20">
        <f>表2_3671626293038912[[#This Row],[累计净值]]/$B$21-1</f>
        <v>7.6046767262915926E-2</v>
      </c>
    </row>
    <row r="195" spans="1:7">
      <c r="A195" s="15">
        <v>44062</v>
      </c>
      <c r="B195" s="112">
        <v>1.0772999999999999</v>
      </c>
      <c r="C195" s="108">
        <f t="shared" si="52"/>
        <v>4.9999999999994493E-4</v>
      </c>
      <c r="D195" s="109" t="str">
        <f t="shared" si="53"/>
        <v>/</v>
      </c>
      <c r="E195" s="109">
        <f ca="1">IF(表2_3671626293038912[[#This Row],[累计净值]]/MAX(INDIRECT("B21:B" &amp; ROW()))-1&lt;E194,表2_3671626293038912[[#This Row],[累计净值]]/MAX(INDIRECT("B21:B" &amp; ROW()))-1,E194)</f>
        <v>-3.8655622203179973E-2</v>
      </c>
      <c r="F195" s="110">
        <f>表2_3671626293038912[[#This Row],[累计净值]]</f>
        <v>1.0772999999999999</v>
      </c>
      <c r="G195" s="20">
        <f>表2_3671626293038912[[#This Row],[累计净值]]/$B$21-1</f>
        <v>7.6546417507744602E-2</v>
      </c>
    </row>
    <row r="196" spans="1:7">
      <c r="A196" s="15">
        <v>44063</v>
      </c>
      <c r="B196" s="112">
        <v>1.0714999999999999</v>
      </c>
      <c r="C196" s="108">
        <f t="shared" si="52"/>
        <v>-5.8000000000000274E-3</v>
      </c>
      <c r="D196" s="109">
        <f t="shared" si="53"/>
        <v>-5.8000000000000274E-3</v>
      </c>
      <c r="E196" s="109">
        <f ca="1">IF(表2_3671626293038912[[#This Row],[累计净值]]/MAX(INDIRECT("B21:B" &amp; ROW()))-1&lt;E195,表2_3671626293038912[[#This Row],[累计净值]]/MAX(INDIRECT("B21:B" &amp; ROW()))-1,E195)</f>
        <v>-3.8655622203179973E-2</v>
      </c>
      <c r="F196" s="110">
        <f>表2_3671626293038912[[#This Row],[累计净值]]</f>
        <v>1.0714999999999999</v>
      </c>
      <c r="G196" s="20">
        <f>表2_3671626293038912[[#This Row],[累计净值]]/$B$21-1</f>
        <v>7.0750474667732544E-2</v>
      </c>
    </row>
    <row r="197" spans="1:7">
      <c r="A197" s="15">
        <v>44064</v>
      </c>
      <c r="B197" s="112">
        <v>1.0720000000000001</v>
      </c>
      <c r="C197" s="108">
        <f t="shared" ref="C197:C202" si="54">IFERROR(B197-B196,0)</f>
        <v>5.0000000000016698E-4</v>
      </c>
      <c r="D197" s="109" t="str">
        <f t="shared" ref="D197:D202" si="55">IF(C197&lt;0,C197,"/")</f>
        <v>/</v>
      </c>
      <c r="E197" s="109">
        <f ca="1">IF(表2_3671626293038912[[#This Row],[累计净值]]/MAX(INDIRECT("B21:B" &amp; ROW()))-1&lt;E196,表2_3671626293038912[[#This Row],[累计净值]]/MAX(INDIRECT("B21:B" &amp; ROW()))-1,E196)</f>
        <v>-3.8655622203179973E-2</v>
      </c>
      <c r="F197" s="110">
        <f>表2_3671626293038912[[#This Row],[累计净值]]</f>
        <v>1.0720000000000001</v>
      </c>
      <c r="G197" s="20">
        <f>表2_3671626293038912[[#This Row],[累计净值]]/$B$21-1</f>
        <v>7.1250124912561441E-2</v>
      </c>
    </row>
    <row r="198" spans="1:7">
      <c r="A198" s="15">
        <v>44067</v>
      </c>
      <c r="B198" s="112">
        <v>1.07</v>
      </c>
      <c r="C198" s="108">
        <f t="shared" si="54"/>
        <v>-2.0000000000000018E-3</v>
      </c>
      <c r="D198" s="109">
        <f t="shared" si="55"/>
        <v>-2.0000000000000018E-3</v>
      </c>
      <c r="E198" s="109">
        <f ca="1">IF(表2_3671626293038912[[#This Row],[累计净值]]/MAX(INDIRECT("B21:B" &amp; ROW()))-1&lt;E197,表2_3671626293038912[[#This Row],[累计净值]]/MAX(INDIRECT("B21:B" &amp; ROW()))-1,E197)</f>
        <v>-3.8655622203179973E-2</v>
      </c>
      <c r="F198" s="110">
        <f>表2_3671626293038912[[#This Row],[累计净值]]</f>
        <v>1.07</v>
      </c>
      <c r="G198" s="20">
        <f>表2_3671626293038912[[#This Row],[累计净值]]/$B$21-1</f>
        <v>6.9251523933246961E-2</v>
      </c>
    </row>
    <row r="199" spans="1:7">
      <c r="A199" s="15">
        <v>44068</v>
      </c>
      <c r="B199" s="112">
        <v>1.0688</v>
      </c>
      <c r="C199" s="108">
        <f t="shared" si="54"/>
        <v>-1.2000000000000899E-3</v>
      </c>
      <c r="D199" s="109">
        <f t="shared" si="55"/>
        <v>-1.2000000000000899E-3</v>
      </c>
      <c r="E199" s="109">
        <f ca="1">IF(表2_3671626293038912[[#This Row],[累计净值]]/MAX(INDIRECT("B21:B" &amp; ROW()))-1&lt;E198,表2_3671626293038912[[#This Row],[累计净值]]/MAX(INDIRECT("B21:B" &amp; ROW()))-1,E198)</f>
        <v>-3.8655622203179973E-2</v>
      </c>
      <c r="F199" s="110">
        <f>表2_3671626293038912[[#This Row],[累计净值]]</f>
        <v>1.0688</v>
      </c>
      <c r="G199" s="20">
        <f>表2_3671626293038912[[#This Row],[累计净值]]/$B$21-1</f>
        <v>6.8052363345658007E-2</v>
      </c>
    </row>
    <row r="200" spans="1:7">
      <c r="A200" s="15">
        <v>44069</v>
      </c>
      <c r="B200" s="112">
        <v>1.0706</v>
      </c>
      <c r="C200" s="108">
        <f t="shared" si="54"/>
        <v>1.8000000000000238E-3</v>
      </c>
      <c r="D200" s="109" t="str">
        <f t="shared" si="55"/>
        <v>/</v>
      </c>
      <c r="E200" s="109">
        <f ca="1">IF(表2_3671626293038912[[#This Row],[累计净值]]/MAX(INDIRECT("B21:B" &amp; ROW()))-1&lt;E199,表2_3671626293038912[[#This Row],[累计净值]]/MAX(INDIRECT("B21:B" &amp; ROW()))-1,E199)</f>
        <v>-3.8655622203179973E-2</v>
      </c>
      <c r="F200" s="110">
        <f>表2_3671626293038912[[#This Row],[累计净值]]</f>
        <v>1.0706</v>
      </c>
      <c r="G200" s="20">
        <f>表2_3671626293038912[[#This Row],[累计净值]]/$B$21-1</f>
        <v>6.9851104227041105E-2</v>
      </c>
    </row>
    <row r="201" spans="1:7">
      <c r="A201" s="15">
        <v>44070</v>
      </c>
      <c r="B201" s="112">
        <v>1.0725</v>
      </c>
      <c r="C201" s="108">
        <f t="shared" si="54"/>
        <v>1.9000000000000128E-3</v>
      </c>
      <c r="D201" s="109" t="str">
        <f t="shared" si="55"/>
        <v>/</v>
      </c>
      <c r="E201" s="109">
        <f ca="1">IF(表2_3671626293038912[[#This Row],[累计净值]]/MAX(INDIRECT("B21:B" &amp; ROW()))-1&lt;E200,表2_3671626293038912[[#This Row],[累计净值]]/MAX(INDIRECT("B21:B" &amp; ROW()))-1,E200)</f>
        <v>-3.8655622203179973E-2</v>
      </c>
      <c r="F201" s="110">
        <f>表2_3671626293038912[[#This Row],[累计净值]]</f>
        <v>1.0725</v>
      </c>
      <c r="G201" s="20">
        <f>表2_3671626293038912[[#This Row],[累计净值]]/$B$21-1</f>
        <v>7.1749775157389895E-2</v>
      </c>
    </row>
    <row r="202" spans="1:7">
      <c r="A202" s="15">
        <v>44071</v>
      </c>
      <c r="B202" s="112">
        <v>1.0720000000000001</v>
      </c>
      <c r="C202" s="108">
        <f t="shared" si="54"/>
        <v>-4.9999999999994493E-4</v>
      </c>
      <c r="D202" s="109">
        <f t="shared" si="55"/>
        <v>-4.9999999999994493E-4</v>
      </c>
      <c r="E202" s="109">
        <f ca="1">IF(表2_3671626293038912[[#This Row],[累计净值]]/MAX(INDIRECT("B21:B" &amp; ROW()))-1&lt;E201,表2_3671626293038912[[#This Row],[累计净值]]/MAX(INDIRECT("B21:B" &amp; ROW()))-1,E201)</f>
        <v>-3.8655622203179973E-2</v>
      </c>
      <c r="F202" s="110">
        <f>表2_3671626293038912[[#This Row],[累计净值]]</f>
        <v>1.0720000000000001</v>
      </c>
      <c r="G202" s="20">
        <f>表2_3671626293038912[[#This Row],[累计净值]]/$B$21-1</f>
        <v>7.1250124912561441E-2</v>
      </c>
    </row>
    <row r="203" spans="1:7">
      <c r="A203" s="15">
        <v>44074</v>
      </c>
      <c r="B203" s="112">
        <v>1.0744</v>
      </c>
      <c r="C203" s="108">
        <f t="shared" ref="C203:C208" si="56">IFERROR(B203-B202,0)</f>
        <v>2.3999999999999577E-3</v>
      </c>
      <c r="D203" s="109" t="str">
        <f t="shared" ref="D203:D208" si="57">IF(C203&lt;0,C203,"/")</f>
        <v>/</v>
      </c>
      <c r="E203" s="109">
        <f ca="1">IF(表2_3671626293038912[[#This Row],[累计净值]]/MAX(INDIRECT("B21:B" &amp; ROW()))-1&lt;E202,表2_3671626293038912[[#This Row],[累计净值]]/MAX(INDIRECT("B21:B" &amp; ROW()))-1,E202)</f>
        <v>-3.8655622203179973E-2</v>
      </c>
      <c r="F203" s="110">
        <f>表2_3671626293038912[[#This Row],[累计净值]]</f>
        <v>1.0744</v>
      </c>
      <c r="G203" s="20">
        <f>表2_3671626293038912[[#This Row],[累计净值]]/$B$21-1</f>
        <v>7.3648446087738684E-2</v>
      </c>
    </row>
    <row r="204" spans="1:7">
      <c r="A204" s="15">
        <v>44075</v>
      </c>
      <c r="B204" s="112">
        <v>1.0758000000000001</v>
      </c>
      <c r="C204" s="108">
        <f t="shared" si="56"/>
        <v>1.4000000000000679E-3</v>
      </c>
      <c r="D204" s="109" t="str">
        <f t="shared" si="57"/>
        <v>/</v>
      </c>
      <c r="E204" s="109">
        <f ca="1">IF(表2_3671626293038912[[#This Row],[累计净值]]/MAX(INDIRECT("B21:B" &amp; ROW()))-1&lt;E203,表2_3671626293038912[[#This Row],[累计净值]]/MAX(INDIRECT("B21:B" &amp; ROW()))-1,E203)</f>
        <v>-3.8655622203179973E-2</v>
      </c>
      <c r="F204" s="110">
        <f>表2_3671626293038912[[#This Row],[累计净值]]</f>
        <v>1.0758000000000001</v>
      </c>
      <c r="G204" s="20">
        <f>表2_3671626293038912[[#This Row],[累计净值]]/$B$21-1</f>
        <v>7.5047466773258797E-2</v>
      </c>
    </row>
    <row r="205" spans="1:7">
      <c r="A205" s="15">
        <v>44076</v>
      </c>
      <c r="B205" s="112">
        <v>1.0742</v>
      </c>
      <c r="C205" s="108">
        <f t="shared" si="56"/>
        <v>-1.6000000000000458E-3</v>
      </c>
      <c r="D205" s="109">
        <f t="shared" si="57"/>
        <v>-1.6000000000000458E-3</v>
      </c>
      <c r="E205" s="109">
        <f ca="1">IF(表2_3671626293038912[[#This Row],[累计净值]]/MAX(INDIRECT("B21:B" &amp; ROW()))-1&lt;E204,表2_3671626293038912[[#This Row],[累计净值]]/MAX(INDIRECT("B21:B" &amp; ROW()))-1,E204)</f>
        <v>-3.8655622203179973E-2</v>
      </c>
      <c r="F205" s="110">
        <f>表2_3671626293038912[[#This Row],[累计净值]]</f>
        <v>1.0742</v>
      </c>
      <c r="G205" s="20">
        <f>表2_3671626293038912[[#This Row],[累计净值]]/$B$21-1</f>
        <v>7.3448585989807302E-2</v>
      </c>
    </row>
    <row r="206" spans="1:7">
      <c r="A206" s="15">
        <v>44077</v>
      </c>
      <c r="B206" s="112">
        <v>1.0746</v>
      </c>
      <c r="C206" s="108">
        <f t="shared" si="56"/>
        <v>3.9999999999995595E-4</v>
      </c>
      <c r="D206" s="109" t="str">
        <f t="shared" si="57"/>
        <v>/</v>
      </c>
      <c r="E206" s="109">
        <f ca="1">IF(表2_3671626293038912[[#This Row],[累计净值]]/MAX(INDIRECT("B21:B" &amp; ROW()))-1&lt;E205,表2_3671626293038912[[#This Row],[累计净值]]/MAX(INDIRECT("B21:B" &amp; ROW()))-1,E205)</f>
        <v>-3.8655622203179973E-2</v>
      </c>
      <c r="F206" s="110">
        <f>表2_3671626293038912[[#This Row],[累计净值]]</f>
        <v>1.0746</v>
      </c>
      <c r="G206" s="20">
        <f>表2_3671626293038912[[#This Row],[累计净值]]/$B$21-1</f>
        <v>7.3848306185670065E-2</v>
      </c>
    </row>
    <row r="207" spans="1:7">
      <c r="A207" s="15">
        <v>44078</v>
      </c>
      <c r="B207" s="112">
        <v>1.0729</v>
      </c>
      <c r="C207" s="108">
        <f t="shared" si="56"/>
        <v>-1.7000000000000348E-3</v>
      </c>
      <c r="D207" s="109">
        <f t="shared" si="57"/>
        <v>-1.7000000000000348E-3</v>
      </c>
      <c r="E207" s="109">
        <f ca="1">IF(表2_3671626293038912[[#This Row],[累计净值]]/MAX(INDIRECT("B21:B" &amp; ROW()))-1&lt;E206,表2_3671626293038912[[#This Row],[累计净值]]/MAX(INDIRECT("B21:B" &amp; ROW()))-1,E206)</f>
        <v>-3.8655622203179973E-2</v>
      </c>
      <c r="F207" s="110">
        <f>表2_3671626293038912[[#This Row],[累计净值]]</f>
        <v>1.0729</v>
      </c>
      <c r="G207" s="20">
        <f>表2_3671626293038912[[#This Row],[累计净值]]/$B$21-1</f>
        <v>7.2149495353252879E-2</v>
      </c>
    </row>
    <row r="208" spans="1:7">
      <c r="A208" s="15">
        <v>44081</v>
      </c>
      <c r="B208" s="112">
        <v>1.0717000000000001</v>
      </c>
      <c r="C208" s="108">
        <f t="shared" si="56"/>
        <v>-1.1999999999998678E-3</v>
      </c>
      <c r="D208" s="109">
        <f t="shared" si="57"/>
        <v>-1.1999999999998678E-3</v>
      </c>
      <c r="E208" s="109">
        <f ca="1">IF(表2_3671626293038912[[#This Row],[累计净值]]/MAX(INDIRECT("B21:B" &amp; ROW()))-1&lt;E207,表2_3671626293038912[[#This Row],[累计净值]]/MAX(INDIRECT("B21:B" &amp; ROW()))-1,E207)</f>
        <v>-3.8655622203179973E-2</v>
      </c>
      <c r="F208" s="110">
        <f>表2_3671626293038912[[#This Row],[累计净值]]</f>
        <v>1.0717000000000001</v>
      </c>
      <c r="G208" s="20">
        <f>表2_3671626293038912[[#This Row],[累计净值]]/$B$21-1</f>
        <v>7.0950334765664147E-2</v>
      </c>
    </row>
    <row r="209" spans="1:7">
      <c r="A209" s="15">
        <v>44082</v>
      </c>
      <c r="B209" s="113">
        <v>1.0724</v>
      </c>
      <c r="C209" s="108">
        <f t="shared" ref="C209:C214" si="58">IFERROR(B209-B208,0)</f>
        <v>6.9999999999992291E-4</v>
      </c>
      <c r="D209" s="109" t="str">
        <f t="shared" ref="D209:D214" si="59">IF(C209&lt;0,C209,"/")</f>
        <v>/</v>
      </c>
      <c r="E209" s="109">
        <f ca="1">IF(表2_3671626293038912[[#This Row],[累计净值]]/MAX(INDIRECT("B21:B" &amp; ROW()))-1&lt;E208,表2_3671626293038912[[#This Row],[累计净值]]/MAX(INDIRECT("B21:B" &amp; ROW()))-1,E208)</f>
        <v>-3.8655622203179973E-2</v>
      </c>
      <c r="F209" s="110">
        <f>表2_3671626293038912[[#This Row],[累计净值]]</f>
        <v>1.0724</v>
      </c>
      <c r="G209" s="20">
        <f>表2_3671626293038912[[#This Row],[累计净值]]/$B$21-1</f>
        <v>7.1649845108424204E-2</v>
      </c>
    </row>
    <row r="210" spans="1:7">
      <c r="A210" s="15">
        <v>44083</v>
      </c>
      <c r="B210" s="113">
        <v>1.0696000000000001</v>
      </c>
      <c r="C210" s="108">
        <f t="shared" si="58"/>
        <v>-2.7999999999999137E-3</v>
      </c>
      <c r="D210" s="109">
        <f t="shared" si="59"/>
        <v>-2.7999999999999137E-3</v>
      </c>
      <c r="E210" s="109">
        <f ca="1">IF(表2_3671626293038912[[#This Row],[累计净值]]/MAX(INDIRECT("B21:B" &amp; ROW()))-1&lt;E209,表2_3671626293038912[[#This Row],[累计净值]]/MAX(INDIRECT("B21:B" &amp; ROW()))-1,E209)</f>
        <v>-3.8655622203179973E-2</v>
      </c>
      <c r="F210" s="110">
        <f>表2_3671626293038912[[#This Row],[累计净值]]</f>
        <v>1.0696000000000001</v>
      </c>
      <c r="G210" s="20">
        <f>表2_3671626293038912[[#This Row],[累计净值]]/$B$21-1</f>
        <v>6.8851803737383976E-2</v>
      </c>
    </row>
    <row r="211" spans="1:7">
      <c r="A211" s="15">
        <v>44084</v>
      </c>
      <c r="B211" s="113">
        <v>1.0692999999999999</v>
      </c>
      <c r="C211" s="108">
        <f t="shared" si="58"/>
        <v>-3.00000000000189E-4</v>
      </c>
      <c r="D211" s="109">
        <f t="shared" si="59"/>
        <v>-3.00000000000189E-4</v>
      </c>
      <c r="E211" s="109">
        <f ca="1">IF(表2_3671626293038912[[#This Row],[累计净值]]/MAX(INDIRECT("B21:B" &amp; ROW()))-1&lt;E210,表2_3671626293038912[[#This Row],[累计净值]]/MAX(INDIRECT("B21:B" &amp; ROW()))-1,E210)</f>
        <v>-3.8655622203179973E-2</v>
      </c>
      <c r="F211" s="110">
        <f>表2_3671626293038912[[#This Row],[累计净值]]</f>
        <v>1.0692999999999999</v>
      </c>
      <c r="G211" s="20">
        <f>表2_3671626293038912[[#This Row],[累计净值]]/$B$21-1</f>
        <v>6.8552013590486682E-2</v>
      </c>
    </row>
    <row r="212" spans="1:7">
      <c r="A212" s="15">
        <v>44085</v>
      </c>
      <c r="B212" s="113">
        <v>1.0723</v>
      </c>
      <c r="C212" s="108">
        <f t="shared" si="58"/>
        <v>3.0000000000001137E-3</v>
      </c>
      <c r="D212" s="109" t="str">
        <f t="shared" si="59"/>
        <v>/</v>
      </c>
      <c r="E212" s="109">
        <f ca="1">IF(表2_3671626293038912[[#This Row],[累计净值]]/MAX(INDIRECT("B21:B" &amp; ROW()))-1&lt;E211,表2_3671626293038912[[#This Row],[累计净值]]/MAX(INDIRECT("B21:B" &amp; ROW()))-1,E211)</f>
        <v>-3.8655622203179973E-2</v>
      </c>
      <c r="F212" s="110">
        <f>表2_3671626293038912[[#This Row],[累计净值]]</f>
        <v>1.0723</v>
      </c>
      <c r="G212" s="20">
        <f>表2_3671626293038912[[#This Row],[累计净值]]/$B$21-1</f>
        <v>7.1549915059458513E-2</v>
      </c>
    </row>
    <row r="213" spans="1:7">
      <c r="A213" s="15">
        <v>44088</v>
      </c>
      <c r="B213" s="112">
        <v>1.0737000000000001</v>
      </c>
      <c r="C213" s="108">
        <f t="shared" si="58"/>
        <v>1.4000000000000679E-3</v>
      </c>
      <c r="D213" s="109" t="str">
        <f t="shared" si="59"/>
        <v>/</v>
      </c>
      <c r="E213" s="109">
        <f ca="1">IF(表2_3671626293038912[[#This Row],[累计净值]]/MAX(INDIRECT("B21:B" &amp; ROW()))-1&lt;E212,表2_3671626293038912[[#This Row],[累计净值]]/MAX(INDIRECT("B21:B" &amp; ROW()))-1,E212)</f>
        <v>-3.8655622203179973E-2</v>
      </c>
      <c r="F213" s="110">
        <f>表2_3671626293038912[[#This Row],[累计净值]]</f>
        <v>1.0737000000000001</v>
      </c>
      <c r="G213" s="20">
        <f>表2_3671626293038912[[#This Row],[累计净值]]/$B$21-1</f>
        <v>7.2948935744978627E-2</v>
      </c>
    </row>
    <row r="214" spans="1:7">
      <c r="A214" s="15">
        <v>44089</v>
      </c>
      <c r="B214" s="112">
        <v>1.0748</v>
      </c>
      <c r="C214" s="108">
        <f t="shared" si="58"/>
        <v>1.0999999999998789E-3</v>
      </c>
      <c r="D214" s="109" t="str">
        <f t="shared" si="59"/>
        <v>/</v>
      </c>
      <c r="E214" s="109">
        <f ca="1">IF(表2_3671626293038912[[#This Row],[累计净值]]/MAX(INDIRECT("B21:B" &amp; ROW()))-1&lt;E213,表2_3671626293038912[[#This Row],[累计净值]]/MAX(INDIRECT("B21:B" &amp; ROW()))-1,E213)</f>
        <v>-3.8655622203179973E-2</v>
      </c>
      <c r="F214" s="110">
        <f>表2_3671626293038912[[#This Row],[累计净值]]</f>
        <v>1.0748</v>
      </c>
      <c r="G214" s="20">
        <f>表2_3671626293038912[[#This Row],[累计净值]]/$B$21-1</f>
        <v>7.4048166283601446E-2</v>
      </c>
    </row>
    <row r="215" spans="1:7">
      <c r="A215" s="15">
        <v>44090</v>
      </c>
      <c r="B215" s="112">
        <v>1.0752999999999999</v>
      </c>
      <c r="C215" s="108">
        <f t="shared" ref="C215:C220" si="60">IFERROR(B215-B214,0)</f>
        <v>4.9999999999994493E-4</v>
      </c>
      <c r="D215" s="109" t="str">
        <f t="shared" ref="D215:D220" si="61">IF(C215&lt;0,C215,"/")</f>
        <v>/</v>
      </c>
      <c r="E215" s="109">
        <f ca="1">IF(表2_3671626293038912[[#This Row],[累计净值]]/MAX(INDIRECT("B21:B" &amp; ROW()))-1&lt;E214,表2_3671626293038912[[#This Row],[累计净值]]/MAX(INDIRECT("B21:B" &amp; ROW()))-1,E214)</f>
        <v>-3.8655622203179973E-2</v>
      </c>
      <c r="F215" s="110">
        <f>表2_3671626293038912[[#This Row],[累计净值]]</f>
        <v>1.0752999999999999</v>
      </c>
      <c r="G215" s="20">
        <f>表2_3671626293038912[[#This Row],[累计净值]]/$B$21-1</f>
        <v>7.4547816528430122E-2</v>
      </c>
    </row>
    <row r="216" spans="1:7">
      <c r="A216" s="15">
        <v>44091</v>
      </c>
      <c r="B216" s="112">
        <v>1.0759000000000001</v>
      </c>
      <c r="C216" s="108">
        <f t="shared" si="60"/>
        <v>6.0000000000015596E-4</v>
      </c>
      <c r="D216" s="109" t="str">
        <f t="shared" si="61"/>
        <v>/</v>
      </c>
      <c r="E216" s="109">
        <f ca="1">IF(表2_3671626293038912[[#This Row],[累计净值]]/MAX(INDIRECT("B21:B" &amp; ROW()))-1&lt;E215,表2_3671626293038912[[#This Row],[累计净值]]/MAX(INDIRECT("B21:B" &amp; ROW()))-1,E215)</f>
        <v>-3.8655622203179973E-2</v>
      </c>
      <c r="F216" s="110">
        <f>表2_3671626293038912[[#This Row],[累计净值]]</f>
        <v>1.0759000000000001</v>
      </c>
      <c r="G216" s="20">
        <f>表2_3671626293038912[[#This Row],[累计净值]]/$B$21-1</f>
        <v>7.514739682222471E-2</v>
      </c>
    </row>
    <row r="217" spans="1:7">
      <c r="A217" s="15">
        <v>44092</v>
      </c>
      <c r="B217" s="112">
        <v>1.0753999999999999</v>
      </c>
      <c r="C217" s="108">
        <f t="shared" si="60"/>
        <v>-5.0000000000016698E-4</v>
      </c>
      <c r="D217" s="109">
        <f t="shared" si="61"/>
        <v>-5.0000000000016698E-4</v>
      </c>
      <c r="E217" s="109">
        <f ca="1">IF(表2_3671626293038912[[#This Row],[累计净值]]/MAX(INDIRECT("B21:B" &amp; ROW()))-1&lt;E216,表2_3671626293038912[[#This Row],[累计净值]]/MAX(INDIRECT("B21:B" &amp; ROW()))-1,E216)</f>
        <v>-3.8655622203179973E-2</v>
      </c>
      <c r="F217" s="110">
        <f>表2_3671626293038912[[#This Row],[累计净值]]</f>
        <v>1.0753999999999999</v>
      </c>
      <c r="G217" s="20">
        <f>表2_3671626293038912[[#This Row],[累计净值]]/$B$21-1</f>
        <v>7.4647746577395813E-2</v>
      </c>
    </row>
    <row r="218" spans="1:7">
      <c r="A218" s="15">
        <v>44095</v>
      </c>
      <c r="B218" s="112">
        <v>1.0738000000000001</v>
      </c>
      <c r="C218" s="108">
        <f t="shared" si="60"/>
        <v>-1.5999999999998238E-3</v>
      </c>
      <c r="D218" s="109">
        <f t="shared" si="61"/>
        <v>-1.5999999999998238E-3</v>
      </c>
      <c r="E218" s="109">
        <f ca="1">IF(表2_3671626293038912[[#This Row],[累计净值]]/MAX(INDIRECT("B21:B" &amp; ROW()))-1&lt;E217,表2_3671626293038912[[#This Row],[累计净值]]/MAX(INDIRECT("B21:B" &amp; ROW()))-1,E217)</f>
        <v>-3.8655622203179973E-2</v>
      </c>
      <c r="F218" s="110">
        <f>表2_3671626293038912[[#This Row],[累计净值]]</f>
        <v>1.0738000000000001</v>
      </c>
      <c r="G218" s="20">
        <f>表2_3671626293038912[[#This Row],[累计净值]]/$B$21-1</f>
        <v>7.3048865793944318E-2</v>
      </c>
    </row>
    <row r="219" spans="1:7">
      <c r="A219" s="15">
        <v>44096</v>
      </c>
      <c r="B219" s="112">
        <v>1.0814999999999999</v>
      </c>
      <c r="C219" s="108">
        <f t="shared" si="60"/>
        <v>7.6999999999998181E-3</v>
      </c>
      <c r="D219" s="109" t="str">
        <f t="shared" si="61"/>
        <v>/</v>
      </c>
      <c r="E219" s="109">
        <f ca="1">IF(表2_3671626293038912[[#This Row],[累计净值]]/MAX(INDIRECT("B21:B" &amp; ROW()))-1&lt;E218,表2_3671626293038912[[#This Row],[累计净值]]/MAX(INDIRECT("B21:B" &amp; ROW()))-1,E218)</f>
        <v>-3.8655622203179973E-2</v>
      </c>
      <c r="F219" s="110">
        <f>表2_3671626293038912[[#This Row],[累计净值]]</f>
        <v>1.0814999999999999</v>
      </c>
      <c r="G219" s="20">
        <f>表2_3671626293038912[[#This Row],[累计净值]]/$B$21-1</f>
        <v>8.0743479564304943E-2</v>
      </c>
    </row>
    <row r="220" spans="1:7">
      <c r="A220" s="15">
        <v>44097</v>
      </c>
      <c r="B220" s="112">
        <v>1.0833999999999999</v>
      </c>
      <c r="C220" s="108">
        <f t="shared" si="60"/>
        <v>1.9000000000000128E-3</v>
      </c>
      <c r="D220" s="109" t="str">
        <f t="shared" si="61"/>
        <v>/</v>
      </c>
      <c r="E220" s="109">
        <f ca="1">IF(表2_3671626293038912[[#This Row],[累计净值]]/MAX(INDIRECT("B21:B" &amp; ROW()))-1&lt;E219,表2_3671626293038912[[#This Row],[累计净值]]/MAX(INDIRECT("B21:B" &amp; ROW()))-1,E219)</f>
        <v>-3.8655622203179973E-2</v>
      </c>
      <c r="F220" s="110">
        <f>表2_3671626293038912[[#This Row],[累计净值]]</f>
        <v>1.0833999999999999</v>
      </c>
      <c r="G220" s="20">
        <f>表2_3671626293038912[[#This Row],[累计净值]]/$B$21-1</f>
        <v>8.2642150494653732E-2</v>
      </c>
    </row>
    <row r="221" spans="1:7">
      <c r="A221" s="15">
        <v>44098</v>
      </c>
      <c r="B221" s="112">
        <v>1.0905</v>
      </c>
      <c r="C221" s="108">
        <f>IFERROR(B221-B220,0)</f>
        <v>7.1000000000001062E-3</v>
      </c>
      <c r="D221" s="109" t="str">
        <f>IF(C221&lt;0,C221,"/")</f>
        <v>/</v>
      </c>
      <c r="E221" s="109">
        <f ca="1">IF(表2_3671626293038912[[#This Row],[累计净值]]/MAX(INDIRECT("B21:B" &amp; ROW()))-1&lt;E220,表2_3671626293038912[[#This Row],[累计净值]]/MAX(INDIRECT("B21:B" &amp; ROW()))-1,E220)</f>
        <v>-3.8655622203179973E-2</v>
      </c>
      <c r="F221" s="110">
        <f>表2_3671626293038912[[#This Row],[累计净值]]</f>
        <v>1.0905</v>
      </c>
      <c r="G221" s="20">
        <f>表2_3671626293038912[[#This Row],[累计净值]]/$B$21-1</f>
        <v>8.9737183971220214E-2</v>
      </c>
    </row>
    <row r="222" spans="1:7">
      <c r="A222" s="15">
        <v>44099</v>
      </c>
      <c r="B222" s="112">
        <v>1.0911999999999999</v>
      </c>
      <c r="C222" s="108">
        <f>IFERROR(B222-B221,0)</f>
        <v>6.9999999999992291E-4</v>
      </c>
      <c r="D222" s="109" t="str">
        <f>IF(C222&lt;0,C222,"/")</f>
        <v>/</v>
      </c>
      <c r="E222" s="109">
        <f ca="1">IF(表2_3671626293038912[[#This Row],[累计净值]]/MAX(INDIRECT("B21:B" &amp; ROW()))-1&lt;E221,表2_3671626293038912[[#This Row],[累计净值]]/MAX(INDIRECT("B21:B" &amp; ROW()))-1,E221)</f>
        <v>-3.8655622203179973E-2</v>
      </c>
      <c r="F222" s="110">
        <f>表2_3671626293038912[[#This Row],[累计净值]]</f>
        <v>1.0911999999999999</v>
      </c>
      <c r="G222" s="20">
        <f>表2_3671626293038912[[#This Row],[累计净值]]/$B$21-1</f>
        <v>9.043669431398027E-2</v>
      </c>
    </row>
    <row r="223" spans="1:7">
      <c r="A223" s="15">
        <v>44102</v>
      </c>
      <c r="B223" s="112">
        <v>1.0912999999999999</v>
      </c>
      <c r="C223" s="108">
        <f>IFERROR(B223-B222,0)</f>
        <v>9.9999999999988987E-5</v>
      </c>
      <c r="D223" s="109" t="str">
        <f>IF(C223&lt;0,C223,"/")</f>
        <v>/</v>
      </c>
      <c r="E223" s="109">
        <f ca="1">IF(表2_3671626293038912[[#This Row],[累计净值]]/MAX(INDIRECT("B21:B" &amp; ROW()))-1&lt;E222,表2_3671626293038912[[#This Row],[累计净值]]/MAX(INDIRECT("B21:B" &amp; ROW()))-1,E222)</f>
        <v>-3.8655622203179973E-2</v>
      </c>
      <c r="F223" s="110">
        <f>表2_3671626293038912[[#This Row],[累计净值]]</f>
        <v>1.0912999999999999</v>
      </c>
      <c r="G223" s="20">
        <f>表2_3671626293038912[[#This Row],[累计净值]]/$B$21-1</f>
        <v>9.0536624362945961E-2</v>
      </c>
    </row>
    <row r="224" spans="1:7">
      <c r="A224" s="15">
        <v>44103</v>
      </c>
      <c r="B224" s="112">
        <v>1.0920000000000001</v>
      </c>
      <c r="C224" s="108">
        <f t="shared" ref="C224:C225" si="62">IFERROR(B224-B223,0)</f>
        <v>7.0000000000014495E-4</v>
      </c>
      <c r="D224" s="109" t="str">
        <f t="shared" ref="D224:D225" si="63">IF(C224&lt;0,C224,"/")</f>
        <v>/</v>
      </c>
      <c r="E224" s="109">
        <f ca="1">IF(表2_3671626293038912[[#This Row],[累计净值]]/MAX(INDIRECT("B21:B" &amp; ROW()))-1&lt;E223,表2_3671626293038912[[#This Row],[累计净值]]/MAX(INDIRECT("B21:B" &amp; ROW()))-1,E223)</f>
        <v>-3.8655622203179973E-2</v>
      </c>
      <c r="F224" s="110">
        <f>表2_3671626293038912[[#This Row],[累计净值]]</f>
        <v>1.0920000000000001</v>
      </c>
      <c r="G224" s="20">
        <f>表2_3671626293038912[[#This Row],[累计净值]]/$B$21-1</f>
        <v>9.123613470570624E-2</v>
      </c>
    </row>
    <row r="225" spans="1:7">
      <c r="A225" s="15">
        <v>44104</v>
      </c>
      <c r="B225" s="112">
        <v>1.0960000000000001</v>
      </c>
      <c r="C225" s="108">
        <f t="shared" si="62"/>
        <v>4.0000000000000036E-3</v>
      </c>
      <c r="D225" s="109" t="str">
        <f t="shared" si="63"/>
        <v>/</v>
      </c>
      <c r="E225" s="109">
        <f ca="1">IF(表2_3671626293038912[[#This Row],[累计净值]]/MAX(INDIRECT("B21:B" &amp; ROW()))-1&lt;E224,表2_3671626293038912[[#This Row],[累计净值]]/MAX(INDIRECT("B21:B" &amp; ROW()))-1,E224)</f>
        <v>-3.8655622203179973E-2</v>
      </c>
      <c r="F225" s="110">
        <f>表2_3671626293038912[[#This Row],[累计净值]]</f>
        <v>1.0960000000000001</v>
      </c>
      <c r="G225" s="20">
        <f>表2_3671626293038912[[#This Row],[累计净值]]/$B$21-1</f>
        <v>9.52333366643352E-2</v>
      </c>
    </row>
    <row r="226" spans="1:7">
      <c r="A226" s="15">
        <v>44113</v>
      </c>
      <c r="B226" s="112">
        <v>1.0960000000000001</v>
      </c>
      <c r="C226" s="108">
        <f t="shared" ref="C226:C231" si="64">IFERROR(B226-B225,0)</f>
        <v>0</v>
      </c>
      <c r="D226" s="109" t="str">
        <f t="shared" ref="D226:D231" si="65">IF(C226&lt;0,C226,"/")</f>
        <v>/</v>
      </c>
      <c r="E226" s="109">
        <f ca="1">IF(表2_3671626293038912[[#This Row],[累计净值]]/MAX(INDIRECT("B21:B" &amp; ROW()))-1&lt;E225,表2_3671626293038912[[#This Row],[累计净值]]/MAX(INDIRECT("B21:B" &amp; ROW()))-1,E225)</f>
        <v>-3.8655622203179973E-2</v>
      </c>
      <c r="F226" s="110">
        <f>表2_3671626293038912[[#This Row],[累计净值]]</f>
        <v>1.0960000000000001</v>
      </c>
      <c r="G226" s="20">
        <f>表2_3671626293038912[[#This Row],[累计净值]]/$B$21-1</f>
        <v>9.52333366643352E-2</v>
      </c>
    </row>
    <row r="227" spans="1:7">
      <c r="A227" s="15">
        <v>44116</v>
      </c>
      <c r="B227" s="112">
        <v>1.0960000000000001</v>
      </c>
      <c r="C227" s="108">
        <f t="shared" si="64"/>
        <v>0</v>
      </c>
      <c r="D227" s="109" t="str">
        <f t="shared" si="65"/>
        <v>/</v>
      </c>
      <c r="E227" s="109">
        <f ca="1">IF(表2_3671626293038912[[#This Row],[累计净值]]/MAX(INDIRECT("B21:B" &amp; ROW()))-1&lt;E226,表2_3671626293038912[[#This Row],[累计净值]]/MAX(INDIRECT("B21:B" &amp; ROW()))-1,E226)</f>
        <v>-3.8655622203179973E-2</v>
      </c>
      <c r="F227" s="110">
        <f>表2_3671626293038912[[#This Row],[累计净值]]</f>
        <v>1.0960000000000001</v>
      </c>
      <c r="G227" s="20">
        <f>表2_3671626293038912[[#This Row],[累计净值]]/$B$21-1</f>
        <v>9.52333366643352E-2</v>
      </c>
    </row>
    <row r="228" spans="1:7">
      <c r="A228" s="15">
        <v>44117</v>
      </c>
      <c r="B228" s="112">
        <v>1.0960000000000001</v>
      </c>
      <c r="C228" s="108">
        <f t="shared" si="64"/>
        <v>0</v>
      </c>
      <c r="D228" s="109" t="str">
        <f t="shared" si="65"/>
        <v>/</v>
      </c>
      <c r="E228" s="109">
        <f ca="1">IF(表2_3671626293038912[[#This Row],[累计净值]]/MAX(INDIRECT("B21:B" &amp; ROW()))-1&lt;E227,表2_3671626293038912[[#This Row],[累计净值]]/MAX(INDIRECT("B21:B" &amp; ROW()))-1,E227)</f>
        <v>-3.8655622203179973E-2</v>
      </c>
      <c r="F228" s="110">
        <f>表2_3671626293038912[[#This Row],[累计净值]]</f>
        <v>1.0960000000000001</v>
      </c>
      <c r="G228" s="20">
        <f>表2_3671626293038912[[#This Row],[累计净值]]/$B$21-1</f>
        <v>9.52333366643352E-2</v>
      </c>
    </row>
    <row r="229" spans="1:7">
      <c r="A229" s="15">
        <v>44118</v>
      </c>
      <c r="B229" s="112">
        <v>1.0960000000000001</v>
      </c>
      <c r="C229" s="108">
        <f t="shared" si="64"/>
        <v>0</v>
      </c>
      <c r="D229" s="109" t="str">
        <f t="shared" si="65"/>
        <v>/</v>
      </c>
      <c r="E229" s="109">
        <f ca="1">IF(表2_3671626293038912[[#This Row],[累计净值]]/MAX(INDIRECT("B21:B" &amp; ROW()))-1&lt;E228,表2_3671626293038912[[#This Row],[累计净值]]/MAX(INDIRECT("B21:B" &amp; ROW()))-1,E228)</f>
        <v>-3.8655622203179973E-2</v>
      </c>
      <c r="F229" s="110">
        <f>表2_3671626293038912[[#This Row],[累计净值]]</f>
        <v>1.0960000000000001</v>
      </c>
      <c r="G229" s="20">
        <f>表2_3671626293038912[[#This Row],[累计净值]]/$B$21-1</f>
        <v>9.52333366643352E-2</v>
      </c>
    </row>
    <row r="230" spans="1:7">
      <c r="A230" s="15">
        <v>44119</v>
      </c>
      <c r="B230" s="112">
        <v>1.0959000000000001</v>
      </c>
      <c r="C230" s="108">
        <f t="shared" si="64"/>
        <v>-9.9999999999988987E-5</v>
      </c>
      <c r="D230" s="109">
        <f t="shared" si="65"/>
        <v>-9.9999999999988987E-5</v>
      </c>
      <c r="E230" s="109">
        <f ca="1">IF(表2_3671626293038912[[#This Row],[累计净值]]/MAX(INDIRECT("B21:B" &amp; ROW()))-1&lt;E229,表2_3671626293038912[[#This Row],[累计净值]]/MAX(INDIRECT("B21:B" &amp; ROW()))-1,E229)</f>
        <v>-3.8655622203179973E-2</v>
      </c>
      <c r="F230" s="110">
        <f>表2_3671626293038912[[#This Row],[累计净值]]</f>
        <v>1.0959000000000001</v>
      </c>
      <c r="G230" s="20">
        <f>表2_3671626293038912[[#This Row],[累计净值]]/$B$21-1</f>
        <v>9.5133406615369509E-2</v>
      </c>
    </row>
    <row r="231" spans="1:7">
      <c r="A231" s="15">
        <v>44120</v>
      </c>
      <c r="B231" s="112">
        <v>1.0920000000000001</v>
      </c>
      <c r="C231" s="108">
        <f t="shared" si="64"/>
        <v>-3.9000000000000146E-3</v>
      </c>
      <c r="D231" s="109">
        <f t="shared" si="65"/>
        <v>-3.9000000000000146E-3</v>
      </c>
      <c r="E231" s="109">
        <f ca="1">IF(表2_3671626293038912[[#This Row],[累计净值]]/MAX(INDIRECT("B21:B" &amp; ROW()))-1&lt;E230,表2_3671626293038912[[#This Row],[累计净值]]/MAX(INDIRECT("B21:B" &amp; ROW()))-1,E230)</f>
        <v>-3.8655622203179973E-2</v>
      </c>
      <c r="F231" s="110">
        <f>表2_3671626293038912[[#This Row],[累计净值]]</f>
        <v>1.0920000000000001</v>
      </c>
      <c r="G231" s="20">
        <f>表2_3671626293038912[[#This Row],[累计净值]]/$B$21-1</f>
        <v>9.123613470570624E-2</v>
      </c>
    </row>
    <row r="232" spans="1:7">
      <c r="A232" s="15">
        <v>44123</v>
      </c>
      <c r="B232" s="112">
        <v>1.0920000000000001</v>
      </c>
      <c r="C232" s="108">
        <f t="shared" ref="C232:C237" si="66">IFERROR(B232-B231,0)</f>
        <v>0</v>
      </c>
      <c r="D232" s="109" t="str">
        <f t="shared" ref="D232:D237" si="67">IF(C232&lt;0,C232,"/")</f>
        <v>/</v>
      </c>
      <c r="E232" s="109">
        <f ca="1">IF(表2_3671626293038912[[#This Row],[累计净值]]/MAX(INDIRECT("B21:B" &amp; ROW()))-1&lt;E231,表2_3671626293038912[[#This Row],[累计净值]]/MAX(INDIRECT("B21:B" &amp; ROW()))-1,E231)</f>
        <v>-3.8655622203179973E-2</v>
      </c>
      <c r="F232" s="110">
        <f>表2_3671626293038912[[#This Row],[累计净值]]</f>
        <v>1.0920000000000001</v>
      </c>
      <c r="G232" s="20">
        <f>表2_3671626293038912[[#This Row],[累计净值]]/$B$21-1</f>
        <v>9.123613470570624E-2</v>
      </c>
    </row>
    <row r="233" spans="1:7">
      <c r="A233" s="15">
        <v>44124</v>
      </c>
      <c r="B233" s="112">
        <v>1.0919000000000001</v>
      </c>
      <c r="C233" s="108">
        <f t="shared" si="66"/>
        <v>-9.9999999999988987E-5</v>
      </c>
      <c r="D233" s="109">
        <f t="shared" si="67"/>
        <v>-9.9999999999988987E-5</v>
      </c>
      <c r="E233" s="109">
        <f ca="1">IF(表2_3671626293038912[[#This Row],[累计净值]]/MAX(INDIRECT("B21:B" &amp; ROW()))-1&lt;E232,表2_3671626293038912[[#This Row],[累计净值]]/MAX(INDIRECT("B21:B" &amp; ROW()))-1,E232)</f>
        <v>-3.8655622203179973E-2</v>
      </c>
      <c r="F233" s="110">
        <f>表2_3671626293038912[[#This Row],[累计净值]]</f>
        <v>1.0919000000000001</v>
      </c>
      <c r="G233" s="20">
        <f>表2_3671626293038912[[#This Row],[累计净值]]/$B$21-1</f>
        <v>9.1136204656740549E-2</v>
      </c>
    </row>
    <row r="234" spans="1:7">
      <c r="A234" s="15">
        <v>44125</v>
      </c>
      <c r="B234" s="112">
        <v>1.0927</v>
      </c>
      <c r="C234" s="108">
        <f t="shared" si="66"/>
        <v>7.9999999999991189E-4</v>
      </c>
      <c r="D234" s="109" t="str">
        <f t="shared" si="67"/>
        <v>/</v>
      </c>
      <c r="E234" s="109">
        <f ca="1">IF(表2_3671626293038912[[#This Row],[累计净值]]/MAX(INDIRECT("B21:B" &amp; ROW()))-1&lt;E233,表2_3671626293038912[[#This Row],[累计净值]]/MAX(INDIRECT("B21:B" &amp; ROW()))-1,E233)</f>
        <v>-3.8655622203179973E-2</v>
      </c>
      <c r="F234" s="110">
        <f>表2_3671626293038912[[#This Row],[累计净值]]</f>
        <v>1.0927</v>
      </c>
      <c r="G234" s="20">
        <f>表2_3671626293038912[[#This Row],[累计净值]]/$B$21-1</f>
        <v>9.1935645048466075E-2</v>
      </c>
    </row>
    <row r="235" spans="1:7">
      <c r="A235" s="15">
        <v>44126</v>
      </c>
      <c r="B235" s="112">
        <v>1.0919000000000001</v>
      </c>
      <c r="C235" s="108">
        <f t="shared" si="66"/>
        <v>-7.9999999999991189E-4</v>
      </c>
      <c r="D235" s="109">
        <f t="shared" si="67"/>
        <v>-7.9999999999991189E-4</v>
      </c>
      <c r="E235" s="109">
        <f ca="1">IF(表2_3671626293038912[[#This Row],[累计净值]]/MAX(INDIRECT("B21:B" &amp; ROW()))-1&lt;E234,表2_3671626293038912[[#This Row],[累计净值]]/MAX(INDIRECT("B21:B" &amp; ROW()))-1,E234)</f>
        <v>-3.8655622203179973E-2</v>
      </c>
      <c r="F235" s="110">
        <f>表2_3671626293038912[[#This Row],[累计净值]]</f>
        <v>1.0919000000000001</v>
      </c>
      <c r="G235" s="20">
        <f>表2_3671626293038912[[#This Row],[累计净值]]/$B$21-1</f>
        <v>9.1136204656740549E-2</v>
      </c>
    </row>
    <row r="236" spans="1:7">
      <c r="A236" s="15">
        <v>44127</v>
      </c>
      <c r="B236" s="112">
        <v>1.0843</v>
      </c>
      <c r="C236" s="108">
        <f t="shared" si="66"/>
        <v>-7.6000000000000512E-3</v>
      </c>
      <c r="D236" s="109">
        <f t="shared" si="67"/>
        <v>-7.6000000000000512E-3</v>
      </c>
      <c r="E236" s="109">
        <f ca="1">IF(表2_3671626293038912[[#This Row],[累计净值]]/MAX(INDIRECT("B21:B" &amp; ROW()))-1&lt;E235,表2_3671626293038912[[#This Row],[累计净值]]/MAX(INDIRECT("B21:B" &amp; ROW()))-1,E235)</f>
        <v>-3.8655622203179973E-2</v>
      </c>
      <c r="F236" s="110">
        <f>表2_3671626293038912[[#This Row],[累计净值]]</f>
        <v>1.0843</v>
      </c>
      <c r="G236" s="20">
        <f>表2_3671626293038912[[#This Row],[累计净值]]/$B$21-1</f>
        <v>8.3541520935345392E-2</v>
      </c>
    </row>
    <row r="237" spans="1:7">
      <c r="A237" s="15">
        <v>44130</v>
      </c>
      <c r="B237" s="112">
        <v>1.0858000000000001</v>
      </c>
      <c r="C237" s="108">
        <f t="shared" si="66"/>
        <v>1.5000000000000568E-3</v>
      </c>
      <c r="D237" s="109" t="str">
        <f t="shared" si="67"/>
        <v>/</v>
      </c>
      <c r="E237" s="109">
        <f ca="1">IF(表2_3671626293038912[[#This Row],[累计净值]]/MAX(INDIRECT("B21:B" &amp; ROW()))-1&lt;E236,表2_3671626293038912[[#This Row],[累计净值]]/MAX(INDIRECT("B21:B" &amp; ROW()))-1,E236)</f>
        <v>-3.8655622203179973E-2</v>
      </c>
      <c r="F237" s="110">
        <f>表2_3671626293038912[[#This Row],[累计净值]]</f>
        <v>1.0858000000000001</v>
      </c>
      <c r="G237" s="20">
        <f>表2_3671626293038912[[#This Row],[累计净值]]/$B$21-1</f>
        <v>8.5040471669831197E-2</v>
      </c>
    </row>
    <row r="238" spans="1:7">
      <c r="A238" s="15">
        <v>44131</v>
      </c>
      <c r="B238" s="112">
        <v>1.0863</v>
      </c>
      <c r="C238" s="108">
        <f>IFERROR(B238-B237,0)</f>
        <v>4.9999999999994493E-4</v>
      </c>
      <c r="D238" s="109" t="str">
        <f>IF(C238&lt;0,C238,"/")</f>
        <v>/</v>
      </c>
      <c r="E238" s="109">
        <f ca="1">IF(表2_3671626293038912[[#This Row],[累计净值]]/MAX(INDIRECT("B21:B" &amp; ROW()))-1&lt;E237,表2_3671626293038912[[#This Row],[累计净值]]/MAX(INDIRECT("B21:B" &amp; ROW()))-1,E237)</f>
        <v>-3.8655622203179973E-2</v>
      </c>
      <c r="F238" s="110">
        <f>表2_3671626293038912[[#This Row],[累计净值]]</f>
        <v>1.0863</v>
      </c>
      <c r="G238" s="20">
        <f>表2_3671626293038912[[#This Row],[累计净值]]/$B$21-1</f>
        <v>8.5540121914659872E-2</v>
      </c>
    </row>
    <row r="239" spans="1:7">
      <c r="A239" s="15">
        <v>44132</v>
      </c>
      <c r="B239" s="112">
        <v>1.0854999999999999</v>
      </c>
      <c r="C239" s="108">
        <f>IFERROR(B239-B238,0)</f>
        <v>-8.0000000000013394E-4</v>
      </c>
      <c r="D239" s="109">
        <f>IF(C239&lt;0,C239,"/")</f>
        <v>-8.0000000000013394E-4</v>
      </c>
      <c r="E239" s="109">
        <f ca="1">IF(表2_3671626293038912[[#This Row],[累计净值]]/MAX(INDIRECT("B21:B" &amp; ROW()))-1&lt;E238,表2_3671626293038912[[#This Row],[累计净值]]/MAX(INDIRECT("B21:B" &amp; ROW()))-1,E238)</f>
        <v>-3.8655622203179973E-2</v>
      </c>
      <c r="F239" s="110">
        <f>表2_3671626293038912[[#This Row],[累计净值]]</f>
        <v>1.0854999999999999</v>
      </c>
      <c r="G239" s="20">
        <f>表2_3671626293038912[[#This Row],[累计净值]]/$B$21-1</f>
        <v>8.4740681522933903E-2</v>
      </c>
    </row>
    <row r="240" spans="1:7">
      <c r="A240" s="15">
        <v>44133</v>
      </c>
      <c r="B240" s="112">
        <v>1.0812999999999999</v>
      </c>
      <c r="C240" s="108">
        <f>IFERROR(B240-B239,0)</f>
        <v>-4.1999999999999815E-3</v>
      </c>
      <c r="D240" s="109">
        <f>IF(C240&lt;0,C240,"/")</f>
        <v>-4.1999999999999815E-3</v>
      </c>
      <c r="E240" s="109">
        <f ca="1">IF(表2_3671626293038912[[#This Row],[累计净值]]/MAX(INDIRECT("B21:B" &amp; ROW()))-1&lt;E239,表2_3671626293038912[[#This Row],[累计净值]]/MAX(INDIRECT("B21:B" &amp; ROW()))-1,E239)</f>
        <v>-3.8655622203179973E-2</v>
      </c>
      <c r="F240" s="110">
        <f>表2_3671626293038912[[#This Row],[累计净值]]</f>
        <v>1.0812999999999999</v>
      </c>
      <c r="G240" s="20">
        <f>表2_3671626293038912[[#This Row],[累计净值]]/$B$21-1</f>
        <v>8.0543619466373562E-2</v>
      </c>
    </row>
    <row r="241" spans="1:7">
      <c r="A241" s="15">
        <v>44134</v>
      </c>
      <c r="B241" s="112">
        <v>1.0773999999999999</v>
      </c>
      <c r="C241" s="108">
        <f t="shared" ref="C241:C243" si="68">IFERROR(B241-B240,0)</f>
        <v>-3.9000000000000146E-3</v>
      </c>
      <c r="D241" s="109">
        <f t="shared" ref="D241:D243" si="69">IF(C241&lt;0,C241,"/")</f>
        <v>-3.9000000000000146E-3</v>
      </c>
      <c r="E241" s="109">
        <f ca="1">IF(表2_3671626293038912[[#This Row],[累计净值]]/MAX(INDIRECT("B21:B" &amp; ROW()))-1&lt;E240,表2_3671626293038912[[#This Row],[累计净值]]/MAX(INDIRECT("B21:B" &amp; ROW()))-1,E240)</f>
        <v>-3.8655622203179973E-2</v>
      </c>
      <c r="F241" s="110">
        <f>表2_3671626293038912[[#This Row],[累计净值]]</f>
        <v>1.0773999999999999</v>
      </c>
      <c r="G241" s="20">
        <f>表2_3671626293038912[[#This Row],[累计净值]]/$B$21-1</f>
        <v>7.6646347556710293E-2</v>
      </c>
    </row>
    <row r="242" spans="1:7">
      <c r="A242" s="15">
        <v>44137</v>
      </c>
      <c r="B242" s="112">
        <v>1.0772999999999999</v>
      </c>
      <c r="C242" s="108">
        <f t="shared" si="68"/>
        <v>-9.9999999999988987E-5</v>
      </c>
      <c r="D242" s="109">
        <f t="shared" si="69"/>
        <v>-9.9999999999988987E-5</v>
      </c>
      <c r="E242" s="109">
        <f ca="1">IF(表2_3671626293038912[[#This Row],[累计净值]]/MAX(INDIRECT("B21:B" &amp; ROW()))-1&lt;E241,表2_3671626293038912[[#This Row],[累计净值]]/MAX(INDIRECT("B21:B" &amp; ROW()))-1,E241)</f>
        <v>-3.8655622203179973E-2</v>
      </c>
      <c r="F242" s="110">
        <f>表2_3671626293038912[[#This Row],[累计净值]]</f>
        <v>1.0772999999999999</v>
      </c>
      <c r="G242" s="20">
        <f>表2_3671626293038912[[#This Row],[累计净值]]/$B$21-1</f>
        <v>7.6546417507744602E-2</v>
      </c>
    </row>
    <row r="243" spans="1:7">
      <c r="A243" s="15">
        <v>44138</v>
      </c>
      <c r="B243" s="112">
        <v>1.0789</v>
      </c>
      <c r="C243" s="108">
        <f t="shared" si="68"/>
        <v>1.6000000000000458E-3</v>
      </c>
      <c r="D243" s="109" t="str">
        <f t="shared" si="69"/>
        <v>/</v>
      </c>
      <c r="E243" s="109">
        <f ca="1">IF(表2_3671626293038912[[#This Row],[累计净值]]/MAX(INDIRECT("B21:B" &amp; ROW()))-1&lt;E242,表2_3671626293038912[[#This Row],[累计净值]]/MAX(INDIRECT("B21:B" &amp; ROW()))-1,E242)</f>
        <v>-3.8655622203179973E-2</v>
      </c>
      <c r="F243" s="110">
        <f>表2_3671626293038912[[#This Row],[累计净值]]</f>
        <v>1.0789</v>
      </c>
      <c r="G243" s="20">
        <f>表2_3671626293038912[[#This Row],[累计净值]]/$B$21-1</f>
        <v>7.8145298291196319E-2</v>
      </c>
    </row>
    <row r="244" spans="1:7">
      <c r="A244" s="15">
        <v>44139</v>
      </c>
      <c r="B244" s="112">
        <v>1.0831</v>
      </c>
      <c r="C244" s="108">
        <f t="shared" ref="C244:C250" si="70">IFERROR(B244-B243,0)</f>
        <v>4.1999999999999815E-3</v>
      </c>
      <c r="D244" s="109" t="str">
        <f t="shared" ref="D244:D250" si="71">IF(C244&lt;0,C244,"/")</f>
        <v>/</v>
      </c>
      <c r="E244" s="109">
        <f ca="1">IF(表2_3671626293038912[[#This Row],[累计净值]]/MAX(INDIRECT("B21:B" &amp; ROW()))-1&lt;E243,表2_3671626293038912[[#This Row],[累计净值]]/MAX(INDIRECT("B21:B" &amp; ROW()))-1,E243)</f>
        <v>-3.8655622203179973E-2</v>
      </c>
      <c r="F244" s="110">
        <f>表2_3671626293038912[[#This Row],[累计净值]]</f>
        <v>1.0831</v>
      </c>
      <c r="G244" s="20">
        <f>表2_3671626293038912[[#This Row],[累计净值]]/$B$21-1</f>
        <v>8.234236034775666E-2</v>
      </c>
    </row>
    <row r="245" spans="1:7">
      <c r="A245" s="15">
        <v>44140</v>
      </c>
      <c r="B245" s="112">
        <v>1.0843</v>
      </c>
      <c r="C245" s="108">
        <f t="shared" si="70"/>
        <v>1.2000000000000899E-3</v>
      </c>
      <c r="D245" s="109" t="str">
        <f t="shared" si="71"/>
        <v>/</v>
      </c>
      <c r="E245" s="109">
        <f ca="1">IF(表2_3671626293038912[[#This Row],[累计净值]]/MAX(INDIRECT("B21:B" &amp; ROW()))-1&lt;E244,表2_3671626293038912[[#This Row],[累计净值]]/MAX(INDIRECT("B21:B" &amp; ROW()))-1,E244)</f>
        <v>-3.8655622203179973E-2</v>
      </c>
      <c r="F245" s="110">
        <f>表2_3671626293038912[[#This Row],[累计净值]]</f>
        <v>1.0843</v>
      </c>
      <c r="G245" s="20">
        <f>表2_3671626293038912[[#This Row],[累计净值]]/$B$21-1</f>
        <v>8.3541520935345392E-2</v>
      </c>
    </row>
    <row r="246" spans="1:7">
      <c r="A246" s="15">
        <v>44141</v>
      </c>
      <c r="B246" s="112">
        <v>1.0874999999999999</v>
      </c>
      <c r="C246" s="108">
        <f t="shared" si="70"/>
        <v>3.1999999999998696E-3</v>
      </c>
      <c r="D246" s="109" t="str">
        <f t="shared" si="71"/>
        <v>/</v>
      </c>
      <c r="E246" s="109">
        <f ca="1">IF(表2_3671626293038912[[#This Row],[累计净值]]/MAX(INDIRECT("B21:B" &amp; ROW()))-1&lt;E245,表2_3671626293038912[[#This Row],[累计净值]]/MAX(INDIRECT("B21:B" &amp; ROW()))-1,E245)</f>
        <v>-3.8655622203179973E-2</v>
      </c>
      <c r="F246" s="110">
        <f>表2_3671626293038912[[#This Row],[累计净值]]</f>
        <v>1.0874999999999999</v>
      </c>
      <c r="G246" s="20">
        <f>表2_3671626293038912[[#This Row],[累计净值]]/$B$21-1</f>
        <v>8.6739282502248383E-2</v>
      </c>
    </row>
    <row r="247" spans="1:7">
      <c r="A247" s="15">
        <v>44144</v>
      </c>
      <c r="B247" s="112">
        <v>1.091</v>
      </c>
      <c r="C247" s="108">
        <f t="shared" si="70"/>
        <v>3.5000000000000586E-3</v>
      </c>
      <c r="D247" s="109" t="str">
        <f t="shared" si="71"/>
        <v>/</v>
      </c>
      <c r="E247" s="109">
        <f ca="1">IF(表2_3671626293038912[[#This Row],[累计净值]]/MAX(INDIRECT("B21:B" &amp; ROW()))-1&lt;E246,表2_3671626293038912[[#This Row],[累计净值]]/MAX(INDIRECT("B21:B" &amp; ROW()))-1,E246)</f>
        <v>-3.8655622203179973E-2</v>
      </c>
      <c r="F247" s="110">
        <f>表2_3671626293038912[[#This Row],[累计净值]]</f>
        <v>1.091</v>
      </c>
      <c r="G247" s="20">
        <f>表2_3671626293038912[[#This Row],[累计净值]]/$B$21-1</f>
        <v>9.0236834216048889E-2</v>
      </c>
    </row>
    <row r="248" spans="1:7">
      <c r="A248" s="15">
        <v>44145</v>
      </c>
      <c r="B248" s="112">
        <v>1.0902000000000001</v>
      </c>
      <c r="C248" s="108">
        <f t="shared" si="70"/>
        <v>-7.9999999999991189E-4</v>
      </c>
      <c r="D248" s="109">
        <f t="shared" si="71"/>
        <v>-7.9999999999991189E-4</v>
      </c>
      <c r="E248" s="109">
        <f ca="1">IF(表2_3671626293038912[[#This Row],[累计净值]]/MAX(INDIRECT("B21:B" &amp; ROW()))-1&lt;E247,表2_3671626293038912[[#This Row],[累计净值]]/MAX(INDIRECT("B21:B" &amp; ROW()))-1,E247)</f>
        <v>-3.8655622203179973E-2</v>
      </c>
      <c r="F248" s="110">
        <f>表2_3671626293038912[[#This Row],[累计净值]]</f>
        <v>1.0902000000000001</v>
      </c>
      <c r="G248" s="20">
        <f>表2_3671626293038912[[#This Row],[累计净值]]/$B$21-1</f>
        <v>8.9437393824323141E-2</v>
      </c>
    </row>
    <row r="249" spans="1:7">
      <c r="A249" s="15">
        <v>44146</v>
      </c>
      <c r="B249" s="112">
        <v>1.0892999999999999</v>
      </c>
      <c r="C249" s="108">
        <f t="shared" si="70"/>
        <v>-9.0000000000012292E-4</v>
      </c>
      <c r="D249" s="109">
        <f t="shared" si="71"/>
        <v>-9.0000000000012292E-4</v>
      </c>
      <c r="E249" s="109">
        <f ca="1">IF(表2_3671626293038912[[#This Row],[累计净值]]/MAX(INDIRECT("B21:B" &amp; ROW()))-1&lt;E248,表2_3671626293038912[[#This Row],[累计净值]]/MAX(INDIRECT("B21:B" &amp; ROW()))-1,E248)</f>
        <v>-3.8655622203179973E-2</v>
      </c>
      <c r="F249" s="110">
        <f>表2_3671626293038912[[#This Row],[累计净值]]</f>
        <v>1.0892999999999999</v>
      </c>
      <c r="G249" s="20">
        <f>表2_3671626293038912[[#This Row],[累计净值]]/$B$21-1</f>
        <v>8.8538023383631481E-2</v>
      </c>
    </row>
    <row r="250" spans="1:7">
      <c r="A250" s="15">
        <v>44147</v>
      </c>
      <c r="B250" s="112">
        <v>1.0911</v>
      </c>
      <c r="C250" s="108">
        <f t="shared" si="70"/>
        <v>1.8000000000000238E-3</v>
      </c>
      <c r="D250" s="109" t="str">
        <f t="shared" si="71"/>
        <v>/</v>
      </c>
      <c r="E250" s="109">
        <f ca="1">IF(表2_3671626293038912[[#This Row],[累计净值]]/MAX(INDIRECT("B21:B" &amp; ROW()))-1&lt;E249,表2_3671626293038912[[#This Row],[累计净值]]/MAX(INDIRECT("B21:B" &amp; ROW()))-1,E249)</f>
        <v>-3.8655622203179973E-2</v>
      </c>
      <c r="F250" s="110">
        <f>表2_3671626293038912[[#This Row],[累计净值]]</f>
        <v>1.0911</v>
      </c>
      <c r="G250" s="20">
        <f>表2_3671626293038912[[#This Row],[累计净值]]/$B$21-1</f>
        <v>9.033676426501458E-2</v>
      </c>
    </row>
    <row r="251" spans="1:7">
      <c r="A251" s="15">
        <v>44148</v>
      </c>
      <c r="B251" s="112">
        <v>1.0908</v>
      </c>
      <c r="C251" s="108">
        <f t="shared" ref="C251:C256" si="72">IFERROR(B251-B250,0)</f>
        <v>-2.9999999999996696E-4</v>
      </c>
      <c r="D251" s="109">
        <f t="shared" ref="D251:D256" si="73">IF(C251&lt;0,C251,"/")</f>
        <v>-2.9999999999996696E-4</v>
      </c>
      <c r="E251" s="109">
        <f ca="1">IF(表2_3671626293038912[[#This Row],[累计净值]]/MAX(INDIRECT("B21:B" &amp; ROW()))-1&lt;E250,表2_3671626293038912[[#This Row],[累计净值]]/MAX(INDIRECT("B21:B" &amp; ROW()))-1,E250)</f>
        <v>-3.8655622203179973E-2</v>
      </c>
      <c r="F251" s="110">
        <f>表2_3671626293038912[[#This Row],[累计净值]]</f>
        <v>1.0908</v>
      </c>
      <c r="G251" s="20">
        <f>表2_3671626293038912[[#This Row],[累计净值]]/$B$21-1</f>
        <v>9.0036974118117286E-2</v>
      </c>
    </row>
    <row r="252" spans="1:7">
      <c r="A252" s="15">
        <v>44151</v>
      </c>
      <c r="B252" s="112">
        <v>1.0979000000000001</v>
      </c>
      <c r="C252" s="108">
        <f t="shared" si="72"/>
        <v>7.1000000000001062E-3</v>
      </c>
      <c r="D252" s="109" t="str">
        <f t="shared" si="73"/>
        <v>/</v>
      </c>
      <c r="E252" s="109">
        <f ca="1">IF(表2_3671626293038912[[#This Row],[累计净值]]/MAX(INDIRECT("B21:B" &amp; ROW()))-1&lt;E251,表2_3671626293038912[[#This Row],[累计净值]]/MAX(INDIRECT("B21:B" &amp; ROW()))-1,E251)</f>
        <v>-3.8655622203179973E-2</v>
      </c>
      <c r="F252" s="110">
        <f>表2_3671626293038912[[#This Row],[累计净值]]</f>
        <v>1.0979000000000001</v>
      </c>
      <c r="G252" s="20">
        <f>表2_3671626293038912[[#This Row],[累计净值]]/$B$21-1</f>
        <v>9.7132007594683989E-2</v>
      </c>
    </row>
    <row r="253" spans="1:7">
      <c r="A253" s="15">
        <v>44152</v>
      </c>
      <c r="B253" s="112">
        <v>1.0981000000000001</v>
      </c>
      <c r="C253" s="108">
        <f t="shared" si="72"/>
        <v>1.9999999999997797E-4</v>
      </c>
      <c r="D253" s="109" t="str">
        <f t="shared" si="73"/>
        <v>/</v>
      </c>
      <c r="E253" s="109">
        <f ca="1">IF(表2_3671626293038912[[#This Row],[累计净值]]/MAX(INDIRECT("B21:B" &amp; ROW()))-1&lt;E252,表2_3671626293038912[[#This Row],[累计净值]]/MAX(INDIRECT("B21:B" &amp; ROW()))-1,E252)</f>
        <v>-3.8655622203179973E-2</v>
      </c>
      <c r="F253" s="110">
        <f>表2_3671626293038912[[#This Row],[累计净值]]</f>
        <v>1.0981000000000001</v>
      </c>
      <c r="G253" s="20">
        <f>表2_3671626293038912[[#This Row],[累计净值]]/$B$21-1</f>
        <v>9.733186769261537E-2</v>
      </c>
    </row>
    <row r="254" spans="1:7">
      <c r="A254" s="15">
        <v>44153</v>
      </c>
      <c r="B254" s="112">
        <v>1.1002000000000001</v>
      </c>
      <c r="C254" s="108">
        <f t="shared" si="72"/>
        <v>2.0999999999999908E-3</v>
      </c>
      <c r="D254" s="109" t="str">
        <f t="shared" si="73"/>
        <v>/</v>
      </c>
      <c r="E254" s="109">
        <f ca="1">IF(表2_3671626293038912[[#This Row],[累计净值]]/MAX(INDIRECT("B21:B" &amp; ROW()))-1&lt;E253,表2_3671626293038912[[#This Row],[累计净值]]/MAX(INDIRECT("B21:B" &amp; ROW()))-1,E253)</f>
        <v>-3.8655622203179973E-2</v>
      </c>
      <c r="F254" s="110">
        <f>表2_3671626293038912[[#This Row],[累计净值]]</f>
        <v>1.1002000000000001</v>
      </c>
      <c r="G254" s="20">
        <f>表2_3671626293038912[[#This Row],[累计净值]]/$B$21-1</f>
        <v>9.9430398720895541E-2</v>
      </c>
    </row>
    <row r="255" spans="1:7">
      <c r="A255" s="15">
        <v>44154</v>
      </c>
      <c r="B255" s="117">
        <v>1.1036999999999999</v>
      </c>
      <c r="C255" s="108">
        <f t="shared" si="72"/>
        <v>3.4999999999998366E-3</v>
      </c>
      <c r="D255" s="109" t="str">
        <f t="shared" si="73"/>
        <v>/</v>
      </c>
      <c r="E255" s="109">
        <f ca="1">IF(表2_3671626293038912[[#This Row],[累计净值]]/MAX(INDIRECT("B21:B" &amp; ROW()))-1&lt;E254,表2_3671626293038912[[#This Row],[累计净值]]/MAX(INDIRECT("B21:B" &amp; ROW()))-1,E254)</f>
        <v>-3.8655622203179973E-2</v>
      </c>
      <c r="F255" s="110">
        <f>表2_3671626293038912[[#This Row],[累计净值]]</f>
        <v>1.1036999999999999</v>
      </c>
      <c r="G255" s="20">
        <f>表2_3671626293038912[[#This Row],[累计净值]]/$B$21-1</f>
        <v>0.1029279504346956</v>
      </c>
    </row>
    <row r="256" spans="1:7">
      <c r="A256" s="15">
        <v>44155</v>
      </c>
      <c r="B256" s="112">
        <v>1.1032999999999999</v>
      </c>
      <c r="C256" s="108">
        <f t="shared" si="72"/>
        <v>-3.9999999999995595E-4</v>
      </c>
      <c r="D256" s="109">
        <f t="shared" si="73"/>
        <v>-3.9999999999995595E-4</v>
      </c>
      <c r="E256" s="109">
        <f ca="1">IF(表2_3671626293038912[[#This Row],[累计净值]]/MAX(INDIRECT("B21:B" &amp; ROW()))-1&lt;E255,表2_3671626293038912[[#This Row],[累计净值]]/MAX(INDIRECT("B21:B" &amp; ROW()))-1,E255)</f>
        <v>-3.8655622203179973E-2</v>
      </c>
      <c r="F256" s="110">
        <f>表2_3671626293038912[[#This Row],[累计净值]]</f>
        <v>1.1032999999999999</v>
      </c>
      <c r="G256" s="20">
        <f>表2_3671626293038912[[#This Row],[累计净值]]/$B$21-1</f>
        <v>0.10252823023883284</v>
      </c>
    </row>
    <row r="257" spans="1:7">
      <c r="A257" s="15">
        <v>44158</v>
      </c>
      <c r="B257" s="112">
        <v>1.1009</v>
      </c>
      <c r="C257" s="108">
        <f t="shared" ref="C257:C263" si="74">IFERROR(B257-B256,0)</f>
        <v>-2.3999999999999577E-3</v>
      </c>
      <c r="D257" s="109">
        <f t="shared" ref="D257:D263" si="75">IF(C257&lt;0,C257,"/")</f>
        <v>-2.3999999999999577E-3</v>
      </c>
      <c r="E257" s="109">
        <f ca="1">IF(表2_3671626293038912[[#This Row],[累计净值]]/MAX(INDIRECT("B21:B" &amp; ROW()))-1&lt;E256,表2_3671626293038912[[#This Row],[累计净值]]/MAX(INDIRECT("B21:B" &amp; ROW()))-1,E256)</f>
        <v>-3.8655622203179973E-2</v>
      </c>
      <c r="F257" s="110">
        <f>表2_3671626293038912[[#This Row],[累计净值]]</f>
        <v>1.1009</v>
      </c>
      <c r="G257" s="20">
        <f>表2_3671626293038912[[#This Row],[累计净值]]/$B$21-1</f>
        <v>0.1001299090636556</v>
      </c>
    </row>
    <row r="258" spans="1:7">
      <c r="A258" s="15">
        <v>44159</v>
      </c>
      <c r="B258" s="112">
        <v>1.097</v>
      </c>
      <c r="C258" s="108">
        <f t="shared" si="74"/>
        <v>-3.9000000000000146E-3</v>
      </c>
      <c r="D258" s="109">
        <f t="shared" si="75"/>
        <v>-3.9000000000000146E-3</v>
      </c>
      <c r="E258" s="109">
        <f ca="1">IF(表2_3671626293038912[[#This Row],[累计净值]]/MAX(INDIRECT("B21:B" &amp; ROW()))-1&lt;E257,表2_3671626293038912[[#This Row],[累计净值]]/MAX(INDIRECT("B21:B" &amp; ROW()))-1,E257)</f>
        <v>-3.8655622203179973E-2</v>
      </c>
      <c r="F258" s="110">
        <f>表2_3671626293038912[[#This Row],[累计净值]]</f>
        <v>1.097</v>
      </c>
      <c r="G258" s="20">
        <f>表2_3671626293038912[[#This Row],[累计净值]]/$B$21-1</f>
        <v>9.6232637153992329E-2</v>
      </c>
    </row>
    <row r="259" spans="1:7">
      <c r="A259" s="15">
        <v>44160</v>
      </c>
      <c r="B259" s="112">
        <v>1.0924</v>
      </c>
      <c r="C259" s="108">
        <f t="shared" si="74"/>
        <v>-4.5999999999999375E-3</v>
      </c>
      <c r="D259" s="109">
        <f t="shared" si="75"/>
        <v>-4.5999999999999375E-3</v>
      </c>
      <c r="E259" s="109">
        <f ca="1">IF(表2_3671626293038912[[#This Row],[累计净值]]/MAX(INDIRECT("B21:B" &amp; ROW()))-1&lt;E258,表2_3671626293038912[[#This Row],[累计净值]]/MAX(INDIRECT("B21:B" &amp; ROW()))-1,E258)</f>
        <v>-3.8655622203179973E-2</v>
      </c>
      <c r="F259" s="110">
        <f>表2_3671626293038912[[#This Row],[累计净值]]</f>
        <v>1.0924</v>
      </c>
      <c r="G259" s="20">
        <f>表2_3671626293038912[[#This Row],[累计净值]]/$B$21-1</f>
        <v>9.1635854901569003E-2</v>
      </c>
    </row>
    <row r="260" spans="1:7">
      <c r="A260" s="15">
        <v>44161</v>
      </c>
      <c r="B260" s="112">
        <v>1.0924</v>
      </c>
      <c r="C260" s="108">
        <f t="shared" si="74"/>
        <v>0</v>
      </c>
      <c r="D260" s="109" t="str">
        <f t="shared" si="75"/>
        <v>/</v>
      </c>
      <c r="E260" s="109">
        <f ca="1">IF(表2_3671626293038912[[#This Row],[累计净值]]/MAX(INDIRECT("B21:B" &amp; ROW()))-1&lt;E259,表2_3671626293038912[[#This Row],[累计净值]]/MAX(INDIRECT("B21:B" &amp; ROW()))-1,E259)</f>
        <v>-3.8655622203179973E-2</v>
      </c>
      <c r="F260" s="110">
        <f>表2_3671626293038912[[#This Row],[累计净值]]</f>
        <v>1.0924</v>
      </c>
      <c r="G260" s="20">
        <f>表2_3671626293038912[[#This Row],[累计净值]]/$B$21-1</f>
        <v>9.1635854901569003E-2</v>
      </c>
    </row>
    <row r="261" spans="1:7">
      <c r="A261" s="15">
        <v>44162</v>
      </c>
      <c r="B261" s="112">
        <v>1.0963000000000001</v>
      </c>
      <c r="C261" s="108">
        <f t="shared" si="74"/>
        <v>3.9000000000000146E-3</v>
      </c>
      <c r="D261" s="109" t="str">
        <f t="shared" si="75"/>
        <v>/</v>
      </c>
      <c r="E261" s="109">
        <f ca="1">IF(表2_3671626293038912[[#This Row],[累计净值]]/MAX(INDIRECT("B21:B" &amp; ROW()))-1&lt;E260,表2_3671626293038912[[#This Row],[累计净值]]/MAX(INDIRECT("B21:B" &amp; ROW()))-1,E260)</f>
        <v>-3.8655622203179973E-2</v>
      </c>
      <c r="F261" s="110">
        <f>表2_3671626293038912[[#This Row],[累计净值]]</f>
        <v>1.0963000000000001</v>
      </c>
      <c r="G261" s="20">
        <f>表2_3671626293038912[[#This Row],[累计净值]]/$B$21-1</f>
        <v>9.5533126811232272E-2</v>
      </c>
    </row>
    <row r="262" spans="1:7">
      <c r="A262" s="15">
        <v>44165</v>
      </c>
      <c r="B262" s="112">
        <v>1.0983000000000001</v>
      </c>
      <c r="C262" s="108">
        <f t="shared" si="74"/>
        <v>2.0000000000000018E-3</v>
      </c>
      <c r="D262" s="109" t="str">
        <f t="shared" si="75"/>
        <v>/</v>
      </c>
      <c r="E262" s="109">
        <f ca="1">IF(表2_3671626293038912[[#This Row],[累计净值]]/MAX(INDIRECT("B21:B" &amp; ROW()))-1&lt;E261,表2_3671626293038912[[#This Row],[累计净值]]/MAX(INDIRECT("B21:B" &amp; ROW()))-1,E261)</f>
        <v>-3.8655622203179973E-2</v>
      </c>
      <c r="F262" s="110">
        <f>表2_3671626293038912[[#This Row],[累计净值]]</f>
        <v>1.0983000000000001</v>
      </c>
      <c r="G262" s="20">
        <f>表2_3671626293038912[[#This Row],[累计净值]]/$B$21-1</f>
        <v>9.7531727790546752E-2</v>
      </c>
    </row>
    <row r="263" spans="1:7">
      <c r="A263" s="15">
        <v>44166</v>
      </c>
      <c r="B263" s="112">
        <v>1.0999000000000001</v>
      </c>
      <c r="C263" s="108">
        <f t="shared" si="74"/>
        <v>1.6000000000000458E-3</v>
      </c>
      <c r="D263" s="109" t="str">
        <f t="shared" si="75"/>
        <v>/</v>
      </c>
      <c r="E263" s="109">
        <f ca="1">IF(表2_3671626293038912[[#This Row],[累计净值]]/MAX(INDIRECT("B21:B" &amp; ROW()))-1&lt;E262,表2_3671626293038912[[#This Row],[累计净值]]/MAX(INDIRECT("B21:B" &amp; ROW()))-1,E262)</f>
        <v>-3.8655622203179973E-2</v>
      </c>
      <c r="F263" s="110">
        <f>表2_3671626293038912[[#This Row],[累计净值]]</f>
        <v>1.0999000000000001</v>
      </c>
      <c r="G263" s="20">
        <f>表2_3671626293038912[[#This Row],[累计净值]]/$B$21-1</f>
        <v>9.9130608573998469E-2</v>
      </c>
    </row>
    <row r="264" spans="1:7">
      <c r="A264" s="15">
        <v>44167</v>
      </c>
      <c r="B264" s="112">
        <v>1.1021000000000001</v>
      </c>
      <c r="C264" s="108">
        <f t="shared" ref="C264:C269" si="76">IFERROR(B264-B263,0)</f>
        <v>2.1999999999999797E-3</v>
      </c>
      <c r="D264" s="109" t="str">
        <f t="shared" ref="D264:D269" si="77">IF(C264&lt;0,C264,"/")</f>
        <v>/</v>
      </c>
      <c r="E264" s="109">
        <f ca="1">IF(表2_3671626293038912[[#This Row],[累计净值]]/MAX(INDIRECT("B21:B" &amp; ROW()))-1&lt;E263,表2_3671626293038912[[#This Row],[累计净值]]/MAX(INDIRECT("B21:B" &amp; ROW()))-1,E263)</f>
        <v>-3.8655622203179973E-2</v>
      </c>
      <c r="F264" s="110">
        <f>表2_3671626293038912[[#This Row],[累计净值]]</f>
        <v>1.1021000000000001</v>
      </c>
      <c r="G264" s="20">
        <f>表2_3671626293038912[[#This Row],[累计净值]]/$B$21-1</f>
        <v>0.10132906965124433</v>
      </c>
    </row>
    <row r="265" spans="1:7">
      <c r="A265" s="15">
        <v>44168</v>
      </c>
      <c r="B265" s="112">
        <v>1.0980000000000001</v>
      </c>
      <c r="C265" s="108">
        <f t="shared" si="76"/>
        <v>-4.0999999999999925E-3</v>
      </c>
      <c r="D265" s="109">
        <f t="shared" si="77"/>
        <v>-4.0999999999999925E-3</v>
      </c>
      <c r="E265" s="109">
        <f ca="1">IF(表2_3671626293038912[[#This Row],[累计净值]]/MAX(INDIRECT("B21:B" &amp; ROW()))-1&lt;E264,表2_3671626293038912[[#This Row],[累计净值]]/MAX(INDIRECT("B21:B" &amp; ROW()))-1,E264)</f>
        <v>-3.8655622203179973E-2</v>
      </c>
      <c r="F265" s="110">
        <f>表2_3671626293038912[[#This Row],[累计净值]]</f>
        <v>1.0980000000000001</v>
      </c>
      <c r="G265" s="20">
        <f>表2_3671626293038912[[#This Row],[累计净值]]/$B$21-1</f>
        <v>9.723193764364968E-2</v>
      </c>
    </row>
    <row r="266" spans="1:7">
      <c r="A266" s="15">
        <v>44169</v>
      </c>
      <c r="B266" s="112">
        <v>1.0992999999999999</v>
      </c>
      <c r="C266" s="108">
        <f t="shared" si="76"/>
        <v>1.2999999999998568E-3</v>
      </c>
      <c r="D266" s="109" t="str">
        <f t="shared" si="77"/>
        <v>/</v>
      </c>
      <c r="E266" s="109">
        <f ca="1">IF(表2_3671626293038912[[#This Row],[累计净值]]/MAX(INDIRECT("B21:B" &amp; ROW()))-1&lt;E265,表2_3671626293038912[[#This Row],[累计净值]]/MAX(INDIRECT("B21:B" &amp; ROW()))-1,E265)</f>
        <v>-3.8655622203179973E-2</v>
      </c>
      <c r="F266" s="110">
        <f>表2_3671626293038912[[#This Row],[累计净值]]</f>
        <v>1.0992999999999999</v>
      </c>
      <c r="G266" s="20">
        <f>表2_3671626293038912[[#This Row],[累计净值]]/$B$21-1</f>
        <v>9.8531028280203881E-2</v>
      </c>
    </row>
    <row r="267" spans="1:7">
      <c r="A267" s="15">
        <v>44172</v>
      </c>
      <c r="B267" s="112">
        <v>1.0993999999999999</v>
      </c>
      <c r="C267" s="108">
        <f t="shared" si="76"/>
        <v>9.9999999999988987E-5</v>
      </c>
      <c r="D267" s="109" t="str">
        <f t="shared" si="77"/>
        <v>/</v>
      </c>
      <c r="E267" s="109">
        <f ca="1">IF(表2_3671626293038912[[#This Row],[累计净值]]/MAX(INDIRECT("B21:B" &amp; ROW()))-1&lt;E266,表2_3671626293038912[[#This Row],[累计净值]]/MAX(INDIRECT("B21:B" &amp; ROW()))-1,E266)</f>
        <v>-3.8655622203179973E-2</v>
      </c>
      <c r="F267" s="110">
        <f>表2_3671626293038912[[#This Row],[累计净值]]</f>
        <v>1.0993999999999999</v>
      </c>
      <c r="G267" s="20">
        <f>表2_3671626293038912[[#This Row],[累计净值]]/$B$21-1</f>
        <v>9.8630958329169571E-2</v>
      </c>
    </row>
    <row r="268" spans="1:7">
      <c r="A268" s="15">
        <v>44173</v>
      </c>
      <c r="B268" s="112">
        <v>1.0994999999999999</v>
      </c>
      <c r="C268" s="108">
        <f t="shared" si="76"/>
        <v>9.9999999999988987E-5</v>
      </c>
      <c r="D268" s="109" t="str">
        <f t="shared" si="77"/>
        <v>/</v>
      </c>
      <c r="E268" s="109">
        <f ca="1">IF(表2_3671626293038912[[#This Row],[累计净值]]/MAX(INDIRECT("B21:B" &amp; ROW()))-1&lt;E267,表2_3671626293038912[[#This Row],[累计净值]]/MAX(INDIRECT("B21:B" &amp; ROW()))-1,E267)</f>
        <v>-3.8655622203179973E-2</v>
      </c>
      <c r="F268" s="110">
        <f>表2_3671626293038912[[#This Row],[累计净值]]</f>
        <v>1.0994999999999999</v>
      </c>
      <c r="G268" s="20">
        <f>表2_3671626293038912[[#This Row],[累计净值]]/$B$21-1</f>
        <v>9.8730888378135262E-2</v>
      </c>
    </row>
    <row r="269" spans="1:7">
      <c r="A269" s="15">
        <v>44174</v>
      </c>
      <c r="B269" s="112">
        <v>1.1032</v>
      </c>
      <c r="C269" s="108">
        <f t="shared" si="76"/>
        <v>3.7000000000000366E-3</v>
      </c>
      <c r="D269" s="109" t="str">
        <f t="shared" si="77"/>
        <v>/</v>
      </c>
      <c r="E269" s="109">
        <f ca="1">IF(表2_3671626293038912[[#This Row],[累计净值]]/MAX(INDIRECT("B21:B" &amp; ROW()))-1&lt;E268,表2_3671626293038912[[#This Row],[累计净值]]/MAX(INDIRECT("B21:B" &amp; ROW()))-1,E268)</f>
        <v>-3.8655622203179973E-2</v>
      </c>
      <c r="F269" s="110">
        <f>表2_3671626293038912[[#This Row],[累计净值]]</f>
        <v>1.1032</v>
      </c>
      <c r="G269" s="20">
        <f>表2_3671626293038912[[#This Row],[累计净值]]/$B$21-1</f>
        <v>0.10242830018986715</v>
      </c>
    </row>
    <row r="270" spans="1:7">
      <c r="A270" s="15">
        <v>44175</v>
      </c>
      <c r="B270" s="112">
        <v>1.1136999999999999</v>
      </c>
      <c r="C270" s="108">
        <f t="shared" ref="C270:C275" si="78">IFERROR(B270-B269,0)</f>
        <v>1.0499999999999954E-2</v>
      </c>
      <c r="D270" s="109" t="str">
        <f t="shared" ref="D270:D275" si="79">IF(C270&lt;0,C270,"/")</f>
        <v>/</v>
      </c>
      <c r="E270" s="109">
        <f ca="1">IF(表2_3671626293038912[[#This Row],[累计净值]]/MAX(INDIRECT("B21:B" &amp; ROW()))-1&lt;E269,表2_3671626293038912[[#This Row],[累计净值]]/MAX(INDIRECT("B21:B" &amp; ROW()))-1,E269)</f>
        <v>-3.8655622203179973E-2</v>
      </c>
      <c r="F270" s="110">
        <f>表2_3671626293038912[[#This Row],[累计净值]]</f>
        <v>1.1136999999999999</v>
      </c>
      <c r="G270" s="20">
        <f>表2_3671626293038912[[#This Row],[累计净值]]/$B$21-1</f>
        <v>0.112920955331268</v>
      </c>
    </row>
    <row r="271" spans="1:7">
      <c r="A271" s="15">
        <v>44176</v>
      </c>
      <c r="B271" s="117">
        <v>1.1176999999999999</v>
      </c>
      <c r="C271" s="108">
        <f t="shared" si="78"/>
        <v>4.0000000000000036E-3</v>
      </c>
      <c r="D271" s="109" t="str">
        <f t="shared" si="79"/>
        <v>/</v>
      </c>
      <c r="E271" s="109">
        <f ca="1">IF(表2_3671626293038912[[#This Row],[累计净值]]/MAX(INDIRECT("B21:B" &amp; ROW()))-1&lt;E270,表2_3671626293038912[[#This Row],[累计净值]]/MAX(INDIRECT("B21:B" &amp; ROW()))-1,E270)</f>
        <v>-3.8655622203179973E-2</v>
      </c>
      <c r="F271" s="110">
        <f>表2_3671626293038912[[#This Row],[累计净值]]</f>
        <v>1.1176999999999999</v>
      </c>
      <c r="G271" s="20">
        <f>表2_3671626293038912[[#This Row],[累计净值]]/$B$21-1</f>
        <v>0.11691815728989718</v>
      </c>
    </row>
    <row r="272" spans="1:7">
      <c r="A272" s="15">
        <v>44179</v>
      </c>
      <c r="B272" s="112">
        <v>1.1088</v>
      </c>
      <c r="C272" s="108">
        <f t="shared" si="78"/>
        <v>-8.899999999999908E-3</v>
      </c>
      <c r="D272" s="109">
        <f t="shared" si="79"/>
        <v>-8.899999999999908E-3</v>
      </c>
      <c r="E272" s="109">
        <f ca="1">IF(表2_3671626293038912[[#This Row],[累计净值]]/MAX(INDIRECT("B21:B" &amp; ROW()))-1&lt;E271,表2_3671626293038912[[#This Row],[累计净值]]/MAX(INDIRECT("B21:B" &amp; ROW()))-1,E271)</f>
        <v>-3.8655622203179973E-2</v>
      </c>
      <c r="F272" s="110">
        <f>表2_3671626293038912[[#This Row],[累计净值]]</f>
        <v>1.1088</v>
      </c>
      <c r="G272" s="20">
        <f>表2_3671626293038912[[#This Row],[累计净值]]/$B$21-1</f>
        <v>0.10802438293194783</v>
      </c>
    </row>
    <row r="273" spans="1:7">
      <c r="A273" s="15">
        <v>44180</v>
      </c>
      <c r="B273" s="112">
        <v>1.1036999999999999</v>
      </c>
      <c r="C273" s="108">
        <f t="shared" si="78"/>
        <v>-5.1000000000001044E-3</v>
      </c>
      <c r="D273" s="109">
        <f t="shared" si="79"/>
        <v>-5.1000000000001044E-3</v>
      </c>
      <c r="E273" s="109">
        <f ca="1">IF(表2_3671626293038912[[#This Row],[累计净值]]/MAX(INDIRECT("B21:B" &amp; ROW()))-1&lt;E272,表2_3671626293038912[[#This Row],[累计净值]]/MAX(INDIRECT("B21:B" &amp; ROW()))-1,E272)</f>
        <v>-3.8655622203179973E-2</v>
      </c>
      <c r="F273" s="110">
        <f>表2_3671626293038912[[#This Row],[累计净值]]</f>
        <v>1.1036999999999999</v>
      </c>
      <c r="G273" s="20">
        <f>表2_3671626293038912[[#This Row],[累计净值]]/$B$21-1</f>
        <v>0.1029279504346956</v>
      </c>
    </row>
    <row r="274" spans="1:7">
      <c r="A274" s="15">
        <v>44181</v>
      </c>
      <c r="B274" s="112">
        <v>1.1057999999999999</v>
      </c>
      <c r="C274" s="108">
        <f t="shared" si="78"/>
        <v>2.0999999999999908E-3</v>
      </c>
      <c r="D274" s="109" t="str">
        <f t="shared" si="79"/>
        <v>/</v>
      </c>
      <c r="E274" s="109">
        <f ca="1">IF(表2_3671626293038912[[#This Row],[累计净值]]/MAX(INDIRECT("B21:B" &amp; ROW()))-1&lt;E273,表2_3671626293038912[[#This Row],[累计净值]]/MAX(INDIRECT("B21:B" &amp; ROW()))-1,E273)</f>
        <v>-3.8655622203179973E-2</v>
      </c>
      <c r="F274" s="110">
        <f>表2_3671626293038912[[#This Row],[累计净值]]</f>
        <v>1.1057999999999999</v>
      </c>
      <c r="G274" s="20">
        <f>表2_3671626293038912[[#This Row],[累计净值]]/$B$21-1</f>
        <v>0.105026481462976</v>
      </c>
    </row>
    <row r="275" spans="1:7">
      <c r="A275" s="15">
        <v>44182</v>
      </c>
      <c r="B275" s="112">
        <v>1.1025</v>
      </c>
      <c r="C275" s="108">
        <f t="shared" si="78"/>
        <v>-3.2999999999998586E-3</v>
      </c>
      <c r="D275" s="109">
        <f t="shared" si="79"/>
        <v>-3.2999999999998586E-3</v>
      </c>
      <c r="E275" s="109">
        <f ca="1">IF(表2_3671626293038912[[#This Row],[累计净值]]/MAX(INDIRECT("B21:B" &amp; ROW()))-1&lt;E274,表2_3671626293038912[[#This Row],[累计净值]]/MAX(INDIRECT("B21:B" &amp; ROW()))-1,E274)</f>
        <v>-3.8655622203179973E-2</v>
      </c>
      <c r="F275" s="110">
        <f>表2_3671626293038912[[#This Row],[累计净值]]</f>
        <v>1.1025</v>
      </c>
      <c r="G275" s="20">
        <f>表2_3671626293038912[[#This Row],[累计净值]]/$B$21-1</f>
        <v>0.10172878984710709</v>
      </c>
    </row>
    <row r="276" spans="1:7">
      <c r="A276" s="15">
        <v>44183</v>
      </c>
      <c r="B276" s="112">
        <v>1.1092</v>
      </c>
      <c r="C276" s="108">
        <f t="shared" ref="C276:C281" si="80">IFERROR(B276-B275,0)</f>
        <v>6.6999999999999282E-3</v>
      </c>
      <c r="D276" s="109" t="str">
        <f t="shared" ref="D276:D281" si="81">IF(C276&lt;0,C276,"/")</f>
        <v>/</v>
      </c>
      <c r="E276" s="109">
        <f ca="1">IF(表2_3671626293038912[[#This Row],[累计净值]]/MAX(INDIRECT("B21:B" &amp; ROW()))-1&lt;E275,表2_3671626293038912[[#This Row],[累计净值]]/MAX(INDIRECT("B21:B" &amp; ROW()))-1,E275)</f>
        <v>-3.8655622203179973E-2</v>
      </c>
      <c r="F276" s="110">
        <f>表2_3671626293038912[[#This Row],[累计净值]]</f>
        <v>1.1092</v>
      </c>
      <c r="G276" s="20">
        <f>表2_3671626293038912[[#This Row],[累计净值]]/$B$21-1</f>
        <v>0.10842410312781059</v>
      </c>
    </row>
    <row r="277" spans="1:7">
      <c r="A277" s="15">
        <v>44186</v>
      </c>
      <c r="B277" s="112">
        <v>1.1173999999999999</v>
      </c>
      <c r="C277" s="108">
        <f t="shared" si="80"/>
        <v>8.1999999999999851E-3</v>
      </c>
      <c r="D277" s="109" t="str">
        <f t="shared" si="81"/>
        <v>/</v>
      </c>
      <c r="E277" s="109">
        <f ca="1">IF(表2_3671626293038912[[#This Row],[累计净值]]/MAX(INDIRECT("B21:B" &amp; ROW()))-1&lt;E276,表2_3671626293038912[[#This Row],[累计净值]]/MAX(INDIRECT("B21:B" &amp; ROW()))-1,E276)</f>
        <v>-3.8655622203179973E-2</v>
      </c>
      <c r="F277" s="110">
        <f>表2_3671626293038912[[#This Row],[累计净值]]</f>
        <v>1.1173999999999999</v>
      </c>
      <c r="G277" s="20">
        <f>0.8*(表2_3671626293038912[[#This Row],[累计净值]]/$B$21-1)</f>
        <v>9.3294693714399912E-2</v>
      </c>
    </row>
    <row r="278" spans="1:7">
      <c r="A278" s="15">
        <v>44187</v>
      </c>
      <c r="B278" s="112">
        <v>1.1195999999999999</v>
      </c>
      <c r="C278" s="108">
        <f t="shared" si="80"/>
        <v>2.1999999999999797E-3</v>
      </c>
      <c r="D278" s="109" t="str">
        <f t="shared" si="81"/>
        <v>/</v>
      </c>
      <c r="E278" s="109">
        <f ca="1">IF(表2_3671626293038912[[#This Row],[累计净值]]/MAX(INDIRECT("B21:B" &amp; ROW()))-1&lt;E277,表2_3671626293038912[[#This Row],[累计净值]]/MAX(INDIRECT("B21:B" &amp; ROW()))-1,E277)</f>
        <v>-3.8655622203179973E-2</v>
      </c>
      <c r="F278" s="110">
        <f>表2_3671626293038912[[#This Row],[累计净值]]</f>
        <v>1.1195999999999999</v>
      </c>
      <c r="G278" s="20">
        <f>0.8*(表2_3671626293038912[[#This Row],[累计净值]]/$B$21-1)</f>
        <v>9.505346257619661E-2</v>
      </c>
    </row>
    <row r="279" spans="1:7">
      <c r="A279" s="15">
        <v>44188</v>
      </c>
      <c r="B279" s="112">
        <v>1.1136999999999999</v>
      </c>
      <c r="C279" s="108">
        <f t="shared" si="80"/>
        <v>-5.9000000000000163E-3</v>
      </c>
      <c r="D279" s="109">
        <f t="shared" si="81"/>
        <v>-5.9000000000000163E-3</v>
      </c>
      <c r="E279" s="109">
        <f ca="1">IF(表2_3671626293038912[[#This Row],[累计净值]]/MAX(INDIRECT("B21:B" &amp; ROW()))-1&lt;E278,表2_3671626293038912[[#This Row],[累计净值]]/MAX(INDIRECT("B21:B" &amp; ROW()))-1,E278)</f>
        <v>-3.8655622203179973E-2</v>
      </c>
      <c r="F279" s="110">
        <f>表2_3671626293038912[[#This Row],[累计净值]]</f>
        <v>1.1136999999999999</v>
      </c>
      <c r="G279" s="20">
        <f>0.8*(表2_3671626293038912[[#This Row],[累计净值]]/$B$21-1)</f>
        <v>9.0336764265014413E-2</v>
      </c>
    </row>
    <row r="280" spans="1:7">
      <c r="A280" s="15">
        <v>44189</v>
      </c>
      <c r="B280" s="112">
        <v>1.1136999999999999</v>
      </c>
      <c r="C280" s="108">
        <f t="shared" si="80"/>
        <v>0</v>
      </c>
      <c r="D280" s="109" t="str">
        <f t="shared" si="81"/>
        <v>/</v>
      </c>
      <c r="E280" s="109">
        <f ca="1">IF(表2_3671626293038912[[#This Row],[累计净值]]/MAX(INDIRECT("B21:B" &amp; ROW()))-1&lt;E279,表2_3671626293038912[[#This Row],[累计净值]]/MAX(INDIRECT("B21:B" &amp; ROW()))-1,E279)</f>
        <v>-3.8655622203179973E-2</v>
      </c>
      <c r="F280" s="110">
        <f>表2_3671626293038912[[#This Row],[累计净值]]</f>
        <v>1.1136999999999999</v>
      </c>
      <c r="G280" s="20">
        <f>0.8*(表2_3671626293038912[[#This Row],[累计净值]]/$B$21-1)</f>
        <v>9.0336764265014413E-2</v>
      </c>
    </row>
    <row r="281" spans="1:7">
      <c r="A281" s="15">
        <v>44190</v>
      </c>
      <c r="B281" s="112">
        <v>1.1107</v>
      </c>
      <c r="C281" s="108">
        <f t="shared" si="80"/>
        <v>-2.9999999999998916E-3</v>
      </c>
      <c r="D281" s="109">
        <f t="shared" si="81"/>
        <v>-2.9999999999998916E-3</v>
      </c>
      <c r="E281" s="109">
        <f ca="1">IF(表2_3671626293038912[[#This Row],[累计净值]]/MAX(INDIRECT("B21:B" &amp; ROW()))-1&lt;E280,表2_3671626293038912[[#This Row],[累计净值]]/MAX(INDIRECT("B21:B" &amp; ROW()))-1,E280)</f>
        <v>-3.8655622203179973E-2</v>
      </c>
      <c r="F281" s="110">
        <f>表2_3671626293038912[[#This Row],[累计净值]]</f>
        <v>1.1107</v>
      </c>
      <c r="G281" s="20">
        <f>0.8*(表2_3671626293038912[[#This Row],[累计净值]]/$B$21-1)</f>
        <v>8.7938443089837115E-2</v>
      </c>
    </row>
    <row r="282" spans="1:7">
      <c r="A282" s="15">
        <v>44193</v>
      </c>
      <c r="B282" s="112">
        <v>1.1045</v>
      </c>
      <c r="C282" s="108">
        <f t="shared" ref="C282:C287" si="82">IFERROR(B282-B281,0)</f>
        <v>-6.1999999999999833E-3</v>
      </c>
      <c r="D282" s="109">
        <f t="shared" ref="D282:D287" si="83">IF(C282&lt;0,C282,"/")</f>
        <v>-6.1999999999999833E-3</v>
      </c>
      <c r="E282" s="109">
        <f ca="1">IF(表2_3671626293038912[[#This Row],[累计净值]]/MAX(INDIRECT("B21:B" &amp; ROW()))-1&lt;E281,表2_3671626293038912[[#This Row],[累计净值]]/MAX(INDIRECT("B21:B" &amp; ROW()))-1,E281)</f>
        <v>-3.8655622203179973E-2</v>
      </c>
      <c r="F282" s="110">
        <f>表2_3671626293038912[[#This Row],[累计净值]]</f>
        <v>1.1045</v>
      </c>
      <c r="G282" s="20">
        <f>0.8*(表2_3671626293038912[[#This Row],[累计净值]]/$B$21-1)</f>
        <v>8.2981912661137261E-2</v>
      </c>
    </row>
    <row r="283" spans="1:7">
      <c r="A283" s="15">
        <v>44194</v>
      </c>
      <c r="B283" s="112">
        <v>1.1021000000000001</v>
      </c>
      <c r="C283" s="108">
        <f t="shared" si="82"/>
        <v>-2.3999999999999577E-3</v>
      </c>
      <c r="D283" s="109">
        <f t="shared" si="83"/>
        <v>-2.3999999999999577E-3</v>
      </c>
      <c r="E283" s="109">
        <f ca="1">IF(表2_3671626293038912[[#This Row],[累计净值]]/MAX(INDIRECT("B21:B" &amp; ROW()))-1&lt;E282,表2_3671626293038912[[#This Row],[累计净值]]/MAX(INDIRECT("B21:B" &amp; ROW()))-1,E282)</f>
        <v>-3.8655622203179973E-2</v>
      </c>
      <c r="F283" s="110">
        <f>表2_3671626293038912[[#This Row],[累计净值]]</f>
        <v>1.1021000000000001</v>
      </c>
      <c r="G283" s="20">
        <f>0.8*(表2_3671626293038912[[#This Row],[累计净值]]/$B$21-1)</f>
        <v>8.1063255720995472E-2</v>
      </c>
    </row>
    <row r="284" spans="1:7">
      <c r="A284" s="15">
        <v>44195</v>
      </c>
      <c r="B284" s="112">
        <v>1.1045</v>
      </c>
      <c r="C284" s="108">
        <f t="shared" si="82"/>
        <v>2.3999999999999577E-3</v>
      </c>
      <c r="D284" s="109" t="str">
        <f t="shared" si="83"/>
        <v>/</v>
      </c>
      <c r="E284" s="109">
        <f ca="1">IF(表2_3671626293038912[[#This Row],[累计净值]]/MAX(INDIRECT("B21:B" &amp; ROW()))-1&lt;E283,表2_3671626293038912[[#This Row],[累计净值]]/MAX(INDIRECT("B21:B" &amp; ROW()))-1,E283)</f>
        <v>-3.8655622203179973E-2</v>
      </c>
      <c r="F284" s="110">
        <f>表2_3671626293038912[[#This Row],[累计净值]]</f>
        <v>1.1045</v>
      </c>
      <c r="G284" s="20">
        <f>0.8*(表2_3671626293038912[[#This Row],[累计净值]]/$B$21-1)</f>
        <v>8.2981912661137261E-2</v>
      </c>
    </row>
    <row r="285" spans="1:7">
      <c r="A285" s="15">
        <v>44196</v>
      </c>
      <c r="B285" s="112">
        <v>1.1057999999999999</v>
      </c>
      <c r="C285" s="108">
        <f t="shared" si="82"/>
        <v>1.2999999999998568E-3</v>
      </c>
      <c r="D285" s="109" t="str">
        <f t="shared" si="83"/>
        <v>/</v>
      </c>
      <c r="E285" s="109">
        <f ca="1">IF(表2_3671626293038912[[#This Row],[累计净值]]/MAX(INDIRECT("B21:B" &amp; ROW()))-1&lt;E284,表2_3671626293038912[[#This Row],[累计净值]]/MAX(INDIRECT("B21:B" &amp; ROW()))-1,E284)</f>
        <v>-3.8655622203179973E-2</v>
      </c>
      <c r="F285" s="110">
        <f>表2_3671626293038912[[#This Row],[累计净值]]</f>
        <v>1.1057999999999999</v>
      </c>
      <c r="G285" s="20">
        <f>0.8*(表2_3671626293038912[[#This Row],[累计净值]]/$B$21-1)</f>
        <v>8.4021185170380805E-2</v>
      </c>
    </row>
    <row r="286" spans="1:7">
      <c r="A286" s="15">
        <v>44200</v>
      </c>
      <c r="B286" s="112">
        <v>1.1040000000000001</v>
      </c>
      <c r="C286" s="108">
        <f t="shared" si="82"/>
        <v>-1.7999999999998018E-3</v>
      </c>
      <c r="D286" s="109">
        <f t="shared" si="83"/>
        <v>-1.7999999999998018E-3</v>
      </c>
      <c r="E286" s="109">
        <f ca="1">IF(表2_3671626293038912[[#This Row],[累计净值]]/MAX(INDIRECT("B21:B" &amp; ROW()))-1&lt;E285,表2_3671626293038912[[#This Row],[累计净值]]/MAX(INDIRECT("B21:B" &amp; ROW()))-1,E285)</f>
        <v>-3.8655622203179973E-2</v>
      </c>
      <c r="F286" s="110">
        <f>表2_3671626293038912[[#This Row],[累计净值]]</f>
        <v>1.1040000000000001</v>
      </c>
      <c r="G286" s="20">
        <f>0.8*(表2_3671626293038912[[#This Row],[累计净值]]/$B$21-1)</f>
        <v>8.2582192465274498E-2</v>
      </c>
    </row>
    <row r="287" spans="1:7">
      <c r="A287" s="15">
        <v>44201</v>
      </c>
      <c r="B287" s="112">
        <v>1.1062000000000001</v>
      </c>
      <c r="C287" s="108">
        <f t="shared" si="82"/>
        <v>2.1999999999999797E-3</v>
      </c>
      <c r="D287" s="109" t="str">
        <f t="shared" si="83"/>
        <v>/</v>
      </c>
      <c r="E287" s="109">
        <f ca="1">IF(表2_3671626293038912[[#This Row],[累计净值]]/MAX(INDIRECT("B21:B" &amp; ROW()))-1&lt;E286,表2_3671626293038912[[#This Row],[累计净值]]/MAX(INDIRECT("B21:B" &amp; ROW()))-1,E286)</f>
        <v>-3.8655622203179973E-2</v>
      </c>
      <c r="F287" s="110">
        <f>表2_3671626293038912[[#This Row],[累计净值]]</f>
        <v>1.1062000000000001</v>
      </c>
      <c r="G287" s="20">
        <f>0.8*(表2_3671626293038912[[#This Row],[累计净值]]/$B$21-1)</f>
        <v>8.4340961327071196E-2</v>
      </c>
    </row>
    <row r="288" spans="1:7">
      <c r="A288" s="15">
        <v>44202</v>
      </c>
      <c r="B288" s="112">
        <v>1.107</v>
      </c>
      <c r="C288" s="108">
        <f t="shared" ref="C288:C293" si="84">IFERROR(B288-B287,0)</f>
        <v>7.9999999999991189E-4</v>
      </c>
      <c r="D288" s="109" t="str">
        <f t="shared" ref="D288:D293" si="85">IF(C288&lt;0,C288,"/")</f>
        <v>/</v>
      </c>
      <c r="E288" s="109">
        <f ca="1">IF(表2_3671626293038912[[#This Row],[累计净值]]/MAX(INDIRECT("B21:B" &amp; ROW()))-1&lt;E287,表2_3671626293038912[[#This Row],[累计净值]]/MAX(INDIRECT("B21:B" &amp; ROW()))-1,E287)</f>
        <v>-3.8655622203179973E-2</v>
      </c>
      <c r="F288" s="110">
        <f>表2_3671626293038912[[#This Row],[累计净值]]</f>
        <v>1.107</v>
      </c>
      <c r="G288" s="20">
        <f>0.8*(表2_3671626293038912[[#This Row],[累计净值]]/$B$21-1)</f>
        <v>8.4980513640451782E-2</v>
      </c>
    </row>
    <row r="289" spans="1:10">
      <c r="A289" s="15">
        <v>44203</v>
      </c>
      <c r="B289" s="112">
        <v>1.1019000000000001</v>
      </c>
      <c r="C289" s="108">
        <f t="shared" si="84"/>
        <v>-5.0999999999998824E-3</v>
      </c>
      <c r="D289" s="109">
        <f t="shared" si="85"/>
        <v>-5.0999999999998824E-3</v>
      </c>
      <c r="E289" s="109">
        <f ca="1">IF(表2_3671626293038912[[#This Row],[累计净值]]/MAX(INDIRECT("B21:B" &amp; ROW()))-1&lt;E288,表2_3671626293038912[[#This Row],[累计净值]]/MAX(INDIRECT("B21:B" &amp; ROW()))-1,E288)</f>
        <v>-3.8655622203179973E-2</v>
      </c>
      <c r="F289" s="110">
        <f>表2_3671626293038912[[#This Row],[累计净值]]</f>
        <v>1.1019000000000001</v>
      </c>
      <c r="G289" s="20">
        <f>0.8*(表2_3671626293038912[[#This Row],[累计净值]]/$B$21-1)</f>
        <v>8.0903367642650367E-2</v>
      </c>
    </row>
    <row r="290" spans="1:10">
      <c r="A290" s="9">
        <v>44204</v>
      </c>
      <c r="B290" s="190">
        <v>1.1012999999999999</v>
      </c>
      <c r="C290" s="191">
        <f t="shared" si="84"/>
        <v>-6.0000000000015596E-4</v>
      </c>
      <c r="D290" s="192">
        <f t="shared" si="85"/>
        <v>-6.0000000000015596E-4</v>
      </c>
      <c r="E290" s="192">
        <f ca="1">IF(表2_3671626293038912[[#This Row],[累计净值]]/MAX(INDIRECT("B21:B" &amp; ROW()))-1&lt;E289,表2_3671626293038912[[#This Row],[累计净值]]/MAX(INDIRECT("B21:B" &amp; ROW()))-1,E289)</f>
        <v>-3.8655622203179973E-2</v>
      </c>
      <c r="F290" s="193">
        <f>表2_3671626293038912[[#This Row],[累计净值]]</f>
        <v>1.1012999999999999</v>
      </c>
      <c r="G290" s="82">
        <f>0.8*(表2_3671626293038912[[#This Row],[累计净值]]/$B$21-1)</f>
        <v>8.0423703407614691E-2</v>
      </c>
    </row>
    <row r="291" spans="1:10">
      <c r="A291" s="15">
        <v>44207</v>
      </c>
      <c r="B291" s="112">
        <v>1.1048</v>
      </c>
      <c r="C291" s="108">
        <f t="shared" si="84"/>
        <v>3.5000000000000586E-3</v>
      </c>
      <c r="D291" s="109" t="str">
        <f t="shared" si="85"/>
        <v>/</v>
      </c>
      <c r="E291" s="109">
        <f ca="1">IF(表2_3671626293038912[[#This Row],[累计净值]]/MAX(INDIRECT("B21:B" &amp; ROW()))-1&lt;E290,表2_3671626293038912[[#This Row],[累计净值]]/MAX(INDIRECT("B21:B" &amp; ROW()))-1,E290)</f>
        <v>-3.8655622203179973E-2</v>
      </c>
      <c r="F291" s="110">
        <f>表2_3671626293038912[[#This Row],[累计净值]]</f>
        <v>1.1048</v>
      </c>
      <c r="G291" s="20">
        <f>0.8*(表2_3671626293038912[[#This Row],[累计净值]]/$B$21-1)</f>
        <v>8.3221744778655099E-2</v>
      </c>
    </row>
    <row r="292" spans="1:10">
      <c r="A292" s="15">
        <v>44208</v>
      </c>
      <c r="B292" s="112">
        <v>1.1114999999999999</v>
      </c>
      <c r="C292" s="108">
        <f t="shared" si="84"/>
        <v>6.6999999999999282E-3</v>
      </c>
      <c r="D292" s="109" t="str">
        <f t="shared" si="85"/>
        <v>/</v>
      </c>
      <c r="E292" s="109">
        <f ca="1">IF(表2_3671626293038912[[#This Row],[累计净值]]/MAX(INDIRECT("B21:B" &amp; ROW()))-1&lt;E291,表2_3671626293038912[[#This Row],[累计净值]]/MAX(INDIRECT("B21:B" &amp; ROW()))-1,E291)</f>
        <v>-3.8655622203179973E-2</v>
      </c>
      <c r="F292" s="110">
        <f>表2_3671626293038912[[#This Row],[累计净值]]</f>
        <v>1.1114999999999999</v>
      </c>
      <c r="G292" s="20">
        <f>0.8*(表2_3671626293038912[[#This Row],[累计净值]]/$B$21-1)</f>
        <v>8.8577995403217716E-2</v>
      </c>
    </row>
    <row r="293" spans="1:10">
      <c r="A293" s="15">
        <v>44209</v>
      </c>
      <c r="B293" s="112">
        <v>1.1114999999999999</v>
      </c>
      <c r="C293" s="108">
        <f t="shared" si="84"/>
        <v>0</v>
      </c>
      <c r="D293" s="109" t="str">
        <f t="shared" si="85"/>
        <v>/</v>
      </c>
      <c r="E293" s="109">
        <f ca="1">IF(表2_3671626293038912[[#This Row],[累计净值]]/MAX(INDIRECT("B21:B" &amp; ROW()))-1&lt;E292,表2_3671626293038912[[#This Row],[累计净值]]/MAX(INDIRECT("B21:B" &amp; ROW()))-1,E292)</f>
        <v>-3.8655622203179973E-2</v>
      </c>
      <c r="F293" s="110">
        <f>表2_3671626293038912[[#This Row],[累计净值]]</f>
        <v>1.1114999999999999</v>
      </c>
      <c r="G293" s="20">
        <f>0.8*(表2_3671626293038912[[#This Row],[累计净值]]/$B$21-1)</f>
        <v>8.8577995403217716E-2</v>
      </c>
    </row>
    <row r="294" spans="1:10">
      <c r="A294" s="15">
        <v>44210</v>
      </c>
      <c r="B294" s="112">
        <v>1.1059000000000001</v>
      </c>
      <c r="C294" s="108">
        <f t="shared" ref="C294:C299" si="86">IFERROR(B294-B293,0)</f>
        <v>-5.5999999999998273E-3</v>
      </c>
      <c r="D294" s="109">
        <f t="shared" ref="D294:D299" si="87">IF(C294&lt;0,C294,"/")</f>
        <v>-5.5999999999998273E-3</v>
      </c>
      <c r="E294" s="109">
        <f ca="1">IF(表2_3671626293038912[[#This Row],[累计净值]]/MAX(INDIRECT("B21:B" &amp; ROW()))-1&lt;E293,表2_3671626293038912[[#This Row],[累计净值]]/MAX(INDIRECT("B21:B" &amp; ROW()))-1,E293)</f>
        <v>-3.8655622203179973E-2</v>
      </c>
      <c r="F294" s="110">
        <f>表2_3671626293038912[[#This Row],[累计净值]]</f>
        <v>1.1059000000000001</v>
      </c>
      <c r="G294" s="20">
        <f>0.8*(表2_3671626293038912[[#This Row],[累计净值]]/$B$21-1)</f>
        <v>8.4101129209553538E-2</v>
      </c>
      <c r="J294" s="218" t="s">
        <v>50</v>
      </c>
    </row>
    <row r="295" spans="1:10">
      <c r="A295" s="15">
        <v>44211</v>
      </c>
      <c r="B295" s="112">
        <v>1.1085</v>
      </c>
      <c r="C295" s="108">
        <f t="shared" si="86"/>
        <v>2.5999999999999357E-3</v>
      </c>
      <c r="D295" s="109" t="str">
        <f t="shared" si="87"/>
        <v>/</v>
      </c>
      <c r="E295" s="109">
        <f ca="1">IF(表2_3671626293038912[[#This Row],[累计净值]]/MAX(INDIRECT("B21:B" &amp; ROW()))-1&lt;E294,表2_3671626293038912[[#This Row],[累计净值]]/MAX(INDIRECT("B21:B" &amp; ROW()))-1,E294)</f>
        <v>-3.8655622203179973E-2</v>
      </c>
      <c r="F295" s="110">
        <f>表2_3671626293038912[[#This Row],[累计净值]]</f>
        <v>1.1085</v>
      </c>
      <c r="G295" s="20">
        <f>0.8*(表2_3671626293038912[[#This Row],[累计净值]]/$B$21-1)</f>
        <v>8.6179674228040432E-2</v>
      </c>
    </row>
    <row r="296" spans="1:10">
      <c r="A296" s="15">
        <v>44214</v>
      </c>
      <c r="B296" s="112">
        <v>1.1048</v>
      </c>
      <c r="C296" s="108">
        <f t="shared" si="86"/>
        <v>-3.7000000000000366E-3</v>
      </c>
      <c r="D296" s="109">
        <f t="shared" si="87"/>
        <v>-3.7000000000000366E-3</v>
      </c>
      <c r="E296" s="109">
        <f ca="1">IF(表2_3671626293038912[[#This Row],[累计净值]]/MAX(INDIRECT("B21:B" &amp; ROW()))-1&lt;E295,表2_3671626293038912[[#This Row],[累计净值]]/MAX(INDIRECT("B21:B" &amp; ROW()))-1,E295)</f>
        <v>-3.8655622203179973E-2</v>
      </c>
      <c r="F296" s="110">
        <f>表2_3671626293038912[[#This Row],[累计净值]]</f>
        <v>1.1048</v>
      </c>
      <c r="G296" s="20">
        <f>0.8*(表2_3671626293038912[[#This Row],[累计净值]]/$B$21-1)</f>
        <v>8.3221744778655099E-2</v>
      </c>
    </row>
    <row r="297" spans="1:10">
      <c r="A297" s="15">
        <v>44215</v>
      </c>
      <c r="B297" s="112">
        <v>1.0972999999999999</v>
      </c>
      <c r="C297" s="108">
        <f t="shared" si="86"/>
        <v>-7.5000000000000622E-3</v>
      </c>
      <c r="D297" s="109">
        <f t="shared" si="87"/>
        <v>-7.5000000000000622E-3</v>
      </c>
      <c r="E297" s="109">
        <f ca="1">IF(表2_3671626293038912[[#This Row],[累计净值]]/MAX(INDIRECT("B21:B" &amp; ROW()))-1&lt;E296,表2_3671626293038912[[#This Row],[累计净值]]/MAX(INDIRECT("B21:B" &amp; ROW()))-1,E296)</f>
        <v>-3.8655622203179973E-2</v>
      </c>
      <c r="F297" s="110">
        <f>表2_3671626293038912[[#This Row],[累计净值]]-0.1085</f>
        <v>0.9887999999999999</v>
      </c>
      <c r="G297" s="20">
        <f>0.8*(表2_3671626293038912[[#This Row],[累计净值]]/$B$21-1)</f>
        <v>7.7225941840711521E-2</v>
      </c>
    </row>
    <row r="298" spans="1:10">
      <c r="A298" s="15">
        <v>44216</v>
      </c>
      <c r="B298" s="112">
        <v>1.0916999999999999</v>
      </c>
      <c r="C298" s="108">
        <f t="shared" si="86"/>
        <v>-5.6000000000000494E-3</v>
      </c>
      <c r="D298" s="109">
        <f t="shared" si="87"/>
        <v>-5.6000000000000494E-3</v>
      </c>
      <c r="E298" s="109">
        <f ca="1">IF(表2_3671626293038912[[#This Row],[累计净值]]/MAX(INDIRECT("B21:B" &amp; ROW()))-1&lt;E297,表2_3671626293038912[[#This Row],[累计净值]]/MAX(INDIRECT("B21:B" &amp; ROW()))-1,E297)</f>
        <v>-3.8655622203179973E-2</v>
      </c>
      <c r="F298" s="110">
        <f>表2_3671626293038912[[#This Row],[累计净值]]-0.1085</f>
        <v>0.98319999999999985</v>
      </c>
      <c r="G298" s="20">
        <f>0.8*(表2_3671626293038912[[#This Row],[累计净值]]/$B$21-1)</f>
        <v>7.2749075647046982E-2</v>
      </c>
    </row>
    <row r="299" spans="1:10">
      <c r="A299" s="15">
        <v>44217</v>
      </c>
      <c r="B299" s="112">
        <v>1.0905</v>
      </c>
      <c r="C299" s="108">
        <f t="shared" si="86"/>
        <v>-1.1999999999998678E-3</v>
      </c>
      <c r="D299" s="109">
        <f t="shared" si="87"/>
        <v>-1.1999999999998678E-3</v>
      </c>
      <c r="E299" s="109">
        <f ca="1">IF(表2_3671626293038912[[#This Row],[累计净值]]/MAX(INDIRECT("B21:B" &amp; ROW()))-1&lt;E298,表2_3671626293038912[[#This Row],[累计净值]]/MAX(INDIRECT("B21:B" &amp; ROW()))-1,E298)</f>
        <v>-3.8655622203179973E-2</v>
      </c>
      <c r="F299" s="110">
        <f>表2_3671626293038912[[#This Row],[累计净值]]-0.1085</f>
        <v>0.98199999999999998</v>
      </c>
      <c r="G299" s="20">
        <f>0.8*(表2_3671626293038912[[#This Row],[累计净值]]/$B$21-1)</f>
        <v>7.1789747176976171E-2</v>
      </c>
    </row>
    <row r="300" spans="1:10">
      <c r="A300" s="15">
        <v>44218</v>
      </c>
      <c r="B300" s="112">
        <v>1.0912999999999999</v>
      </c>
      <c r="C300" s="108">
        <f t="shared" ref="C300:C305" si="88">IFERROR(B300-B299,0)</f>
        <v>7.9999999999991189E-4</v>
      </c>
      <c r="D300" s="109" t="str">
        <f t="shared" ref="D300:D305" si="89">IF(C300&lt;0,C300,"/")</f>
        <v>/</v>
      </c>
      <c r="E300" s="109">
        <f ca="1">IF(表2_3671626293038912[[#This Row],[累计净值]]/MAX(INDIRECT("B21:B" &amp; ROW()))-1&lt;E299,表2_3671626293038912[[#This Row],[累计净值]]/MAX(INDIRECT("B21:B" &amp; ROW()))-1,E299)</f>
        <v>-3.8655622203179973E-2</v>
      </c>
      <c r="F300" s="110">
        <f>表2_3671626293038912[[#This Row],[累计净值]]-0.1085</f>
        <v>0.9827999999999999</v>
      </c>
      <c r="G300" s="20">
        <f>0.8*(表2_3671626293038912[[#This Row],[累计净值]]/$B$21-1)</f>
        <v>7.2429299490356772E-2</v>
      </c>
    </row>
    <row r="301" spans="1:10">
      <c r="A301" s="15">
        <v>44221</v>
      </c>
      <c r="B301" s="112">
        <v>1.0921000000000001</v>
      </c>
      <c r="C301" s="108">
        <f t="shared" si="88"/>
        <v>8.0000000000013394E-4</v>
      </c>
      <c r="D301" s="109" t="str">
        <f t="shared" si="89"/>
        <v>/</v>
      </c>
      <c r="E301" s="109">
        <f ca="1">IF(表2_3671626293038912[[#This Row],[累计净值]]/MAX(INDIRECT("B21:B" &amp; ROW()))-1&lt;E300,表2_3671626293038912[[#This Row],[累计净值]]/MAX(INDIRECT("B21:B" &amp; ROW()))-1,E300)</f>
        <v>-3.8655622203179973E-2</v>
      </c>
      <c r="F301" s="110">
        <f>表2_3671626293038912[[#This Row],[累计净值]]-0.1085</f>
        <v>0.98360000000000003</v>
      </c>
      <c r="G301" s="20">
        <f>0.8*(表2_3671626293038912[[#This Row],[累计净值]]/$B$21-1)</f>
        <v>7.3068851803737553E-2</v>
      </c>
    </row>
    <row r="302" spans="1:10">
      <c r="A302" s="15">
        <v>44222</v>
      </c>
      <c r="B302" s="112">
        <v>1.0927</v>
      </c>
      <c r="C302" s="108">
        <f t="shared" si="88"/>
        <v>5.9999999999993392E-4</v>
      </c>
      <c r="D302" s="109" t="str">
        <f t="shared" si="89"/>
        <v>/</v>
      </c>
      <c r="E302" s="109">
        <f ca="1">IF(表2_3671626293038912[[#This Row],[累计净值]]/MAX(INDIRECT("B21:B" &amp; ROW()))-1&lt;E301,表2_3671626293038912[[#This Row],[累计净值]]/MAX(INDIRECT("B21:B" &amp; ROW()))-1,E301)</f>
        <v>-3.8655622203179973E-2</v>
      </c>
      <c r="F302" s="110">
        <f>表2_3671626293038912[[#This Row],[累计净值]]-0.1085</f>
        <v>0.98419999999999996</v>
      </c>
      <c r="G302" s="20">
        <f>0.8*(表2_3671626293038912[[#This Row],[累计净值]]/$B$21-1)</f>
        <v>7.3548516038772868E-2</v>
      </c>
    </row>
    <row r="303" spans="1:10">
      <c r="A303" s="15">
        <v>44223</v>
      </c>
      <c r="B303" s="112">
        <v>1.0942000000000001</v>
      </c>
      <c r="C303" s="108">
        <f t="shared" si="88"/>
        <v>1.5000000000000568E-3</v>
      </c>
      <c r="D303" s="109" t="str">
        <f t="shared" si="89"/>
        <v>/</v>
      </c>
      <c r="E303" s="109">
        <f ca="1">IF(表2_3671626293038912[[#This Row],[累计净值]]/MAX(INDIRECT("B21:B" &amp; ROW()))-1&lt;E302,表2_3671626293038912[[#This Row],[累计净值]]/MAX(INDIRECT("B21:B" &amp; ROW()))-1,E302)</f>
        <v>-3.8655622203179973E-2</v>
      </c>
      <c r="F303" s="110">
        <f>表2_3671626293038912[[#This Row],[累计净值]]-0.1085</f>
        <v>0.98570000000000002</v>
      </c>
      <c r="G303" s="20">
        <f>0.8*(表2_3671626293038912[[#This Row],[累计净值]]/$B$21-1)</f>
        <v>7.4747676626361684E-2</v>
      </c>
    </row>
    <row r="304" spans="1:10">
      <c r="A304" s="15">
        <v>44224</v>
      </c>
      <c r="B304" s="112">
        <v>1.0938000000000001</v>
      </c>
      <c r="C304" s="108">
        <f t="shared" si="88"/>
        <v>-3.9999999999995595E-4</v>
      </c>
      <c r="D304" s="109">
        <f t="shared" si="89"/>
        <v>-3.9999999999995595E-4</v>
      </c>
      <c r="E304" s="109">
        <f ca="1">IF(表2_3671626293038912[[#This Row],[累计净值]]/MAX(INDIRECT("B21:B" &amp; ROW()))-1&lt;E303,表2_3671626293038912[[#This Row],[累计净值]]/MAX(INDIRECT("B21:B" &amp; ROW()))-1,E303)</f>
        <v>-3.8655622203179973E-2</v>
      </c>
      <c r="F304" s="110">
        <f>表2_3671626293038912[[#This Row],[累计净值]]-0.1085</f>
        <v>0.98530000000000006</v>
      </c>
      <c r="G304" s="20">
        <f>0.8*(表2_3671626293038912[[#This Row],[累计净值]]/$B$21-1)</f>
        <v>7.4427900469671293E-2</v>
      </c>
    </row>
    <row r="305" spans="1:7">
      <c r="A305" s="15">
        <v>44225</v>
      </c>
      <c r="B305" s="112">
        <v>1.0892999999999999</v>
      </c>
      <c r="C305" s="108">
        <f t="shared" si="88"/>
        <v>-4.5000000000001705E-3</v>
      </c>
      <c r="D305" s="109">
        <f t="shared" si="89"/>
        <v>-4.5000000000001705E-3</v>
      </c>
      <c r="E305" s="109">
        <f ca="1">IF(表2_3671626293038912[[#This Row],[累计净值]]/MAX(INDIRECT("B21:B" &amp; ROW()))-1&lt;E304,表2_3671626293038912[[#This Row],[累计净值]]/MAX(INDIRECT("B21:B" &amp; ROW()))-1,E304)</f>
        <v>-3.8655622203179973E-2</v>
      </c>
      <c r="F305" s="110">
        <f>表2_3671626293038912[[#This Row],[累计净值]]-0.1085</f>
        <v>0.98079999999999989</v>
      </c>
      <c r="G305" s="20">
        <f>0.8*(表2_3671626293038912[[#This Row],[累计净值]]/$B$21-1)</f>
        <v>7.0830418706905193E-2</v>
      </c>
    </row>
    <row r="306" spans="1:7">
      <c r="A306" s="15">
        <v>44228</v>
      </c>
      <c r="B306" s="112">
        <v>1.0864</v>
      </c>
      <c r="C306" s="108">
        <f t="shared" ref="C306:C311" si="90">IFERROR(B306-B305,0)</f>
        <v>-2.8999999999999027E-3</v>
      </c>
      <c r="D306" s="109">
        <f t="shared" ref="D306:D311" si="91">IF(C306&lt;0,C306,"/")</f>
        <v>-2.8999999999999027E-3</v>
      </c>
      <c r="E306" s="109">
        <f ca="1">IF(表2_3671626293038912[[#This Row],[累计净值]]/MAX(INDIRECT("B21:B" &amp; ROW()))-1&lt;E305,表2_3671626293038912[[#This Row],[累计净值]]/MAX(INDIRECT("B21:B" &amp; ROW()))-1,E305)</f>
        <v>-3.8655622203179973E-2</v>
      </c>
      <c r="F306" s="110">
        <f>表2_3671626293038912[[#This Row],[累计净值]]-0.1085</f>
        <v>0.97789999999999999</v>
      </c>
      <c r="G306" s="20">
        <f>0.8*(表2_3671626293038912[[#This Row],[累计净值]]/$B$21-1)</f>
        <v>6.8512041570900448E-2</v>
      </c>
    </row>
    <row r="307" spans="1:7">
      <c r="A307" s="15">
        <v>44229</v>
      </c>
      <c r="B307" s="112">
        <v>1.0815999999999999</v>
      </c>
      <c r="C307" s="108">
        <f t="shared" si="90"/>
        <v>-4.8000000000001375E-3</v>
      </c>
      <c r="D307" s="109">
        <f t="shared" si="91"/>
        <v>-4.8000000000001375E-3</v>
      </c>
      <c r="E307" s="109">
        <f ca="1">IF(表2_3671626293038912[[#This Row],[累计净值]]/MAX(INDIRECT("B21:B" &amp; ROW()))-1&lt;E306,表2_3671626293038912[[#This Row],[累计净值]]/MAX(INDIRECT("B21:B" &amp; ROW()))-1,E306)</f>
        <v>-3.8655622203179973E-2</v>
      </c>
      <c r="F307" s="110">
        <f>表2_3671626293038912[[#This Row],[累计净值]]-0.1085</f>
        <v>0.97309999999999985</v>
      </c>
      <c r="G307" s="20">
        <f>0.8*(表2_3671626293038912[[#This Row],[累计净值]]/$B$21-1)</f>
        <v>6.467472769061651E-2</v>
      </c>
    </row>
    <row r="308" spans="1:7">
      <c r="A308" s="15">
        <v>44230</v>
      </c>
      <c r="B308" s="112">
        <v>1.0771999999999999</v>
      </c>
      <c r="C308" s="108">
        <f t="shared" si="90"/>
        <v>-4.3999999999999595E-3</v>
      </c>
      <c r="D308" s="109">
        <f t="shared" si="91"/>
        <v>-4.3999999999999595E-3</v>
      </c>
      <c r="E308" s="109">
        <f ca="1">IF(表2_3671626293038912[[#This Row],[累计净值]]/MAX(INDIRECT("B21:B" &amp; ROW()))-1&lt;E307,表2_3671626293038912[[#This Row],[累计净值]]/MAX(INDIRECT("B21:B" &amp; ROW()))-1,E307)</f>
        <v>-3.8655622203179973E-2</v>
      </c>
      <c r="F308" s="110">
        <f>表2_3671626293038912[[#This Row],[累计净值]]-0.1085</f>
        <v>0.96869999999999989</v>
      </c>
      <c r="G308" s="20">
        <f>0.8*(表2_3671626293038912[[#This Row],[累计净值]]/$B$21-1)</f>
        <v>6.1157189967023129E-2</v>
      </c>
    </row>
    <row r="309" spans="1:7">
      <c r="A309" s="15">
        <v>44231</v>
      </c>
      <c r="B309" s="112">
        <v>1.0766</v>
      </c>
      <c r="C309" s="108">
        <f t="shared" si="90"/>
        <v>-5.9999999999993392E-4</v>
      </c>
      <c r="D309" s="109">
        <f t="shared" si="91"/>
        <v>-5.9999999999993392E-4</v>
      </c>
      <c r="E309" s="109">
        <f ca="1">IF(表2_3671626293038912[[#This Row],[累计净值]]/MAX(INDIRECT("B21:B" &amp; ROW()))-1&lt;E308,表2_3671626293038912[[#This Row],[累计净值]]/MAX(INDIRECT("B21:B" &amp; ROW()))-1,E308)</f>
        <v>-3.8655622203179973E-2</v>
      </c>
      <c r="F309" s="110">
        <f>表2_3671626293038912[[#This Row],[累计净值]]-0.1085</f>
        <v>0.96809999999999996</v>
      </c>
      <c r="G309" s="20">
        <f>0.8*(表2_3671626293038912[[#This Row],[累计净值]]/$B$21-1)</f>
        <v>6.067752573198764E-2</v>
      </c>
    </row>
    <row r="310" spans="1:7">
      <c r="A310" s="15">
        <v>44232</v>
      </c>
      <c r="B310" s="112">
        <v>1.0771999999999999</v>
      </c>
      <c r="C310" s="108">
        <f t="shared" si="90"/>
        <v>5.9999999999993392E-4</v>
      </c>
      <c r="D310" s="109" t="str">
        <f t="shared" si="91"/>
        <v>/</v>
      </c>
      <c r="E310" s="109">
        <f ca="1">IF(表2_3671626293038912[[#This Row],[累计净值]]/MAX(INDIRECT("B21:B" &amp; ROW()))-1&lt;E309,表2_3671626293038912[[#This Row],[累计净值]]/MAX(INDIRECT("B21:B" &amp; ROW()))-1,E309)</f>
        <v>-3.8655622203179973E-2</v>
      </c>
      <c r="F310" s="110">
        <f>表2_3671626293038912[[#This Row],[累计净值]]-0.1085</f>
        <v>0.96869999999999989</v>
      </c>
      <c r="G310" s="20">
        <f>0.8*(表2_3671626293038912[[#This Row],[累计净值]]/$B$21-1)</f>
        <v>6.1157189967023129E-2</v>
      </c>
    </row>
    <row r="311" spans="1:7">
      <c r="A311" s="15">
        <v>44235</v>
      </c>
      <c r="B311" s="112">
        <v>1.0798000000000001</v>
      </c>
      <c r="C311" s="108">
        <f t="shared" si="90"/>
        <v>2.6000000000001577E-3</v>
      </c>
      <c r="D311" s="109" t="str">
        <f t="shared" si="91"/>
        <v>/</v>
      </c>
      <c r="E311" s="109">
        <f ca="1">IF(表2_3671626293038912[[#This Row],[累计净值]]/MAX(INDIRECT("B21:B" &amp; ROW()))-1&lt;E310,表2_3671626293038912[[#This Row],[累计净值]]/MAX(INDIRECT("B21:B" &amp; ROW()))-1,E310)</f>
        <v>-3.8655622203179973E-2</v>
      </c>
      <c r="F311" s="110">
        <f>表2_3671626293038912[[#This Row],[累计净值]]-0.1085</f>
        <v>0.97130000000000005</v>
      </c>
      <c r="G311" s="20">
        <f>0.8*(表2_3671626293038912[[#This Row],[累计净值]]/$B$21-1)</f>
        <v>6.3235734985510203E-2</v>
      </c>
    </row>
    <row r="312" spans="1:7">
      <c r="A312" s="15">
        <v>44236</v>
      </c>
      <c r="B312" s="112">
        <v>1.0851999999999999</v>
      </c>
      <c r="C312" s="108">
        <f>IFERROR(B312-B311,0)</f>
        <v>5.3999999999998494E-3</v>
      </c>
      <c r="D312" s="109" t="str">
        <f>IF(C312&lt;0,C312,"/")</f>
        <v>/</v>
      </c>
      <c r="E312" s="109">
        <f ca="1">IF(表2_3671626293038912[[#This Row],[累计净值]]/MAX(INDIRECT("B21:B" &amp; ROW()))-1&lt;E311,表2_3671626293038912[[#This Row],[累计净值]]/MAX(INDIRECT("B21:B" &amp; ROW()))-1,E311)</f>
        <v>-3.8655622203179973E-2</v>
      </c>
      <c r="F312" s="110">
        <f>表2_3671626293038912[[#This Row],[累计净值]]-0.1085</f>
        <v>0.9766999999999999</v>
      </c>
      <c r="G312" s="20">
        <f>0.8*(表2_3671626293038912[[#This Row],[累计净值]]/$B$21-1)</f>
        <v>6.755271310082947E-2</v>
      </c>
    </row>
    <row r="313" spans="1:7">
      <c r="A313" s="15">
        <v>44237</v>
      </c>
      <c r="B313" s="112">
        <v>1.0899000000000001</v>
      </c>
      <c r="C313" s="108">
        <f t="shared" ref="C313:C314" si="92">IFERROR(B313-B312,0)</f>
        <v>4.7000000000001485E-3</v>
      </c>
      <c r="D313" s="109" t="str">
        <f t="shared" ref="D313:D314" si="93">IF(C313&lt;0,C313,"/")</f>
        <v>/</v>
      </c>
      <c r="E313" s="109">
        <f ca="1">IF(表2_3671626293038912[[#This Row],[累计净值]]/MAX(INDIRECT("B21:B" &amp; ROW()))-1&lt;E312,表2_3671626293038912[[#This Row],[累计净值]]/MAX(INDIRECT("B21:B" &amp; ROW()))-1,E312)</f>
        <v>-3.8655622203179973E-2</v>
      </c>
      <c r="F313" s="110">
        <f>表2_3671626293038912[[#This Row],[累计净值]]-0.1085</f>
        <v>0.98140000000000005</v>
      </c>
      <c r="G313" s="20">
        <f>0.8*(表2_3671626293038912[[#This Row],[累计净值]]/$B$21-1)</f>
        <v>7.1310082941940856E-2</v>
      </c>
    </row>
    <row r="314" spans="1:7">
      <c r="A314" s="15">
        <v>44245</v>
      </c>
      <c r="B314" s="112">
        <v>1.0975999999999999</v>
      </c>
      <c r="C314" s="108">
        <f t="shared" si="92"/>
        <v>7.6999999999998181E-3</v>
      </c>
      <c r="D314" s="109" t="str">
        <f t="shared" si="93"/>
        <v>/</v>
      </c>
      <c r="E314" s="109">
        <f ca="1">IF(表2_3671626293038912[[#This Row],[累计净值]]/MAX(INDIRECT("B21:B" &amp; ROW()))-1&lt;E313,表2_3671626293038912[[#This Row],[累计净值]]/MAX(INDIRECT("B21:B" &amp; ROW()))-1,E313)</f>
        <v>-3.8655622203179973E-2</v>
      </c>
      <c r="F314" s="110">
        <f>表2_3671626293038912[[#This Row],[累计净值]]-0.1085</f>
        <v>0.98909999999999987</v>
      </c>
      <c r="G314" s="20">
        <f>0.8*(表2_3671626293038912[[#This Row],[累计净值]]/$B$21-1)</f>
        <v>7.7465773958229178E-2</v>
      </c>
    </row>
    <row r="315" spans="1:7">
      <c r="A315" s="15">
        <v>44246</v>
      </c>
      <c r="B315" s="112">
        <v>1.0999000000000001</v>
      </c>
      <c r="C315" s="108">
        <f>IFERROR(B315-B314,0)</f>
        <v>2.3000000000001908E-3</v>
      </c>
      <c r="D315" s="109" t="str">
        <f>IF(C315&lt;0,C315,"/")</f>
        <v>/</v>
      </c>
      <c r="E315" s="109">
        <f ca="1">IF(表2_3671626293038912[[#This Row],[累计净值]]/MAX(INDIRECT("B21:B" &amp; ROW()))-1&lt;E314,表2_3671626293038912[[#This Row],[累计净值]]/MAX(INDIRECT("B21:B" &amp; ROW()))-1,E314)</f>
        <v>-3.8655622203179973E-2</v>
      </c>
      <c r="F315" s="110">
        <f>表2_3671626293038912[[#This Row],[累计净值]]-0.1085</f>
        <v>0.99140000000000006</v>
      </c>
      <c r="G315" s="20">
        <f>0.8*(表2_3671626293038912[[#This Row],[累计净值]]/$B$21-1)</f>
        <v>7.9304486859198775E-2</v>
      </c>
    </row>
    <row r="316" spans="1:7">
      <c r="A316" s="15">
        <v>44249</v>
      </c>
      <c r="B316" s="112">
        <v>1.1089</v>
      </c>
      <c r="C316" s="108">
        <f t="shared" ref="C316:C319" si="94">IFERROR(B316-B315,0)</f>
        <v>8.999999999999897E-3</v>
      </c>
      <c r="D316" s="109" t="str">
        <f t="shared" ref="D316:D319" si="95">IF(C316&lt;0,C316,"/")</f>
        <v>/</v>
      </c>
      <c r="E316" s="109">
        <f ca="1">IF(表2_3671626293038912[[#This Row],[累计净值]]/MAX(INDIRECT("B21:B" &amp; ROW()))-1&lt;E315,表2_3671626293038912[[#This Row],[累计净值]]/MAX(INDIRECT("B21:B" &amp; ROW()))-1,E315)</f>
        <v>-3.8655622203179973E-2</v>
      </c>
      <c r="F316" s="110">
        <f>表2_3671626293038912[[#This Row],[累计净值]]-0.1085</f>
        <v>1.0004</v>
      </c>
      <c r="G316" s="20">
        <f>0.8*(表2_3671626293038912[[#This Row],[累计净值]]/$B$21-1)</f>
        <v>8.6499450384730822E-2</v>
      </c>
    </row>
    <row r="317" spans="1:7">
      <c r="A317" s="15">
        <v>44250</v>
      </c>
      <c r="B317" s="112">
        <v>1.1091</v>
      </c>
      <c r="C317" s="108">
        <f t="shared" si="94"/>
        <v>1.9999999999997797E-4</v>
      </c>
      <c r="D317" s="109" t="str">
        <f t="shared" si="95"/>
        <v>/</v>
      </c>
      <c r="E317" s="109">
        <f ca="1">IF(表2_3671626293038912[[#This Row],[累计净值]]/MAX(INDIRECT("B21:B" &amp; ROW()))-1&lt;E316,表2_3671626293038912[[#This Row],[累计净值]]/MAX(INDIRECT("B21:B" &amp; ROW()))-1,E316)</f>
        <v>-3.8655622203179973E-2</v>
      </c>
      <c r="F317" s="110">
        <f>表2_3671626293038912[[#This Row],[累计净值]]-0.1085</f>
        <v>1.0005999999999999</v>
      </c>
      <c r="G317" s="20">
        <f>0.8*(表2_3671626293038912[[#This Row],[累计净值]]/$B$21-1)</f>
        <v>8.6659338463075927E-2</v>
      </c>
    </row>
    <row r="318" spans="1:7">
      <c r="A318" s="15">
        <v>44251</v>
      </c>
      <c r="B318" s="112">
        <v>1.1048</v>
      </c>
      <c r="C318" s="108">
        <f t="shared" si="94"/>
        <v>-4.2999999999999705E-3</v>
      </c>
      <c r="D318" s="109">
        <f t="shared" si="95"/>
        <v>-4.2999999999999705E-3</v>
      </c>
      <c r="E318" s="109">
        <f ca="1">IF(表2_3671626293038912[[#This Row],[累计净值]]/MAX(INDIRECT("B21:B" &amp; ROW()))-1&lt;E317,表2_3671626293038912[[#This Row],[累计净值]]/MAX(INDIRECT("B21:B" &amp; ROW()))-1,E317)</f>
        <v>-3.8655622203179973E-2</v>
      </c>
      <c r="F318" s="110">
        <f>表2_3671626293038912[[#This Row],[累计净值]]-0.1085</f>
        <v>0.99629999999999996</v>
      </c>
      <c r="G318" s="20">
        <f>0.8*(表2_3671626293038912[[#This Row],[累计净值]]/$B$21-1)</f>
        <v>8.3221744778655099E-2</v>
      </c>
    </row>
    <row r="319" spans="1:7">
      <c r="A319" s="15">
        <v>44252</v>
      </c>
      <c r="B319" s="112">
        <v>1.1029</v>
      </c>
      <c r="C319" s="108">
        <f t="shared" si="94"/>
        <v>-1.9000000000000128E-3</v>
      </c>
      <c r="D319" s="109">
        <f t="shared" si="95"/>
        <v>-1.9000000000000128E-3</v>
      </c>
      <c r="E319" s="109">
        <f ca="1">IF(表2_3671626293038912[[#This Row],[累计净值]]/MAX(INDIRECT("B21:B" &amp; ROW()))-1&lt;E318,表2_3671626293038912[[#This Row],[累计净值]]/MAX(INDIRECT("B21:B" &amp; ROW()))-1,E318)</f>
        <v>-3.8655622203179973E-2</v>
      </c>
      <c r="F319" s="110">
        <f>表2_3671626293038912[[#This Row],[累计净值]]-0.1085</f>
        <v>0.99439999999999995</v>
      </c>
      <c r="G319" s="20">
        <f>0.8*(表2_3671626293038912[[#This Row],[累计净值]]/$B$21-1)</f>
        <v>8.1702808034376073E-2</v>
      </c>
    </row>
    <row r="320" spans="1:7">
      <c r="A320" s="15">
        <v>44253</v>
      </c>
      <c r="B320" s="63">
        <v>1.105</v>
      </c>
      <c r="C320" s="108">
        <f t="shared" ref="C320:C321" si="96">IFERROR(B320-B319,0)</f>
        <v>2.0999999999999908E-3</v>
      </c>
      <c r="D320" s="109" t="str">
        <f t="shared" ref="D320:D321" si="97">IF(C320&lt;0,C320,"/")</f>
        <v>/</v>
      </c>
      <c r="E320" s="109">
        <f ca="1">IF(表2_3671626293038912[[#This Row],[累计净值]]/MAX(INDIRECT("B21:B" &amp; ROW()))-1&lt;E319,表2_3671626293038912[[#This Row],[累计净值]]/MAX(INDIRECT("B21:B" &amp; ROW()))-1,E319)</f>
        <v>-3.8655622203179973E-2</v>
      </c>
      <c r="F320" s="110">
        <f>表2_3671626293038912[[#This Row],[累计净值]]-0.1085</f>
        <v>0.99649999999999994</v>
      </c>
      <c r="G320" s="20">
        <f>0.8*(表2_3671626293038912[[#This Row],[累计净值]]/$B$21-1)</f>
        <v>8.3381632857000204E-2</v>
      </c>
    </row>
    <row r="321" spans="1:7">
      <c r="A321" s="15">
        <v>44256</v>
      </c>
      <c r="B321" s="112">
        <v>1.1086</v>
      </c>
      <c r="C321" s="108">
        <f t="shared" si="96"/>
        <v>3.6000000000000476E-3</v>
      </c>
      <c r="D321" s="109" t="str">
        <f t="shared" si="97"/>
        <v>/</v>
      </c>
      <c r="E321" s="109">
        <f ca="1">IF(表2_3671626293038912[[#This Row],[累计净值]]/MAX(INDIRECT("B21:B" &amp; ROW()))-1&lt;E320,表2_3671626293038912[[#This Row],[累计净值]]/MAX(INDIRECT("B21:B" &amp; ROW()))-1,E320)</f>
        <v>-3.8655622203179973E-2</v>
      </c>
      <c r="F321" s="110">
        <f>表2_3671626293038912[[#This Row],[累计净值]]-0.1085</f>
        <v>1.0001</v>
      </c>
      <c r="G321" s="20">
        <f>0.8*(表2_3671626293038912[[#This Row],[累计净值]]/$B$21-1)</f>
        <v>8.6259618267212984E-2</v>
      </c>
    </row>
    <row r="322" spans="1:7">
      <c r="A322" s="15">
        <v>44257</v>
      </c>
      <c r="B322" s="112">
        <v>1.1095999999999999</v>
      </c>
      <c r="C322" s="108">
        <f t="shared" ref="C322" si="98">IFERROR(B322-B321,0)</f>
        <v>9.9999999999988987E-4</v>
      </c>
      <c r="D322" s="109" t="str">
        <f t="shared" ref="D322" si="99">IF(C322&lt;0,C322,"/")</f>
        <v>/</v>
      </c>
      <c r="E322" s="109">
        <f ca="1">IF(表2_3671626293038912[[#This Row],[累计净值]]/MAX(INDIRECT("B21:B" &amp; ROW()))-1&lt;E321,表2_3671626293038912[[#This Row],[累计净值]]/MAX(INDIRECT("B21:B" &amp; ROW()))-1,E321)</f>
        <v>-3.8655622203179973E-2</v>
      </c>
      <c r="F322" s="110">
        <f>表2_3671626293038912[[#This Row],[累计净值]]-0.1085</f>
        <v>1.0010999999999999</v>
      </c>
      <c r="G322" s="20">
        <f>0.8*(表2_3671626293038912[[#This Row],[累计净值]]/$B$21-1)</f>
        <v>8.705905865893869E-2</v>
      </c>
    </row>
    <row r="323" spans="1:7">
      <c r="A323" s="15">
        <v>44258</v>
      </c>
      <c r="B323" s="112">
        <v>1.1133999999999999</v>
      </c>
      <c r="C323" s="108">
        <f t="shared" ref="C323" si="100">IFERROR(B323-B322,0)</f>
        <v>3.8000000000000256E-3</v>
      </c>
      <c r="D323" s="109" t="str">
        <f t="shared" ref="D323" si="101">IF(C323&lt;0,C323,"/")</f>
        <v>/</v>
      </c>
      <c r="E323" s="109">
        <f ca="1">IF(表2_3671626293038912[[#This Row],[累计净值]]/MAX(INDIRECT("B21:B" &amp; ROW()))-1&lt;E322,表2_3671626293038912[[#This Row],[累计净值]]/MAX(INDIRECT("B21:B" &amp; ROW()))-1,E322)</f>
        <v>-3.8655622203179973E-2</v>
      </c>
      <c r="F323" s="110">
        <f>表2_3671626293038912[[#This Row],[累计净值]]-0.1085</f>
        <v>1.0048999999999999</v>
      </c>
      <c r="G323" s="20">
        <f>0.8*(表2_3671626293038912[[#This Row],[累计净值]]/$B$21-1)</f>
        <v>9.0096932147496755E-2</v>
      </c>
    </row>
    <row r="324" spans="1:7">
      <c r="A324" s="15">
        <v>44259</v>
      </c>
      <c r="B324" s="112">
        <v>1.1133</v>
      </c>
      <c r="C324" s="108">
        <f t="shared" ref="C324:C328" si="102">IFERROR(B324-B323,0)</f>
        <v>-9.9999999999988987E-5</v>
      </c>
      <c r="D324" s="109">
        <f t="shared" ref="D324:D328" si="103">IF(C324&lt;0,C324,"/")</f>
        <v>-9.9999999999988987E-5</v>
      </c>
      <c r="E324" s="109">
        <f ca="1">IF(表2_3671626293038912[[#This Row],[累计净值]]/MAX(INDIRECT("B21:B" &amp; ROW()))-1&lt;E323,表2_3671626293038912[[#This Row],[累计净值]]/MAX(INDIRECT("B21:B" &amp; ROW()))-1,E323)</f>
        <v>-3.8655622203179973E-2</v>
      </c>
      <c r="F324" s="110">
        <f>表2_3671626293038912[[#This Row],[累计净值]]-0.1085</f>
        <v>1.0047999999999999</v>
      </c>
      <c r="G324" s="20">
        <f>0.8*(表2_3671626293038912[[#This Row],[累计净值]]/$B$21-1)</f>
        <v>9.0016988108324203E-2</v>
      </c>
    </row>
    <row r="325" spans="1:7">
      <c r="A325" s="15">
        <v>44260</v>
      </c>
      <c r="B325" s="112">
        <v>1.1091</v>
      </c>
      <c r="C325" s="108">
        <f t="shared" si="102"/>
        <v>-4.1999999999999815E-3</v>
      </c>
      <c r="D325" s="109">
        <f t="shared" si="103"/>
        <v>-4.1999999999999815E-3</v>
      </c>
      <c r="E325" s="109">
        <f ca="1">IF(表2_3671626293038912[[#This Row],[累计净值]]/MAX(INDIRECT("B21:B" &amp; ROW()))-1&lt;E324,表2_3671626293038912[[#This Row],[累计净值]]/MAX(INDIRECT("B21:B" &amp; ROW()))-1,E324)</f>
        <v>-3.8655622203179973E-2</v>
      </c>
      <c r="F325" s="110">
        <f>表2_3671626293038912[[#This Row],[累计净值]]-0.1085</f>
        <v>1.0005999999999999</v>
      </c>
      <c r="G325" s="20">
        <f>0.8*(表2_3671626293038912[[#This Row],[累计净值]]/$B$21-1)</f>
        <v>8.6659338463075927E-2</v>
      </c>
    </row>
    <row r="326" spans="1:7">
      <c r="A326" s="15">
        <v>44263</v>
      </c>
      <c r="B326" s="112">
        <v>1.1108</v>
      </c>
      <c r="C326" s="108">
        <f t="shared" si="102"/>
        <v>1.7000000000000348E-3</v>
      </c>
      <c r="D326" s="109" t="str">
        <f t="shared" si="103"/>
        <v>/</v>
      </c>
      <c r="E326" s="109">
        <f ca="1">IF(表2_3671626293038912[[#This Row],[累计净值]]/MAX(INDIRECT("B21:B" &amp; ROW()))-1&lt;E325,表2_3671626293038912[[#This Row],[累计净值]]/MAX(INDIRECT("B21:B" &amp; ROW()))-1,E325)</f>
        <v>-3.8655622203179973E-2</v>
      </c>
      <c r="F326" s="110">
        <f>表2_3671626293038912[[#This Row],[累计净值]]-0.1085</f>
        <v>1.0023</v>
      </c>
      <c r="G326" s="20">
        <f>0.8*(表2_3671626293038912[[#This Row],[累计净值]]/$B$21-1)</f>
        <v>8.8018387129009848E-2</v>
      </c>
    </row>
    <row r="327" spans="1:7">
      <c r="A327" s="15">
        <v>44264</v>
      </c>
      <c r="B327" s="112">
        <v>1.1102000000000001</v>
      </c>
      <c r="C327" s="108">
        <f t="shared" si="102"/>
        <v>-5.9999999999993392E-4</v>
      </c>
      <c r="D327" s="109">
        <f t="shared" si="103"/>
        <v>-5.9999999999993392E-4</v>
      </c>
      <c r="E327" s="109">
        <f ca="1">IF(表2_3671626293038912[[#This Row],[累计净值]]/MAX(INDIRECT("B21:B" &amp; ROW()))-1&lt;E326,表2_3671626293038912[[#This Row],[累计净值]]/MAX(INDIRECT("B21:B" &amp; ROW()))-1,E326)</f>
        <v>-3.8655622203179973E-2</v>
      </c>
      <c r="F327" s="110">
        <f>表2_3671626293038912[[#This Row],[累计净值]]-0.1085</f>
        <v>1.0017</v>
      </c>
      <c r="G327" s="20">
        <f>0.8*(表2_3671626293038912[[#This Row],[累计净值]]/$B$21-1)</f>
        <v>8.7538722893974352E-2</v>
      </c>
    </row>
    <row r="328" spans="1:7">
      <c r="A328" s="15">
        <v>44265</v>
      </c>
      <c r="B328" s="112">
        <v>1.1065</v>
      </c>
      <c r="C328" s="108">
        <f t="shared" si="102"/>
        <v>-3.7000000000000366E-3</v>
      </c>
      <c r="D328" s="109">
        <f t="shared" si="103"/>
        <v>-3.7000000000000366E-3</v>
      </c>
      <c r="E328" s="109">
        <f ca="1">IF(表2_3671626293038912[[#This Row],[累计净值]]/MAX(INDIRECT("B21:B" &amp; ROW()))-1&lt;E327,表2_3671626293038912[[#This Row],[累计净值]]/MAX(INDIRECT("B21:B" &amp; ROW()))-1,E327)</f>
        <v>-3.8655622203179973E-2</v>
      </c>
      <c r="F328" s="110">
        <f>表2_3671626293038912[[#This Row],[累计净值]]-0.1085</f>
        <v>0.998</v>
      </c>
      <c r="G328" s="20">
        <f>0.8*(表2_3671626293038912[[#This Row],[累计净值]]/$B$21-1)</f>
        <v>8.4580793444588853E-2</v>
      </c>
    </row>
    <row r="329" spans="1:7">
      <c r="A329" s="15">
        <v>44266</v>
      </c>
      <c r="B329" s="112">
        <v>1.1079000000000001</v>
      </c>
      <c r="C329" s="108">
        <f t="shared" ref="C329:C335" si="104">IFERROR(B329-B328,0)</f>
        <v>1.4000000000000679E-3</v>
      </c>
      <c r="D329" s="109" t="str">
        <f t="shared" ref="D329:D335" si="105">IF(C329&lt;0,C329,"/")</f>
        <v>/</v>
      </c>
      <c r="E329" s="109">
        <f ca="1">IF(表2_3671626293038912[[#This Row],[累计净值]]/MAX(INDIRECT("B21:B" &amp; ROW()))-1&lt;E328,表2_3671626293038912[[#This Row],[累计净值]]/MAX(INDIRECT("B21:B" &amp; ROW()))-1,E328)</f>
        <v>-3.8655622203179973E-2</v>
      </c>
      <c r="F329" s="110">
        <f>表2_3671626293038912[[#This Row],[累计净值]]-0.1085</f>
        <v>0.99940000000000007</v>
      </c>
      <c r="G329" s="20">
        <f>0.8*(表2_3671626293038912[[#This Row],[累计净值]]/$B$21-1)</f>
        <v>8.5700009993005116E-2</v>
      </c>
    </row>
    <row r="330" spans="1:7">
      <c r="A330" s="15">
        <v>44267</v>
      </c>
      <c r="B330" s="112">
        <v>1.1087</v>
      </c>
      <c r="C330" s="108">
        <f t="shared" si="104"/>
        <v>7.9999999999991189E-4</v>
      </c>
      <c r="D330" s="109" t="str">
        <f t="shared" si="105"/>
        <v>/</v>
      </c>
      <c r="E330" s="109">
        <f ca="1">IF(表2_3671626293038912[[#This Row],[累计净值]]/MAX(INDIRECT("B21:B" &amp; ROW()))-1&lt;E329,表2_3671626293038912[[#This Row],[累计净值]]/MAX(INDIRECT("B21:B" &amp; ROW()))-1,E329)</f>
        <v>-3.8655622203179973E-2</v>
      </c>
      <c r="F330" s="110">
        <f>表2_3671626293038912[[#This Row],[累计净值]]-0.1085</f>
        <v>1.0002</v>
      </c>
      <c r="G330" s="20">
        <f>0.8*(表2_3671626293038912[[#This Row],[累计净值]]/$B$21-1)</f>
        <v>8.6339562306385537E-2</v>
      </c>
    </row>
    <row r="331" spans="1:7">
      <c r="A331" s="15">
        <v>44270</v>
      </c>
      <c r="B331" s="112">
        <v>1.1085</v>
      </c>
      <c r="C331" s="108">
        <f t="shared" si="104"/>
        <v>-1.9999999999997797E-4</v>
      </c>
      <c r="D331" s="109">
        <f t="shared" si="105"/>
        <v>-1.9999999999997797E-4</v>
      </c>
      <c r="E331" s="109">
        <f ca="1">IF(表2_3671626293038912[[#This Row],[累计净值]]/MAX(INDIRECT("B21:B" &amp; ROW()))-1&lt;E330,表2_3671626293038912[[#This Row],[累计净值]]/MAX(INDIRECT("B21:B" &amp; ROW()))-1,E330)</f>
        <v>-3.8655622203179973E-2</v>
      </c>
      <c r="F331" s="110">
        <f>表2_3671626293038912[[#This Row],[累计净值]]-0.1085</f>
        <v>1</v>
      </c>
      <c r="G331" s="20">
        <f>0.8*(表2_3671626293038912[[#This Row],[累计净值]]/$B$21-1)</f>
        <v>8.6179674228040432E-2</v>
      </c>
    </row>
    <row r="332" spans="1:7">
      <c r="A332" s="15">
        <v>44271</v>
      </c>
      <c r="B332" s="112">
        <v>1.1080000000000001</v>
      </c>
      <c r="C332" s="108">
        <f t="shared" si="104"/>
        <v>-4.9999999999994493E-4</v>
      </c>
      <c r="D332" s="109">
        <f t="shared" si="105"/>
        <v>-4.9999999999994493E-4</v>
      </c>
      <c r="E332" s="109">
        <f ca="1">IF(表2_3671626293038912[[#This Row],[累计净值]]/MAX(INDIRECT("B21:B" &amp; ROW()))-1&lt;E331,表2_3671626293038912[[#This Row],[累计净值]]/MAX(INDIRECT("B21:B" &amp; ROW()))-1,E331)</f>
        <v>-3.8655622203179973E-2</v>
      </c>
      <c r="F332" s="110">
        <f>表2_3671626293038912[[#This Row],[累计净值]]-0.1085</f>
        <v>0.99950000000000006</v>
      </c>
      <c r="G332" s="20">
        <f>0.8*(表2_3671626293038912[[#This Row],[累计净值]]/$B$21-1)</f>
        <v>8.5779954032177669E-2</v>
      </c>
    </row>
    <row r="333" spans="1:7">
      <c r="A333" s="15">
        <v>44272</v>
      </c>
      <c r="B333" s="112">
        <v>1.1068</v>
      </c>
      <c r="C333" s="108">
        <f t="shared" si="104"/>
        <v>-1.2000000000000899E-3</v>
      </c>
      <c r="D333" s="109">
        <f t="shared" si="105"/>
        <v>-1.2000000000000899E-3</v>
      </c>
      <c r="E333" s="109">
        <f ca="1">IF(表2_3671626293038912[[#This Row],[累计净值]]/MAX(INDIRECT("B21:B" &amp; ROW()))-1&lt;E332,表2_3671626293038912[[#This Row],[累计净值]]/MAX(INDIRECT("B21:B" &amp; ROW()))-1,E332)</f>
        <v>-3.8655622203179973E-2</v>
      </c>
      <c r="F333" s="110">
        <f>表2_3671626293038912[[#This Row],[累计净值]]-0.1085</f>
        <v>0.99829999999999997</v>
      </c>
      <c r="G333" s="20">
        <f>0.8*(表2_3671626293038912[[#This Row],[累计净值]]/$B$21-1)</f>
        <v>8.4820625562106677E-2</v>
      </c>
    </row>
    <row r="334" spans="1:7">
      <c r="A334" s="15">
        <v>44273</v>
      </c>
      <c r="B334" s="112">
        <v>1.1062000000000001</v>
      </c>
      <c r="C334" s="108">
        <f t="shared" si="104"/>
        <v>-5.9999999999993392E-4</v>
      </c>
      <c r="D334" s="109">
        <f t="shared" si="105"/>
        <v>-5.9999999999993392E-4</v>
      </c>
      <c r="E334" s="109">
        <f ca="1">IF(表2_3671626293038912[[#This Row],[累计净值]]/MAX(INDIRECT("B21:B" &amp; ROW()))-1&lt;E333,表2_3671626293038912[[#This Row],[累计净值]]/MAX(INDIRECT("B21:B" &amp; ROW()))-1,E333)</f>
        <v>-3.8655622203179973E-2</v>
      </c>
      <c r="F334" s="110">
        <f>表2_3671626293038912[[#This Row],[累计净值]]-0.1085</f>
        <v>0.99770000000000003</v>
      </c>
      <c r="G334" s="20">
        <f>0.8*(表2_3671626293038912[[#This Row],[累计净值]]/$B$21-1)</f>
        <v>8.4340961327071196E-2</v>
      </c>
    </row>
    <row r="335" spans="1:7">
      <c r="A335" s="15">
        <v>44274</v>
      </c>
      <c r="B335" s="112">
        <v>1.1053999999999999</v>
      </c>
      <c r="C335" s="108">
        <f t="shared" si="104"/>
        <v>-8.0000000000013394E-4</v>
      </c>
      <c r="D335" s="109">
        <f t="shared" si="105"/>
        <v>-8.0000000000013394E-4</v>
      </c>
      <c r="E335" s="109">
        <f ca="1">IF(表2_3671626293038912[[#This Row],[累计净值]]/MAX(INDIRECT("B21:B" &amp; ROW()))-1&lt;E334,表2_3671626293038912[[#This Row],[累计净值]]/MAX(INDIRECT("B21:B" &amp; ROW()))-1,E334)</f>
        <v>-3.8655622203179973E-2</v>
      </c>
      <c r="F335" s="110">
        <f>表2_3671626293038912[[#This Row],[累计净值]]-0.1085</f>
        <v>0.9968999999999999</v>
      </c>
      <c r="G335" s="20">
        <f>0.8*(表2_3671626293038912[[#This Row],[累计净值]]/$B$21-1)</f>
        <v>8.3701409013690414E-2</v>
      </c>
    </row>
    <row r="336" spans="1:7">
      <c r="A336" s="15">
        <v>44277</v>
      </c>
      <c r="B336" s="112">
        <v>1.1089</v>
      </c>
      <c r="C336" s="108">
        <f>IFERROR(B336-B335,0)</f>
        <v>3.5000000000000586E-3</v>
      </c>
      <c r="D336" s="109" t="str">
        <f>IF(C336&lt;0,C336,"/")</f>
        <v>/</v>
      </c>
      <c r="E336" s="109">
        <f ca="1">IF(表2_3671626293038912[[#This Row],[累计净值]]/MAX(INDIRECT("B21:B" &amp; ROW()))-1&lt;E335,表2_3671626293038912[[#This Row],[累计净值]]/MAX(INDIRECT("B21:B" &amp; ROW()))-1,E335)</f>
        <v>-3.8655622203179973E-2</v>
      </c>
      <c r="F336" s="110">
        <f>表2_3671626293038912[[#This Row],[累计净值]]-0.1085</f>
        <v>1.0004</v>
      </c>
      <c r="G336" s="20">
        <f>0.8*(表2_3671626293038912[[#This Row],[累计净值]]/$B$21-1)</f>
        <v>8.6499450384730822E-2</v>
      </c>
    </row>
    <row r="337" spans="1:7">
      <c r="A337" s="15">
        <v>44278</v>
      </c>
      <c r="B337" s="112">
        <v>1.1102000000000001</v>
      </c>
      <c r="C337" s="108">
        <f t="shared" ref="C337:C340" si="106">IFERROR(B337-B336,0)</f>
        <v>1.3000000000000789E-3</v>
      </c>
      <c r="D337" s="109" t="str">
        <f t="shared" ref="D337:D340" si="107">IF(C337&lt;0,C337,"/")</f>
        <v>/</v>
      </c>
      <c r="E337" s="109">
        <f ca="1">IF(表2_3671626293038912[[#This Row],[累计净值]]/MAX(INDIRECT("B21:B" &amp; ROW()))-1&lt;E336,表2_3671626293038912[[#This Row],[累计净值]]/MAX(INDIRECT("B21:B" &amp; ROW()))-1,E336)</f>
        <v>-3.8655622203179973E-2</v>
      </c>
      <c r="F337" s="110">
        <f>表2_3671626293038912[[#This Row],[累计净值]]-0.1085</f>
        <v>1.0017</v>
      </c>
      <c r="G337" s="20">
        <f>0.8*(表2_3671626293038912[[#This Row],[累计净值]]/$B$21-1)</f>
        <v>8.7538722893974352E-2</v>
      </c>
    </row>
    <row r="338" spans="1:7">
      <c r="A338" s="15">
        <v>44279</v>
      </c>
      <c r="B338" s="112">
        <v>1.1097999999999999</v>
      </c>
      <c r="C338" s="108">
        <f t="shared" si="106"/>
        <v>-4.0000000000017799E-4</v>
      </c>
      <c r="D338" s="109">
        <f t="shared" si="107"/>
        <v>-4.0000000000017799E-4</v>
      </c>
      <c r="E338" s="109">
        <f ca="1">IF(表2_3671626293038912[[#This Row],[累计净值]]/MAX(INDIRECT("B21:B" &amp; ROW()))-1&lt;E337,表2_3671626293038912[[#This Row],[累计净值]]/MAX(INDIRECT("B21:B" &amp; ROW()))-1,E337)</f>
        <v>-3.8655622203179973E-2</v>
      </c>
      <c r="F338" s="110">
        <f>表2_3671626293038912[[#This Row],[累计净值]]-0.1085</f>
        <v>1.0012999999999999</v>
      </c>
      <c r="G338" s="20">
        <f>0.8*(表2_3671626293038912[[#This Row],[累计净值]]/$B$21-1)</f>
        <v>8.7218946737283976E-2</v>
      </c>
    </row>
    <row r="339" spans="1:7">
      <c r="A339" s="15">
        <v>44280</v>
      </c>
      <c r="B339" s="112">
        <v>1.1086</v>
      </c>
      <c r="C339" s="108">
        <f t="shared" si="106"/>
        <v>-1.1999999999998678E-3</v>
      </c>
      <c r="D339" s="109">
        <f t="shared" si="107"/>
        <v>-1.1999999999998678E-3</v>
      </c>
      <c r="E339" s="109">
        <f ca="1">IF(表2_3671626293038912[[#This Row],[累计净值]]/MAX(INDIRECT("B21:B" &amp; ROW()))-1&lt;E338,表2_3671626293038912[[#This Row],[累计净值]]/MAX(INDIRECT("B21:B" &amp; ROW()))-1,E338)</f>
        <v>-3.8655622203179973E-2</v>
      </c>
      <c r="F339" s="110">
        <f>表2_3671626293038912[[#This Row],[累计净值]]-0.1085</f>
        <v>1.0001</v>
      </c>
      <c r="G339" s="20">
        <f>0.8*(表2_3671626293038912[[#This Row],[累计净值]]/$B$21-1)</f>
        <v>8.6259618267212984E-2</v>
      </c>
    </row>
    <row r="340" spans="1:7">
      <c r="A340" s="15">
        <v>44281</v>
      </c>
      <c r="B340" s="112">
        <v>1.1053999999999999</v>
      </c>
      <c r="C340" s="108">
        <f t="shared" si="106"/>
        <v>-3.2000000000000917E-3</v>
      </c>
      <c r="D340" s="109">
        <f t="shared" si="107"/>
        <v>-3.2000000000000917E-3</v>
      </c>
      <c r="E340" s="109">
        <f ca="1">IF(表2_3671626293038912[[#This Row],[累计净值]]/MAX(INDIRECT("B21:B" &amp; ROW()))-1&lt;E339,表2_3671626293038912[[#This Row],[累计净值]]/MAX(INDIRECT("B21:B" &amp; ROW()))-1,E339)</f>
        <v>-3.8655622203179973E-2</v>
      </c>
      <c r="F340" s="110">
        <f>表2_3671626293038912[[#This Row],[累计净值]]-0.1085</f>
        <v>0.9968999999999999</v>
      </c>
      <c r="G340" s="20">
        <f>0.8*(表2_3671626293038912[[#This Row],[累计净值]]/$B$21-1)</f>
        <v>8.3701409013690414E-2</v>
      </c>
    </row>
    <row r="341" spans="1:7">
      <c r="A341" s="15">
        <v>44284</v>
      </c>
      <c r="B341" s="112">
        <v>1.1027</v>
      </c>
      <c r="C341" s="108">
        <f t="shared" ref="C341:C346" si="108">IFERROR(B341-B340,0)</f>
        <v>-2.6999999999999247E-3</v>
      </c>
      <c r="D341" s="109">
        <f t="shared" ref="D341:D346" si="109">IF(C341&lt;0,C341,"/")</f>
        <v>-2.6999999999999247E-3</v>
      </c>
      <c r="E341" s="109">
        <f ca="1">IF(表2_3671626293038912[[#This Row],[累计净值]]/MAX(INDIRECT("B21:B" &amp; ROW()))-1&lt;E340,表2_3671626293038912[[#This Row],[累计净值]]/MAX(INDIRECT("B21:B" &amp; ROW()))-1,E340)</f>
        <v>-3.8655622203179973E-2</v>
      </c>
      <c r="F341" s="110">
        <f>表2_3671626293038912[[#This Row],[累计净值]]-0.1085</f>
        <v>0.99419999999999997</v>
      </c>
      <c r="G341" s="20">
        <f>0.8*(表2_3671626293038912[[#This Row],[累计净值]]/$B$21-1)</f>
        <v>8.1542919956030788E-2</v>
      </c>
    </row>
    <row r="342" spans="1:7">
      <c r="A342" s="15">
        <v>44285</v>
      </c>
      <c r="B342" s="112">
        <v>1.1026</v>
      </c>
      <c r="C342" s="108">
        <f t="shared" si="108"/>
        <v>-9.9999999999988987E-5</v>
      </c>
      <c r="D342" s="109">
        <f t="shared" si="109"/>
        <v>-9.9999999999988987E-5</v>
      </c>
      <c r="E342" s="109">
        <f ca="1">IF(表2_3671626293038912[[#This Row],[累计净值]]/MAX(INDIRECT("B21:B" &amp; ROW()))-1&lt;E341,表2_3671626293038912[[#This Row],[累计净值]]/MAX(INDIRECT("B21:B" &amp; ROW()))-1,E341)</f>
        <v>-3.8655622203179973E-2</v>
      </c>
      <c r="F342" s="110">
        <f>表2_3671626293038912[[#This Row],[累计净值]]-0.1085</f>
        <v>0.99409999999999998</v>
      </c>
      <c r="G342" s="20">
        <f>0.8*(表2_3671626293038912[[#This Row],[累计净值]]/$B$21-1)</f>
        <v>8.1462975916858235E-2</v>
      </c>
    </row>
    <row r="343" spans="1:7">
      <c r="A343" s="15">
        <v>44286</v>
      </c>
      <c r="B343" s="112">
        <v>1.1025</v>
      </c>
      <c r="C343" s="108">
        <f t="shared" si="108"/>
        <v>-9.9999999999988987E-5</v>
      </c>
      <c r="D343" s="109">
        <f t="shared" si="109"/>
        <v>-9.9999999999988987E-5</v>
      </c>
      <c r="E343" s="109">
        <f ca="1">IF(表2_3671626293038912[[#This Row],[累计净值]]/MAX(INDIRECT("B21:B" &amp; ROW()))-1&lt;E342,表2_3671626293038912[[#This Row],[累计净值]]/MAX(INDIRECT("B21:B" &amp; ROW()))-1,E342)</f>
        <v>-3.8655622203179973E-2</v>
      </c>
      <c r="F343" s="110">
        <f>表2_3671626293038912[[#This Row],[累计净值]]-0.1085</f>
        <v>0.99399999999999999</v>
      </c>
      <c r="G343" s="20">
        <f>0.8*(表2_3671626293038912[[#This Row],[累计净值]]/$B$21-1)</f>
        <v>8.1383031877685683E-2</v>
      </c>
    </row>
    <row r="344" spans="1:7">
      <c r="A344" s="15">
        <v>44287</v>
      </c>
      <c r="B344" s="112">
        <v>1.1033999999999999</v>
      </c>
      <c r="C344" s="108">
        <f t="shared" si="108"/>
        <v>8.9999999999990088E-4</v>
      </c>
      <c r="D344" s="109" t="str">
        <f t="shared" si="109"/>
        <v>/</v>
      </c>
      <c r="E344" s="109">
        <f ca="1">IF(表2_3671626293038912[[#This Row],[累计净值]]/MAX(INDIRECT("B21:B" &amp; ROW()))-1&lt;E343,表2_3671626293038912[[#This Row],[累计净值]]/MAX(INDIRECT("B21:B" &amp; ROW()))-1,E343)</f>
        <v>-3.8655622203179973E-2</v>
      </c>
      <c r="F344" s="110">
        <f>表2_3671626293038912[[#This Row],[累计净值]]-0.1085</f>
        <v>0.9948999999999999</v>
      </c>
      <c r="G344" s="20">
        <f>0.8*(表2_3671626293038912[[#This Row],[累计净值]]/$B$21-1)</f>
        <v>8.2102528230238836E-2</v>
      </c>
    </row>
    <row r="345" spans="1:7">
      <c r="A345" s="15">
        <v>44288</v>
      </c>
      <c r="B345" s="112">
        <v>1.1031</v>
      </c>
      <c r="C345" s="108">
        <f t="shared" si="108"/>
        <v>-2.9999999999996696E-4</v>
      </c>
      <c r="D345" s="109">
        <f t="shared" si="109"/>
        <v>-2.9999999999996696E-4</v>
      </c>
      <c r="E345" s="109">
        <f ca="1">IF(表2_3671626293038912[[#This Row],[累计净值]]/MAX(INDIRECT("B21:B" &amp; ROW()))-1&lt;E344,表2_3671626293038912[[#This Row],[累计净值]]/MAX(INDIRECT("B21:B" &amp; ROW()))-1,E344)</f>
        <v>-3.8655622203179973E-2</v>
      </c>
      <c r="F345" s="110">
        <f>表2_3671626293038912[[#This Row],[累计净值]]-0.1085</f>
        <v>0.99459999999999993</v>
      </c>
      <c r="G345" s="20">
        <f>0.8*(表2_3671626293038912[[#This Row],[累计净值]]/$B$21-1)</f>
        <v>8.1862696112721178E-2</v>
      </c>
    </row>
    <row r="346" spans="1:7">
      <c r="A346" s="15">
        <v>44292</v>
      </c>
      <c r="B346" s="112">
        <v>1.1079000000000001</v>
      </c>
      <c r="C346" s="108">
        <f t="shared" si="108"/>
        <v>4.8000000000001375E-3</v>
      </c>
      <c r="D346" s="109" t="str">
        <f t="shared" si="109"/>
        <v>/</v>
      </c>
      <c r="E346" s="109">
        <f ca="1">IF(表2_3671626293038912[[#This Row],[累计净值]]/MAX(INDIRECT("B21:B" &amp; ROW()))-1&lt;E345,表2_3671626293038912[[#This Row],[累计净值]]/MAX(INDIRECT("B21:B" &amp; ROW()))-1,E345)</f>
        <v>-3.8655622203179973E-2</v>
      </c>
      <c r="F346" s="110">
        <f>表2_3671626293038912[[#This Row],[累计净值]]-0.1085</f>
        <v>0.99940000000000007</v>
      </c>
      <c r="G346" s="20">
        <f>0.8*(表2_3671626293038912[[#This Row],[累计净值]]/$B$21-1)</f>
        <v>8.5700009993005116E-2</v>
      </c>
    </row>
    <row r="347" spans="1:7">
      <c r="A347" s="15">
        <v>44293</v>
      </c>
      <c r="B347" s="112">
        <v>1.1073</v>
      </c>
      <c r="C347" s="108">
        <f t="shared" ref="C347:C352" si="110">IFERROR(B347-B346,0)</f>
        <v>-6.0000000000015596E-4</v>
      </c>
      <c r="D347" s="109">
        <f t="shared" ref="D347:D352" si="111">IF(C347&lt;0,C347,"/")</f>
        <v>-6.0000000000015596E-4</v>
      </c>
      <c r="E347" s="109">
        <f ca="1">IF(表2_3671626293038912[[#This Row],[累计净值]]/MAX(INDIRECT("B21:B" &amp; ROW()))-1&lt;E346,表2_3671626293038912[[#This Row],[累计净值]]/MAX(INDIRECT("B21:B" &amp; ROW()))-1,E346)</f>
        <v>-3.8655622203179973E-2</v>
      </c>
      <c r="F347" s="110">
        <f>表2_3671626293038912[[#This Row],[累计净值]]-0.1085</f>
        <v>0.99879999999999991</v>
      </c>
      <c r="G347" s="20">
        <f>0.8*(表2_3671626293038912[[#This Row],[累计净值]]/$B$21-1)</f>
        <v>8.522034575796944E-2</v>
      </c>
    </row>
    <row r="348" spans="1:7">
      <c r="A348" s="15">
        <v>44294</v>
      </c>
      <c r="B348" s="112">
        <v>1.1056999999999999</v>
      </c>
      <c r="C348" s="108">
        <f t="shared" si="110"/>
        <v>-1.6000000000000458E-3</v>
      </c>
      <c r="D348" s="109">
        <f t="shared" si="111"/>
        <v>-1.6000000000000458E-3</v>
      </c>
      <c r="E348" s="109">
        <f ca="1">IF(表2_3671626293038912[[#This Row],[累计净值]]/MAX(INDIRECT("B21:B" &amp; ROW()))-1&lt;E347,表2_3671626293038912[[#This Row],[累计净值]]/MAX(INDIRECT("B21:B" &amp; ROW()))-1,E347)</f>
        <v>-3.8655622203179973E-2</v>
      </c>
      <c r="F348" s="110">
        <f>表2_3671626293038912[[#This Row],[累计净值]]-0.1085</f>
        <v>0.99719999999999986</v>
      </c>
      <c r="G348" s="20">
        <f>0.8*(表2_3671626293038912[[#This Row],[累计净值]]/$B$21-1)</f>
        <v>8.3941241131208072E-2</v>
      </c>
    </row>
    <row r="349" spans="1:7">
      <c r="A349" s="15">
        <v>44295</v>
      </c>
      <c r="B349" s="112">
        <v>1.1043000000000001</v>
      </c>
      <c r="C349" s="108">
        <f t="shared" si="110"/>
        <v>-1.3999999999998458E-3</v>
      </c>
      <c r="D349" s="109">
        <f t="shared" si="111"/>
        <v>-1.3999999999998458E-3</v>
      </c>
      <c r="E349" s="109">
        <f ca="1">IF(表2_3671626293038912[[#This Row],[累计净值]]/MAX(INDIRECT("B21:B" &amp; ROW()))-1&lt;E348,表2_3671626293038912[[#This Row],[累计净值]]/MAX(INDIRECT("B21:B" &amp; ROW()))-1,E348)</f>
        <v>-3.8655622203179973E-2</v>
      </c>
      <c r="F349" s="110">
        <f>表2_3671626293038912[[#This Row],[累计净值]]-0.1085</f>
        <v>0.99580000000000002</v>
      </c>
      <c r="G349" s="20">
        <f>0.8*(表2_3671626293038912[[#This Row],[累计净值]]/$B$21-1)</f>
        <v>8.2822024582792156E-2</v>
      </c>
    </row>
    <row r="350" spans="1:7">
      <c r="A350" s="15">
        <v>44298</v>
      </c>
      <c r="B350" s="112">
        <v>1.0958000000000001</v>
      </c>
      <c r="C350" s="108">
        <f t="shared" si="110"/>
        <v>-8.499999999999952E-3</v>
      </c>
      <c r="D350" s="109">
        <f t="shared" si="111"/>
        <v>-8.499999999999952E-3</v>
      </c>
      <c r="E350" s="109">
        <f ca="1">IF(表2_3671626293038912[[#This Row],[累计净值]]/MAX(INDIRECT("B21:B" &amp; ROW()))-1&lt;E349,表2_3671626293038912[[#This Row],[累计净值]]/MAX(INDIRECT("B21:B" &amp; ROW()))-1,E349)</f>
        <v>-3.8655622203179973E-2</v>
      </c>
      <c r="F350" s="110">
        <f>表2_3671626293038912[[#This Row],[累计净值]]-0.1085</f>
        <v>0.98730000000000007</v>
      </c>
      <c r="G350" s="20">
        <f>0.8*(表2_3671626293038912[[#This Row],[累计净值]]/$B$21-1)</f>
        <v>7.6026781253123066E-2</v>
      </c>
    </row>
    <row r="351" spans="1:7">
      <c r="A351" s="15">
        <v>44299</v>
      </c>
      <c r="B351" s="112">
        <v>1.0935999999999999</v>
      </c>
      <c r="C351" s="108">
        <f t="shared" si="110"/>
        <v>-2.2000000000002018E-3</v>
      </c>
      <c r="D351" s="109">
        <f t="shared" si="111"/>
        <v>-2.2000000000002018E-3</v>
      </c>
      <c r="E351" s="109">
        <f ca="1">IF(表2_3671626293038912[[#This Row],[累计净值]]/MAX(INDIRECT("B21:B" &amp; ROW()))-1&lt;E350,表2_3671626293038912[[#This Row],[累计净值]]/MAX(INDIRECT("B21:B" &amp; ROW()))-1,E350)</f>
        <v>-3.8655622203179973E-2</v>
      </c>
      <c r="F351" s="110">
        <f>表2_3671626293038912[[#This Row],[累计净值]]-0.1085</f>
        <v>0.98509999999999986</v>
      </c>
      <c r="G351" s="20">
        <f>0.8*(表2_3671626293038912[[#This Row],[累计净值]]/$B$21-1)</f>
        <v>7.4268012391326008E-2</v>
      </c>
    </row>
    <row r="352" spans="1:7">
      <c r="A352" s="15">
        <v>44300</v>
      </c>
      <c r="B352" s="112">
        <v>1.0920000000000001</v>
      </c>
      <c r="C352" s="108">
        <f t="shared" si="110"/>
        <v>-1.5999999999998238E-3</v>
      </c>
      <c r="D352" s="109">
        <f t="shared" si="111"/>
        <v>-1.5999999999998238E-3</v>
      </c>
      <c r="E352" s="109">
        <f ca="1">IF(表2_3671626293038912[[#This Row],[累计净值]]/MAX(INDIRECT("B21:B" &amp; ROW()))-1&lt;E351,表2_3671626293038912[[#This Row],[累计净值]]/MAX(INDIRECT("B21:B" &amp; ROW()))-1,E351)</f>
        <v>-3.8655622203179973E-2</v>
      </c>
      <c r="F352" s="110">
        <f>表2_3671626293038912[[#This Row],[累计净值]]-0.1085</f>
        <v>0.98350000000000004</v>
      </c>
      <c r="G352" s="20">
        <f>0.8*(表2_3671626293038912[[#This Row],[累计净值]]/$B$21-1)</f>
        <v>7.2988907764565E-2</v>
      </c>
    </row>
    <row r="353" spans="1:7">
      <c r="A353" s="15">
        <v>44301</v>
      </c>
      <c r="B353" s="112">
        <v>1.089</v>
      </c>
      <c r="C353" s="108">
        <f t="shared" ref="C353:C358" si="112">IFERROR(B353-B352,0)</f>
        <v>-3.0000000000001137E-3</v>
      </c>
      <c r="D353" s="109">
        <f t="shared" ref="D353:D358" si="113">IF(C353&lt;0,C353,"/")</f>
        <v>-3.0000000000001137E-3</v>
      </c>
      <c r="E353" s="109">
        <f ca="1">IF(表2_3671626293038912[[#This Row],[累计净值]]/MAX(INDIRECT("B21:B" &amp; ROW()))-1&lt;E352,表2_3671626293038912[[#This Row],[累计净值]]/MAX(INDIRECT("B21:B" &amp; ROW()))-1,E352)</f>
        <v>-3.8655622203179973E-2</v>
      </c>
      <c r="F353" s="110">
        <f>表2_3671626293038912[[#This Row],[累计净值]]-0.1085</f>
        <v>0.98049999999999993</v>
      </c>
      <c r="G353" s="20">
        <f>0.8*(表2_3671626293038912[[#This Row],[累计净值]]/$B$21-1)</f>
        <v>7.0590586589387536E-2</v>
      </c>
    </row>
    <row r="354" spans="1:7">
      <c r="A354" s="15">
        <v>44302</v>
      </c>
      <c r="B354" s="112">
        <v>1.0921000000000001</v>
      </c>
      <c r="C354" s="108">
        <f t="shared" si="112"/>
        <v>3.1000000000001027E-3</v>
      </c>
      <c r="D354" s="109" t="str">
        <f t="shared" si="113"/>
        <v>/</v>
      </c>
      <c r="E354" s="109">
        <f ca="1">IF(表2_3671626293038912[[#This Row],[累计净值]]/MAX(INDIRECT("B21:B" &amp; ROW()))-1&lt;E353,表2_3671626293038912[[#This Row],[累计净值]]/MAX(INDIRECT("B21:B" &amp; ROW()))-1,E353)</f>
        <v>-3.8655622203179973E-2</v>
      </c>
      <c r="F354" s="110">
        <f>表2_3671626293038912[[#This Row],[累计净值]]-0.1085</f>
        <v>0.98360000000000003</v>
      </c>
      <c r="G354" s="20">
        <f>0.8*(表2_3671626293038912[[#This Row],[累计净值]]/$B$21-1)</f>
        <v>7.3068851803737553E-2</v>
      </c>
    </row>
    <row r="355" spans="1:7">
      <c r="A355" s="15">
        <v>44305</v>
      </c>
      <c r="B355" s="112">
        <v>1.0913200000000001</v>
      </c>
      <c r="C355" s="108">
        <f t="shared" si="112"/>
        <v>-7.8000000000000291E-4</v>
      </c>
      <c r="D355" s="109">
        <f t="shared" si="113"/>
        <v>-7.8000000000000291E-4</v>
      </c>
      <c r="E355" s="109">
        <f ca="1">IF(表2_3671626293038912[[#This Row],[累计净值]]/MAX(INDIRECT("B21:B" &amp; ROW()))-1&lt;E354,表2_3671626293038912[[#This Row],[累计净值]]/MAX(INDIRECT("B21:B" &amp; ROW()))-1,E354)</f>
        <v>-3.8655622203179973E-2</v>
      </c>
      <c r="F355" s="110">
        <f>表2_3671626293038912[[#This Row],[累计净值]]-0.1085</f>
        <v>0.98282000000000003</v>
      </c>
      <c r="G355" s="20">
        <f>0.8*(表2_3671626293038912[[#This Row],[累计净值]]/$B$21-1)</f>
        <v>7.2445288298191454E-2</v>
      </c>
    </row>
    <row r="356" spans="1:7">
      <c r="A356" s="15">
        <v>44306</v>
      </c>
      <c r="B356" s="112">
        <v>1.0884</v>
      </c>
      <c r="C356" s="108">
        <f t="shared" si="112"/>
        <v>-2.9200000000000337E-3</v>
      </c>
      <c r="D356" s="109">
        <f t="shared" si="113"/>
        <v>-2.9200000000000337E-3</v>
      </c>
      <c r="E356" s="109">
        <f ca="1">IF(表2_3671626293038912[[#This Row],[累计净值]]/MAX(INDIRECT("B21:B" &amp; ROW()))-1&lt;E355,表2_3671626293038912[[#This Row],[累计净值]]/MAX(INDIRECT("B21:B" &amp; ROW()))-1,E355)</f>
        <v>-3.8655622203179973E-2</v>
      </c>
      <c r="F356" s="110">
        <f>表2_3671626293038912[[#This Row],[累计净值]]-0.1085</f>
        <v>0.97989999999999999</v>
      </c>
      <c r="G356" s="20">
        <f>0.8*(表2_3671626293038912[[#This Row],[累计净值]]/$B$21-1)</f>
        <v>7.011092235435204E-2</v>
      </c>
    </row>
    <row r="357" spans="1:7">
      <c r="A357" s="15">
        <v>44307</v>
      </c>
      <c r="B357" s="112">
        <v>1.0842000000000001</v>
      </c>
      <c r="C357" s="108">
        <f t="shared" si="112"/>
        <v>-4.1999999999999815E-3</v>
      </c>
      <c r="D357" s="109">
        <f t="shared" si="113"/>
        <v>-4.1999999999999815E-3</v>
      </c>
      <c r="E357" s="109">
        <f ca="1">IF(表2_3671626293038912[[#This Row],[累计净值]]/MAX(INDIRECT("B21:B" &amp; ROW()))-1&lt;E356,表2_3671626293038912[[#This Row],[累计净值]]/MAX(INDIRECT("B21:B" &amp; ROW()))-1,E356)</f>
        <v>-3.8655622203179973E-2</v>
      </c>
      <c r="F357" s="110">
        <f>表2_3671626293038912[[#This Row],[累计净值]]-0.1085</f>
        <v>0.97570000000000001</v>
      </c>
      <c r="G357" s="20">
        <f>0.8*(表2_3671626293038912[[#This Row],[累计净值]]/$B$21-1)</f>
        <v>6.6753272709103764E-2</v>
      </c>
    </row>
    <row r="358" spans="1:7">
      <c r="A358" s="15">
        <v>44308</v>
      </c>
      <c r="B358" s="112">
        <v>1.0851999999999999</v>
      </c>
      <c r="C358" s="108">
        <f t="shared" si="112"/>
        <v>9.9999999999988987E-4</v>
      </c>
      <c r="D358" s="109" t="str">
        <f t="shared" si="113"/>
        <v>/</v>
      </c>
      <c r="E358" s="109">
        <f ca="1">IF(表2_3671626293038912[[#This Row],[累计净值]]/MAX(INDIRECT("B21:B" &amp; ROW()))-1&lt;E357,表2_3671626293038912[[#This Row],[累计净值]]/MAX(INDIRECT("B21:B" &amp; ROW()))-1,E357)</f>
        <v>-3.8655622203179973E-2</v>
      </c>
      <c r="F358" s="110">
        <f>表2_3671626293038912[[#This Row],[累计净值]]-0.1085</f>
        <v>0.9766999999999999</v>
      </c>
      <c r="G358" s="20">
        <f>0.8*(表2_3671626293038912[[#This Row],[累计净值]]/$B$21-1)</f>
        <v>6.755271310082947E-2</v>
      </c>
    </row>
    <row r="359" spans="1:7">
      <c r="A359" s="15">
        <v>44309</v>
      </c>
      <c r="B359" s="112">
        <v>1.0878000000000001</v>
      </c>
      <c r="C359" s="108">
        <f>IFERROR(B359-B358,0)</f>
        <v>2.6000000000001577E-3</v>
      </c>
      <c r="D359" s="109" t="str">
        <f>IF(C359&lt;0,C359,"/")</f>
        <v>/</v>
      </c>
      <c r="E359" s="109">
        <f ca="1">IF(表2_3671626293038912[[#This Row],[累计净值]]/MAX(INDIRECT("B21:B" &amp; ROW()))-1&lt;E358,表2_3671626293038912[[#This Row],[累计净值]]/MAX(INDIRECT("B21:B" &amp; ROW()))-1,E358)</f>
        <v>-3.8655622203179973E-2</v>
      </c>
      <c r="F359" s="110">
        <f>表2_3671626293038912[[#This Row],[累计净值]]-0.1085</f>
        <v>0.97930000000000006</v>
      </c>
      <c r="G359" s="20">
        <f>0.8*(表2_3671626293038912[[#This Row],[累计净值]]/$B$21-1)</f>
        <v>6.9631258119316544E-2</v>
      </c>
    </row>
    <row r="360" spans="1:7">
      <c r="A360" s="15">
        <v>44312</v>
      </c>
      <c r="B360" s="112">
        <v>1.0921000000000001</v>
      </c>
      <c r="C360" s="108">
        <f>IFERROR(B360-B359,0)</f>
        <v>4.2999999999999705E-3</v>
      </c>
      <c r="D360" s="109" t="str">
        <f>IF(C360&lt;0,C360,"/")</f>
        <v>/</v>
      </c>
      <c r="E360" s="109">
        <f ca="1">IF(表2_3671626293038912[[#This Row],[累计净值]]/MAX(INDIRECT("B21:B" &amp; ROW()))-1&lt;E359,表2_3671626293038912[[#This Row],[累计净值]]/MAX(INDIRECT("B21:B" &amp; ROW()))-1,E359)</f>
        <v>-3.8655622203179973E-2</v>
      </c>
      <c r="F360" s="110">
        <f>表2_3671626293038912[[#This Row],[累计净值]]-0.1085</f>
        <v>0.98360000000000003</v>
      </c>
      <c r="G360" s="20">
        <f>0.8*(表2_3671626293038912[[#This Row],[累计净值]]/$B$21-1)</f>
        <v>7.3068851803737553E-2</v>
      </c>
    </row>
    <row r="361" spans="1:7">
      <c r="A361" s="15">
        <v>44313</v>
      </c>
      <c r="B361" s="112">
        <v>1.0903</v>
      </c>
      <c r="C361" s="108">
        <f>IFERROR(B361-B360,0)</f>
        <v>-1.8000000000000238E-3</v>
      </c>
      <c r="D361" s="109">
        <f>IF(C361&lt;0,C361,"/")</f>
        <v>-1.8000000000000238E-3</v>
      </c>
      <c r="E361" s="109">
        <f ca="1">IF(表2_3671626293038912[[#This Row],[累计净值]]/MAX(INDIRECT("B21:B" &amp; ROW()))-1&lt;E360,表2_3671626293038912[[#This Row],[累计净值]]/MAX(INDIRECT("B21:B" &amp; ROW()))-1,E360)</f>
        <v>-3.8655622203179973E-2</v>
      </c>
      <c r="F361" s="110">
        <f>表2_3671626293038912[[#This Row],[累计净值]]-0.1085</f>
        <v>0.98180000000000001</v>
      </c>
      <c r="G361" s="20">
        <f>0.8*(表2_3671626293038912[[#This Row],[累计净值]]/$B$21-1)</f>
        <v>7.1629859098631066E-2</v>
      </c>
    </row>
    <row r="362" spans="1:7">
      <c r="A362" s="15">
        <v>44314</v>
      </c>
      <c r="B362" s="112">
        <v>1.0891</v>
      </c>
      <c r="C362" s="108">
        <f>IFERROR(B362-B361,0)</f>
        <v>-1.2000000000000899E-3</v>
      </c>
      <c r="D362" s="109">
        <f>IF(C362&lt;0,C362,"/")</f>
        <v>-1.2000000000000899E-3</v>
      </c>
      <c r="E362" s="109">
        <f ca="1">IF(表2_3671626293038912[[#This Row],[累计净值]]/MAX(INDIRECT("B21:B" &amp; ROW()))-1&lt;E361,表2_3671626293038912[[#This Row],[累计净值]]/MAX(INDIRECT("B21:B" &amp; ROW()))-1,E361)</f>
        <v>-3.8655622203179973E-2</v>
      </c>
      <c r="F362" s="110">
        <f>表2_3671626293038912[[#This Row],[累计净值]]-0.1085</f>
        <v>0.98059999999999992</v>
      </c>
      <c r="G362" s="20">
        <f>0.8*(表2_3671626293038912[[#This Row],[累计净值]]/$B$21-1)</f>
        <v>7.0670530628560088E-2</v>
      </c>
    </row>
    <row r="363" spans="1:7">
      <c r="A363" s="15">
        <v>44315</v>
      </c>
      <c r="B363" s="112">
        <v>1.0931999999999999</v>
      </c>
      <c r="C363" s="108">
        <f t="shared" ref="C363:C365" si="114">IFERROR(B363-B362,0)</f>
        <v>4.0999999999999925E-3</v>
      </c>
      <c r="D363" s="109" t="str">
        <f t="shared" ref="D363:D365" si="115">IF(C363&lt;0,C363,"/")</f>
        <v>/</v>
      </c>
      <c r="E363" s="109">
        <f ca="1">IF(表2_3671626293038912[[#This Row],[累计净值]]/MAX(INDIRECT("B21:B" &amp; ROW()))-1&lt;E362,表2_3671626293038912[[#This Row],[累计净值]]/MAX(INDIRECT("B21:B" &amp; ROW()))-1,E362)</f>
        <v>-3.8655622203179973E-2</v>
      </c>
      <c r="F363" s="110">
        <f>表2_3671626293038912[[#This Row],[累计净值]]-0.1085</f>
        <v>0.98469999999999991</v>
      </c>
      <c r="G363" s="20">
        <f>0.8*(表2_3671626293038912[[#This Row],[累计净值]]/$B$21-1)</f>
        <v>7.3948236234635797E-2</v>
      </c>
    </row>
    <row r="364" spans="1:7">
      <c r="A364" s="15">
        <v>44316</v>
      </c>
      <c r="B364" s="112">
        <v>1.0878000000000001</v>
      </c>
      <c r="C364" s="108">
        <f t="shared" si="114"/>
        <v>-5.3999999999998494E-3</v>
      </c>
      <c r="D364" s="109">
        <f t="shared" si="115"/>
        <v>-5.3999999999998494E-3</v>
      </c>
      <c r="E364" s="109">
        <f ca="1">IF(表2_3671626293038912[[#This Row],[累计净值]]/MAX(INDIRECT("B21:B" &amp; ROW()))-1&lt;E363,表2_3671626293038912[[#This Row],[累计净值]]/MAX(INDIRECT("B21:B" &amp; ROW()))-1,E363)</f>
        <v>-3.8655622203179973E-2</v>
      </c>
      <c r="F364" s="110">
        <f>表2_3671626293038912[[#This Row],[累计净值]]-0.1085</f>
        <v>0.97930000000000006</v>
      </c>
      <c r="G364" s="20">
        <f>0.8*(表2_3671626293038912[[#This Row],[累计净值]]/$B$21-1)</f>
        <v>6.9631258119316544E-2</v>
      </c>
    </row>
    <row r="365" spans="1:7">
      <c r="A365" s="15">
        <v>44322</v>
      </c>
      <c r="B365" s="112">
        <v>1.1047</v>
      </c>
      <c r="C365" s="108">
        <f t="shared" si="114"/>
        <v>1.6899999999999915E-2</v>
      </c>
      <c r="D365" s="109" t="str">
        <f t="shared" si="115"/>
        <v>/</v>
      </c>
      <c r="E365" s="109">
        <f ca="1">IF(表2_3671626293038912[[#This Row],[累计净值]]/MAX(INDIRECT("B21:B" &amp; ROW()))-1&lt;E364,表2_3671626293038912[[#This Row],[累计净值]]/MAX(INDIRECT("B21:B" &amp; ROW()))-1,E364)</f>
        <v>-3.8655622203179973E-2</v>
      </c>
      <c r="F365" s="110">
        <f>表2_3671626293038912[[#This Row],[累计净值]]-0.1085</f>
        <v>0.99619999999999997</v>
      </c>
      <c r="G365" s="20">
        <f>0.8*(表2_3671626293038912[[#This Row],[累计净值]]/$B$21-1)</f>
        <v>8.3141800739482366E-2</v>
      </c>
    </row>
    <row r="366" spans="1:7">
      <c r="A366" s="15">
        <v>44323</v>
      </c>
      <c r="B366" s="112">
        <v>1.1093</v>
      </c>
      <c r="C366" s="108">
        <f t="shared" ref="C366:C371" si="116">IFERROR(B366-B365,0)</f>
        <v>4.5999999999999375E-3</v>
      </c>
      <c r="D366" s="109" t="str">
        <f t="shared" ref="D366:D371" si="117">IF(C366&lt;0,C366,"/")</f>
        <v>/</v>
      </c>
      <c r="E366" s="109">
        <f ca="1">IF(表2_3671626293038912[[#This Row],[累计净值]]/MAX(INDIRECT("B21:B" &amp; ROW()))-1&lt;E365,表2_3671626293038912[[#This Row],[累计净值]]/MAX(INDIRECT("B21:B" &amp; ROW()))-1,E365)</f>
        <v>-3.8655622203179973E-2</v>
      </c>
      <c r="F366" s="110">
        <f>表2_3671626293038912[[#This Row],[累计净值]]-0.1085</f>
        <v>1.0007999999999999</v>
      </c>
      <c r="G366" s="20">
        <f>0.8*(表2_3671626293038912[[#This Row],[累计净值]]/$B$21-1)</f>
        <v>8.6819226541421032E-2</v>
      </c>
    </row>
    <row r="367" spans="1:7">
      <c r="A367" s="15">
        <v>44326</v>
      </c>
      <c r="B367" s="112">
        <v>1.1174999999999999</v>
      </c>
      <c r="C367" s="108">
        <f t="shared" si="116"/>
        <v>8.1999999999999851E-3</v>
      </c>
      <c r="D367" s="109" t="str">
        <f t="shared" si="117"/>
        <v>/</v>
      </c>
      <c r="E367" s="109">
        <f ca="1">IF(表2_3671626293038912[[#This Row],[累计净值]]/MAX(INDIRECT("B21:B" &amp; ROW()))-1&lt;E366,表2_3671626293038912[[#This Row],[累计净值]]/MAX(INDIRECT("B21:B" &amp; ROW()))-1,E366)</f>
        <v>-3.8655622203179973E-2</v>
      </c>
      <c r="F367" s="110">
        <f>表2_3671626293038912[[#This Row],[累计净值]]-0.1085</f>
        <v>1.0089999999999999</v>
      </c>
      <c r="G367" s="20">
        <f>0.8*(表2_3671626293038912[[#This Row],[累计净值]]/$B$21-1)</f>
        <v>9.3374637753572465E-2</v>
      </c>
    </row>
    <row r="368" spans="1:7">
      <c r="A368" s="15">
        <v>44327</v>
      </c>
      <c r="B368" s="112">
        <v>1.1173</v>
      </c>
      <c r="C368" s="108">
        <f t="shared" si="116"/>
        <v>-1.9999999999997797E-4</v>
      </c>
      <c r="D368" s="109">
        <f t="shared" si="117"/>
        <v>-1.9999999999997797E-4</v>
      </c>
      <c r="E368" s="109">
        <f ca="1">IF(表2_3671626293038912[[#This Row],[累计净值]]/MAX(INDIRECT("B21:B" &amp; ROW()))-1&lt;E367,表2_3671626293038912[[#This Row],[累计净值]]/MAX(INDIRECT("B21:B" &amp; ROW()))-1,E367)</f>
        <v>-3.8655622203179973E-2</v>
      </c>
      <c r="F368" s="110">
        <f>表2_3671626293038912[[#This Row],[累计净值]]-0.1085</f>
        <v>1.0087999999999999</v>
      </c>
      <c r="G368" s="20">
        <f>0.8*(表2_3671626293038912[[#This Row],[累计净值]]/$B$21-1)</f>
        <v>9.321474967522736E-2</v>
      </c>
    </row>
    <row r="369" spans="1:7">
      <c r="A369" s="15">
        <v>44328</v>
      </c>
      <c r="B369" s="112">
        <v>1.1244000000000001</v>
      </c>
      <c r="C369" s="108">
        <f t="shared" si="116"/>
        <v>7.1000000000001062E-3</v>
      </c>
      <c r="D369" s="109" t="str">
        <f t="shared" si="117"/>
        <v>/</v>
      </c>
      <c r="E369" s="109">
        <f ca="1">IF(表2_3671626293038912[[#This Row],[累计净值]]/MAX(INDIRECT("B21:B" &amp; ROW()))-1&lt;E368,表2_3671626293038912[[#This Row],[累计净值]]/MAX(INDIRECT("B21:B" &amp; ROW()))-1,E368)</f>
        <v>-3.8655622203179973E-2</v>
      </c>
      <c r="F369" s="110">
        <f>表2_3671626293038912[[#This Row],[累计净值]]-0.1085</f>
        <v>1.0159</v>
      </c>
      <c r="G369" s="20">
        <f>0.8*(表2_3671626293038912[[#This Row],[累计净值]]/$B$21-1)</f>
        <v>9.8890776456480547E-2</v>
      </c>
    </row>
    <row r="370" spans="1:7">
      <c r="A370" s="15">
        <v>44329</v>
      </c>
      <c r="B370" s="112">
        <v>1.1248</v>
      </c>
      <c r="C370" s="108">
        <f t="shared" si="116"/>
        <v>3.9999999999995595E-4</v>
      </c>
      <c r="D370" s="109" t="str">
        <f t="shared" si="117"/>
        <v>/</v>
      </c>
      <c r="E370" s="109">
        <f ca="1">IF(表2_3671626293038912[[#This Row],[累计净值]]/MAX(INDIRECT("B21:B" &amp; ROW()))-1&lt;E369,表2_3671626293038912[[#This Row],[累计净值]]/MAX(INDIRECT("B21:B" &amp; ROW()))-1,E369)</f>
        <v>-3.8655622203179973E-2</v>
      </c>
      <c r="F370" s="110">
        <f>表2_3671626293038912[[#This Row],[累计净值]]-0.1085</f>
        <v>1.0163</v>
      </c>
      <c r="G370" s="20">
        <f>0.8*(表2_3671626293038912[[#This Row],[累计净值]]/$B$21-1)</f>
        <v>9.9210552613170938E-2</v>
      </c>
    </row>
    <row r="371" spans="1:7">
      <c r="A371" s="15">
        <v>44330</v>
      </c>
      <c r="B371" s="112">
        <v>1.1181000000000001</v>
      </c>
      <c r="C371" s="108">
        <f t="shared" si="116"/>
        <v>-6.6999999999999282E-3</v>
      </c>
      <c r="D371" s="109">
        <f t="shared" si="117"/>
        <v>-6.6999999999999282E-3</v>
      </c>
      <c r="E371" s="109">
        <f ca="1">IF(表2_3671626293038912[[#This Row],[累计净值]]/MAX(INDIRECT("B21:B" &amp; ROW()))-1&lt;E370,表2_3671626293038912[[#This Row],[累计净值]]/MAX(INDIRECT("B21:B" &amp; ROW()))-1,E370)</f>
        <v>-3.8655622203179973E-2</v>
      </c>
      <c r="F371" s="110">
        <f>表2_3671626293038912[[#This Row],[累计净值]]-0.1085</f>
        <v>1.0096000000000001</v>
      </c>
      <c r="G371" s="20">
        <f>0.8*(表2_3671626293038912[[#This Row],[累计净值]]/$B$21-1)</f>
        <v>9.3854301988608141E-2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4">
    <tabColor theme="1"/>
  </sheetPr>
  <dimension ref="A1:J252"/>
  <sheetViews>
    <sheetView workbookViewId="0">
      <pane xSplit="1" ySplit="20" topLeftCell="B251" activePane="bottomRight" state="frozen"/>
      <selection pane="topRight" activeCell="B1" sqref="B1"/>
      <selection pane="bottomLeft" activeCell="A21" sqref="A21"/>
      <selection pane="bottomRight" activeCell="I249" sqref="I249"/>
    </sheetView>
  </sheetViews>
  <sheetFormatPr baseColWidth="10" defaultColWidth="9" defaultRowHeight="15"/>
  <cols>
    <col min="1" max="1" width="11.6640625" style="1" bestFit="1" customWidth="1"/>
    <col min="2" max="2" width="13" style="1" customWidth="1"/>
    <col min="3" max="4" width="13.5" style="1" bestFit="1" customWidth="1"/>
    <col min="5" max="5" width="9"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COUNT(表2_36716262930[每日盈亏])</f>
        <v>232</v>
      </c>
      <c r="C2" s="27"/>
      <c r="D2" s="3" t="s">
        <v>1</v>
      </c>
      <c r="E2" s="28"/>
      <c r="F2" s="35" t="s">
        <v>2</v>
      </c>
      <c r="G2" s="400" t="s">
        <v>3</v>
      </c>
    </row>
    <row r="3" spans="1:7">
      <c r="A3" s="25" t="s">
        <v>4</v>
      </c>
      <c r="B3" s="26">
        <f>COUNTIF(表2_36716262930[每日盈亏],"&gt;0")</f>
        <v>122</v>
      </c>
      <c r="C3" s="29"/>
      <c r="D3" s="30" t="s">
        <v>5</v>
      </c>
      <c r="E3" s="31">
        <f>245^0.5*(B10-0.025/365)/E10</f>
        <v>2.1946562571686674</v>
      </c>
      <c r="F3" s="35"/>
      <c r="G3" s="400"/>
    </row>
    <row r="4" spans="1:7">
      <c r="A4" s="25" t="s">
        <v>6</v>
      </c>
      <c r="B4" s="26">
        <f>COUNTIF(表2_36716262930[每日盈亏],"&lt;0")</f>
        <v>62</v>
      </c>
      <c r="C4" s="29"/>
      <c r="D4" s="32" t="s">
        <v>7</v>
      </c>
      <c r="E4" s="31">
        <f ca="1">-B9/E8</f>
        <v>3.136492332042546</v>
      </c>
      <c r="F4" s="35"/>
      <c r="G4" s="2">
        <f>LOOKUP(999^10,表2_36716262930[累计净值])</f>
        <v>1.5586</v>
      </c>
    </row>
    <row r="5" spans="1:7">
      <c r="A5" s="25" t="s">
        <v>8</v>
      </c>
      <c r="B5" s="26">
        <f>B2-B3-B4</f>
        <v>48</v>
      </c>
      <c r="C5" s="29"/>
      <c r="D5" s="33" t="s">
        <v>9</v>
      </c>
      <c r="E5" s="4">
        <f>245^0.5*(B10-0.025/365)/E9</f>
        <v>2.1409064495854069</v>
      </c>
      <c r="F5" s="35"/>
    </row>
    <row r="6" spans="1:7" ht="16" thickBot="1">
      <c r="A6" s="34"/>
      <c r="B6" s="35"/>
      <c r="C6" s="35"/>
      <c r="D6" s="35"/>
      <c r="E6" s="36"/>
      <c r="F6" s="35"/>
    </row>
    <row r="7" spans="1:7" ht="16" thickBot="1">
      <c r="A7" s="5" t="s">
        <v>10</v>
      </c>
      <c r="B7" s="35"/>
      <c r="C7" s="35"/>
      <c r="D7" s="3" t="s">
        <v>11</v>
      </c>
      <c r="E7" s="37"/>
      <c r="F7" s="35"/>
    </row>
    <row r="8" spans="1:7">
      <c r="A8" s="38" t="s">
        <v>12</v>
      </c>
      <c r="B8" s="39">
        <f>LOOKUP(999^10,表2_36716262930[单位净值])/$F$21-1</f>
        <v>6.4213564213564389E-2</v>
      </c>
      <c r="C8" s="40"/>
      <c r="D8" s="30" t="s">
        <v>13</v>
      </c>
      <c r="E8" s="41">
        <f ca="1">MIN(表2_36716262930[最大回撤])</f>
        <v>-2.162024672516849E-2</v>
      </c>
      <c r="F8" s="35"/>
    </row>
    <row r="9" spans="1:7">
      <c r="A9" s="25" t="s">
        <v>14</v>
      </c>
      <c r="B9" s="32">
        <f>B8*245/B2</f>
        <v>6.7811738070358937E-2</v>
      </c>
      <c r="C9" s="40"/>
      <c r="D9" s="33" t="s">
        <v>15</v>
      </c>
      <c r="E9" s="6">
        <f>STDEV(表2_36716262930[下跌幅度])</f>
        <v>2.2913374681425383E-3</v>
      </c>
      <c r="F9" s="35"/>
    </row>
    <row r="10" spans="1:7">
      <c r="A10" s="42" t="s">
        <v>16</v>
      </c>
      <c r="B10" s="43">
        <f>AVERAGE(表2_36716262930[每日盈亏])</f>
        <v>3.8189655172413801E-4</v>
      </c>
      <c r="C10" s="44"/>
      <c r="D10" s="33" t="s">
        <v>17</v>
      </c>
      <c r="E10" s="6">
        <f>STDEV(表2_36716262930[每日盈亏])</f>
        <v>2.2352198198234961E-3</v>
      </c>
      <c r="F10" s="35"/>
    </row>
    <row r="11" spans="1:7">
      <c r="A11" s="7" t="s">
        <v>18</v>
      </c>
      <c r="B11" s="32">
        <f>B3/B2</f>
        <v>0.52586206896551724</v>
      </c>
      <c r="C11" s="40"/>
      <c r="D11" s="32" t="s">
        <v>19</v>
      </c>
      <c r="E11" s="41">
        <f>245^0.5*E10</f>
        <v>3.4986724232461186E-2</v>
      </c>
      <c r="F11" s="35"/>
    </row>
    <row r="12" spans="1:7" ht="16" thickBot="1">
      <c r="A12" s="45" t="s">
        <v>20</v>
      </c>
      <c r="B12" s="46">
        <f>-(SUMIF(表2_36716262930[每日盈亏],"&gt;=0")/B3)/(SUMIF(表2_36716262930[每日盈亏],"&lt;0")/B4)</f>
        <v>0.84073903673390393</v>
      </c>
      <c r="C12" s="47"/>
      <c r="D12" s="48"/>
      <c r="E12" s="49"/>
      <c r="F12" s="35"/>
    </row>
    <row r="13" spans="1:7">
      <c r="A13" s="35"/>
      <c r="B13" s="35"/>
      <c r="C13" s="35"/>
      <c r="D13" s="35"/>
      <c r="E13" s="35"/>
      <c r="F13" s="35"/>
    </row>
    <row r="14" spans="1:7" ht="32">
      <c r="A14" s="50" t="s">
        <v>21</v>
      </c>
      <c r="B14" s="50" t="s">
        <v>14</v>
      </c>
      <c r="C14" s="51" t="s">
        <v>19</v>
      </c>
      <c r="D14" s="51" t="s">
        <v>13</v>
      </c>
      <c r="E14" s="51" t="s">
        <v>5</v>
      </c>
      <c r="F14" s="51" t="s">
        <v>7</v>
      </c>
    </row>
    <row r="15" spans="1:7">
      <c r="A15" s="52">
        <f>B2</f>
        <v>232</v>
      </c>
      <c r="B15" s="53">
        <f>B9</f>
        <v>6.7811738070358937E-2</v>
      </c>
      <c r="C15" s="53">
        <f>E11</f>
        <v>3.4986724232461186E-2</v>
      </c>
      <c r="D15" s="53">
        <f ca="1">E8</f>
        <v>-2.162024672516849E-2</v>
      </c>
      <c r="E15" s="54">
        <f>E3</f>
        <v>2.1946562571686674</v>
      </c>
      <c r="F15" s="54">
        <f ca="1">E4</f>
        <v>3.136492332042546</v>
      </c>
    </row>
    <row r="19" spans="1:7">
      <c r="A19" s="8"/>
      <c r="B19" s="1" t="s">
        <v>22</v>
      </c>
    </row>
    <row r="20" spans="1:7" ht="16">
      <c r="A20" s="22" t="s">
        <v>23</v>
      </c>
      <c r="B20" s="22" t="s">
        <v>24</v>
      </c>
      <c r="C20" s="22" t="s">
        <v>25</v>
      </c>
      <c r="D20" s="22" t="s">
        <v>26</v>
      </c>
      <c r="E20" s="22" t="s">
        <v>27</v>
      </c>
      <c r="F20" s="22" t="s">
        <v>28</v>
      </c>
      <c r="G20" s="22" t="s">
        <v>29</v>
      </c>
    </row>
    <row r="21" spans="1:7">
      <c r="A21" s="15">
        <v>43700</v>
      </c>
      <c r="B21" s="10">
        <f>表2_36716262930[[#This Row],[单位净值]]+0.084</f>
        <v>1.47</v>
      </c>
      <c r="C21" s="11">
        <f t="shared" ref="C21:C26" si="0">IFERROR(B21-B20,0)</f>
        <v>0</v>
      </c>
      <c r="D21" s="12" t="str">
        <f>IF(C21&lt;0,C21,"/")</f>
        <v>/</v>
      </c>
      <c r="E21" s="12">
        <f ca="1">IF(表2_36716262930[[#This Row],[累计净值]]/MAX(INDIRECT("B21:B" &amp; ROW()))-1&lt;E20,表2_36716262930[[#This Row],[累计净值]]/MAX(INDIRECT("B21:B" &amp; ROW()))-1,E20)</f>
        <v>0</v>
      </c>
      <c r="F21" s="13">
        <v>1.3859999999999999</v>
      </c>
      <c r="G21" s="14" t="s">
        <v>30</v>
      </c>
    </row>
    <row r="22" spans="1:7">
      <c r="A22" s="15">
        <v>43703</v>
      </c>
      <c r="B22" s="56">
        <f>表2_36716262930[[#This Row],[单位净值]]+0.084</f>
        <v>1.4710000000000001</v>
      </c>
      <c r="C22" s="17">
        <f t="shared" si="0"/>
        <v>1.0000000000001119E-3</v>
      </c>
      <c r="D22" s="18" t="str">
        <f>IF(C22&lt;0,C22,"/")</f>
        <v>/</v>
      </c>
      <c r="E22" s="18">
        <f ca="1">IF(表2_36716262930[[#This Row],[累计净值]]/MAX(INDIRECT("B21:B" &amp; ROW()))-1&lt;E21,表2_36716262930[[#This Row],[累计净值]]/MAX(INDIRECT("B21:B" &amp; ROW()))-1,E21)</f>
        <v>0</v>
      </c>
      <c r="F22" s="19">
        <v>1.387</v>
      </c>
      <c r="G22" s="20">
        <f>表2_36716262930[[#This Row],[单位净值]]/$F$21-1</f>
        <v>7.2150072150090061E-4</v>
      </c>
    </row>
    <row r="23" spans="1:7">
      <c r="A23" s="15">
        <v>43704</v>
      </c>
      <c r="B23" s="56">
        <f>表2_36716262930[[#This Row],[单位净值]]+0.084</f>
        <v>1.474</v>
      </c>
      <c r="C23" s="17">
        <f t="shared" si="0"/>
        <v>2.9999999999998916E-3</v>
      </c>
      <c r="D23" s="18" t="str">
        <f>IF(C23&lt;0,C23,"/")</f>
        <v>/</v>
      </c>
      <c r="E23" s="18">
        <f ca="1">IF(表2_36716262930[[#This Row],[累计净值]]/MAX(INDIRECT("B21:B" &amp; ROW()))-1&lt;E22,表2_36716262930[[#This Row],[累计净值]]/MAX(INDIRECT("B21:B" &amp; ROW()))-1,E22)</f>
        <v>0</v>
      </c>
      <c r="F23" s="19">
        <v>1.39</v>
      </c>
      <c r="G23" s="20">
        <f>表2_36716262930[[#This Row],[单位净值]]/$F$21-1</f>
        <v>2.8860028860029363E-3</v>
      </c>
    </row>
    <row r="24" spans="1:7">
      <c r="A24" s="15">
        <v>43705</v>
      </c>
      <c r="B24" s="56">
        <f>表2_36716262930[[#This Row],[单位净值]]+0.084</f>
        <v>1.47</v>
      </c>
      <c r="C24" s="17">
        <f t="shared" si="0"/>
        <v>-4.0000000000000036E-3</v>
      </c>
      <c r="D24" s="18">
        <f>IF(C24&lt;0,C24,"/")</f>
        <v>-4.0000000000000036E-3</v>
      </c>
      <c r="E24" s="18">
        <f ca="1">IF(表2_36716262930[[#This Row],[累计净值]]/MAX(INDIRECT("B21:B" &amp; ROW()))-1&lt;E23,表2_36716262930[[#This Row],[累计净值]]/MAX(INDIRECT("B21:B" &amp; ROW()))-1,E23)</f>
        <v>-2.7137042062415073E-3</v>
      </c>
      <c r="F24" s="19">
        <v>1.3859999999999999</v>
      </c>
      <c r="G24" s="20">
        <f>表2_36716262930[[#This Row],[单位净值]]/$F$21-1</f>
        <v>0</v>
      </c>
    </row>
    <row r="25" spans="1:7">
      <c r="A25" s="15">
        <v>43706</v>
      </c>
      <c r="B25" s="56">
        <f>表2_36716262930[[#This Row],[单位净值]]+0.084</f>
        <v>1.4690000000000001</v>
      </c>
      <c r="C25" s="17">
        <f t="shared" si="0"/>
        <v>-9.9999999999988987E-4</v>
      </c>
      <c r="D25" s="18">
        <f>IF(C25&lt;0,C25,"/")</f>
        <v>-9.9999999999988987E-4</v>
      </c>
      <c r="E25" s="18">
        <f ca="1">IF(表2_36716262930[[#This Row],[累计净值]]/MAX(INDIRECT("B21:B" &amp; ROW()))-1&lt;E24,表2_36716262930[[#This Row],[累计净值]]/MAX(INDIRECT("B21:B" &amp; ROW()))-1,E24)</f>
        <v>-3.3921302578018286E-3</v>
      </c>
      <c r="F25" s="19">
        <v>1.385</v>
      </c>
      <c r="G25" s="20">
        <f>表2_36716262930[[#This Row],[单位净值]]/$F$21-1</f>
        <v>-7.2150072150067857E-4</v>
      </c>
    </row>
    <row r="26" spans="1:7">
      <c r="A26" s="15">
        <v>43707</v>
      </c>
      <c r="B26" s="56">
        <f>表2_36716262930[[#This Row],[单位净值]]+0.084</f>
        <v>1.4690000000000001</v>
      </c>
      <c r="C26" s="17">
        <f t="shared" si="0"/>
        <v>0</v>
      </c>
      <c r="D26" s="18" t="str">
        <f t="shared" ref="D26:D31" si="1">IF(C26&lt;0,C26,"/")</f>
        <v>/</v>
      </c>
      <c r="E26" s="18">
        <f ca="1">IF(表2_36716262930[[#This Row],[累计净值]]/MAX(INDIRECT("B21:B" &amp; ROW()))-1&lt;E25,表2_36716262930[[#This Row],[累计净值]]/MAX(INDIRECT("B21:B" &amp; ROW()))-1,E25)</f>
        <v>-3.3921302578018286E-3</v>
      </c>
      <c r="F26" s="19">
        <v>1.385</v>
      </c>
      <c r="G26" s="20">
        <f>表2_36716262930[[#This Row],[单位净值]]/$F$21-1</f>
        <v>-7.2150072150067857E-4</v>
      </c>
    </row>
    <row r="27" spans="1:7">
      <c r="A27" s="15">
        <v>43710</v>
      </c>
      <c r="B27" s="56">
        <f>表2_36716262930[[#This Row],[单位净值]]+0.084</f>
        <v>1.466</v>
      </c>
      <c r="C27" s="71">
        <f t="shared" ref="C27:C32" si="2">IFERROR(B27-B26,0)</f>
        <v>-3.0000000000001137E-3</v>
      </c>
      <c r="D27" s="65">
        <f t="shared" si="1"/>
        <v>-3.0000000000001137E-3</v>
      </c>
      <c r="E27" s="65">
        <f ca="1">IF(表2_36716262930[[#This Row],[累计净值]]/MAX(INDIRECT("B21:B" &amp; ROW()))-1&lt;E26,表2_36716262930[[#This Row],[累计净值]]/MAX(INDIRECT("B21:B" &amp; ROW()))-1,E26)</f>
        <v>-5.4274084124830146E-3</v>
      </c>
      <c r="F27" s="72">
        <v>1.3819999999999999</v>
      </c>
      <c r="G27" s="20">
        <f>表2_36716262930[[#This Row],[单位净值]]/$F$21-1</f>
        <v>-2.8860028860029363E-3</v>
      </c>
    </row>
    <row r="28" spans="1:7">
      <c r="A28" s="15">
        <v>43711</v>
      </c>
      <c r="B28" s="56">
        <f>表2_36716262930[[#This Row],[单位净值]]+0.084</f>
        <v>1.4690000000000001</v>
      </c>
      <c r="C28" s="73">
        <f t="shared" si="2"/>
        <v>3.0000000000001137E-3</v>
      </c>
      <c r="D28" s="18" t="str">
        <f t="shared" si="1"/>
        <v>/</v>
      </c>
      <c r="E28" s="18">
        <f ca="1">IF(表2_36716262930[[#This Row],[累计净值]]/MAX(INDIRECT("B21:B" &amp; ROW()))-1&lt;E27,表2_36716262930[[#This Row],[累计净值]]/MAX(INDIRECT("B21:B" &amp; ROW()))-1,E27)</f>
        <v>-5.4274084124830146E-3</v>
      </c>
      <c r="F28" s="62">
        <v>1.385</v>
      </c>
      <c r="G28" s="20">
        <f>表2_36716262930[[#This Row],[单位净值]]/$F$21-1</f>
        <v>-7.2150072150067857E-4</v>
      </c>
    </row>
    <row r="29" spans="1:7">
      <c r="A29" s="15">
        <v>43712</v>
      </c>
      <c r="B29" s="56">
        <f>表2_36716262930[[#This Row],[单位净值]]+0.084</f>
        <v>1.4710000000000001</v>
      </c>
      <c r="C29" s="73">
        <f t="shared" si="2"/>
        <v>2.0000000000000018E-3</v>
      </c>
      <c r="D29" s="18" t="str">
        <f t="shared" si="1"/>
        <v>/</v>
      </c>
      <c r="E29" s="18">
        <f ca="1">IF(表2_36716262930[[#This Row],[累计净值]]/MAX(INDIRECT("B21:B" &amp; ROW()))-1&lt;E28,表2_36716262930[[#This Row],[累计净值]]/MAX(INDIRECT("B21:B" &amp; ROW()))-1,E28)</f>
        <v>-5.4274084124830146E-3</v>
      </c>
      <c r="F29" s="62">
        <v>1.387</v>
      </c>
      <c r="G29" s="20">
        <f>表2_36716262930[[#This Row],[单位净值]]/$F$21-1</f>
        <v>7.2150072150090061E-4</v>
      </c>
    </row>
    <row r="30" spans="1:7">
      <c r="A30" s="15">
        <v>43713</v>
      </c>
      <c r="B30" s="56">
        <v>1.4696</v>
      </c>
      <c r="C30" s="73">
        <f t="shared" si="2"/>
        <v>-1.4000000000000679E-3</v>
      </c>
      <c r="D30" s="18">
        <f t="shared" si="1"/>
        <v>-1.4000000000000679E-3</v>
      </c>
      <c r="E30" s="18">
        <f ca="1">IF(表2_36716262930[[#This Row],[累计净值]]/MAX(INDIRECT("B21:B" &amp; ROW()))-1&lt;E29,表2_36716262930[[#This Row],[累计净值]]/MAX(INDIRECT("B21:B" &amp; ROW()))-1,E29)</f>
        <v>-5.4274084124830146E-3</v>
      </c>
      <c r="F30" s="62">
        <v>1.3859999999999999</v>
      </c>
      <c r="G30" s="20">
        <f>表2_36716262930[[#This Row],[单位净值]]/$F$21-1</f>
        <v>0</v>
      </c>
    </row>
    <row r="31" spans="1:7">
      <c r="A31" s="15">
        <v>43714</v>
      </c>
      <c r="B31" s="56">
        <v>1.4665999999999999</v>
      </c>
      <c r="C31" s="73">
        <f t="shared" si="2"/>
        <v>-3.0000000000001137E-3</v>
      </c>
      <c r="D31" s="18">
        <f t="shared" si="1"/>
        <v>-3.0000000000001137E-3</v>
      </c>
      <c r="E31" s="18">
        <f ca="1">IF(表2_36716262930[[#This Row],[累计净值]]/MAX(INDIRECT("B21:B" &amp; ROW()))-1&lt;E30,表2_36716262930[[#This Row],[累计净值]]/MAX(INDIRECT("B21:B" &amp; ROW()))-1,E30)</f>
        <v>-5.4274084124830146E-3</v>
      </c>
      <c r="F31" s="62">
        <v>1.383</v>
      </c>
      <c r="G31" s="20">
        <f>表2_36716262930[[#This Row],[单位净值]]/$F$21-1</f>
        <v>-2.1645021645020357E-3</v>
      </c>
    </row>
    <row r="32" spans="1:7">
      <c r="A32" s="15">
        <v>43717</v>
      </c>
      <c r="B32" s="56">
        <v>1.4656</v>
      </c>
      <c r="C32" s="73">
        <f t="shared" si="2"/>
        <v>-9.9999999999988987E-4</v>
      </c>
      <c r="D32" s="18">
        <f t="shared" ref="D32:D37" si="3">IF(C32&lt;0,C32,"/")</f>
        <v>-9.9999999999988987E-4</v>
      </c>
      <c r="E32" s="18">
        <f ca="1">IF(表2_36716262930[[#This Row],[累计净值]]/MAX(INDIRECT("B21:B" &amp; ROW()))-1&lt;E31,表2_36716262930[[#This Row],[累计净值]]/MAX(INDIRECT("B21:B" &amp; ROW()))-1,E31)</f>
        <v>-5.6987788331072098E-3</v>
      </c>
      <c r="F32" s="62">
        <v>1.3819999999999999</v>
      </c>
      <c r="G32" s="20">
        <f>表2_36716262930[[#This Row],[单位净值]]/$F$21-1</f>
        <v>-2.8860028860029363E-3</v>
      </c>
    </row>
    <row r="33" spans="1:7">
      <c r="A33" s="15">
        <v>43718</v>
      </c>
      <c r="B33" s="56">
        <v>1.4665999999999999</v>
      </c>
      <c r="C33" s="73">
        <f t="shared" ref="C33:C40" si="4">IFERROR(B33-B32,0)</f>
        <v>9.9999999999988987E-4</v>
      </c>
      <c r="D33" s="18" t="str">
        <f t="shared" si="3"/>
        <v>/</v>
      </c>
      <c r="E33" s="18">
        <f ca="1">IF(表2_36716262930[[#This Row],[累计净值]]/MAX(INDIRECT("B21:B" &amp; ROW()))-1&lt;E32,表2_36716262930[[#This Row],[累计净值]]/MAX(INDIRECT("B21:B" &amp; ROW()))-1,E32)</f>
        <v>-5.6987788331072098E-3</v>
      </c>
      <c r="F33" s="62">
        <v>1.383</v>
      </c>
      <c r="G33" s="20">
        <f>表2_36716262930[[#This Row],[单位净值]]/$F$21-1</f>
        <v>-2.1645021645020357E-3</v>
      </c>
    </row>
    <row r="34" spans="1:7">
      <c r="A34" s="15">
        <v>43719</v>
      </c>
      <c r="B34" s="56">
        <v>1.4656</v>
      </c>
      <c r="C34" s="73">
        <f t="shared" si="4"/>
        <v>-9.9999999999988987E-4</v>
      </c>
      <c r="D34" s="18">
        <f t="shared" si="3"/>
        <v>-9.9999999999988987E-4</v>
      </c>
      <c r="E34" s="18">
        <f ca="1">IF(表2_36716262930[[#This Row],[累计净值]]/MAX(INDIRECT("B21:B" &amp; ROW()))-1&lt;E33,表2_36716262930[[#This Row],[累计净值]]/MAX(INDIRECT("B21:B" &amp; ROW()))-1,E33)</f>
        <v>-5.6987788331072098E-3</v>
      </c>
      <c r="F34" s="62">
        <v>1.3819999999999999</v>
      </c>
      <c r="G34" s="20">
        <f>表2_36716262930[[#This Row],[单位净值]]/$F$21-1</f>
        <v>-2.8860028860029363E-3</v>
      </c>
    </row>
    <row r="35" spans="1:7">
      <c r="A35" s="15">
        <v>43720</v>
      </c>
      <c r="B35" s="56">
        <v>1.4636</v>
      </c>
      <c r="C35" s="73">
        <f t="shared" si="4"/>
        <v>-2.0000000000000018E-3</v>
      </c>
      <c r="D35" s="18">
        <f t="shared" si="3"/>
        <v>-2.0000000000000018E-3</v>
      </c>
      <c r="E35" s="18">
        <f ca="1">IF(表2_36716262930[[#This Row],[累计净值]]/MAX(INDIRECT("B21:B" &amp; ROW()))-1&lt;E34,表2_36716262930[[#This Row],[累计净值]]/MAX(INDIRECT("B21:B" &amp; ROW()))-1,E34)</f>
        <v>-7.0556309362279634E-3</v>
      </c>
      <c r="F35" s="62">
        <v>1.38</v>
      </c>
      <c r="G35" s="20">
        <f>表2_36716262930[[#This Row],[单位净值]]/$F$21-1</f>
        <v>-4.3290043290042934E-3</v>
      </c>
    </row>
    <row r="36" spans="1:7">
      <c r="A36" s="15">
        <v>43724</v>
      </c>
      <c r="B36" s="56">
        <v>1.4656</v>
      </c>
      <c r="C36" s="73">
        <f t="shared" si="4"/>
        <v>2.0000000000000018E-3</v>
      </c>
      <c r="D36" s="18" t="str">
        <f t="shared" si="3"/>
        <v>/</v>
      </c>
      <c r="E36" s="18">
        <f ca="1">IF(表2_36716262930[[#This Row],[累计净值]]/MAX(INDIRECT("B21:B" &amp; ROW()))-1&lt;E35,表2_36716262930[[#This Row],[累计净值]]/MAX(INDIRECT("B21:B" &amp; ROW()))-1,E35)</f>
        <v>-7.0556309362279634E-3</v>
      </c>
      <c r="F36" s="62">
        <v>1.3819999999999999</v>
      </c>
      <c r="G36" s="20">
        <f>表2_36716262930[[#This Row],[单位净值]]/$F$21-1</f>
        <v>-2.8860028860029363E-3</v>
      </c>
    </row>
    <row r="37" spans="1:7">
      <c r="A37" s="15">
        <v>43725</v>
      </c>
      <c r="B37" s="56">
        <v>1.4696</v>
      </c>
      <c r="C37" s="73">
        <f t="shared" si="4"/>
        <v>4.0000000000000036E-3</v>
      </c>
      <c r="D37" s="18" t="str">
        <f t="shared" si="3"/>
        <v>/</v>
      </c>
      <c r="E37" s="18">
        <f ca="1">IF(表2_36716262930[[#This Row],[累计净值]]/MAX(INDIRECT("B21:B" &amp; ROW()))-1&lt;E36,表2_36716262930[[#This Row],[累计净值]]/MAX(INDIRECT("B21:B" &amp; ROW()))-1,E36)</f>
        <v>-7.0556309362279634E-3</v>
      </c>
      <c r="F37" s="62">
        <v>1.3859999999999999</v>
      </c>
      <c r="G37" s="20">
        <f>表2_36716262930[[#This Row],[单位净值]]/$F$21-1</f>
        <v>0</v>
      </c>
    </row>
    <row r="38" spans="1:7">
      <c r="A38" s="15">
        <v>43726</v>
      </c>
      <c r="B38" s="56">
        <v>1.4705999999999999</v>
      </c>
      <c r="C38" s="73">
        <f t="shared" si="4"/>
        <v>9.9999999999988987E-4</v>
      </c>
      <c r="D38" s="18" t="str">
        <f>IF(C38&lt;0,C38,"/")</f>
        <v>/</v>
      </c>
      <c r="E38" s="18">
        <f ca="1">IF(表2_36716262930[[#This Row],[累计净值]]/MAX(INDIRECT("B21:B" &amp; ROW()))-1&lt;E37,表2_36716262930[[#This Row],[累计净值]]/MAX(INDIRECT("B21:B" &amp; ROW()))-1,E37)</f>
        <v>-7.0556309362279634E-3</v>
      </c>
      <c r="F38" s="62">
        <v>1.387</v>
      </c>
      <c r="G38" s="20">
        <f>表2_36716262930[[#This Row],[单位净值]]/$F$21-1</f>
        <v>7.2150072150090061E-4</v>
      </c>
    </row>
    <row r="39" spans="1:7">
      <c r="A39" s="15">
        <v>43727</v>
      </c>
      <c r="B39" s="56">
        <v>1.4705999999999999</v>
      </c>
      <c r="C39" s="73">
        <f t="shared" si="4"/>
        <v>0</v>
      </c>
      <c r="D39" s="18" t="str">
        <f>IF(C39&lt;0,C39,"/")</f>
        <v>/</v>
      </c>
      <c r="E39" s="18">
        <f ca="1">IF(表2_36716262930[[#This Row],[累计净值]]/MAX(INDIRECT("B21:B" &amp; ROW()))-1&lt;E38,表2_36716262930[[#This Row],[累计净值]]/MAX(INDIRECT("B21:B" &amp; ROW()))-1,E38)</f>
        <v>-7.0556309362279634E-3</v>
      </c>
      <c r="F39" s="62">
        <v>1.387</v>
      </c>
      <c r="G39" s="20">
        <f>表2_36716262930[[#This Row],[单位净值]]/$F$21-1</f>
        <v>7.2150072150090061E-4</v>
      </c>
    </row>
    <row r="40" spans="1:7">
      <c r="A40" s="15">
        <v>43728</v>
      </c>
      <c r="B40" s="56">
        <v>1.4705999999999999</v>
      </c>
      <c r="C40" s="73">
        <f t="shared" si="4"/>
        <v>0</v>
      </c>
      <c r="D40" s="18" t="str">
        <f>IF(C40&lt;0,C40,"/")</f>
        <v>/</v>
      </c>
      <c r="E40" s="18">
        <f ca="1">IF(表2_36716262930[[#This Row],[累计净值]]/MAX(INDIRECT("B21:B" &amp; ROW()))-1&lt;E39,表2_36716262930[[#This Row],[累计净值]]/MAX(INDIRECT("B21:B" &amp; ROW()))-1,E39)</f>
        <v>-7.0556309362279634E-3</v>
      </c>
      <c r="F40" s="62">
        <v>1.387</v>
      </c>
      <c r="G40" s="20">
        <f>表2_36716262930[[#This Row],[单位净值]]/$F$21-1</f>
        <v>7.2150072150090061E-4</v>
      </c>
    </row>
    <row r="41" spans="1:7">
      <c r="A41" s="15">
        <v>43731</v>
      </c>
      <c r="B41" s="16">
        <v>1.4696</v>
      </c>
      <c r="C41" s="73">
        <f t="shared" ref="C41:C46" si="5">IFERROR(B41-B40,0)</f>
        <v>-9.9999999999988987E-4</v>
      </c>
      <c r="D41" s="18">
        <f t="shared" ref="D41:D46" si="6">IF(C41&lt;0,C41,"/")</f>
        <v>-9.9999999999988987E-4</v>
      </c>
      <c r="E41" s="18">
        <f ca="1">IF(表2_36716262930[[#This Row],[累计净值]]/MAX(INDIRECT("B21:B" &amp; ROW()))-1&lt;E40,表2_36716262930[[#This Row],[累计净值]]/MAX(INDIRECT("B21:B" &amp; ROW()))-1,E40)</f>
        <v>-7.0556309362279634E-3</v>
      </c>
      <c r="F41" s="62">
        <v>1.3859999999999999</v>
      </c>
      <c r="G41" s="20">
        <f>表2_36716262930[[#This Row],[单位净值]]/$F$21-1</f>
        <v>0</v>
      </c>
    </row>
    <row r="42" spans="1:7">
      <c r="A42" s="15">
        <v>43732</v>
      </c>
      <c r="B42" s="16">
        <v>1.4716</v>
      </c>
      <c r="C42" s="73">
        <f t="shared" si="5"/>
        <v>2.0000000000000018E-3</v>
      </c>
      <c r="D42" s="18" t="str">
        <f t="shared" si="6"/>
        <v>/</v>
      </c>
      <c r="E42" s="18">
        <f ca="1">IF(表2_36716262930[[#This Row],[累计净值]]/MAX(INDIRECT("B21:B" &amp; ROW()))-1&lt;E41,表2_36716262930[[#This Row],[累计净值]]/MAX(INDIRECT("B21:B" &amp; ROW()))-1,E41)</f>
        <v>-7.0556309362279634E-3</v>
      </c>
      <c r="F42" s="62">
        <v>1.3879999999999999</v>
      </c>
      <c r="G42" s="20">
        <f>表2_36716262930[[#This Row],[单位净值]]/$F$21-1</f>
        <v>1.4430014430013571E-3</v>
      </c>
    </row>
    <row r="43" spans="1:7">
      <c r="A43" s="15">
        <v>43733</v>
      </c>
      <c r="B43" s="16">
        <v>1.4725999999999999</v>
      </c>
      <c r="C43" s="73">
        <f t="shared" si="5"/>
        <v>9.9999999999988987E-4</v>
      </c>
      <c r="D43" s="18" t="str">
        <f t="shared" si="6"/>
        <v>/</v>
      </c>
      <c r="E43" s="18">
        <f ca="1">IF(表2_36716262930[[#This Row],[累计净值]]/MAX(INDIRECT("B21:B" &amp; ROW()))-1&lt;E42,表2_36716262930[[#This Row],[累计净值]]/MAX(INDIRECT("B21:B" &amp; ROW()))-1,E42)</f>
        <v>-7.0556309362279634E-3</v>
      </c>
      <c r="F43" s="62">
        <v>1.389</v>
      </c>
      <c r="G43" s="20">
        <f>表2_36716262930[[#This Row],[单位净值]]/$F$21-1</f>
        <v>2.1645021645022577E-3</v>
      </c>
    </row>
    <row r="44" spans="1:7">
      <c r="A44" s="15">
        <v>43734</v>
      </c>
      <c r="B44" s="16">
        <v>1.4705999999999999</v>
      </c>
      <c r="C44" s="73">
        <f t="shared" si="5"/>
        <v>-2.0000000000000018E-3</v>
      </c>
      <c r="D44" s="18">
        <f t="shared" si="6"/>
        <v>-2.0000000000000018E-3</v>
      </c>
      <c r="E44" s="18">
        <f ca="1">IF(表2_36716262930[[#This Row],[累计净值]]/MAX(INDIRECT("B21:B" &amp; ROW()))-1&lt;E43,表2_36716262930[[#This Row],[累计净值]]/MAX(INDIRECT("B21:B" &amp; ROW()))-1,E43)</f>
        <v>-7.0556309362279634E-3</v>
      </c>
      <c r="F44" s="62">
        <v>1.387</v>
      </c>
      <c r="G44" s="20">
        <f>表2_36716262930[[#This Row],[单位净值]]/$F$21-1</f>
        <v>7.2150072150090061E-4</v>
      </c>
    </row>
    <row r="45" spans="1:7">
      <c r="A45" s="15">
        <v>43735</v>
      </c>
      <c r="B45" s="16">
        <v>1.4716</v>
      </c>
      <c r="C45" s="73">
        <f t="shared" si="5"/>
        <v>1.0000000000001119E-3</v>
      </c>
      <c r="D45" s="18" t="str">
        <f t="shared" si="6"/>
        <v>/</v>
      </c>
      <c r="E45" s="18">
        <f ca="1">IF(表2_36716262930[[#This Row],[累计净值]]/MAX(INDIRECT("B21:B" &amp; ROW()))-1&lt;E44,表2_36716262930[[#This Row],[累计净值]]/MAX(INDIRECT("B21:B" &amp; ROW()))-1,E44)</f>
        <v>-7.0556309362279634E-3</v>
      </c>
      <c r="F45" s="62">
        <v>1.3879999999999999</v>
      </c>
      <c r="G45" s="20">
        <f>表2_36716262930[[#This Row],[单位净值]]/$F$21-1</f>
        <v>1.4430014430013571E-3</v>
      </c>
    </row>
    <row r="46" spans="1:7">
      <c r="A46" s="15">
        <v>43738</v>
      </c>
      <c r="B46" s="16">
        <v>1.4716</v>
      </c>
      <c r="C46" s="73">
        <f t="shared" si="5"/>
        <v>0</v>
      </c>
      <c r="D46" s="18" t="str">
        <f t="shared" si="6"/>
        <v>/</v>
      </c>
      <c r="E46" s="18">
        <f ca="1">IF(表2_36716262930[[#This Row],[累计净值]]/MAX(INDIRECT("B21:B" &amp; ROW()))-1&lt;E45,表2_36716262930[[#This Row],[累计净值]]/MAX(INDIRECT("B21:B" &amp; ROW()))-1,E45)</f>
        <v>-7.0556309362279634E-3</v>
      </c>
      <c r="F46" s="62">
        <v>1.3879999999999999</v>
      </c>
      <c r="G46" s="20">
        <f>表2_36716262930[[#This Row],[单位净值]]/$F$21-1</f>
        <v>1.4430014430013571E-3</v>
      </c>
    </row>
    <row r="47" spans="1:7">
      <c r="A47" s="15">
        <v>43746</v>
      </c>
      <c r="B47" s="16">
        <v>1.4736</v>
      </c>
      <c r="C47" s="73">
        <f t="shared" ref="C47:C52" si="7">IFERROR(B47-B46,0)</f>
        <v>2.0000000000000018E-3</v>
      </c>
      <c r="D47" s="18" t="str">
        <f t="shared" ref="D47:D52" si="8">IF(C47&lt;0,C47,"/")</f>
        <v>/</v>
      </c>
      <c r="E47" s="18">
        <f ca="1">IF(表2_36716262930[[#This Row],[累计净值]]/MAX(INDIRECT("B21:B" &amp; ROW()))-1&lt;E46,表2_36716262930[[#This Row],[累计净值]]/MAX(INDIRECT("B21:B" &amp; ROW()))-1,E46)</f>
        <v>-7.0556309362279634E-3</v>
      </c>
      <c r="F47" s="62">
        <v>1.39</v>
      </c>
      <c r="G47" s="20">
        <f>表2_36716262930[[#This Row],[单位净值]]/$F$21-1</f>
        <v>2.8860028860029363E-3</v>
      </c>
    </row>
    <row r="48" spans="1:7">
      <c r="A48" s="15">
        <v>43747</v>
      </c>
      <c r="B48" s="16">
        <v>1.4745999999999999</v>
      </c>
      <c r="C48" s="73">
        <f t="shared" si="7"/>
        <v>9.9999999999988987E-4</v>
      </c>
      <c r="D48" s="18" t="str">
        <f t="shared" si="8"/>
        <v>/</v>
      </c>
      <c r="E48" s="18">
        <f ca="1">IF(表2_36716262930[[#This Row],[累计净值]]/MAX(INDIRECT("B21:B" &amp; ROW()))-1&lt;E47,表2_36716262930[[#This Row],[累计净值]]/MAX(INDIRECT("B21:B" &amp; ROW()))-1,E47)</f>
        <v>-7.0556309362279634E-3</v>
      </c>
      <c r="F48" s="62">
        <v>1.391</v>
      </c>
      <c r="G48" s="20">
        <f>表2_36716262930[[#This Row],[单位净值]]/$F$21-1</f>
        <v>3.6075036075036149E-3</v>
      </c>
    </row>
    <row r="49" spans="1:7">
      <c r="A49" s="15">
        <v>43748</v>
      </c>
      <c r="B49" s="16">
        <v>1.4745999999999999</v>
      </c>
      <c r="C49" s="73">
        <f t="shared" si="7"/>
        <v>0</v>
      </c>
      <c r="D49" s="18" t="str">
        <f t="shared" si="8"/>
        <v>/</v>
      </c>
      <c r="E49" s="18">
        <f ca="1">IF(表2_36716262930[[#This Row],[累计净值]]/MAX(INDIRECT("B21:B" &amp; ROW()))-1&lt;E48,表2_36716262930[[#This Row],[累计净值]]/MAX(INDIRECT("B21:B" &amp; ROW()))-1,E48)</f>
        <v>-7.0556309362279634E-3</v>
      </c>
      <c r="F49" s="62">
        <v>1.391</v>
      </c>
      <c r="G49" s="20">
        <f>表2_36716262930[[#This Row],[单位净值]]/$F$21-1</f>
        <v>3.6075036075036149E-3</v>
      </c>
    </row>
    <row r="50" spans="1:7">
      <c r="A50" s="15">
        <v>43749</v>
      </c>
      <c r="B50" s="16">
        <v>1.4765999999999999</v>
      </c>
      <c r="C50" s="73">
        <f t="shared" si="7"/>
        <v>2.0000000000000018E-3</v>
      </c>
      <c r="D50" s="18" t="str">
        <f t="shared" si="8"/>
        <v>/</v>
      </c>
      <c r="E50" s="18">
        <f ca="1">IF(表2_36716262930[[#This Row],[累计净值]]/MAX(INDIRECT("B21:B" &amp; ROW()))-1&lt;E49,表2_36716262930[[#This Row],[累计净值]]/MAX(INDIRECT("B21:B" &amp; ROW()))-1,E49)</f>
        <v>-7.0556309362279634E-3</v>
      </c>
      <c r="F50" s="62">
        <v>1.393</v>
      </c>
      <c r="G50" s="20">
        <f>表2_36716262930[[#This Row],[单位净值]]/$F$21-1</f>
        <v>5.050505050505194E-3</v>
      </c>
    </row>
    <row r="51" spans="1:7">
      <c r="A51" s="15">
        <v>43752</v>
      </c>
      <c r="B51" s="16">
        <v>1.4745999999999999</v>
      </c>
      <c r="C51" s="73">
        <f t="shared" si="7"/>
        <v>-2.0000000000000018E-3</v>
      </c>
      <c r="D51" s="18">
        <f t="shared" si="8"/>
        <v>-2.0000000000000018E-3</v>
      </c>
      <c r="E51" s="18">
        <f ca="1">IF(表2_36716262930[[#This Row],[累计净值]]/MAX(INDIRECT("B21:B" &amp; ROW()))-1&lt;E50,表2_36716262930[[#This Row],[累计净值]]/MAX(INDIRECT("B21:B" &amp; ROW()))-1,E50)</f>
        <v>-7.0556309362279634E-3</v>
      </c>
      <c r="F51" s="62">
        <v>1.391</v>
      </c>
      <c r="G51" s="20">
        <f>表2_36716262930[[#This Row],[单位净值]]/$F$21-1</f>
        <v>3.6075036075036149E-3</v>
      </c>
    </row>
    <row r="52" spans="1:7">
      <c r="A52" s="15">
        <v>43753</v>
      </c>
      <c r="B52" s="16">
        <v>1.4765999999999999</v>
      </c>
      <c r="C52" s="73">
        <f t="shared" si="7"/>
        <v>2.0000000000000018E-3</v>
      </c>
      <c r="D52" s="18" t="str">
        <f t="shared" si="8"/>
        <v>/</v>
      </c>
      <c r="E52" s="18">
        <f ca="1">IF(表2_36716262930[[#This Row],[累计净值]]/MAX(INDIRECT("B21:B" &amp; ROW()))-1&lt;E51,表2_36716262930[[#This Row],[累计净值]]/MAX(INDIRECT("B21:B" &amp; ROW()))-1,E51)</f>
        <v>-7.0556309362279634E-3</v>
      </c>
      <c r="F52" s="62">
        <v>1.393</v>
      </c>
      <c r="G52" s="20">
        <f>表2_36716262930[[#This Row],[单位净值]]/$F$21-1</f>
        <v>5.050505050505194E-3</v>
      </c>
    </row>
    <row r="53" spans="1:7">
      <c r="A53" s="15">
        <v>43754</v>
      </c>
      <c r="B53" s="16">
        <v>1.4785999999999999</v>
      </c>
      <c r="C53" s="73">
        <f t="shared" ref="C53:C59" si="9">IFERROR(B53-B52,0)</f>
        <v>2.0000000000000018E-3</v>
      </c>
      <c r="D53" s="18" t="str">
        <f t="shared" ref="D53:D59" si="10">IF(C53&lt;0,C53,"/")</f>
        <v>/</v>
      </c>
      <c r="E53" s="18">
        <f ca="1">IF(表2_36716262930[[#This Row],[累计净值]]/MAX(INDIRECT("B21:B" &amp; ROW()))-1&lt;E52,表2_36716262930[[#This Row],[累计净值]]/MAX(INDIRECT("B21:B" &amp; ROW()))-1,E52)</f>
        <v>-7.0556309362279634E-3</v>
      </c>
      <c r="F53" s="62">
        <v>1.395</v>
      </c>
      <c r="G53" s="20">
        <f>表2_36716262930[[#This Row],[单位净值]]/$F$21-1</f>
        <v>6.4935064935065512E-3</v>
      </c>
    </row>
    <row r="54" spans="1:7">
      <c r="A54" s="15">
        <v>43755</v>
      </c>
      <c r="B54" s="16">
        <v>1.4796</v>
      </c>
      <c r="C54" s="73">
        <f t="shared" si="9"/>
        <v>1.0000000000001119E-3</v>
      </c>
      <c r="D54" s="18" t="str">
        <f t="shared" si="10"/>
        <v>/</v>
      </c>
      <c r="E54" s="18">
        <f ca="1">IF(表2_36716262930[[#This Row],[累计净值]]/MAX(INDIRECT("B21:B" &amp; ROW()))-1&lt;E53,表2_36716262930[[#This Row],[累计净值]]/MAX(INDIRECT("B21:B" &amp; ROW()))-1,E53)</f>
        <v>-7.0556309362279634E-3</v>
      </c>
      <c r="F54" s="62">
        <v>1.3959999999999999</v>
      </c>
      <c r="G54" s="20">
        <f>表2_36716262930[[#This Row],[单位净值]]/$F$21-1</f>
        <v>7.2150072150072297E-3</v>
      </c>
    </row>
    <row r="55" spans="1:7">
      <c r="A55" s="15">
        <v>43756</v>
      </c>
      <c r="B55" s="16">
        <v>1.4796</v>
      </c>
      <c r="C55" s="73">
        <f t="shared" si="9"/>
        <v>0</v>
      </c>
      <c r="D55" s="18" t="str">
        <f t="shared" si="10"/>
        <v>/</v>
      </c>
      <c r="E55" s="18">
        <f ca="1">IF(表2_36716262930[[#This Row],[累计净值]]/MAX(INDIRECT("B21:B" &amp; ROW()))-1&lt;E54,表2_36716262930[[#This Row],[累计净值]]/MAX(INDIRECT("B21:B" &amp; ROW()))-1,E54)</f>
        <v>-7.0556309362279634E-3</v>
      </c>
      <c r="F55" s="62">
        <v>1.3959999999999999</v>
      </c>
      <c r="G55" s="20">
        <f>表2_36716262930[[#This Row],[单位净值]]/$F$21-1</f>
        <v>7.2150072150072297E-3</v>
      </c>
    </row>
    <row r="56" spans="1:7">
      <c r="A56" s="15">
        <v>43759</v>
      </c>
      <c r="B56" s="16">
        <v>1.4825999999999999</v>
      </c>
      <c r="C56" s="73">
        <f t="shared" si="9"/>
        <v>2.9999999999998916E-3</v>
      </c>
      <c r="D56" s="18" t="str">
        <f t="shared" si="10"/>
        <v>/</v>
      </c>
      <c r="E56" s="18">
        <f ca="1">IF(表2_36716262930[[#This Row],[累计净值]]/MAX(INDIRECT("B21:B" &amp; ROW()))-1&lt;E55,表2_36716262930[[#This Row],[累计净值]]/MAX(INDIRECT("B21:B" &amp; ROW()))-1,E55)</f>
        <v>-7.0556309362279634E-3</v>
      </c>
      <c r="F56" s="62">
        <v>1.399</v>
      </c>
      <c r="G56" s="20">
        <f>表2_36716262930[[#This Row],[单位净值]]/$F$21-1</f>
        <v>9.3795093795094875E-3</v>
      </c>
    </row>
    <row r="57" spans="1:7">
      <c r="A57" s="15">
        <v>43760</v>
      </c>
      <c r="B57" s="16">
        <v>1.4825999999999999</v>
      </c>
      <c r="C57" s="73">
        <f t="shared" si="9"/>
        <v>0</v>
      </c>
      <c r="D57" s="18" t="str">
        <f t="shared" si="10"/>
        <v>/</v>
      </c>
      <c r="E57" s="18">
        <f ca="1">IF(表2_36716262930[[#This Row],[累计净值]]/MAX(INDIRECT("B21:B" &amp; ROW()))-1&lt;E56,表2_36716262930[[#This Row],[累计净值]]/MAX(INDIRECT("B21:B" &amp; ROW()))-1,E56)</f>
        <v>-7.0556309362279634E-3</v>
      </c>
      <c r="F57" s="62">
        <v>1.399</v>
      </c>
      <c r="G57" s="20">
        <f>表2_36716262930[[#This Row],[单位净值]]/$F$21-1</f>
        <v>9.3795093795094875E-3</v>
      </c>
    </row>
    <row r="58" spans="1:7">
      <c r="A58" s="15">
        <v>43761</v>
      </c>
      <c r="B58" s="16">
        <v>1.4816</v>
      </c>
      <c r="C58" s="73">
        <f t="shared" si="9"/>
        <v>-9.9999999999988987E-4</v>
      </c>
      <c r="D58" s="18">
        <f t="shared" si="10"/>
        <v>-9.9999999999988987E-4</v>
      </c>
      <c r="E58" s="18">
        <f ca="1">IF(表2_36716262930[[#This Row],[累计净值]]/MAX(INDIRECT("B21:B" &amp; ROW()))-1&lt;E57,表2_36716262930[[#This Row],[累计净值]]/MAX(INDIRECT("B21:B" &amp; ROW()))-1,E57)</f>
        <v>-7.0556309362279634E-3</v>
      </c>
      <c r="F58" s="62">
        <v>1.3979999999999999</v>
      </c>
      <c r="G58" s="20">
        <f>表2_36716262930[[#This Row],[单位净值]]/$F$21-1</f>
        <v>8.6580086580085869E-3</v>
      </c>
    </row>
    <row r="59" spans="1:7">
      <c r="A59" s="15">
        <v>43762</v>
      </c>
      <c r="B59" s="16">
        <v>1.4845999999999999</v>
      </c>
      <c r="C59" s="73">
        <f t="shared" si="9"/>
        <v>2.9999999999998916E-3</v>
      </c>
      <c r="D59" s="18" t="str">
        <f t="shared" si="10"/>
        <v>/</v>
      </c>
      <c r="E59" s="18">
        <f ca="1">IF(表2_36716262930[[#This Row],[累计净值]]/MAX(INDIRECT("B21:B" &amp; ROW()))-1&lt;E58,表2_36716262930[[#This Row],[累计净值]]/MAX(INDIRECT("B21:B" &amp; ROW()))-1,E58)</f>
        <v>-7.0556309362279634E-3</v>
      </c>
      <c r="F59" s="62">
        <v>1.401</v>
      </c>
      <c r="G59" s="20">
        <f>表2_36716262930[[#This Row],[单位净值]]/$F$21-1</f>
        <v>1.0822510822510845E-2</v>
      </c>
    </row>
    <row r="60" spans="1:7">
      <c r="A60" s="15">
        <v>43763</v>
      </c>
      <c r="B60" s="16">
        <v>1.4845999999999999</v>
      </c>
      <c r="C60" s="73">
        <f t="shared" ref="C60:C66" si="11">IFERROR(B60-B59,0)</f>
        <v>0</v>
      </c>
      <c r="D60" s="18" t="str">
        <f t="shared" ref="D60:D66" si="12">IF(C60&lt;0,C60,"/")</f>
        <v>/</v>
      </c>
      <c r="E60" s="18">
        <f ca="1">IF(表2_36716262930[[#This Row],[累计净值]]/MAX(INDIRECT("B21:B" &amp; ROW()))-1&lt;E59,表2_36716262930[[#This Row],[累计净值]]/MAX(INDIRECT("B21:B" &amp; ROW()))-1,E59)</f>
        <v>-7.0556309362279634E-3</v>
      </c>
      <c r="F60" s="62">
        <f>表2_36716262930[[#This Row],[累计净值]]-0.0836</f>
        <v>1.401</v>
      </c>
      <c r="G60" s="20">
        <f>表2_36716262930[[#This Row],[单位净值]]/$F$21-1</f>
        <v>1.0822510822510845E-2</v>
      </c>
    </row>
    <row r="61" spans="1:7">
      <c r="A61" s="15">
        <v>43766</v>
      </c>
      <c r="B61" s="16">
        <v>1.4856</v>
      </c>
      <c r="C61" s="73">
        <f t="shared" si="11"/>
        <v>1.0000000000001119E-3</v>
      </c>
      <c r="D61" s="18" t="str">
        <f t="shared" si="12"/>
        <v>/</v>
      </c>
      <c r="E61" s="18">
        <f ca="1">IF(表2_36716262930[[#This Row],[累计净值]]/MAX(INDIRECT("B21:B" &amp; ROW()))-1&lt;E60,表2_36716262930[[#This Row],[累计净值]]/MAX(INDIRECT("B21:B" &amp; ROW()))-1,E60)</f>
        <v>-7.0556309362279634E-3</v>
      </c>
      <c r="F61" s="62">
        <v>1.4019999999999999</v>
      </c>
      <c r="G61" s="20">
        <f>表2_36716262930[[#This Row],[单位净值]]/$F$21-1</f>
        <v>1.1544011544011523E-2</v>
      </c>
    </row>
    <row r="62" spans="1:7">
      <c r="A62" s="15">
        <v>43767</v>
      </c>
      <c r="B62" s="76">
        <v>1.4865999999999999</v>
      </c>
      <c r="C62" s="73">
        <f t="shared" si="11"/>
        <v>9.9999999999988987E-4</v>
      </c>
      <c r="D62" s="18" t="str">
        <f t="shared" si="12"/>
        <v>/</v>
      </c>
      <c r="E62" s="18">
        <f ca="1">IF(表2_36716262930[[#This Row],[累计净值]]/MAX(INDIRECT("B21:B" &amp; ROW()))-1&lt;E61,表2_36716262930[[#This Row],[累计净值]]/MAX(INDIRECT("B21:B" &amp; ROW()))-1,E61)</f>
        <v>-7.0556309362279634E-3</v>
      </c>
      <c r="F62" s="62">
        <v>1.403</v>
      </c>
      <c r="G62" s="20">
        <f>表2_36716262930[[#This Row],[单位净值]]/$F$21-1</f>
        <v>1.2265512265512424E-2</v>
      </c>
    </row>
    <row r="63" spans="1:7">
      <c r="A63" s="15">
        <v>43768</v>
      </c>
      <c r="B63" s="16">
        <v>1.4845999999999999</v>
      </c>
      <c r="C63" s="73">
        <f t="shared" si="11"/>
        <v>-2.0000000000000018E-3</v>
      </c>
      <c r="D63" s="18">
        <f t="shared" si="12"/>
        <v>-2.0000000000000018E-3</v>
      </c>
      <c r="E63" s="18">
        <f ca="1">IF(表2_36716262930[[#This Row],[累计净值]]/MAX(INDIRECT("B21:B" &amp; ROW()))-1&lt;E62,表2_36716262930[[#This Row],[累计净值]]/MAX(INDIRECT("B21:B" &amp; ROW()))-1,E62)</f>
        <v>-7.0556309362279634E-3</v>
      </c>
      <c r="F63" s="62">
        <v>1.401</v>
      </c>
      <c r="G63" s="20">
        <f>表2_36716262930[[#This Row],[单位净值]]/$F$21-1</f>
        <v>1.0822510822510845E-2</v>
      </c>
    </row>
    <row r="64" spans="1:7">
      <c r="A64" s="15">
        <v>43769</v>
      </c>
      <c r="B64" s="16">
        <v>1.4865999999999999</v>
      </c>
      <c r="C64" s="73">
        <f t="shared" si="11"/>
        <v>2.0000000000000018E-3</v>
      </c>
      <c r="D64" s="18" t="str">
        <f t="shared" si="12"/>
        <v>/</v>
      </c>
      <c r="E64" s="18">
        <f ca="1">IF(表2_36716262930[[#This Row],[累计净值]]/MAX(INDIRECT("B21:B" &amp; ROW()))-1&lt;E63,表2_36716262930[[#This Row],[累计净值]]/MAX(INDIRECT("B21:B" &amp; ROW()))-1,E63)</f>
        <v>-7.0556309362279634E-3</v>
      </c>
      <c r="F64" s="62">
        <v>1.403</v>
      </c>
      <c r="G64" s="20">
        <f>表2_36716262930[[#This Row],[单位净值]]/$F$21-1</f>
        <v>1.2265512265512424E-2</v>
      </c>
    </row>
    <row r="65" spans="1:7">
      <c r="A65" s="15">
        <v>43770</v>
      </c>
      <c r="B65" s="16">
        <v>1.4885999999999999</v>
      </c>
      <c r="C65" s="73">
        <f t="shared" si="11"/>
        <v>2.0000000000000018E-3</v>
      </c>
      <c r="D65" s="18" t="str">
        <f t="shared" si="12"/>
        <v>/</v>
      </c>
      <c r="E65" s="18">
        <f ca="1">IF(表2_36716262930[[#This Row],[累计净值]]/MAX(INDIRECT("B21:B" &amp; ROW()))-1&lt;E64,表2_36716262930[[#This Row],[累计净值]]/MAX(INDIRECT("B21:B" &amp; ROW()))-1,E64)</f>
        <v>-7.0556309362279634E-3</v>
      </c>
      <c r="F65" s="62">
        <v>1.405</v>
      </c>
      <c r="G65" s="20">
        <f>表2_36716262930[[#This Row],[单位净值]]/$F$21-1</f>
        <v>1.3708513708513781E-2</v>
      </c>
    </row>
    <row r="66" spans="1:7">
      <c r="A66" s="15">
        <v>43773</v>
      </c>
      <c r="B66" s="16">
        <v>1.4905999999999999</v>
      </c>
      <c r="C66" s="73">
        <f t="shared" si="11"/>
        <v>2.0000000000000018E-3</v>
      </c>
      <c r="D66" s="18" t="str">
        <f t="shared" si="12"/>
        <v>/</v>
      </c>
      <c r="E66" s="18">
        <f ca="1">IF(表2_36716262930[[#This Row],[累计净值]]/MAX(INDIRECT("B21:B" &amp; ROW()))-1&lt;E65,表2_36716262930[[#This Row],[累计净值]]/MAX(INDIRECT("B21:B" &amp; ROW()))-1,E65)</f>
        <v>-7.0556309362279634E-3</v>
      </c>
      <c r="F66" s="62">
        <v>1.407</v>
      </c>
      <c r="G66" s="20">
        <f>表2_36716262930[[#This Row],[单位净值]]/$F$21-1</f>
        <v>1.5151515151515138E-2</v>
      </c>
    </row>
    <row r="67" spans="1:7">
      <c r="A67" s="15">
        <v>43774</v>
      </c>
      <c r="B67" s="16">
        <v>1.4916</v>
      </c>
      <c r="C67" s="73">
        <f t="shared" ref="C67:C72" si="13">IFERROR(B67-B66,0)</f>
        <v>1.0000000000001119E-3</v>
      </c>
      <c r="D67" s="18" t="str">
        <f t="shared" ref="D67:D72" si="14">IF(C67&lt;0,C67,"/")</f>
        <v>/</v>
      </c>
      <c r="E67" s="18">
        <f ca="1">IF(表2_36716262930[[#This Row],[累计净值]]/MAX(INDIRECT("B21:B" &amp; ROW()))-1&lt;E66,表2_36716262930[[#This Row],[累计净值]]/MAX(INDIRECT("B21:B" &amp; ROW()))-1,E66)</f>
        <v>-7.0556309362279634E-3</v>
      </c>
      <c r="F67" s="62">
        <v>1.4079999999999999</v>
      </c>
      <c r="G67" s="20">
        <f>表2_36716262930[[#This Row],[单位净值]]/$F$21-1</f>
        <v>1.5873015873015817E-2</v>
      </c>
    </row>
    <row r="68" spans="1:7">
      <c r="A68" s="15">
        <v>43775</v>
      </c>
      <c r="B68" s="16">
        <v>1.4896</v>
      </c>
      <c r="C68" s="73">
        <f t="shared" si="13"/>
        <v>-2.0000000000000018E-3</v>
      </c>
      <c r="D68" s="18">
        <f t="shared" si="14"/>
        <v>-2.0000000000000018E-3</v>
      </c>
      <c r="E68" s="18">
        <f ca="1">IF(表2_36716262930[[#This Row],[累计净值]]/MAX(INDIRECT("B21:B" &amp; ROW()))-1&lt;E67,表2_36716262930[[#This Row],[累计净值]]/MAX(INDIRECT("B21:B" &amp; ROW()))-1,E67)</f>
        <v>-7.0556309362279634E-3</v>
      </c>
      <c r="F68" s="62">
        <v>1.4059999999999999</v>
      </c>
      <c r="G68" s="20">
        <f>表2_36716262930[[#This Row],[单位净值]]/$F$21-1</f>
        <v>1.4430014430014459E-2</v>
      </c>
    </row>
    <row r="69" spans="1:7">
      <c r="A69" s="15">
        <v>43776</v>
      </c>
      <c r="B69" s="16">
        <v>1.4916</v>
      </c>
      <c r="C69" s="73">
        <f t="shared" si="13"/>
        <v>2.0000000000000018E-3</v>
      </c>
      <c r="D69" s="18" t="str">
        <f t="shared" si="14"/>
        <v>/</v>
      </c>
      <c r="E69" s="18">
        <f ca="1">IF(表2_36716262930[[#This Row],[累计净值]]/MAX(INDIRECT("B21:B" &amp; ROW()))-1&lt;E68,表2_36716262930[[#This Row],[累计净值]]/MAX(INDIRECT("B21:B" &amp; ROW()))-1,E68)</f>
        <v>-7.0556309362279634E-3</v>
      </c>
      <c r="F69" s="62">
        <v>1.4079999999999999</v>
      </c>
      <c r="G69" s="20">
        <f>表2_36716262930[[#This Row],[单位净值]]/$F$21-1</f>
        <v>1.5873015873015817E-2</v>
      </c>
    </row>
    <row r="70" spans="1:7">
      <c r="A70" s="15">
        <v>43777</v>
      </c>
      <c r="B70" s="16">
        <v>1.4905999999999999</v>
      </c>
      <c r="C70" s="73">
        <f t="shared" si="13"/>
        <v>-1.0000000000001119E-3</v>
      </c>
      <c r="D70" s="18">
        <f t="shared" si="14"/>
        <v>-1.0000000000001119E-3</v>
      </c>
      <c r="E70" s="18">
        <f ca="1">IF(表2_36716262930[[#This Row],[累计净值]]/MAX(INDIRECT("B21:B" &amp; ROW()))-1&lt;E69,表2_36716262930[[#This Row],[累计净值]]/MAX(INDIRECT("B21:B" &amp; ROW()))-1,E69)</f>
        <v>-7.0556309362279634E-3</v>
      </c>
      <c r="F70" s="62">
        <v>1.407</v>
      </c>
      <c r="G70" s="20">
        <f>表2_36716262930[[#This Row],[单位净值]]/$F$21-1</f>
        <v>1.5151515151515138E-2</v>
      </c>
    </row>
    <row r="71" spans="1:7">
      <c r="A71" s="15">
        <v>43780</v>
      </c>
      <c r="B71" s="16">
        <v>1.4925999999999999</v>
      </c>
      <c r="C71" s="73">
        <f t="shared" si="13"/>
        <v>2.0000000000000018E-3</v>
      </c>
      <c r="D71" s="18" t="str">
        <f t="shared" si="14"/>
        <v>/</v>
      </c>
      <c r="E71" s="18">
        <f ca="1">IF(表2_36716262930[[#This Row],[累计净值]]/MAX(INDIRECT("B21:B" &amp; ROW()))-1&lt;E70,表2_36716262930[[#This Row],[累计净值]]/MAX(INDIRECT("B21:B" &amp; ROW()))-1,E70)</f>
        <v>-7.0556309362279634E-3</v>
      </c>
      <c r="F71" s="62">
        <v>1.409</v>
      </c>
      <c r="G71" s="20">
        <f>表2_36716262930[[#This Row],[单位净值]]/$F$21-1</f>
        <v>1.6594516594516717E-2</v>
      </c>
    </row>
    <row r="72" spans="1:7">
      <c r="A72" s="15">
        <v>43781</v>
      </c>
      <c r="B72" s="16">
        <v>1.4936</v>
      </c>
      <c r="C72" s="73">
        <f t="shared" si="13"/>
        <v>1.0000000000001119E-3</v>
      </c>
      <c r="D72" s="18" t="str">
        <f t="shared" si="14"/>
        <v>/</v>
      </c>
      <c r="E72" s="18">
        <f ca="1">IF(表2_36716262930[[#This Row],[累计净值]]/MAX(INDIRECT("B21:B" &amp; ROW()))-1&lt;E71,表2_36716262930[[#This Row],[累计净值]]/MAX(INDIRECT("B21:B" &amp; ROW()))-1,E71)</f>
        <v>-7.0556309362279634E-3</v>
      </c>
      <c r="F72" s="62">
        <v>1.41</v>
      </c>
      <c r="G72" s="20">
        <f>表2_36716262930[[#This Row],[单位净值]]/$F$21-1</f>
        <v>1.7316017316017396E-2</v>
      </c>
    </row>
    <row r="73" spans="1:7">
      <c r="A73" s="15">
        <v>43782</v>
      </c>
      <c r="B73" s="16">
        <v>1.4925999999999999</v>
      </c>
      <c r="C73" s="73">
        <f t="shared" ref="C73:C78" si="15">IFERROR(B73-B72,0)</f>
        <v>-1.0000000000001119E-3</v>
      </c>
      <c r="D73" s="18">
        <f t="shared" ref="D73:D78" si="16">IF(C73&lt;0,C73,"/")</f>
        <v>-1.0000000000001119E-3</v>
      </c>
      <c r="E73" s="18">
        <f ca="1">IF(表2_36716262930[[#This Row],[累计净值]]/MAX(INDIRECT("B21:B" &amp; ROW()))-1&lt;E72,表2_36716262930[[#This Row],[累计净值]]/MAX(INDIRECT("B21:B" &amp; ROW()))-1,E72)</f>
        <v>-7.0556309362279634E-3</v>
      </c>
      <c r="F73" s="62">
        <f>表2_36716262930[[#This Row],[累计净值]]-0.0836</f>
        <v>1.409</v>
      </c>
      <c r="G73" s="20">
        <f>表2_36716262930[[#This Row],[单位净值]]/$F$21-1</f>
        <v>1.6594516594516717E-2</v>
      </c>
    </row>
    <row r="74" spans="1:7">
      <c r="A74" s="15">
        <v>43783</v>
      </c>
      <c r="B74" s="16">
        <v>1.4976</v>
      </c>
      <c r="C74" s="73">
        <f t="shared" si="15"/>
        <v>5.0000000000001155E-3</v>
      </c>
      <c r="D74" s="18" t="str">
        <f t="shared" si="16"/>
        <v>/</v>
      </c>
      <c r="E74" s="18">
        <f ca="1">IF(表2_36716262930[[#This Row],[累计净值]]/MAX(INDIRECT("B21:B" &amp; ROW()))-1&lt;E73,表2_36716262930[[#This Row],[累计净值]]/MAX(INDIRECT("B21:B" &amp; ROW()))-1,E73)</f>
        <v>-7.0556309362279634E-3</v>
      </c>
      <c r="F74" s="62">
        <f>表2_36716262930[[#This Row],[累计净值]]-0.0836</f>
        <v>1.4140000000000001</v>
      </c>
      <c r="G74" s="20">
        <f>表2_36716262930[[#This Row],[单位净值]]/$F$21-1</f>
        <v>2.0202020202020332E-2</v>
      </c>
    </row>
    <row r="75" spans="1:7">
      <c r="A75" s="15">
        <v>43784</v>
      </c>
      <c r="B75" s="76">
        <v>1.4985999999999999</v>
      </c>
      <c r="C75" s="73">
        <f t="shared" si="15"/>
        <v>9.9999999999988987E-4</v>
      </c>
      <c r="D75" s="18" t="str">
        <f t="shared" si="16"/>
        <v>/</v>
      </c>
      <c r="E75" s="18">
        <f ca="1">IF(表2_36716262930[[#This Row],[累计净值]]/MAX(INDIRECT("B21:B" &amp; ROW()))-1&lt;E74,表2_36716262930[[#This Row],[累计净值]]/MAX(INDIRECT("B21:B" &amp; ROW()))-1,E74)</f>
        <v>-7.0556309362279634E-3</v>
      </c>
      <c r="F75" s="62">
        <f>表2_36716262930[[#This Row],[累计净值]]-0.0836</f>
        <v>1.415</v>
      </c>
      <c r="G75" s="20">
        <f>表2_36716262930[[#This Row],[单位净值]]/$F$21-1</f>
        <v>2.0923520923521011E-2</v>
      </c>
    </row>
    <row r="76" spans="1:7">
      <c r="A76" s="15">
        <v>43787</v>
      </c>
      <c r="B76" s="16">
        <v>1.4976</v>
      </c>
      <c r="C76" s="73">
        <f t="shared" si="15"/>
        <v>-9.9999999999988987E-4</v>
      </c>
      <c r="D76" s="18">
        <f t="shared" si="16"/>
        <v>-9.9999999999988987E-4</v>
      </c>
      <c r="E76" s="18">
        <f ca="1">IF(表2_36716262930[[#This Row],[累计净值]]/MAX(INDIRECT("B21:B" &amp; ROW()))-1&lt;E75,表2_36716262930[[#This Row],[累计净值]]/MAX(INDIRECT("B21:B" &amp; ROW()))-1,E75)</f>
        <v>-7.0556309362279634E-3</v>
      </c>
      <c r="F76" s="62">
        <f>表2_36716262930[[#This Row],[累计净值]]-0.0836</f>
        <v>1.4140000000000001</v>
      </c>
      <c r="G76" s="20">
        <f>表2_36716262930[[#This Row],[单位净值]]/$F$21-1</f>
        <v>2.0202020202020332E-2</v>
      </c>
    </row>
    <row r="77" spans="1:7">
      <c r="A77" s="15">
        <v>43788</v>
      </c>
      <c r="B77" s="16">
        <v>1.4956</v>
      </c>
      <c r="C77" s="73">
        <f t="shared" si="15"/>
        <v>-2.0000000000000018E-3</v>
      </c>
      <c r="D77" s="18">
        <f t="shared" si="16"/>
        <v>-2.0000000000000018E-3</v>
      </c>
      <c r="E77" s="18">
        <f ca="1">IF(表2_36716262930[[#This Row],[累计净值]]/MAX(INDIRECT("B21:B" &amp; ROW()))-1&lt;E76,表2_36716262930[[#This Row],[累计净值]]/MAX(INDIRECT("B21:B" &amp; ROW()))-1,E76)</f>
        <v>-7.0556309362279634E-3</v>
      </c>
      <c r="F77" s="62">
        <f>表2_36716262930[[#This Row],[累计净值]]-0.0836</f>
        <v>1.4120000000000001</v>
      </c>
      <c r="G77" s="20">
        <f>表2_36716262930[[#This Row],[单位净值]]/$F$21-1</f>
        <v>1.8759018759018975E-2</v>
      </c>
    </row>
    <row r="78" spans="1:7">
      <c r="A78" s="15">
        <v>43789</v>
      </c>
      <c r="B78" s="16">
        <v>1.4896</v>
      </c>
      <c r="C78" s="73">
        <f t="shared" si="15"/>
        <v>-6.0000000000000053E-3</v>
      </c>
      <c r="D78" s="18">
        <f t="shared" si="16"/>
        <v>-6.0000000000000053E-3</v>
      </c>
      <c r="E78" s="18">
        <f ca="1">IF(表2_36716262930[[#This Row],[累计净值]]/MAX(INDIRECT("B21:B" &amp; ROW()))-1&lt;E77,表2_36716262930[[#This Row],[累计净值]]/MAX(INDIRECT("B21:B" &amp; ROW()))-1,E77)</f>
        <v>-7.0556309362279634E-3</v>
      </c>
      <c r="F78" s="62">
        <f>表2_36716262930[[#This Row],[累计净值]]-0.0836</f>
        <v>1.4060000000000001</v>
      </c>
      <c r="G78" s="20">
        <f>表2_36716262930[[#This Row],[单位净值]]/$F$21-1</f>
        <v>1.4430014430014682E-2</v>
      </c>
    </row>
    <row r="79" spans="1:7">
      <c r="A79" s="15">
        <v>43790</v>
      </c>
      <c r="B79" s="16">
        <v>1.4896</v>
      </c>
      <c r="C79" s="73">
        <f t="shared" ref="C79:C84" si="17">IFERROR(B79-B78,0)</f>
        <v>0</v>
      </c>
      <c r="D79" s="18" t="str">
        <f t="shared" ref="D79:D84" si="18">IF(C79&lt;0,C79,"/")</f>
        <v>/</v>
      </c>
      <c r="E79" s="18">
        <f ca="1">IF(表2_36716262930[[#This Row],[累计净值]]/MAX(INDIRECT("B21:B" &amp; ROW()))-1&lt;E78,表2_36716262930[[#This Row],[累计净值]]/MAX(INDIRECT("B21:B" &amp; ROW()))-1,E78)</f>
        <v>-7.0556309362279634E-3</v>
      </c>
      <c r="F79" s="62">
        <f>表2_36716262930[[#This Row],[累计净值]]-0.0836</f>
        <v>1.4060000000000001</v>
      </c>
      <c r="G79" s="20">
        <f>表2_36716262930[[#This Row],[单位净值]]/$F$21-1</f>
        <v>1.4430014430014682E-2</v>
      </c>
    </row>
    <row r="80" spans="1:7">
      <c r="A80" s="15">
        <v>43791</v>
      </c>
      <c r="B80" s="16">
        <v>1.4936</v>
      </c>
      <c r="C80" s="73">
        <f t="shared" si="17"/>
        <v>4.0000000000000036E-3</v>
      </c>
      <c r="D80" s="18" t="str">
        <f t="shared" si="18"/>
        <v>/</v>
      </c>
      <c r="E80" s="18">
        <f ca="1">IF(表2_36716262930[[#This Row],[累计净值]]/MAX(INDIRECT("B21:B" &amp; ROW()))-1&lt;E79,表2_36716262930[[#This Row],[累计净值]]/MAX(INDIRECT("B21:B" &amp; ROW()))-1,E79)</f>
        <v>-7.0556309362279634E-3</v>
      </c>
      <c r="F80" s="62">
        <f>表2_36716262930[[#This Row],[累计净值]]-0.0836</f>
        <v>1.4100000000000001</v>
      </c>
      <c r="G80" s="20">
        <f>表2_36716262930[[#This Row],[单位净值]]/$F$21-1</f>
        <v>1.7316017316017396E-2</v>
      </c>
    </row>
    <row r="81" spans="1:7">
      <c r="A81" s="15">
        <v>43794</v>
      </c>
      <c r="B81" s="16">
        <v>1.4905999999999999</v>
      </c>
      <c r="C81" s="73">
        <f t="shared" si="17"/>
        <v>-3.0000000000001137E-3</v>
      </c>
      <c r="D81" s="18">
        <f t="shared" si="18"/>
        <v>-3.0000000000001137E-3</v>
      </c>
      <c r="E81" s="18">
        <f ca="1">IF(表2_36716262930[[#This Row],[累计净值]]/MAX(INDIRECT("B21:B" &amp; ROW()))-1&lt;E80,表2_36716262930[[#This Row],[累计净值]]/MAX(INDIRECT("B21:B" &amp; ROW()))-1,E80)</f>
        <v>-7.0556309362279634E-3</v>
      </c>
      <c r="F81" s="62">
        <f>表2_36716262930[[#This Row],[累计净值]]-0.0836</f>
        <v>1.407</v>
      </c>
      <c r="G81" s="20">
        <f>表2_36716262930[[#This Row],[单位净值]]/$F$21-1</f>
        <v>1.5151515151515138E-2</v>
      </c>
    </row>
    <row r="82" spans="1:7">
      <c r="A82" s="15">
        <v>43795</v>
      </c>
      <c r="B82" s="16">
        <v>1.4925999999999999</v>
      </c>
      <c r="C82" s="73">
        <f t="shared" si="17"/>
        <v>2.0000000000000018E-3</v>
      </c>
      <c r="D82" s="18" t="str">
        <f t="shared" si="18"/>
        <v>/</v>
      </c>
      <c r="E82" s="18">
        <f ca="1">IF(表2_36716262930[[#This Row],[累计净值]]/MAX(INDIRECT("B21:B" &amp; ROW()))-1&lt;E81,表2_36716262930[[#This Row],[累计净值]]/MAX(INDIRECT("B21:B" &amp; ROW()))-1,E81)</f>
        <v>-7.0556309362279634E-3</v>
      </c>
      <c r="F82" s="62">
        <f>表2_36716262930[[#This Row],[累计净值]]-0.0836</f>
        <v>1.409</v>
      </c>
      <c r="G82" s="20">
        <f>表2_36716262930[[#This Row],[单位净值]]/$F$21-1</f>
        <v>1.6594516594516717E-2</v>
      </c>
    </row>
    <row r="83" spans="1:7">
      <c r="A83" s="15">
        <v>43796</v>
      </c>
      <c r="B83" s="16">
        <v>1.4936</v>
      </c>
      <c r="C83" s="73">
        <f t="shared" si="17"/>
        <v>1.0000000000001119E-3</v>
      </c>
      <c r="D83" s="18" t="str">
        <f t="shared" si="18"/>
        <v>/</v>
      </c>
      <c r="E83" s="18">
        <f ca="1">IF(表2_36716262930[[#This Row],[累计净值]]/MAX(INDIRECT("B21:B" &amp; ROW()))-1&lt;E82,表2_36716262930[[#This Row],[累计净值]]/MAX(INDIRECT("B21:B" &amp; ROW()))-1,E82)</f>
        <v>-7.0556309362279634E-3</v>
      </c>
      <c r="F83" s="62">
        <f>表2_36716262930[[#This Row],[累计净值]]-0.0836</f>
        <v>1.4100000000000001</v>
      </c>
      <c r="G83" s="20">
        <f>表2_36716262930[[#This Row],[单位净值]]/$F$21-1</f>
        <v>1.7316017316017396E-2</v>
      </c>
    </row>
    <row r="84" spans="1:7">
      <c r="A84" s="15">
        <v>43797</v>
      </c>
      <c r="B84" s="16">
        <v>1.4936</v>
      </c>
      <c r="C84" s="73">
        <f t="shared" si="17"/>
        <v>0</v>
      </c>
      <c r="D84" s="18" t="str">
        <f t="shared" si="18"/>
        <v>/</v>
      </c>
      <c r="E84" s="18">
        <f ca="1">IF(表2_36716262930[[#This Row],[累计净值]]/MAX(INDIRECT("B21:B" &amp; ROW()))-1&lt;E83,表2_36716262930[[#This Row],[累计净值]]/MAX(INDIRECT("B21:B" &amp; ROW()))-1,E83)</f>
        <v>-7.0556309362279634E-3</v>
      </c>
      <c r="F84" s="62">
        <f>表2_36716262930[[#This Row],[累计净值]]-0.0836</f>
        <v>1.4100000000000001</v>
      </c>
      <c r="G84" s="20">
        <f>表2_36716262930[[#This Row],[单位净值]]/$F$21-1</f>
        <v>1.7316017316017396E-2</v>
      </c>
    </row>
    <row r="85" spans="1:7">
      <c r="A85" s="15">
        <v>43798</v>
      </c>
      <c r="B85" s="16">
        <v>1.4925999999999999</v>
      </c>
      <c r="C85" s="73">
        <f t="shared" ref="C85:C90" si="19">IFERROR(B85-B84,0)</f>
        <v>-1.0000000000001119E-3</v>
      </c>
      <c r="D85" s="18">
        <f t="shared" ref="D85:D90" si="20">IF(C85&lt;0,C85,"/")</f>
        <v>-1.0000000000001119E-3</v>
      </c>
      <c r="E85" s="18">
        <f ca="1">IF(表2_36716262930[[#This Row],[累计净值]]/MAX(INDIRECT("B21:B" &amp; ROW()))-1&lt;E84,表2_36716262930[[#This Row],[累计净值]]/MAX(INDIRECT("B21:B" &amp; ROW()))-1,E84)</f>
        <v>-7.0556309362279634E-3</v>
      </c>
      <c r="F85" s="62">
        <f>表2_36716262930[[#This Row],[累计净值]]-0.0836</f>
        <v>1.409</v>
      </c>
      <c r="G85" s="20">
        <f>表2_36716262930[[#This Row],[单位净值]]/$F$21-1</f>
        <v>1.6594516594516717E-2</v>
      </c>
    </row>
    <row r="86" spans="1:7">
      <c r="A86" s="15">
        <v>43801</v>
      </c>
      <c r="B86" s="16">
        <v>1.4925999999999999</v>
      </c>
      <c r="C86" s="73">
        <f t="shared" si="19"/>
        <v>0</v>
      </c>
      <c r="D86" s="18" t="str">
        <f t="shared" si="20"/>
        <v>/</v>
      </c>
      <c r="E86" s="18">
        <f ca="1">IF(表2_36716262930[[#This Row],[累计净值]]/MAX(INDIRECT("B21:B" &amp; ROW()))-1&lt;E85,表2_36716262930[[#This Row],[累计净值]]/MAX(INDIRECT("B21:B" &amp; ROW()))-1,E85)</f>
        <v>-7.0556309362279634E-3</v>
      </c>
      <c r="F86" s="62">
        <f>表2_36716262930[[#This Row],[累计净值]]-0.0836</f>
        <v>1.409</v>
      </c>
      <c r="G86" s="20">
        <f>表2_36716262930[[#This Row],[单位净值]]/$F$21-1</f>
        <v>1.6594516594516717E-2</v>
      </c>
    </row>
    <row r="87" spans="1:7">
      <c r="A87" s="15">
        <v>43802</v>
      </c>
      <c r="B87" s="16">
        <v>1.4925999999999999</v>
      </c>
      <c r="C87" s="73">
        <f t="shared" si="19"/>
        <v>0</v>
      </c>
      <c r="D87" s="18" t="str">
        <f t="shared" si="20"/>
        <v>/</v>
      </c>
      <c r="E87" s="18">
        <f ca="1">IF(表2_36716262930[[#This Row],[累计净值]]/MAX(INDIRECT("B21:B" &amp; ROW()))-1&lt;E86,表2_36716262930[[#This Row],[累计净值]]/MAX(INDIRECT("B21:B" &amp; ROW()))-1,E86)</f>
        <v>-7.0556309362279634E-3</v>
      </c>
      <c r="F87" s="62">
        <f>表2_36716262930[[#This Row],[累计净值]]-0.0836</f>
        <v>1.409</v>
      </c>
      <c r="G87" s="20">
        <f>表2_36716262930[[#This Row],[单位净值]]/$F$21-1</f>
        <v>1.6594516594516717E-2</v>
      </c>
    </row>
    <row r="88" spans="1:7">
      <c r="A88" s="15">
        <v>43803</v>
      </c>
      <c r="B88" s="16">
        <v>1.4905999999999999</v>
      </c>
      <c r="C88" s="73">
        <f t="shared" si="19"/>
        <v>-2.0000000000000018E-3</v>
      </c>
      <c r="D88" s="18">
        <f t="shared" si="20"/>
        <v>-2.0000000000000018E-3</v>
      </c>
      <c r="E88" s="18">
        <f ca="1">IF(表2_36716262930[[#This Row],[累计净值]]/MAX(INDIRECT("B21:B" &amp; ROW()))-1&lt;E87,表2_36716262930[[#This Row],[累计净值]]/MAX(INDIRECT("B21:B" &amp; ROW()))-1,E87)</f>
        <v>-7.0556309362279634E-3</v>
      </c>
      <c r="F88" s="62">
        <f>表2_36716262930[[#This Row],[累计净值]]-0.0836</f>
        <v>1.407</v>
      </c>
      <c r="G88" s="20">
        <f>表2_36716262930[[#This Row],[单位净值]]/$F$21-1</f>
        <v>1.5151515151515138E-2</v>
      </c>
    </row>
    <row r="89" spans="1:7">
      <c r="A89" s="15">
        <v>43804</v>
      </c>
      <c r="B89" s="16">
        <v>1.4916</v>
      </c>
      <c r="C89" s="73">
        <f t="shared" si="19"/>
        <v>1.0000000000001119E-3</v>
      </c>
      <c r="D89" s="18" t="str">
        <f t="shared" si="20"/>
        <v>/</v>
      </c>
      <c r="E89" s="18">
        <f ca="1">IF(表2_36716262930[[#This Row],[累计净值]]/MAX(INDIRECT("B21:B" &amp; ROW()))-1&lt;E88,表2_36716262930[[#This Row],[累计净值]]/MAX(INDIRECT("B21:B" &amp; ROW()))-1,E88)</f>
        <v>-7.0556309362279634E-3</v>
      </c>
      <c r="F89" s="62">
        <f>表2_36716262930[[#This Row],[累计净值]]-0.0836</f>
        <v>1.4080000000000001</v>
      </c>
      <c r="G89" s="20">
        <f>表2_36716262930[[#This Row],[单位净值]]/$F$21-1</f>
        <v>1.5873015873016039E-2</v>
      </c>
    </row>
    <row r="90" spans="1:7">
      <c r="A90" s="15">
        <v>43805</v>
      </c>
      <c r="B90" s="16">
        <v>1.4916</v>
      </c>
      <c r="C90" s="73">
        <f t="shared" si="19"/>
        <v>0</v>
      </c>
      <c r="D90" s="18" t="str">
        <f t="shared" si="20"/>
        <v>/</v>
      </c>
      <c r="E90" s="18">
        <f ca="1">IF(表2_36716262930[[#This Row],[累计净值]]/MAX(INDIRECT("B21:B" &amp; ROW()))-1&lt;E89,表2_36716262930[[#This Row],[累计净值]]/MAX(INDIRECT("B21:B" &amp; ROW()))-1,E89)</f>
        <v>-7.0556309362279634E-3</v>
      </c>
      <c r="F90" s="62">
        <f>表2_36716262930[[#This Row],[累计净值]]-0.0836</f>
        <v>1.4080000000000001</v>
      </c>
      <c r="G90" s="20">
        <f>表2_36716262930[[#This Row],[单位净值]]/$F$21-1</f>
        <v>1.5873015873016039E-2</v>
      </c>
    </row>
    <row r="91" spans="1:7">
      <c r="A91" s="15">
        <v>43808</v>
      </c>
      <c r="B91" s="16">
        <v>1.4865999999999999</v>
      </c>
      <c r="C91" s="73">
        <f t="shared" ref="C91:C96" si="21">IFERROR(B91-B90,0)</f>
        <v>-5.0000000000001155E-3</v>
      </c>
      <c r="D91" s="18">
        <f t="shared" ref="D91:D96" si="22">IF(C91&lt;0,C91,"/")</f>
        <v>-5.0000000000001155E-3</v>
      </c>
      <c r="E91" s="18">
        <f ca="1">IF(表2_36716262930[[#This Row],[累计净值]]/MAX(INDIRECT("B21:B" &amp; ROW()))-1&lt;E90,表2_36716262930[[#This Row],[累计净值]]/MAX(INDIRECT("B21:B" &amp; ROW()))-1,E90)</f>
        <v>-8.0074736420658876E-3</v>
      </c>
      <c r="F91" s="62">
        <f>表2_36716262930[[#This Row],[累计净值]]-0.0836</f>
        <v>1.403</v>
      </c>
      <c r="G91" s="20">
        <f>表2_36716262930[[#This Row],[单位净值]]/$F$21-1</f>
        <v>1.2265512265512424E-2</v>
      </c>
    </row>
    <row r="92" spans="1:7">
      <c r="A92" s="15">
        <v>43809</v>
      </c>
      <c r="B92" s="16">
        <v>1.4845999999999999</v>
      </c>
      <c r="C92" s="73">
        <f t="shared" si="21"/>
        <v>-2.0000000000000018E-3</v>
      </c>
      <c r="D92" s="18">
        <f t="shared" si="22"/>
        <v>-2.0000000000000018E-3</v>
      </c>
      <c r="E92" s="18">
        <f ca="1">IF(表2_36716262930[[#This Row],[累计净值]]/MAX(INDIRECT("B21:B" &amp; ROW()))-1&lt;E91,表2_36716262930[[#This Row],[累计净值]]/MAX(INDIRECT("B21:B" &amp; ROW()))-1,E91)</f>
        <v>-9.3420525824102763E-3</v>
      </c>
      <c r="F92" s="62">
        <f>表2_36716262930[[#This Row],[累计净值]]-0.0836</f>
        <v>1.401</v>
      </c>
      <c r="G92" s="20">
        <f>表2_36716262930[[#This Row],[单位净值]]/$F$21-1</f>
        <v>1.0822510822510845E-2</v>
      </c>
    </row>
    <row r="93" spans="1:7">
      <c r="A93" s="15">
        <v>43810</v>
      </c>
      <c r="B93" s="16">
        <v>1.4876</v>
      </c>
      <c r="C93" s="73">
        <f t="shared" si="21"/>
        <v>3.0000000000001137E-3</v>
      </c>
      <c r="D93" s="18" t="str">
        <f t="shared" si="22"/>
        <v>/</v>
      </c>
      <c r="E93" s="18">
        <f ca="1">IF(表2_36716262930[[#This Row],[累计净值]]/MAX(INDIRECT("B21:B" &amp; ROW()))-1&lt;E92,表2_36716262930[[#This Row],[累计净值]]/MAX(INDIRECT("B21:B" &amp; ROW()))-1,E92)</f>
        <v>-9.3420525824102763E-3</v>
      </c>
      <c r="F93" s="62">
        <f>表2_36716262930[[#This Row],[累计净值]]-0.0836</f>
        <v>1.4040000000000001</v>
      </c>
      <c r="G93" s="20">
        <f>表2_36716262930[[#This Row],[单位净值]]/$F$21-1</f>
        <v>1.2987012987013102E-2</v>
      </c>
    </row>
    <row r="94" spans="1:7">
      <c r="A94" s="15">
        <v>43811</v>
      </c>
      <c r="B94" s="16">
        <v>1.4876</v>
      </c>
      <c r="C94" s="73">
        <f t="shared" si="21"/>
        <v>0</v>
      </c>
      <c r="D94" s="18" t="str">
        <f t="shared" si="22"/>
        <v>/</v>
      </c>
      <c r="E94" s="18">
        <f ca="1">IF(表2_36716262930[[#This Row],[累计净值]]/MAX(INDIRECT("B21:B" &amp; ROW()))-1&lt;E93,表2_36716262930[[#This Row],[累计净值]]/MAX(INDIRECT("B21:B" &amp; ROW()))-1,E93)</f>
        <v>-9.3420525824102763E-3</v>
      </c>
      <c r="F94" s="62">
        <f>表2_36716262930[[#This Row],[累计净值]]-0.0836</f>
        <v>1.4040000000000001</v>
      </c>
      <c r="G94" s="20">
        <f>表2_36716262930[[#This Row],[单位净值]]/$F$21-1</f>
        <v>1.2987012987013102E-2</v>
      </c>
    </row>
    <row r="95" spans="1:7">
      <c r="A95" s="15">
        <v>43812</v>
      </c>
      <c r="B95" s="16">
        <v>1.4896</v>
      </c>
      <c r="C95" s="73">
        <f t="shared" si="21"/>
        <v>2.0000000000000018E-3</v>
      </c>
      <c r="D95" s="18" t="str">
        <f t="shared" si="22"/>
        <v>/</v>
      </c>
      <c r="E95" s="18">
        <f ca="1">IF(表2_36716262930[[#This Row],[累计净值]]/MAX(INDIRECT("B21:B" &amp; ROW()))-1&lt;E94,表2_36716262930[[#This Row],[累计净值]]/MAX(INDIRECT("B21:B" &amp; ROW()))-1,E94)</f>
        <v>-9.3420525824102763E-3</v>
      </c>
      <c r="F95" s="62">
        <f>表2_36716262930[[#This Row],[累计净值]]-0.0836</f>
        <v>1.4060000000000001</v>
      </c>
      <c r="G95" s="20">
        <f>表2_36716262930[[#This Row],[单位净值]]/$F$21-1</f>
        <v>1.4430014430014682E-2</v>
      </c>
    </row>
    <row r="96" spans="1:7">
      <c r="A96" s="15">
        <v>43815</v>
      </c>
      <c r="B96" s="16">
        <v>1.4885999999999999</v>
      </c>
      <c r="C96" s="73">
        <f t="shared" si="21"/>
        <v>-1.0000000000001119E-3</v>
      </c>
      <c r="D96" s="18">
        <f t="shared" si="22"/>
        <v>-1.0000000000001119E-3</v>
      </c>
      <c r="E96" s="18">
        <f ca="1">IF(表2_36716262930[[#This Row],[累计净值]]/MAX(INDIRECT("B21:B" &amp; ROW()))-1&lt;E95,表2_36716262930[[#This Row],[累计净值]]/MAX(INDIRECT("B21:B" &amp; ROW()))-1,E95)</f>
        <v>-9.3420525824102763E-3</v>
      </c>
      <c r="F96" s="62">
        <f>表2_36716262930[[#This Row],[累计净值]]-0.0836</f>
        <v>1.405</v>
      </c>
      <c r="G96" s="20">
        <f>表2_36716262930[[#This Row],[单位净值]]/$F$21-1</f>
        <v>1.3708513708513781E-2</v>
      </c>
    </row>
    <row r="97" spans="1:10">
      <c r="A97" s="15">
        <v>43816</v>
      </c>
      <c r="B97" s="16">
        <v>1.4845999999999999</v>
      </c>
      <c r="C97" s="73">
        <f>IFERROR(B97-B96,0)</f>
        <v>-4.0000000000000036E-3</v>
      </c>
      <c r="D97" s="18">
        <f>IF(C97&lt;0,C97,"/")</f>
        <v>-4.0000000000000036E-3</v>
      </c>
      <c r="E97" s="18">
        <f ca="1">IF(表2_36716262930[[#This Row],[累计净值]]/MAX(INDIRECT("B21:B" &amp; ROW()))-1&lt;E96,表2_36716262930[[#This Row],[累计净值]]/MAX(INDIRECT("B21:B" &amp; ROW()))-1,E96)</f>
        <v>-9.3420525824102763E-3</v>
      </c>
      <c r="F97" s="62">
        <f>表2_36716262930[[#This Row],[累计净值]]-0.0836</f>
        <v>1.401</v>
      </c>
      <c r="G97" s="20">
        <f>表2_36716262930[[#This Row],[单位净值]]/$F$21-1</f>
        <v>1.0822510822510845E-2</v>
      </c>
    </row>
    <row r="98" spans="1:10">
      <c r="A98" s="15">
        <v>43817</v>
      </c>
      <c r="B98" s="16">
        <v>1.4856</v>
      </c>
      <c r="C98" s="73">
        <f>IFERROR(B98-B97,0)</f>
        <v>1.0000000000001119E-3</v>
      </c>
      <c r="D98" s="18" t="str">
        <f>IF(C98&lt;0,C98,"/")</f>
        <v>/</v>
      </c>
      <c r="E98" s="18">
        <f ca="1">IF(表2_36716262930[[#This Row],[累计净值]]/MAX(INDIRECT("B21:B" &amp; ROW()))-1&lt;E97,表2_36716262930[[#This Row],[累计净值]]/MAX(INDIRECT("B21:B" &amp; ROW()))-1,E97)</f>
        <v>-9.3420525824102763E-3</v>
      </c>
      <c r="F98" s="62">
        <f>表2_36716262930[[#This Row],[累计净值]]-0.0836</f>
        <v>1.4020000000000001</v>
      </c>
      <c r="G98" s="20">
        <f>表2_36716262930[[#This Row],[单位净值]]/$F$21-1</f>
        <v>1.1544011544011745E-2</v>
      </c>
    </row>
    <row r="99" spans="1:10">
      <c r="A99" s="15">
        <v>43818</v>
      </c>
      <c r="B99" s="16">
        <v>1.4845999999999999</v>
      </c>
      <c r="C99" s="73">
        <f>IFERROR(B99-B98,0)</f>
        <v>-1.0000000000001119E-3</v>
      </c>
      <c r="D99" s="18">
        <f>IF(C99&lt;0,C99,"/")</f>
        <v>-1.0000000000001119E-3</v>
      </c>
      <c r="E99" s="18">
        <f ca="1">IF(表2_36716262930[[#This Row],[累计净值]]/MAX(INDIRECT("B21:B" &amp; ROW()))-1&lt;E98,表2_36716262930[[#This Row],[累计净值]]/MAX(INDIRECT("B21:B" &amp; ROW()))-1,E98)</f>
        <v>-9.3420525824102763E-3</v>
      </c>
      <c r="F99" s="62">
        <f>表2_36716262930[[#This Row],[累计净值]]-0.0836</f>
        <v>1.401</v>
      </c>
      <c r="G99" s="20">
        <f>表2_36716262930[[#This Row],[单位净值]]/$F$21-1</f>
        <v>1.0822510822510845E-2</v>
      </c>
      <c r="J99" s="1" t="s">
        <v>33</v>
      </c>
    </row>
    <row r="100" spans="1:10">
      <c r="A100" s="15">
        <v>43819</v>
      </c>
      <c r="B100" s="16">
        <v>1.4805999999999999</v>
      </c>
      <c r="C100" s="73">
        <f>IFERROR(B100-B99,0)</f>
        <v>-4.0000000000000036E-3</v>
      </c>
      <c r="D100" s="18">
        <f>IF(C100&lt;0,C100,"/")</f>
        <v>-4.0000000000000036E-3</v>
      </c>
      <c r="E100" s="18">
        <f ca="1">IF(表2_36716262930[[#This Row],[累计净值]]/MAX(INDIRECT("B21:B" &amp; ROW()))-1&lt;E99,表2_36716262930[[#This Row],[累计净值]]/MAX(INDIRECT("B21:B" &amp; ROW()))-1,E99)</f>
        <v>-1.2011210463098942E-2</v>
      </c>
      <c r="F100" s="62">
        <f>表2_36716262930[[#This Row],[累计净值]]-0.0836</f>
        <v>1.397</v>
      </c>
      <c r="G100" s="20">
        <f>表2_36716262930[[#This Row],[单位净值]]/$F$21-1</f>
        <v>7.9365079365081304E-3</v>
      </c>
    </row>
    <row r="101" spans="1:10">
      <c r="A101" s="15">
        <v>43822</v>
      </c>
      <c r="B101" s="16">
        <v>1.4865999999999999</v>
      </c>
      <c r="C101" s="73">
        <f t="shared" ref="C101:C106" si="23">IFERROR(B101-B100,0)</f>
        <v>6.0000000000000053E-3</v>
      </c>
      <c r="D101" s="18" t="str">
        <f t="shared" ref="D101:D106" si="24">IF(C101&lt;0,C101,"/")</f>
        <v>/</v>
      </c>
      <c r="E101" s="18">
        <f ca="1">IF(表2_36716262930[[#This Row],[累计净值]]/MAX(INDIRECT("B21:B" &amp; ROW()))-1&lt;E100,表2_36716262930[[#This Row],[累计净值]]/MAX(INDIRECT("B21:B" &amp; ROW()))-1,E100)</f>
        <v>-1.2011210463098942E-2</v>
      </c>
      <c r="F101" s="62">
        <f>表2_36716262930[[#This Row],[累计净值]]-0.0836</f>
        <v>1.403</v>
      </c>
      <c r="G101" s="20">
        <f>表2_36716262930[[#This Row],[单位净值]]/$F$21-1</f>
        <v>1.2265512265512424E-2</v>
      </c>
    </row>
    <row r="102" spans="1:10">
      <c r="A102" s="15">
        <v>43823</v>
      </c>
      <c r="B102" s="16">
        <v>1.4876</v>
      </c>
      <c r="C102" s="73">
        <f t="shared" si="23"/>
        <v>1.0000000000001119E-3</v>
      </c>
      <c r="D102" s="18" t="str">
        <f t="shared" si="24"/>
        <v>/</v>
      </c>
      <c r="E102" s="18">
        <f ca="1">IF(表2_36716262930[[#This Row],[累计净值]]/MAX(INDIRECT("B21:B" &amp; ROW()))-1&lt;E101,表2_36716262930[[#This Row],[累计净值]]/MAX(INDIRECT("B21:B" &amp; ROW()))-1,E101)</f>
        <v>-1.2011210463098942E-2</v>
      </c>
      <c r="F102" s="62">
        <f>表2_36716262930[[#This Row],[累计净值]]-0.0836</f>
        <v>1.4040000000000001</v>
      </c>
      <c r="G102" s="20">
        <f>表2_36716262930[[#This Row],[单位净值]]/$F$21-1</f>
        <v>1.2987012987013102E-2</v>
      </c>
    </row>
    <row r="103" spans="1:10">
      <c r="A103" s="15">
        <v>43824</v>
      </c>
      <c r="B103" s="16">
        <v>1.4876</v>
      </c>
      <c r="C103" s="73">
        <f t="shared" si="23"/>
        <v>0</v>
      </c>
      <c r="D103" s="18" t="str">
        <f t="shared" si="24"/>
        <v>/</v>
      </c>
      <c r="E103" s="18">
        <f ca="1">IF(表2_36716262930[[#This Row],[累计净值]]/MAX(INDIRECT("B21:B" &amp; ROW()))-1&lt;E102,表2_36716262930[[#This Row],[累计净值]]/MAX(INDIRECT("B21:B" &amp; ROW()))-1,E102)</f>
        <v>-1.2011210463098942E-2</v>
      </c>
      <c r="F103" s="62">
        <f>表2_36716262930[[#This Row],[累计净值]]-0.0836</f>
        <v>1.4040000000000001</v>
      </c>
      <c r="G103" s="20">
        <f>表2_36716262930[[#This Row],[单位净值]]/$F$21-1</f>
        <v>1.2987012987013102E-2</v>
      </c>
    </row>
    <row r="104" spans="1:10">
      <c r="A104" s="15">
        <v>43825</v>
      </c>
      <c r="B104" s="16">
        <v>1.4885999999999999</v>
      </c>
      <c r="C104" s="73">
        <f t="shared" si="23"/>
        <v>9.9999999999988987E-4</v>
      </c>
      <c r="D104" s="18" t="str">
        <f t="shared" si="24"/>
        <v>/</v>
      </c>
      <c r="E104" s="18">
        <f ca="1">IF(表2_36716262930[[#This Row],[累计净值]]/MAX(INDIRECT("B21:B" &amp; ROW()))-1&lt;E103,表2_36716262930[[#This Row],[累计净值]]/MAX(INDIRECT("B21:B" &amp; ROW()))-1,E103)</f>
        <v>-1.2011210463098942E-2</v>
      </c>
      <c r="F104" s="62">
        <f>表2_36716262930[[#This Row],[累计净值]]-0.0836</f>
        <v>1.405</v>
      </c>
      <c r="G104" s="20">
        <f>表2_36716262930[[#This Row],[单位净值]]/$F$21-1</f>
        <v>1.3708513708513781E-2</v>
      </c>
    </row>
    <row r="105" spans="1:10">
      <c r="A105" s="15">
        <v>43826</v>
      </c>
      <c r="B105" s="16">
        <v>1.4876</v>
      </c>
      <c r="C105" s="73">
        <f t="shared" si="23"/>
        <v>-9.9999999999988987E-4</v>
      </c>
      <c r="D105" s="18">
        <f t="shared" si="24"/>
        <v>-9.9999999999988987E-4</v>
      </c>
      <c r="E105" s="18">
        <f ca="1">IF(表2_36716262930[[#This Row],[累计净值]]/MAX(INDIRECT("B21:B" &amp; ROW()))-1&lt;E104,表2_36716262930[[#This Row],[累计净值]]/MAX(INDIRECT("B21:B" &amp; ROW()))-1,E104)</f>
        <v>-1.2011210463098942E-2</v>
      </c>
      <c r="F105" s="62">
        <f>表2_36716262930[[#This Row],[累计净值]]-0.0836</f>
        <v>1.4040000000000001</v>
      </c>
      <c r="G105" s="20">
        <f>表2_36716262930[[#This Row],[单位净值]]/$F$21-1</f>
        <v>1.2987012987013102E-2</v>
      </c>
    </row>
    <row r="106" spans="1:10">
      <c r="A106" s="15">
        <v>43829</v>
      </c>
      <c r="B106" s="16">
        <v>1.4876</v>
      </c>
      <c r="C106" s="73">
        <f t="shared" si="23"/>
        <v>0</v>
      </c>
      <c r="D106" s="18" t="str">
        <f t="shared" si="24"/>
        <v>/</v>
      </c>
      <c r="E106" s="18">
        <f ca="1">IF(表2_36716262930[[#This Row],[累计净值]]/MAX(INDIRECT("B21:B" &amp; ROW()))-1&lt;E105,表2_36716262930[[#This Row],[累计净值]]/MAX(INDIRECT("B21:B" &amp; ROW()))-1,E105)</f>
        <v>-1.2011210463098942E-2</v>
      </c>
      <c r="F106" s="62">
        <f>表2_36716262930[[#This Row],[累计净值]]-0.0836</f>
        <v>1.4040000000000001</v>
      </c>
      <c r="G106" s="20">
        <f>表2_36716262930[[#This Row],[单位净值]]/$F$21-1</f>
        <v>1.2987012987013102E-2</v>
      </c>
    </row>
    <row r="107" spans="1:10">
      <c r="A107" s="15">
        <v>43830</v>
      </c>
      <c r="B107" s="16">
        <v>1.4885999999999999</v>
      </c>
      <c r="C107" s="73">
        <f t="shared" ref="C107:C112" si="25">IFERROR(B107-B106,0)</f>
        <v>9.9999999999988987E-4</v>
      </c>
      <c r="D107" s="18" t="str">
        <f t="shared" ref="D107:D112" si="26">IF(C107&lt;0,C107,"/")</f>
        <v>/</v>
      </c>
      <c r="E107" s="18">
        <f ca="1">IF(表2_36716262930[[#This Row],[累计净值]]/MAX(INDIRECT("B21:B" &amp; ROW()))-1&lt;E106,表2_36716262930[[#This Row],[累计净值]]/MAX(INDIRECT("B21:B" &amp; ROW()))-1,E106)</f>
        <v>-1.2011210463098942E-2</v>
      </c>
      <c r="F107" s="62">
        <f>表2_36716262930[[#This Row],[累计净值]]-0.0836</f>
        <v>1.405</v>
      </c>
      <c r="G107" s="20">
        <f>表2_36716262930[[#This Row],[单位净值]]/$F$21-1</f>
        <v>1.3708513708513781E-2</v>
      </c>
    </row>
    <row r="108" spans="1:10">
      <c r="A108" s="15">
        <v>43832</v>
      </c>
      <c r="B108" s="16">
        <v>1.4885999999999999</v>
      </c>
      <c r="C108" s="73">
        <f t="shared" si="25"/>
        <v>0</v>
      </c>
      <c r="D108" s="18" t="str">
        <f t="shared" si="26"/>
        <v>/</v>
      </c>
      <c r="E108" s="18">
        <f ca="1">IF(表2_36716262930[[#This Row],[累计净值]]/MAX(INDIRECT("B21:B" &amp; ROW()))-1&lt;E107,表2_36716262930[[#This Row],[累计净值]]/MAX(INDIRECT("B21:B" &amp; ROW()))-1,E107)</f>
        <v>-1.2011210463098942E-2</v>
      </c>
      <c r="F108" s="62">
        <f>表2_36716262930[[#This Row],[累计净值]]-0.0836</f>
        <v>1.405</v>
      </c>
      <c r="G108" s="20">
        <f>表2_36716262930[[#This Row],[单位净值]]/$F$21-1</f>
        <v>1.3708513708513781E-2</v>
      </c>
    </row>
    <row r="109" spans="1:10">
      <c r="A109" s="15">
        <v>43833</v>
      </c>
      <c r="B109" s="16">
        <v>1.4896</v>
      </c>
      <c r="C109" s="73">
        <f t="shared" si="25"/>
        <v>1.0000000000001119E-3</v>
      </c>
      <c r="D109" s="18" t="str">
        <f t="shared" si="26"/>
        <v>/</v>
      </c>
      <c r="E109" s="18">
        <f ca="1">IF(表2_36716262930[[#This Row],[累计净值]]/MAX(INDIRECT("B21:B" &amp; ROW()))-1&lt;E108,表2_36716262930[[#This Row],[累计净值]]/MAX(INDIRECT("B21:B" &amp; ROW()))-1,E108)</f>
        <v>-1.2011210463098942E-2</v>
      </c>
      <c r="F109" s="62">
        <f>表2_36716262930[[#This Row],[累计净值]]-0.0836</f>
        <v>1.4060000000000001</v>
      </c>
      <c r="G109" s="20">
        <f>表2_36716262930[[#This Row],[单位净值]]/$F$21-1</f>
        <v>1.4430014430014682E-2</v>
      </c>
    </row>
    <row r="110" spans="1:10">
      <c r="A110" s="15">
        <v>43836</v>
      </c>
      <c r="B110" s="16">
        <v>1.4885999999999999</v>
      </c>
      <c r="C110" s="73">
        <f t="shared" si="25"/>
        <v>-1.0000000000001119E-3</v>
      </c>
      <c r="D110" s="18">
        <f t="shared" si="26"/>
        <v>-1.0000000000001119E-3</v>
      </c>
      <c r="E110" s="18">
        <f ca="1">IF(表2_36716262930[[#This Row],[累计净值]]/MAX(INDIRECT("B21:B" &amp; ROW()))-1&lt;E109,表2_36716262930[[#This Row],[累计净值]]/MAX(INDIRECT("B21:B" &amp; ROW()))-1,E109)</f>
        <v>-1.2011210463098942E-2</v>
      </c>
      <c r="F110" s="62">
        <f>表2_36716262930[[#This Row],[累计净值]]-0.0836</f>
        <v>1.405</v>
      </c>
      <c r="G110" s="20">
        <f>表2_36716262930[[#This Row],[单位净值]]/$F$21-1</f>
        <v>1.3708513708513781E-2</v>
      </c>
    </row>
    <row r="111" spans="1:10">
      <c r="A111" s="15">
        <v>43837</v>
      </c>
      <c r="B111" s="16">
        <v>1.4905999999999999</v>
      </c>
      <c r="C111" s="73">
        <f t="shared" si="25"/>
        <v>2.0000000000000018E-3</v>
      </c>
      <c r="D111" s="18" t="str">
        <f t="shared" si="26"/>
        <v>/</v>
      </c>
      <c r="E111" s="18">
        <f ca="1">IF(表2_36716262930[[#This Row],[累计净值]]/MAX(INDIRECT("B21:B" &amp; ROW()))-1&lt;E110,表2_36716262930[[#This Row],[累计净值]]/MAX(INDIRECT("B21:B" &amp; ROW()))-1,E110)</f>
        <v>-1.2011210463098942E-2</v>
      </c>
      <c r="F111" s="62">
        <f>表2_36716262930[[#This Row],[累计净值]]-0.0836</f>
        <v>1.407</v>
      </c>
      <c r="G111" s="20">
        <f>表2_36716262930[[#This Row],[单位净值]]/$F$21-1</f>
        <v>1.5151515151515138E-2</v>
      </c>
    </row>
    <row r="112" spans="1:10">
      <c r="A112" s="15">
        <v>43838</v>
      </c>
      <c r="B112" s="16">
        <v>1.4916</v>
      </c>
      <c r="C112" s="73">
        <f t="shared" si="25"/>
        <v>1.0000000000001119E-3</v>
      </c>
      <c r="D112" s="18" t="str">
        <f t="shared" si="26"/>
        <v>/</v>
      </c>
      <c r="E112" s="18">
        <f ca="1">IF(表2_36716262930[[#This Row],[累计净值]]/MAX(INDIRECT("B21:B" &amp; ROW()))-1&lt;E111,表2_36716262930[[#This Row],[累计净值]]/MAX(INDIRECT("B21:B" &amp; ROW()))-1,E111)</f>
        <v>-1.2011210463098942E-2</v>
      </c>
      <c r="F112" s="62">
        <f>表2_36716262930[[#This Row],[累计净值]]-0.0836</f>
        <v>1.4080000000000001</v>
      </c>
      <c r="G112" s="20">
        <f>表2_36716262930[[#This Row],[单位净值]]/$F$21-1</f>
        <v>1.5873015873016039E-2</v>
      </c>
    </row>
    <row r="113" spans="1:7">
      <c r="A113" s="15">
        <v>43839</v>
      </c>
      <c r="B113" s="16">
        <v>1.4925999999999999</v>
      </c>
      <c r="C113" s="73">
        <f t="shared" ref="C113:C118" si="27">IFERROR(B113-B112,0)</f>
        <v>9.9999999999988987E-4</v>
      </c>
      <c r="D113" s="18" t="str">
        <f t="shared" ref="D113:D118" si="28">IF(C113&lt;0,C113,"/")</f>
        <v>/</v>
      </c>
      <c r="E113" s="18">
        <f ca="1">IF(表2_36716262930[[#This Row],[累计净值]]/MAX(INDIRECT("B21:B" &amp; ROW()))-1&lt;E112,表2_36716262930[[#This Row],[累计净值]]/MAX(INDIRECT("B21:B" &amp; ROW()))-1,E112)</f>
        <v>-1.2011210463098942E-2</v>
      </c>
      <c r="F113" s="62">
        <f>表2_36716262930[[#This Row],[累计净值]]-0.0836</f>
        <v>1.409</v>
      </c>
      <c r="G113" s="20">
        <f>表2_36716262930[[#This Row],[单位净值]]/$F$21-1</f>
        <v>1.6594516594516717E-2</v>
      </c>
    </row>
    <row r="114" spans="1:7">
      <c r="A114" s="15">
        <v>43840</v>
      </c>
      <c r="B114" s="16">
        <v>1.4925999999999999</v>
      </c>
      <c r="C114" s="73">
        <f t="shared" si="27"/>
        <v>0</v>
      </c>
      <c r="D114" s="18" t="str">
        <f t="shared" si="28"/>
        <v>/</v>
      </c>
      <c r="E114" s="18">
        <f ca="1">IF(表2_36716262930[[#This Row],[累计净值]]/MAX(INDIRECT("B21:B" &amp; ROW()))-1&lt;E113,表2_36716262930[[#This Row],[累计净值]]/MAX(INDIRECT("B21:B" &amp; ROW()))-1,E113)</f>
        <v>-1.2011210463098942E-2</v>
      </c>
      <c r="F114" s="62">
        <f>表2_36716262930[[#This Row],[累计净值]]-0.0836</f>
        <v>1.409</v>
      </c>
      <c r="G114" s="20">
        <f>表2_36716262930[[#This Row],[单位净值]]/$F$21-1</f>
        <v>1.6594516594516717E-2</v>
      </c>
    </row>
    <row r="115" spans="1:7">
      <c r="A115" s="15">
        <v>43843</v>
      </c>
      <c r="B115" s="16">
        <v>1.4945999999999999</v>
      </c>
      <c r="C115" s="73">
        <f t="shared" si="27"/>
        <v>2.0000000000000018E-3</v>
      </c>
      <c r="D115" s="18" t="str">
        <f t="shared" si="28"/>
        <v>/</v>
      </c>
      <c r="E115" s="18">
        <f ca="1">IF(表2_36716262930[[#This Row],[累计净值]]/MAX(INDIRECT("B21:B" &amp; ROW()))-1&lt;E114,表2_36716262930[[#This Row],[累计净值]]/MAX(INDIRECT("B21:B" &amp; ROW()))-1,E114)</f>
        <v>-1.2011210463098942E-2</v>
      </c>
      <c r="F115" s="62">
        <f>表2_36716262930[[#This Row],[累计净值]]-0.0836</f>
        <v>1.411</v>
      </c>
      <c r="G115" s="20">
        <f>表2_36716262930[[#This Row],[单位净值]]/$F$21-1</f>
        <v>1.8037518037518074E-2</v>
      </c>
    </row>
    <row r="116" spans="1:7">
      <c r="A116" s="15">
        <v>43844</v>
      </c>
      <c r="B116" s="16">
        <v>1.4916</v>
      </c>
      <c r="C116" s="73">
        <f t="shared" si="27"/>
        <v>-2.9999999999998916E-3</v>
      </c>
      <c r="D116" s="18">
        <f t="shared" si="28"/>
        <v>-2.9999999999998916E-3</v>
      </c>
      <c r="E116" s="18">
        <f ca="1">IF(表2_36716262930[[#This Row],[累计净值]]/MAX(INDIRECT("B21:B" &amp; ROW()))-1&lt;E115,表2_36716262930[[#This Row],[累计净值]]/MAX(INDIRECT("B21:B" &amp; ROW()))-1,E115)</f>
        <v>-1.2011210463098942E-2</v>
      </c>
      <c r="F116" s="62">
        <f>表2_36716262930[[#This Row],[累计净值]]-0.0836</f>
        <v>1.4080000000000001</v>
      </c>
      <c r="G116" s="20">
        <f>表2_36716262930[[#This Row],[单位净值]]/$F$21-1</f>
        <v>1.5873015873016039E-2</v>
      </c>
    </row>
    <row r="117" spans="1:7">
      <c r="A117" s="15">
        <v>43845</v>
      </c>
      <c r="B117" s="16">
        <v>1.4925999999999999</v>
      </c>
      <c r="C117" s="73">
        <f t="shared" si="27"/>
        <v>9.9999999999988987E-4</v>
      </c>
      <c r="D117" s="18" t="str">
        <f t="shared" si="28"/>
        <v>/</v>
      </c>
      <c r="E117" s="18">
        <f ca="1">IF(表2_36716262930[[#This Row],[累计净值]]/MAX(INDIRECT("B21:B" &amp; ROW()))-1&lt;E116,表2_36716262930[[#This Row],[累计净值]]/MAX(INDIRECT("B21:B" &amp; ROW()))-1,E116)</f>
        <v>-1.2011210463098942E-2</v>
      </c>
      <c r="F117" s="62">
        <f>表2_36716262930[[#This Row],[累计净值]]-0.0836</f>
        <v>1.409</v>
      </c>
      <c r="G117" s="20">
        <f>表2_36716262930[[#This Row],[单位净值]]/$F$21-1</f>
        <v>1.6594516594516717E-2</v>
      </c>
    </row>
    <row r="118" spans="1:7">
      <c r="A118" s="15">
        <v>43846</v>
      </c>
      <c r="B118" s="16">
        <v>1.4936</v>
      </c>
      <c r="C118" s="73">
        <f t="shared" si="27"/>
        <v>1.0000000000001119E-3</v>
      </c>
      <c r="D118" s="18" t="str">
        <f t="shared" si="28"/>
        <v>/</v>
      </c>
      <c r="E118" s="18">
        <f ca="1">IF(表2_36716262930[[#This Row],[累计净值]]/MAX(INDIRECT("B21:B" &amp; ROW()))-1&lt;E117,表2_36716262930[[#This Row],[累计净值]]/MAX(INDIRECT("B21:B" &amp; ROW()))-1,E117)</f>
        <v>-1.2011210463098942E-2</v>
      </c>
      <c r="F118" s="62">
        <f>表2_36716262930[[#This Row],[累计净值]]-0.0836</f>
        <v>1.4100000000000001</v>
      </c>
      <c r="G118" s="20">
        <f>表2_36716262930[[#This Row],[单位净值]]/$F$21-1</f>
        <v>1.7316017316017396E-2</v>
      </c>
    </row>
    <row r="119" spans="1:7">
      <c r="A119" s="15">
        <v>43847</v>
      </c>
      <c r="B119" s="16">
        <v>1.4936</v>
      </c>
      <c r="C119" s="73">
        <f>IFERROR(B119-B118,0)</f>
        <v>0</v>
      </c>
      <c r="D119" s="18" t="str">
        <f>IF(C119&lt;0,C119,"/")</f>
        <v>/</v>
      </c>
      <c r="E119" s="18">
        <f ca="1">IF(表2_36716262930[[#This Row],[累计净值]]/MAX(INDIRECT("B21:B" &amp; ROW()))-1&lt;E118,表2_36716262930[[#This Row],[累计净值]]/MAX(INDIRECT("B21:B" &amp; ROW()))-1,E118)</f>
        <v>-1.2011210463098942E-2</v>
      </c>
      <c r="F119" s="62">
        <f>表2_36716262930[[#This Row],[累计净值]]-0.0836</f>
        <v>1.4100000000000001</v>
      </c>
      <c r="G119" s="20">
        <f>表2_36716262930[[#This Row],[单位净值]]/$F$21-1</f>
        <v>1.7316017316017396E-2</v>
      </c>
    </row>
    <row r="120" spans="1:7">
      <c r="A120" s="15">
        <v>43850</v>
      </c>
      <c r="B120" s="16">
        <v>1.4956</v>
      </c>
      <c r="C120" s="73">
        <f>IFERROR(B120-B119,0)</f>
        <v>2.0000000000000018E-3</v>
      </c>
      <c r="D120" s="18" t="str">
        <f>IF(C120&lt;0,C120,"/")</f>
        <v>/</v>
      </c>
      <c r="E120" s="18">
        <f ca="1">IF(表2_36716262930[[#This Row],[累计净值]]/MAX(INDIRECT("B21:B" &amp; ROW()))-1&lt;E119,表2_36716262930[[#This Row],[累计净值]]/MAX(INDIRECT("B21:B" &amp; ROW()))-1,E119)</f>
        <v>-1.2011210463098942E-2</v>
      </c>
      <c r="F120" s="62">
        <f>表2_36716262930[[#This Row],[累计净值]]-0.0836</f>
        <v>1.4120000000000001</v>
      </c>
      <c r="G120" s="20">
        <f>表2_36716262930[[#This Row],[单位净值]]/$F$21-1</f>
        <v>1.8759018759018975E-2</v>
      </c>
    </row>
    <row r="121" spans="1:7">
      <c r="A121" s="15">
        <v>43851</v>
      </c>
      <c r="B121" s="16">
        <v>1.4965999999999999</v>
      </c>
      <c r="C121" s="73">
        <f>IFERROR(B121-B120,0)</f>
        <v>9.9999999999988987E-4</v>
      </c>
      <c r="D121" s="18" t="str">
        <f>IF(C121&lt;0,C121,"/")</f>
        <v>/</v>
      </c>
      <c r="E121" s="18">
        <f ca="1">IF(表2_36716262930[[#This Row],[累计净值]]/MAX(INDIRECT("B21:B" &amp; ROW()))-1&lt;E120,表2_36716262930[[#This Row],[累计净值]]/MAX(INDIRECT("B21:B" &amp; ROW()))-1,E120)</f>
        <v>-1.2011210463098942E-2</v>
      </c>
      <c r="F121" s="62">
        <f>表2_36716262930[[#This Row],[累计净值]]-0.0836</f>
        <v>1.413</v>
      </c>
      <c r="G121" s="20">
        <f>表2_36716262930[[#This Row],[单位净值]]/$F$21-1</f>
        <v>1.9480519480519654E-2</v>
      </c>
    </row>
    <row r="122" spans="1:7">
      <c r="A122" s="15">
        <v>43852</v>
      </c>
      <c r="B122" s="16">
        <v>1.4956</v>
      </c>
      <c r="C122" s="73">
        <f>IFERROR(B122-B121,0)</f>
        <v>-9.9999999999988987E-4</v>
      </c>
      <c r="D122" s="18">
        <f>IF(C122&lt;0,C122,"/")</f>
        <v>-9.9999999999988987E-4</v>
      </c>
      <c r="E122" s="18">
        <f ca="1">IF(表2_36716262930[[#This Row],[累计净值]]/MAX(INDIRECT("B21:B" &amp; ROW()))-1&lt;E121,表2_36716262930[[#This Row],[累计净值]]/MAX(INDIRECT("B21:B" &amp; ROW()))-1,E121)</f>
        <v>-1.2011210463098942E-2</v>
      </c>
      <c r="F122" s="62">
        <f>表2_36716262930[[#This Row],[累计净值]]-0.0836</f>
        <v>1.4120000000000001</v>
      </c>
      <c r="G122" s="20">
        <f>表2_36716262930[[#This Row],[单位净值]]/$F$21-1</f>
        <v>1.8759018759018975E-2</v>
      </c>
    </row>
    <row r="123" spans="1:7">
      <c r="A123" s="15">
        <v>43853</v>
      </c>
      <c r="B123" s="16">
        <v>1.5005999999999999</v>
      </c>
      <c r="C123" s="73">
        <f>IFERROR(B123-B122,0)</f>
        <v>4.9999999999998934E-3</v>
      </c>
      <c r="D123" s="18" t="str">
        <f>IF(C123&lt;0,C123,"/")</f>
        <v>/</v>
      </c>
      <c r="E123" s="18">
        <f ca="1">IF(表2_36716262930[[#This Row],[累计净值]]/MAX(INDIRECT("B21:B" &amp; ROW()))-1&lt;E122,表2_36716262930[[#This Row],[累计净值]]/MAX(INDIRECT("B21:B" &amp; ROW()))-1,E122)</f>
        <v>-1.2011210463098942E-2</v>
      </c>
      <c r="F123" s="62">
        <f>表2_36716262930[[#This Row],[累计净值]]-0.0836</f>
        <v>1.417</v>
      </c>
      <c r="G123" s="20">
        <f>表2_36716262930[[#This Row],[单位净值]]/$F$21-1</f>
        <v>2.2366522366522368E-2</v>
      </c>
    </row>
    <row r="124" spans="1:7">
      <c r="A124" s="15">
        <v>43864</v>
      </c>
      <c r="B124" s="16">
        <v>1.5025999999999999</v>
      </c>
      <c r="C124" s="73">
        <f t="shared" ref="C124:C129" si="29">IFERROR(B124-B123,0)</f>
        <v>2.0000000000000018E-3</v>
      </c>
      <c r="D124" s="18" t="str">
        <f t="shared" ref="D124:D129" si="30">IF(C124&lt;0,C124,"/")</f>
        <v>/</v>
      </c>
      <c r="E124" s="18">
        <f ca="1">IF(表2_36716262930[[#This Row],[累计净值]]/MAX(INDIRECT("B21:B" &amp; ROW()))-1&lt;E123,表2_36716262930[[#This Row],[累计净值]]/MAX(INDIRECT("B21:B" &amp; ROW()))-1,E123)</f>
        <v>-1.2011210463098942E-2</v>
      </c>
      <c r="F124" s="62">
        <f>表2_36716262930[[#This Row],[累计净值]]-0.0836</f>
        <v>1.419</v>
      </c>
      <c r="G124" s="20">
        <f>表2_36716262930[[#This Row],[单位净值]]/$F$21-1</f>
        <v>2.3809523809523947E-2</v>
      </c>
    </row>
    <row r="125" spans="1:7">
      <c r="A125" s="15">
        <v>43865</v>
      </c>
      <c r="B125" s="16">
        <v>1.5036</v>
      </c>
      <c r="C125" s="73">
        <f t="shared" si="29"/>
        <v>1.0000000000001119E-3</v>
      </c>
      <c r="D125" s="18" t="str">
        <f t="shared" si="30"/>
        <v>/</v>
      </c>
      <c r="E125" s="18">
        <f ca="1">IF(表2_36716262930[[#This Row],[累计净值]]/MAX(INDIRECT("B21:B" &amp; ROW()))-1&lt;E124,表2_36716262930[[#This Row],[累计净值]]/MAX(INDIRECT("B21:B" &amp; ROW()))-1,E124)</f>
        <v>-1.2011210463098942E-2</v>
      </c>
      <c r="F125" s="62">
        <f>表2_36716262930[[#This Row],[累计净值]]-0.0836</f>
        <v>1.4200000000000002</v>
      </c>
      <c r="G125" s="20">
        <f>表2_36716262930[[#This Row],[单位净值]]/$F$21-1</f>
        <v>2.4531024531024626E-2</v>
      </c>
    </row>
    <row r="126" spans="1:7">
      <c r="A126" s="15">
        <v>43866</v>
      </c>
      <c r="B126" s="16">
        <v>1.5036</v>
      </c>
      <c r="C126" s="73">
        <f t="shared" si="29"/>
        <v>0</v>
      </c>
      <c r="D126" s="18" t="str">
        <f t="shared" si="30"/>
        <v>/</v>
      </c>
      <c r="E126" s="18">
        <f ca="1">IF(表2_36716262930[[#This Row],[累计净值]]/MAX(INDIRECT("B21:B" &amp; ROW()))-1&lt;E125,表2_36716262930[[#This Row],[累计净值]]/MAX(INDIRECT("B21:B" &amp; ROW()))-1,E125)</f>
        <v>-1.2011210463098942E-2</v>
      </c>
      <c r="F126" s="62">
        <f>表2_36716262930[[#This Row],[累计净值]]-0.0836</f>
        <v>1.4200000000000002</v>
      </c>
      <c r="G126" s="20">
        <f>表2_36716262930[[#This Row],[单位净值]]/$F$21-1</f>
        <v>2.4531024531024626E-2</v>
      </c>
    </row>
    <row r="127" spans="1:7">
      <c r="A127" s="15">
        <v>43867</v>
      </c>
      <c r="B127" s="16">
        <v>1.5045999999999999</v>
      </c>
      <c r="C127" s="73">
        <f t="shared" si="29"/>
        <v>9.9999999999988987E-4</v>
      </c>
      <c r="D127" s="18" t="str">
        <f t="shared" si="30"/>
        <v>/</v>
      </c>
      <c r="E127" s="18">
        <f ca="1">IF(表2_36716262930[[#This Row],[累计净值]]/MAX(INDIRECT("B21:B" &amp; ROW()))-1&lt;E126,表2_36716262930[[#This Row],[累计净值]]/MAX(INDIRECT("B21:B" &amp; ROW()))-1,E126)</f>
        <v>-1.2011210463098942E-2</v>
      </c>
      <c r="F127" s="62">
        <f>表2_36716262930[[#This Row],[累计净值]]-0.0836</f>
        <v>1.421</v>
      </c>
      <c r="G127" s="20">
        <f>表2_36716262930[[#This Row],[单位净值]]/$F$21-1</f>
        <v>2.5252525252525304E-2</v>
      </c>
    </row>
    <row r="128" spans="1:7">
      <c r="A128" s="15">
        <v>43868</v>
      </c>
      <c r="B128" s="16">
        <v>1.5045999999999999</v>
      </c>
      <c r="C128" s="73">
        <f t="shared" si="29"/>
        <v>0</v>
      </c>
      <c r="D128" s="18" t="str">
        <f t="shared" si="30"/>
        <v>/</v>
      </c>
      <c r="E128" s="18">
        <f ca="1">IF(表2_36716262930[[#This Row],[累计净值]]/MAX(INDIRECT("B21:B" &amp; ROW()))-1&lt;E127,表2_36716262930[[#This Row],[累计净值]]/MAX(INDIRECT("B21:B" &amp; ROW()))-1,E127)</f>
        <v>-1.2011210463098942E-2</v>
      </c>
      <c r="F128" s="62">
        <f>表2_36716262930[[#This Row],[累计净值]]-0.0836</f>
        <v>1.421</v>
      </c>
      <c r="G128" s="20">
        <f>表2_36716262930[[#This Row],[单位净值]]/$F$21-1</f>
        <v>2.5252525252525304E-2</v>
      </c>
    </row>
    <row r="129" spans="1:7">
      <c r="A129" s="15">
        <v>43871</v>
      </c>
      <c r="B129" s="16">
        <v>1.5065999999999999</v>
      </c>
      <c r="C129" s="73">
        <f t="shared" si="29"/>
        <v>2.0000000000000018E-3</v>
      </c>
      <c r="D129" s="18" t="str">
        <f t="shared" si="30"/>
        <v>/</v>
      </c>
      <c r="E129" s="18">
        <f ca="1">IF(表2_36716262930[[#This Row],[累计净值]]/MAX(INDIRECT("B21:B" &amp; ROW()))-1&lt;E128,表2_36716262930[[#This Row],[累计净值]]/MAX(INDIRECT("B21:B" &amp; ROW()))-1,E128)</f>
        <v>-1.2011210463098942E-2</v>
      </c>
      <c r="F129" s="62">
        <f>表2_36716262930[[#This Row],[累计净值]]-0.0836</f>
        <v>1.423</v>
      </c>
      <c r="G129" s="20">
        <f>表2_36716262930[[#This Row],[单位净值]]/$F$21-1</f>
        <v>2.6695526695526883E-2</v>
      </c>
    </row>
    <row r="130" spans="1:7">
      <c r="A130" s="15">
        <v>43872</v>
      </c>
      <c r="B130" s="16">
        <v>1.5085999999999999</v>
      </c>
      <c r="C130" s="73">
        <f t="shared" ref="C130:C135" si="31">IFERROR(B130-B129,0)</f>
        <v>2.0000000000000018E-3</v>
      </c>
      <c r="D130" s="18" t="str">
        <f t="shared" ref="D130:D135" si="32">IF(C130&lt;0,C130,"/")</f>
        <v>/</v>
      </c>
      <c r="E130" s="18">
        <f ca="1">IF(表2_36716262930[[#This Row],[累计净值]]/MAX(INDIRECT("B21:B" &amp; ROW()))-1&lt;E129,表2_36716262930[[#This Row],[累计净值]]/MAX(INDIRECT("B21:B" &amp; ROW()))-1,E129)</f>
        <v>-1.2011210463098942E-2</v>
      </c>
      <c r="F130" s="62">
        <f>表2_36716262930[[#This Row],[累计净值]]-0.0836</f>
        <v>1.425</v>
      </c>
      <c r="G130" s="20">
        <f>表2_36716262930[[#This Row],[单位净值]]/$F$21-1</f>
        <v>2.813852813852824E-2</v>
      </c>
    </row>
    <row r="131" spans="1:7">
      <c r="A131" s="15">
        <v>43873</v>
      </c>
      <c r="B131" s="16">
        <v>1.5096000000000001</v>
      </c>
      <c r="C131" s="73">
        <f t="shared" si="31"/>
        <v>1.0000000000001119E-3</v>
      </c>
      <c r="D131" s="18" t="str">
        <f t="shared" si="32"/>
        <v>/</v>
      </c>
      <c r="E131" s="18">
        <f ca="1">IF(表2_36716262930[[#This Row],[累计净值]]/MAX(INDIRECT("B21:B" &amp; ROW()))-1&lt;E130,表2_36716262930[[#This Row],[累计净值]]/MAX(INDIRECT("B21:B" &amp; ROW()))-1,E130)</f>
        <v>-1.2011210463098942E-2</v>
      </c>
      <c r="F131" s="62">
        <f>表2_36716262930[[#This Row],[累计净值]]-0.0836</f>
        <v>1.4260000000000002</v>
      </c>
      <c r="G131" s="20">
        <f>表2_36716262930[[#This Row],[单位净值]]/$F$21-1</f>
        <v>2.8860028860029141E-2</v>
      </c>
    </row>
    <row r="132" spans="1:7">
      <c r="A132" s="15">
        <v>43874</v>
      </c>
      <c r="B132" s="16">
        <v>1.5096000000000001</v>
      </c>
      <c r="C132" s="73">
        <f t="shared" si="31"/>
        <v>0</v>
      </c>
      <c r="D132" s="18" t="str">
        <f t="shared" si="32"/>
        <v>/</v>
      </c>
      <c r="E132" s="18">
        <f ca="1">IF(表2_36716262930[[#This Row],[累计净值]]/MAX(INDIRECT("B21:B" &amp; ROW()))-1&lt;E131,表2_36716262930[[#This Row],[累计净值]]/MAX(INDIRECT("B21:B" &amp; ROW()))-1,E131)</f>
        <v>-1.2011210463098942E-2</v>
      </c>
      <c r="F132" s="62">
        <f>表2_36716262930[[#This Row],[累计净值]]-0.0836</f>
        <v>1.4260000000000002</v>
      </c>
      <c r="G132" s="20">
        <f>表2_36716262930[[#This Row],[单位净值]]/$F$21-1</f>
        <v>2.8860028860029141E-2</v>
      </c>
    </row>
    <row r="133" spans="1:7">
      <c r="A133" s="15">
        <v>43875</v>
      </c>
      <c r="B133" s="16">
        <v>1.5096000000000001</v>
      </c>
      <c r="C133" s="73">
        <f t="shared" si="31"/>
        <v>0</v>
      </c>
      <c r="D133" s="18" t="str">
        <f t="shared" si="32"/>
        <v>/</v>
      </c>
      <c r="E133" s="18">
        <f ca="1">IF(表2_36716262930[[#This Row],[累计净值]]/MAX(INDIRECT("B21:B" &amp; ROW()))-1&lt;E132,表2_36716262930[[#This Row],[累计净值]]/MAX(INDIRECT("B21:B" &amp; ROW()))-1,E132)</f>
        <v>-1.2011210463098942E-2</v>
      </c>
      <c r="F133" s="62">
        <f>表2_36716262930[[#This Row],[累计净值]]-0.0836</f>
        <v>1.4260000000000002</v>
      </c>
      <c r="G133" s="20">
        <f>表2_36716262930[[#This Row],[单位净值]]/$F$21-1</f>
        <v>2.8860028860029141E-2</v>
      </c>
    </row>
    <row r="134" spans="1:7">
      <c r="A134" s="15">
        <v>43878</v>
      </c>
      <c r="B134" s="16">
        <v>1.5076000000000001</v>
      </c>
      <c r="C134" s="73">
        <f t="shared" si="31"/>
        <v>-2.0000000000000018E-3</v>
      </c>
      <c r="D134" s="18">
        <f t="shared" si="32"/>
        <v>-2.0000000000000018E-3</v>
      </c>
      <c r="E134" s="18">
        <f ca="1">IF(表2_36716262930[[#This Row],[累计净值]]/MAX(INDIRECT("B21:B" &amp; ROW()))-1&lt;E133,表2_36716262930[[#This Row],[累计净值]]/MAX(INDIRECT("B21:B" &amp; ROW()))-1,E133)</f>
        <v>-1.2011210463098942E-2</v>
      </c>
      <c r="F134" s="62">
        <f>表2_36716262930[[#This Row],[累计净值]]-0.0836</f>
        <v>1.4240000000000002</v>
      </c>
      <c r="G134" s="20">
        <f>表2_36716262930[[#This Row],[单位净值]]/$F$21-1</f>
        <v>2.7417027417027562E-2</v>
      </c>
    </row>
    <row r="135" spans="1:7">
      <c r="A135" s="15">
        <v>43879</v>
      </c>
      <c r="B135" s="16">
        <v>1.5096000000000001</v>
      </c>
      <c r="C135" s="73">
        <f t="shared" si="31"/>
        <v>2.0000000000000018E-3</v>
      </c>
      <c r="D135" s="18" t="str">
        <f t="shared" si="32"/>
        <v>/</v>
      </c>
      <c r="E135" s="18">
        <f ca="1">IF(表2_36716262930[[#This Row],[累计净值]]/MAX(INDIRECT("B21:B" &amp; ROW()))-1&lt;E134,表2_36716262930[[#This Row],[累计净值]]/MAX(INDIRECT("B21:B" &amp; ROW()))-1,E134)</f>
        <v>-1.2011210463098942E-2</v>
      </c>
      <c r="F135" s="62">
        <f>表2_36716262930[[#This Row],[累计净值]]-0.0836</f>
        <v>1.4260000000000002</v>
      </c>
      <c r="G135" s="20">
        <f>表2_36716262930[[#This Row],[单位净值]]/$F$21-1</f>
        <v>2.8860028860029141E-2</v>
      </c>
    </row>
    <row r="136" spans="1:7">
      <c r="A136" s="15">
        <v>43880</v>
      </c>
      <c r="B136" s="16">
        <v>1.5096000000000001</v>
      </c>
      <c r="C136" s="73">
        <f t="shared" ref="C136:C141" si="33">IFERROR(B136-B135,0)</f>
        <v>0</v>
      </c>
      <c r="D136" s="18" t="str">
        <f t="shared" ref="D136:D141" si="34">IF(C136&lt;0,C136,"/")</f>
        <v>/</v>
      </c>
      <c r="E136" s="18">
        <f ca="1">IF(表2_36716262930[[#This Row],[累计净值]]/MAX(INDIRECT("B21:B" &amp; ROW()))-1&lt;E135,表2_36716262930[[#This Row],[累计净值]]/MAX(INDIRECT("B21:B" &amp; ROW()))-1,E135)</f>
        <v>-1.2011210463098942E-2</v>
      </c>
      <c r="F136" s="62">
        <f>表2_36716262930[[#This Row],[累计净值]]-0.0836</f>
        <v>1.4260000000000002</v>
      </c>
      <c r="G136" s="20">
        <f>表2_36716262930[[#This Row],[单位净值]]/$F$21-1</f>
        <v>2.8860028860029141E-2</v>
      </c>
    </row>
    <row r="137" spans="1:7">
      <c r="A137" s="15">
        <v>43881</v>
      </c>
      <c r="B137" s="16">
        <v>1.5105999999999999</v>
      </c>
      <c r="C137" s="73">
        <f t="shared" si="33"/>
        <v>9.9999999999988987E-4</v>
      </c>
      <c r="D137" s="18" t="str">
        <f t="shared" si="34"/>
        <v>/</v>
      </c>
      <c r="E137" s="18">
        <f ca="1">IF(表2_36716262930[[#This Row],[累计净值]]/MAX(INDIRECT("B21:B" &amp; ROW()))-1&lt;E136,表2_36716262930[[#This Row],[累计净值]]/MAX(INDIRECT("B21:B" &amp; ROW()))-1,E136)</f>
        <v>-1.2011210463098942E-2</v>
      </c>
      <c r="F137" s="62">
        <f>表2_36716262930[[#This Row],[累计净值]]-0.0836</f>
        <v>1.427</v>
      </c>
      <c r="G137" s="20">
        <f>表2_36716262930[[#This Row],[单位净值]]/$F$21-1</f>
        <v>2.9581529581529598E-2</v>
      </c>
    </row>
    <row r="138" spans="1:7">
      <c r="A138" s="15">
        <v>43882</v>
      </c>
      <c r="B138" s="16">
        <v>1.5125999999999999</v>
      </c>
      <c r="C138" s="73">
        <f t="shared" si="33"/>
        <v>2.0000000000000018E-3</v>
      </c>
      <c r="D138" s="18" t="str">
        <f t="shared" si="34"/>
        <v>/</v>
      </c>
      <c r="E138" s="18">
        <f ca="1">IF(表2_36716262930[[#This Row],[累计净值]]/MAX(INDIRECT("B21:B" &amp; ROW()))-1&lt;E137,表2_36716262930[[#This Row],[累计净值]]/MAX(INDIRECT("B21:B" &amp; ROW()))-1,E137)</f>
        <v>-1.2011210463098942E-2</v>
      </c>
      <c r="F138" s="62">
        <f>表2_36716262930[[#This Row],[累计净值]]-0.0836</f>
        <v>1.429</v>
      </c>
      <c r="G138" s="20">
        <f>表2_36716262930[[#This Row],[单位净值]]/$F$21-1</f>
        <v>3.1024531024531177E-2</v>
      </c>
    </row>
    <row r="139" spans="1:7">
      <c r="A139" s="15">
        <v>43885</v>
      </c>
      <c r="B139" s="16">
        <v>1.5125999999999999</v>
      </c>
      <c r="C139" s="73">
        <f t="shared" si="33"/>
        <v>0</v>
      </c>
      <c r="D139" s="18" t="str">
        <f t="shared" si="34"/>
        <v>/</v>
      </c>
      <c r="E139" s="18">
        <f ca="1">IF(表2_36716262930[[#This Row],[累计净值]]/MAX(INDIRECT("B21:B" &amp; ROW()))-1&lt;E138,表2_36716262930[[#This Row],[累计净值]]/MAX(INDIRECT("B21:B" &amp; ROW()))-1,E138)</f>
        <v>-1.2011210463098942E-2</v>
      </c>
      <c r="F139" s="62">
        <f>表2_36716262930[[#This Row],[累计净值]]-0.0836</f>
        <v>1.429</v>
      </c>
      <c r="G139" s="20">
        <f>表2_36716262930[[#This Row],[单位净值]]/$F$21-1</f>
        <v>3.1024531024531177E-2</v>
      </c>
    </row>
    <row r="140" spans="1:7">
      <c r="A140" s="15">
        <v>43886</v>
      </c>
      <c r="B140" s="16">
        <v>1.5165999999999999</v>
      </c>
      <c r="C140" s="73">
        <f t="shared" si="33"/>
        <v>4.0000000000000036E-3</v>
      </c>
      <c r="D140" s="18" t="str">
        <f t="shared" si="34"/>
        <v>/</v>
      </c>
      <c r="E140" s="18">
        <f ca="1">IF(表2_36716262930[[#This Row],[累计净值]]/MAX(INDIRECT("B21:B" &amp; ROW()))-1&lt;E139,表2_36716262930[[#This Row],[累计净值]]/MAX(INDIRECT("B21:B" &amp; ROW()))-1,E139)</f>
        <v>-1.2011210463098942E-2</v>
      </c>
      <c r="F140" s="62">
        <f>表2_36716262930[[#This Row],[累计净值]]-0.0836</f>
        <v>1.4330000000000001</v>
      </c>
      <c r="G140" s="20">
        <f>表2_36716262930[[#This Row],[单位净值]]/$F$21-1</f>
        <v>3.3910533910534113E-2</v>
      </c>
    </row>
    <row r="141" spans="1:7">
      <c r="A141" s="15">
        <v>43887</v>
      </c>
      <c r="B141" s="16">
        <v>1.5196000000000001</v>
      </c>
      <c r="C141" s="73">
        <f t="shared" si="33"/>
        <v>3.0000000000001137E-3</v>
      </c>
      <c r="D141" s="18" t="str">
        <f t="shared" si="34"/>
        <v>/</v>
      </c>
      <c r="E141" s="18">
        <f ca="1">IF(表2_36716262930[[#This Row],[累计净值]]/MAX(INDIRECT("B21:B" &amp; ROW()))-1&lt;E140,表2_36716262930[[#This Row],[累计净值]]/MAX(INDIRECT("B21:B" &amp; ROW()))-1,E140)</f>
        <v>-1.2011210463098942E-2</v>
      </c>
      <c r="F141" s="62">
        <f>表2_36716262930[[#This Row],[累计净值]]-0.0836</f>
        <v>1.4360000000000002</v>
      </c>
      <c r="G141" s="20">
        <f>表2_36716262930[[#This Row],[单位净值]]/$F$21-1</f>
        <v>3.6075036075036371E-2</v>
      </c>
    </row>
    <row r="142" spans="1:7">
      <c r="A142" s="15">
        <v>43888</v>
      </c>
      <c r="B142" s="16">
        <v>1.5196000000000001</v>
      </c>
      <c r="C142" s="73">
        <f t="shared" ref="C142:C147" si="35">IFERROR(B142-B141,0)</f>
        <v>0</v>
      </c>
      <c r="D142" s="18" t="str">
        <f t="shared" ref="D142:D147" si="36">IF(C142&lt;0,C142,"/")</f>
        <v>/</v>
      </c>
      <c r="E142" s="18">
        <f ca="1">IF(表2_36716262930[[#This Row],[累计净值]]/MAX(INDIRECT("B21:B" &amp; ROW()))-1&lt;E141,表2_36716262930[[#This Row],[累计净值]]/MAX(INDIRECT("B21:B" &amp; ROW()))-1,E141)</f>
        <v>-1.2011210463098942E-2</v>
      </c>
      <c r="F142" s="62">
        <f>表2_36716262930[[#This Row],[累计净值]]-0.0836</f>
        <v>1.4360000000000002</v>
      </c>
      <c r="G142" s="20">
        <f>表2_36716262930[[#This Row],[单位净值]]/$F$21-1</f>
        <v>3.6075036075036371E-2</v>
      </c>
    </row>
    <row r="143" spans="1:7">
      <c r="A143" s="15">
        <v>43889</v>
      </c>
      <c r="B143" s="16">
        <v>1.5246</v>
      </c>
      <c r="C143" s="73">
        <f t="shared" si="35"/>
        <v>4.9999999999998934E-3</v>
      </c>
      <c r="D143" s="18" t="str">
        <f t="shared" si="36"/>
        <v>/</v>
      </c>
      <c r="E143" s="18">
        <f ca="1">IF(表2_36716262930[[#This Row],[累计净值]]/MAX(INDIRECT("B21:B" &amp; ROW()))-1&lt;E142,表2_36716262930[[#This Row],[累计净值]]/MAX(INDIRECT("B21:B" &amp; ROW()))-1,E142)</f>
        <v>-1.2011210463098942E-2</v>
      </c>
      <c r="F143" s="62">
        <f>表2_36716262930[[#This Row],[累计净值]]-0.0836</f>
        <v>1.4410000000000001</v>
      </c>
      <c r="G143" s="20">
        <f>表2_36716262930[[#This Row],[单位净值]]/$F$21-1</f>
        <v>3.9682539682539764E-2</v>
      </c>
    </row>
    <row r="144" spans="1:7">
      <c r="A144" s="15">
        <v>43892</v>
      </c>
      <c r="B144" s="16">
        <v>1.5246</v>
      </c>
      <c r="C144" s="73">
        <f t="shared" si="35"/>
        <v>0</v>
      </c>
      <c r="D144" s="18" t="str">
        <f t="shared" si="36"/>
        <v>/</v>
      </c>
      <c r="E144" s="18">
        <f ca="1">IF(表2_36716262930[[#This Row],[累计净值]]/MAX(INDIRECT("B21:B" &amp; ROW()))-1&lt;E143,表2_36716262930[[#This Row],[累计净值]]/MAX(INDIRECT("B21:B" &amp; ROW()))-1,E143)</f>
        <v>-1.2011210463098942E-2</v>
      </c>
      <c r="F144" s="62">
        <f>表2_36716262930[[#This Row],[累计净值]]-0.0836</f>
        <v>1.4410000000000001</v>
      </c>
      <c r="G144" s="20">
        <f>表2_36716262930[[#This Row],[单位净值]]/$F$21-1</f>
        <v>3.9682539682539764E-2</v>
      </c>
    </row>
    <row r="145" spans="1:7">
      <c r="A145" s="15">
        <v>43893</v>
      </c>
      <c r="B145" s="16">
        <v>1.5256000000000001</v>
      </c>
      <c r="C145" s="73">
        <f t="shared" si="35"/>
        <v>1.0000000000001119E-3</v>
      </c>
      <c r="D145" s="18" t="str">
        <f t="shared" si="36"/>
        <v>/</v>
      </c>
      <c r="E145" s="18">
        <f ca="1">IF(表2_36716262930[[#This Row],[累计净值]]/MAX(INDIRECT("B21:B" &amp; ROW()))-1&lt;E144,表2_36716262930[[#This Row],[累计净值]]/MAX(INDIRECT("B21:B" &amp; ROW()))-1,E144)</f>
        <v>-1.2011210463098942E-2</v>
      </c>
      <c r="F145" s="62">
        <f>表2_36716262930[[#This Row],[累计净值]]-0.0836</f>
        <v>1.4420000000000002</v>
      </c>
      <c r="G145" s="20">
        <f>表2_36716262930[[#This Row],[单位净值]]/$F$21-1</f>
        <v>4.0404040404040664E-2</v>
      </c>
    </row>
    <row r="146" spans="1:7">
      <c r="A146" s="15">
        <v>43894</v>
      </c>
      <c r="B146" s="16">
        <v>1.5266</v>
      </c>
      <c r="C146" s="73">
        <f t="shared" si="35"/>
        <v>9.9999999999988987E-4</v>
      </c>
      <c r="D146" s="18" t="str">
        <f t="shared" si="36"/>
        <v>/</v>
      </c>
      <c r="E146" s="18">
        <f ca="1">IF(表2_36716262930[[#This Row],[累计净值]]/MAX(INDIRECT("B21:B" &amp; ROW()))-1&lt;E145,表2_36716262930[[#This Row],[累计净值]]/MAX(INDIRECT("B21:B" &amp; ROW()))-1,E145)</f>
        <v>-1.2011210463098942E-2</v>
      </c>
      <c r="F146" s="62">
        <f>表2_36716262930[[#This Row],[累计净值]]-0.0836</f>
        <v>1.4430000000000001</v>
      </c>
      <c r="G146" s="20">
        <f>表2_36716262930[[#This Row],[单位净值]]/$F$21-1</f>
        <v>4.1125541125541343E-2</v>
      </c>
    </row>
    <row r="147" spans="1:7">
      <c r="A147" s="15">
        <v>43895</v>
      </c>
      <c r="B147" s="16">
        <v>1.5276000000000001</v>
      </c>
      <c r="C147" s="73">
        <f t="shared" si="35"/>
        <v>1.0000000000001119E-3</v>
      </c>
      <c r="D147" s="18" t="str">
        <f t="shared" si="36"/>
        <v>/</v>
      </c>
      <c r="E147" s="18">
        <f ca="1">IF(表2_36716262930[[#This Row],[累计净值]]/MAX(INDIRECT("B21:B" &amp; ROW()))-1&lt;E146,表2_36716262930[[#This Row],[累计净值]]/MAX(INDIRECT("B21:B" &amp; ROW()))-1,E146)</f>
        <v>-1.2011210463098942E-2</v>
      </c>
      <c r="F147" s="62">
        <f>表2_36716262930[[#This Row],[累计净值]]-0.0836</f>
        <v>1.4440000000000002</v>
      </c>
      <c r="G147" s="20">
        <f>表2_36716262930[[#This Row],[单位净值]]/$F$21-1</f>
        <v>4.1847041847042021E-2</v>
      </c>
    </row>
    <row r="148" spans="1:7">
      <c r="A148" s="15">
        <v>43896</v>
      </c>
      <c r="B148" s="16">
        <v>1.5296000000000001</v>
      </c>
      <c r="C148" s="73">
        <f t="shared" ref="C148:C153" si="37">IFERROR(B148-B147,0)</f>
        <v>2.0000000000000018E-3</v>
      </c>
      <c r="D148" s="18" t="str">
        <f t="shared" ref="D148:D153" si="38">IF(C148&lt;0,C148,"/")</f>
        <v>/</v>
      </c>
      <c r="E148" s="18">
        <f ca="1">IF(表2_36716262930[[#This Row],[累计净值]]/MAX(INDIRECT("B21:B" &amp; ROW()))-1&lt;E147,表2_36716262930[[#This Row],[累计净值]]/MAX(INDIRECT("B21:B" &amp; ROW()))-1,E147)</f>
        <v>-1.2011210463098942E-2</v>
      </c>
      <c r="F148" s="62">
        <f>表2_36716262930[[#This Row],[累计净值]]-0.0836</f>
        <v>1.4460000000000002</v>
      </c>
      <c r="G148" s="20">
        <f>表2_36716262930[[#This Row],[单位净值]]/$F$21-1</f>
        <v>4.3290043290043601E-2</v>
      </c>
    </row>
    <row r="149" spans="1:7">
      <c r="A149" s="15">
        <v>43899</v>
      </c>
      <c r="B149" s="16">
        <v>1.5336000000000001</v>
      </c>
      <c r="C149" s="73">
        <f t="shared" si="37"/>
        <v>4.0000000000000036E-3</v>
      </c>
      <c r="D149" s="18" t="str">
        <f t="shared" si="38"/>
        <v>/</v>
      </c>
      <c r="E149" s="18">
        <f ca="1">IF(表2_36716262930[[#This Row],[累计净值]]/MAX(INDIRECT("B21:B" &amp; ROW()))-1&lt;E148,表2_36716262930[[#This Row],[累计净值]]/MAX(INDIRECT("B21:B" &amp; ROW()))-1,E148)</f>
        <v>-1.2011210463098942E-2</v>
      </c>
      <c r="F149" s="62">
        <f>表2_36716262930[[#This Row],[累计净值]]-0.0836</f>
        <v>1.4500000000000002</v>
      </c>
      <c r="G149" s="20">
        <f>表2_36716262930[[#This Row],[单位净值]]/$F$21-1</f>
        <v>4.6176046176046315E-2</v>
      </c>
    </row>
    <row r="150" spans="1:7">
      <c r="A150" s="15">
        <v>43900</v>
      </c>
      <c r="B150" s="16">
        <v>1.5296000000000001</v>
      </c>
      <c r="C150" s="73">
        <f t="shared" si="37"/>
        <v>-4.0000000000000036E-3</v>
      </c>
      <c r="D150" s="18">
        <f t="shared" si="38"/>
        <v>-4.0000000000000036E-3</v>
      </c>
      <c r="E150" s="18">
        <f ca="1">IF(表2_36716262930[[#This Row],[累计净值]]/MAX(INDIRECT("B21:B" &amp; ROW()))-1&lt;E149,表2_36716262930[[#This Row],[累计净值]]/MAX(INDIRECT("B21:B" &amp; ROW()))-1,E149)</f>
        <v>-1.2011210463098942E-2</v>
      </c>
      <c r="F150" s="62">
        <f>表2_36716262930[[#This Row],[累计净值]]-0.0836</f>
        <v>1.4460000000000002</v>
      </c>
      <c r="G150" s="20">
        <f>表2_36716262930[[#This Row],[单位净值]]/$F$21-1</f>
        <v>4.3290043290043601E-2</v>
      </c>
    </row>
    <row r="151" spans="1:7">
      <c r="A151" s="15">
        <v>43901</v>
      </c>
      <c r="B151" s="16">
        <v>1.5336000000000001</v>
      </c>
      <c r="C151" s="73">
        <f t="shared" si="37"/>
        <v>4.0000000000000036E-3</v>
      </c>
      <c r="D151" s="18" t="str">
        <f t="shared" si="38"/>
        <v>/</v>
      </c>
      <c r="E151" s="18">
        <f ca="1">IF(表2_36716262930[[#This Row],[累计净值]]/MAX(INDIRECT("B21:B" &amp; ROW()))-1&lt;E150,表2_36716262930[[#This Row],[累计净值]]/MAX(INDIRECT("B21:B" &amp; ROW()))-1,E150)</f>
        <v>-1.2011210463098942E-2</v>
      </c>
      <c r="F151" s="62">
        <f>表2_36716262930[[#This Row],[累计净值]]-0.0836</f>
        <v>1.4500000000000002</v>
      </c>
      <c r="G151" s="20">
        <f>表2_36716262930[[#This Row],[单位净值]]/$F$21-1</f>
        <v>4.6176046176046315E-2</v>
      </c>
    </row>
    <row r="152" spans="1:7">
      <c r="A152" s="15">
        <v>43902</v>
      </c>
      <c r="B152" s="16">
        <v>1.5366</v>
      </c>
      <c r="C152" s="73">
        <f t="shared" si="37"/>
        <v>2.9999999999998916E-3</v>
      </c>
      <c r="D152" s="18" t="str">
        <f t="shared" si="38"/>
        <v>/</v>
      </c>
      <c r="E152" s="18">
        <f ca="1">IF(表2_36716262930[[#This Row],[累计净值]]/MAX(INDIRECT("B21:B" &amp; ROW()))-1&lt;E151,表2_36716262930[[#This Row],[累计净值]]/MAX(INDIRECT("B21:B" &amp; ROW()))-1,E151)</f>
        <v>-1.2011210463098942E-2</v>
      </c>
      <c r="F152" s="62">
        <f>表2_36716262930[[#This Row],[累计净值]]-0.0836</f>
        <v>1.4530000000000001</v>
      </c>
      <c r="G152" s="20">
        <f>表2_36716262930[[#This Row],[单位净值]]/$F$21-1</f>
        <v>4.8340548340548573E-2</v>
      </c>
    </row>
    <row r="153" spans="1:7">
      <c r="A153" s="15">
        <v>43903</v>
      </c>
      <c r="B153" s="16">
        <v>1.5376000000000001</v>
      </c>
      <c r="C153" s="73">
        <f t="shared" si="37"/>
        <v>1.0000000000001119E-3</v>
      </c>
      <c r="D153" s="18" t="str">
        <f t="shared" si="38"/>
        <v>/</v>
      </c>
      <c r="E153" s="18">
        <f ca="1">IF(表2_36716262930[[#This Row],[累计净值]]/MAX(INDIRECT("B21:B" &amp; ROW()))-1&lt;E152,表2_36716262930[[#This Row],[累计净值]]/MAX(INDIRECT("B21:B" &amp; ROW()))-1,E152)</f>
        <v>-1.2011210463098942E-2</v>
      </c>
      <c r="F153" s="62">
        <f>表2_36716262930[[#This Row],[累计净值]]-0.0836</f>
        <v>1.4540000000000002</v>
      </c>
      <c r="G153" s="20">
        <f>表2_36716262930[[#This Row],[单位净值]]/$F$21-1</f>
        <v>4.9062049062049251E-2</v>
      </c>
    </row>
    <row r="154" spans="1:7">
      <c r="A154" s="15">
        <v>43906</v>
      </c>
      <c r="B154" s="16">
        <v>1.5406</v>
      </c>
      <c r="C154" s="73">
        <f t="shared" ref="C154:C159" si="39">IFERROR(B154-B153,0)</f>
        <v>2.9999999999998916E-3</v>
      </c>
      <c r="D154" s="18" t="str">
        <f t="shared" ref="D154:D159" si="40">IF(C154&lt;0,C154,"/")</f>
        <v>/</v>
      </c>
      <c r="E154" s="18">
        <f ca="1">IF(表2_36716262930[[#This Row],[累计净值]]/MAX(INDIRECT("B21:B" &amp; ROW()))-1&lt;E153,表2_36716262930[[#This Row],[累计净值]]/MAX(INDIRECT("B21:B" &amp; ROW()))-1,E153)</f>
        <v>-1.2011210463098942E-2</v>
      </c>
      <c r="F154" s="62">
        <f>表2_36716262930[[#This Row],[累计净值]]-0.0836</f>
        <v>1.4570000000000001</v>
      </c>
      <c r="G154" s="20">
        <f>表2_36716262930[[#This Row],[单位净值]]/$F$21-1</f>
        <v>5.1226551226551287E-2</v>
      </c>
    </row>
    <row r="155" spans="1:7">
      <c r="A155" s="15">
        <v>43907</v>
      </c>
      <c r="B155" s="16">
        <v>1.5416000000000001</v>
      </c>
      <c r="C155" s="73">
        <f t="shared" si="39"/>
        <v>1.0000000000001119E-3</v>
      </c>
      <c r="D155" s="18" t="str">
        <f t="shared" si="40"/>
        <v>/</v>
      </c>
      <c r="E155" s="18">
        <f ca="1">IF(表2_36716262930[[#This Row],[累计净值]]/MAX(INDIRECT("B21:B" &amp; ROW()))-1&lt;E154,表2_36716262930[[#This Row],[累计净值]]/MAX(INDIRECT("B21:B" &amp; ROW()))-1,E154)</f>
        <v>-1.2011210463098942E-2</v>
      </c>
      <c r="F155" s="62">
        <f>表2_36716262930[[#This Row],[累计净值]]-0.0836</f>
        <v>1.4580000000000002</v>
      </c>
      <c r="G155" s="20">
        <f>表2_36716262930[[#This Row],[单位净值]]/$F$21-1</f>
        <v>5.1948051948052187E-2</v>
      </c>
    </row>
    <row r="156" spans="1:7">
      <c r="A156" s="15">
        <v>43908</v>
      </c>
      <c r="B156" s="16">
        <v>1.5456000000000001</v>
      </c>
      <c r="C156" s="73">
        <f t="shared" si="39"/>
        <v>4.0000000000000036E-3</v>
      </c>
      <c r="D156" s="18" t="str">
        <f t="shared" si="40"/>
        <v>/</v>
      </c>
      <c r="E156" s="18">
        <f ca="1">IF(表2_36716262930[[#This Row],[累计净值]]/MAX(INDIRECT("B21:B" &amp; ROW()))-1&lt;E155,表2_36716262930[[#This Row],[累计净值]]/MAX(INDIRECT("B21:B" &amp; ROW()))-1,E155)</f>
        <v>-1.2011210463098942E-2</v>
      </c>
      <c r="F156" s="62">
        <f>表2_36716262930[[#This Row],[累计净值]]-0.0836</f>
        <v>1.4620000000000002</v>
      </c>
      <c r="G156" s="20">
        <f>表2_36716262930[[#This Row],[单位净值]]/$F$21-1</f>
        <v>5.4834054834055124E-2</v>
      </c>
    </row>
    <row r="157" spans="1:7">
      <c r="A157" s="15">
        <v>43909</v>
      </c>
      <c r="B157" s="16">
        <v>1.5476000000000001</v>
      </c>
      <c r="C157" s="73">
        <f t="shared" si="39"/>
        <v>2.0000000000000018E-3</v>
      </c>
      <c r="D157" s="18" t="str">
        <f t="shared" si="40"/>
        <v>/</v>
      </c>
      <c r="E157" s="18">
        <f ca="1">IF(表2_36716262930[[#This Row],[累计净值]]/MAX(INDIRECT("B21:B" &amp; ROW()))-1&lt;E156,表2_36716262930[[#This Row],[累计净值]]/MAX(INDIRECT("B21:B" &amp; ROW()))-1,E156)</f>
        <v>-1.2011210463098942E-2</v>
      </c>
      <c r="F157" s="62">
        <f>表2_36716262930[[#This Row],[累计净值]]-0.0836</f>
        <v>1.4640000000000002</v>
      </c>
      <c r="G157" s="20">
        <f>表2_36716262930[[#This Row],[单位净值]]/$F$21-1</f>
        <v>5.6277056277056481E-2</v>
      </c>
    </row>
    <row r="158" spans="1:7">
      <c r="A158" s="15">
        <v>43910</v>
      </c>
      <c r="B158" s="16">
        <v>1.5486</v>
      </c>
      <c r="C158" s="73">
        <f t="shared" si="39"/>
        <v>9.9999999999988987E-4</v>
      </c>
      <c r="D158" s="18" t="str">
        <f t="shared" si="40"/>
        <v>/</v>
      </c>
      <c r="E158" s="18">
        <f ca="1">IF(表2_36716262930[[#This Row],[累计净值]]/MAX(INDIRECT("B21:B" &amp; ROW()))-1&lt;E157,表2_36716262930[[#This Row],[累计净值]]/MAX(INDIRECT("B21:B" &amp; ROW()))-1,E157)</f>
        <v>-1.2011210463098942E-2</v>
      </c>
      <c r="F158" s="62">
        <f>表2_36716262930[[#This Row],[累计净值]]-0.0836</f>
        <v>1.4650000000000001</v>
      </c>
      <c r="G158" s="20">
        <f>表2_36716262930[[#This Row],[单位净值]]/$F$21-1</f>
        <v>5.6998556998557159E-2</v>
      </c>
    </row>
    <row r="159" spans="1:7">
      <c r="A159" s="15">
        <v>43913</v>
      </c>
      <c r="B159" s="16">
        <v>1.5486</v>
      </c>
      <c r="C159" s="73">
        <f t="shared" si="39"/>
        <v>0</v>
      </c>
      <c r="D159" s="18" t="str">
        <f t="shared" si="40"/>
        <v>/</v>
      </c>
      <c r="E159" s="18">
        <f ca="1">IF(表2_36716262930[[#This Row],[累计净值]]/MAX(INDIRECT("B21:B" &amp; ROW()))-1&lt;E158,表2_36716262930[[#This Row],[累计净值]]/MAX(INDIRECT("B21:B" &amp; ROW()))-1,E158)</f>
        <v>-1.2011210463098942E-2</v>
      </c>
      <c r="F159" s="62">
        <f>表2_36716262930[[#This Row],[累计净值]]-0.0836</f>
        <v>1.4650000000000001</v>
      </c>
      <c r="G159" s="20">
        <f>表2_36716262930[[#This Row],[单位净值]]/$F$21-1</f>
        <v>5.6998556998557159E-2</v>
      </c>
    </row>
    <row r="160" spans="1:7">
      <c r="A160" s="15">
        <v>43914</v>
      </c>
      <c r="B160" s="16">
        <v>1.5476000000000001</v>
      </c>
      <c r="C160" s="73">
        <f t="shared" ref="C160:C165" si="41">IFERROR(B160-B159,0)</f>
        <v>-9.9999999999988987E-4</v>
      </c>
      <c r="D160" s="18">
        <f t="shared" ref="D160:D165" si="42">IF(C160&lt;0,C160,"/")</f>
        <v>-9.9999999999988987E-4</v>
      </c>
      <c r="E160" s="18">
        <f ca="1">IF(表2_36716262930[[#This Row],[累计净值]]/MAX(INDIRECT("B21:B" &amp; ROW()))-1&lt;E159,表2_36716262930[[#This Row],[累计净值]]/MAX(INDIRECT("B21:B" &amp; ROW()))-1,E159)</f>
        <v>-1.2011210463098942E-2</v>
      </c>
      <c r="F160" s="62">
        <f>表2_36716262930[[#This Row],[累计净值]]-0.0836</f>
        <v>1.4640000000000002</v>
      </c>
      <c r="G160" s="20">
        <f>表2_36716262930[[#This Row],[单位净值]]/$F$21-1</f>
        <v>5.6277056277056481E-2</v>
      </c>
    </row>
    <row r="161" spans="1:9">
      <c r="A161" s="15">
        <v>43915</v>
      </c>
      <c r="B161" s="16">
        <v>1.5496000000000001</v>
      </c>
      <c r="C161" s="73">
        <f t="shared" si="41"/>
        <v>2.0000000000000018E-3</v>
      </c>
      <c r="D161" s="18" t="str">
        <f t="shared" si="42"/>
        <v>/</v>
      </c>
      <c r="E161" s="18">
        <f ca="1">IF(表2_36716262930[[#This Row],[累计净值]]/MAX(INDIRECT("B21:B" &amp; ROW()))-1&lt;E160,表2_36716262930[[#This Row],[累计净值]]/MAX(INDIRECT("B21:B" &amp; ROW()))-1,E160)</f>
        <v>-1.2011210463098942E-2</v>
      </c>
      <c r="F161" s="62">
        <f>表2_36716262930[[#This Row],[累计净值]]-0.0836</f>
        <v>1.4660000000000002</v>
      </c>
      <c r="G161" s="20">
        <f>表2_36716262930[[#This Row],[单位净值]]/$F$21-1</f>
        <v>5.7720057720057838E-2</v>
      </c>
    </row>
    <row r="162" spans="1:9">
      <c r="A162" s="15">
        <v>43916</v>
      </c>
      <c r="B162" s="16">
        <v>1.5506</v>
      </c>
      <c r="C162" s="73">
        <f t="shared" si="41"/>
        <v>9.9999999999988987E-4</v>
      </c>
      <c r="D162" s="18" t="str">
        <f t="shared" si="42"/>
        <v>/</v>
      </c>
      <c r="E162" s="18">
        <f ca="1">IF(表2_36716262930[[#This Row],[累计净值]]/MAX(INDIRECT("B21:B" &amp; ROW()))-1&lt;E161,表2_36716262930[[#This Row],[累计净值]]/MAX(INDIRECT("B21:B" &amp; ROW()))-1,E161)</f>
        <v>-1.2011210463098942E-2</v>
      </c>
      <c r="F162" s="62">
        <f>表2_36716262930[[#This Row],[累计净值]]-0.0836</f>
        <v>1.4670000000000001</v>
      </c>
      <c r="G162" s="20">
        <f>表2_36716262930[[#This Row],[单位净值]]/$F$21-1</f>
        <v>5.8441558441558517E-2</v>
      </c>
    </row>
    <row r="163" spans="1:9">
      <c r="A163" s="15">
        <v>43917</v>
      </c>
      <c r="B163" s="16">
        <v>1.5496000000000001</v>
      </c>
      <c r="C163" s="73">
        <f t="shared" si="41"/>
        <v>-9.9999999999988987E-4</v>
      </c>
      <c r="D163" s="18">
        <f t="shared" si="42"/>
        <v>-9.9999999999988987E-4</v>
      </c>
      <c r="E163" s="18">
        <f ca="1">IF(表2_36716262930[[#This Row],[累计净值]]/MAX(INDIRECT("B21:B" &amp; ROW()))-1&lt;E162,表2_36716262930[[#This Row],[累计净值]]/MAX(INDIRECT("B21:B" &amp; ROW()))-1,E162)</f>
        <v>-1.2011210463098942E-2</v>
      </c>
      <c r="F163" s="62">
        <f>表2_36716262930[[#This Row],[累计净值]]-0.0836</f>
        <v>1.4660000000000002</v>
      </c>
      <c r="G163" s="20">
        <f>表2_36716262930[[#This Row],[单位净值]]/$F$21-1</f>
        <v>5.7720057720057838E-2</v>
      </c>
    </row>
    <row r="164" spans="1:9">
      <c r="A164" s="15">
        <v>43920</v>
      </c>
      <c r="B164" s="16">
        <v>1.5506</v>
      </c>
      <c r="C164" s="73">
        <f t="shared" si="41"/>
        <v>9.9999999999988987E-4</v>
      </c>
      <c r="D164" s="18" t="str">
        <f t="shared" si="42"/>
        <v>/</v>
      </c>
      <c r="E164" s="18">
        <f ca="1">IF(表2_36716262930[[#This Row],[累计净值]]/MAX(INDIRECT("B21:B" &amp; ROW()))-1&lt;E163,表2_36716262930[[#This Row],[累计净值]]/MAX(INDIRECT("B21:B" &amp; ROW()))-1,E163)</f>
        <v>-1.2011210463098942E-2</v>
      </c>
      <c r="F164" s="62">
        <f>表2_36716262930[[#This Row],[累计净值]]-0.0836</f>
        <v>1.4670000000000001</v>
      </c>
      <c r="G164" s="20">
        <f>表2_36716262930[[#This Row],[单位净值]]/$F$21-1</f>
        <v>5.8441558441558517E-2</v>
      </c>
    </row>
    <row r="165" spans="1:9">
      <c r="A165" s="15">
        <v>43921</v>
      </c>
      <c r="B165" s="16">
        <v>1.5496000000000001</v>
      </c>
      <c r="C165" s="73">
        <f t="shared" si="41"/>
        <v>-9.9999999999988987E-4</v>
      </c>
      <c r="D165" s="18">
        <f t="shared" si="42"/>
        <v>-9.9999999999988987E-4</v>
      </c>
      <c r="E165" s="18">
        <f ca="1">IF(表2_36716262930[[#This Row],[累计净值]]/MAX(INDIRECT("B21:B" &amp; ROW()))-1&lt;E164,表2_36716262930[[#This Row],[累计净值]]/MAX(INDIRECT("B21:B" &amp; ROW()))-1,E164)</f>
        <v>-1.2011210463098942E-2</v>
      </c>
      <c r="F165" s="62">
        <f>表2_36716262930[[#This Row],[累计净值]]-0.0836</f>
        <v>1.4660000000000002</v>
      </c>
      <c r="G165" s="20">
        <f>表2_36716262930[[#This Row],[单位净值]]/$F$21-1</f>
        <v>5.7720057720057838E-2</v>
      </c>
    </row>
    <row r="166" spans="1:9">
      <c r="A166" s="15">
        <v>43922</v>
      </c>
      <c r="B166" s="16">
        <v>1.5496000000000001</v>
      </c>
      <c r="C166" s="73">
        <f t="shared" ref="C166:C171" si="43">IFERROR(B166-B165,0)</f>
        <v>0</v>
      </c>
      <c r="D166" s="18" t="str">
        <f t="shared" ref="D166:D171" si="44">IF(C166&lt;0,C166,"/")</f>
        <v>/</v>
      </c>
      <c r="E166" s="18">
        <f ca="1">IF(表2_36716262930[[#This Row],[累计净值]]/MAX(INDIRECT("B21:B" &amp; ROW()))-1&lt;E165,表2_36716262930[[#This Row],[累计净值]]/MAX(INDIRECT("B21:B" &amp; ROW()))-1,E165)</f>
        <v>-1.2011210463098942E-2</v>
      </c>
      <c r="F166" s="62">
        <f>表2_36716262930[[#This Row],[累计净值]]-0.0836</f>
        <v>1.4660000000000002</v>
      </c>
      <c r="G166" s="20">
        <f>表2_36716262930[[#This Row],[单位净值]]/$F$21-1</f>
        <v>5.7720057720057838E-2</v>
      </c>
    </row>
    <row r="167" spans="1:9">
      <c r="A167" s="15">
        <v>43923</v>
      </c>
      <c r="B167" s="16">
        <v>1.5516000000000001</v>
      </c>
      <c r="C167" s="73">
        <f t="shared" si="43"/>
        <v>2.0000000000000018E-3</v>
      </c>
      <c r="D167" s="18" t="str">
        <f t="shared" si="44"/>
        <v>/</v>
      </c>
      <c r="E167" s="18">
        <f ca="1">IF(表2_36716262930[[#This Row],[累计净值]]/MAX(INDIRECT("B21:B" &amp; ROW()))-1&lt;E166,表2_36716262930[[#This Row],[累计净值]]/MAX(INDIRECT("B21:B" &amp; ROW()))-1,E166)</f>
        <v>-1.2011210463098942E-2</v>
      </c>
      <c r="F167" s="62">
        <f>表2_36716262930[[#This Row],[累计净值]]-0.0836</f>
        <v>1.4680000000000002</v>
      </c>
      <c r="G167" s="20">
        <f>表2_36716262930[[#This Row],[单位净值]]/$F$21-1</f>
        <v>5.9163059163059417E-2</v>
      </c>
    </row>
    <row r="168" spans="1:9">
      <c r="A168" s="15">
        <v>43924</v>
      </c>
      <c r="B168" s="16">
        <v>1.5496000000000001</v>
      </c>
      <c r="C168" s="73">
        <f t="shared" si="43"/>
        <v>-2.0000000000000018E-3</v>
      </c>
      <c r="D168" s="18">
        <f t="shared" si="44"/>
        <v>-2.0000000000000018E-3</v>
      </c>
      <c r="E168" s="18">
        <f ca="1">IF(表2_36716262930[[#This Row],[累计净值]]/MAX(INDIRECT("B21:B" &amp; ROW()))-1&lt;E167,表2_36716262930[[#This Row],[累计净值]]/MAX(INDIRECT("B21:B" &amp; ROW()))-1,E167)</f>
        <v>-1.2011210463098942E-2</v>
      </c>
      <c r="F168" s="62">
        <f>表2_36716262930[[#This Row],[累计净值]]-0.0836</f>
        <v>1.4660000000000002</v>
      </c>
      <c r="G168" s="20">
        <f>表2_36716262930[[#This Row],[单位净值]]/$F$21-1</f>
        <v>5.7720057720057838E-2</v>
      </c>
    </row>
    <row r="169" spans="1:9">
      <c r="A169" s="15">
        <v>43928</v>
      </c>
      <c r="B169" s="16">
        <v>1.5506</v>
      </c>
      <c r="C169" s="73">
        <f t="shared" si="43"/>
        <v>9.9999999999988987E-4</v>
      </c>
      <c r="D169" s="18" t="str">
        <f t="shared" si="44"/>
        <v>/</v>
      </c>
      <c r="E169" s="18">
        <f ca="1">IF(表2_36716262930[[#This Row],[累计净值]]/MAX(INDIRECT("B21:B" &amp; ROW()))-1&lt;E168,表2_36716262930[[#This Row],[累计净值]]/MAX(INDIRECT("B21:B" &amp; ROW()))-1,E168)</f>
        <v>-1.2011210463098942E-2</v>
      </c>
      <c r="F169" s="62">
        <f>表2_36716262930[[#This Row],[累计净值]]-0.0836</f>
        <v>1.4670000000000001</v>
      </c>
      <c r="G169" s="20">
        <f>表2_36716262930[[#This Row],[单位净值]]/$F$21-1</f>
        <v>5.8441558441558517E-2</v>
      </c>
    </row>
    <row r="170" spans="1:9">
      <c r="A170" s="15">
        <v>43929</v>
      </c>
      <c r="B170" s="16">
        <v>1.5496000000000001</v>
      </c>
      <c r="C170" s="73">
        <f t="shared" si="43"/>
        <v>-9.9999999999988987E-4</v>
      </c>
      <c r="D170" s="18">
        <f t="shared" si="44"/>
        <v>-9.9999999999988987E-4</v>
      </c>
      <c r="E170" s="18">
        <f ca="1">IF(表2_36716262930[[#This Row],[累计净值]]/MAX(INDIRECT("B21:B" &amp; ROW()))-1&lt;E169,表2_36716262930[[#This Row],[累计净值]]/MAX(INDIRECT("B21:B" &amp; ROW()))-1,E169)</f>
        <v>-1.2011210463098942E-2</v>
      </c>
      <c r="F170" s="62">
        <f>表2_36716262930[[#This Row],[累计净值]]-0.0836</f>
        <v>1.4660000000000002</v>
      </c>
      <c r="G170" s="20">
        <f>表2_36716262930[[#This Row],[单位净值]]/$F$21-1</f>
        <v>5.7720057720057838E-2</v>
      </c>
    </row>
    <row r="171" spans="1:9">
      <c r="A171" s="15">
        <v>43930</v>
      </c>
      <c r="B171" s="16">
        <v>1.5516000000000001</v>
      </c>
      <c r="C171" s="73">
        <f t="shared" si="43"/>
        <v>2.0000000000000018E-3</v>
      </c>
      <c r="D171" s="18" t="str">
        <f t="shared" si="44"/>
        <v>/</v>
      </c>
      <c r="E171" s="18">
        <f ca="1">IF(表2_36716262930[[#This Row],[累计净值]]/MAX(INDIRECT("B21:B" &amp; ROW()))-1&lt;E170,表2_36716262930[[#This Row],[累计净值]]/MAX(INDIRECT("B21:B" &amp; ROW()))-1,E170)</f>
        <v>-1.2011210463098942E-2</v>
      </c>
      <c r="F171" s="62">
        <f>表2_36716262930[[#This Row],[累计净值]]-0.0836</f>
        <v>1.4680000000000002</v>
      </c>
      <c r="G171" s="20">
        <f>表2_36716262930[[#This Row],[单位净值]]/$F$21-1</f>
        <v>5.9163059163059417E-2</v>
      </c>
    </row>
    <row r="172" spans="1:9">
      <c r="A172" s="15">
        <v>43931</v>
      </c>
      <c r="B172" s="16">
        <v>1.5526</v>
      </c>
      <c r="C172" s="73">
        <f t="shared" ref="C172:C177" si="45">IFERROR(B172-B171,0)</f>
        <v>9.9999999999988987E-4</v>
      </c>
      <c r="D172" s="18" t="str">
        <f t="shared" ref="D172:D177" si="46">IF(C172&lt;0,C172,"/")</f>
        <v>/</v>
      </c>
      <c r="E172" s="18">
        <f ca="1">IF(表2_36716262930[[#This Row],[累计净值]]/MAX(INDIRECT("B21:B" &amp; ROW()))-1&lt;E171,表2_36716262930[[#This Row],[累计净值]]/MAX(INDIRECT("B21:B" &amp; ROW()))-1,E171)</f>
        <v>-1.2011210463098942E-2</v>
      </c>
      <c r="F172" s="62">
        <f>表2_36716262930[[#This Row],[累计净值]]-0.0836</f>
        <v>1.4690000000000001</v>
      </c>
      <c r="G172" s="20">
        <f>表2_36716262930[[#This Row],[单位净值]]/$F$21-1</f>
        <v>5.9884559884560096E-2</v>
      </c>
    </row>
    <row r="173" spans="1:9">
      <c r="A173" s="15">
        <v>43934</v>
      </c>
      <c r="B173" s="16">
        <v>1.5516000000000001</v>
      </c>
      <c r="C173" s="73">
        <f t="shared" si="45"/>
        <v>-9.9999999999988987E-4</v>
      </c>
      <c r="D173" s="18">
        <f t="shared" si="46"/>
        <v>-9.9999999999988987E-4</v>
      </c>
      <c r="E173" s="18">
        <f ca="1">IF(表2_36716262930[[#This Row],[累计净值]]/MAX(INDIRECT("B21:B" &amp; ROW()))-1&lt;E172,表2_36716262930[[#This Row],[累计净值]]/MAX(INDIRECT("B21:B" &amp; ROW()))-1,E172)</f>
        <v>-1.2011210463098942E-2</v>
      </c>
      <c r="F173" s="62">
        <f>表2_36716262930[[#This Row],[累计净值]]-0.0836</f>
        <v>1.4680000000000002</v>
      </c>
      <c r="G173" s="20">
        <f>表2_36716262930[[#This Row],[单位净值]]/$F$21-1</f>
        <v>5.9163059163059417E-2</v>
      </c>
      <c r="I173" s="1">
        <f>500/F176</f>
        <v>339.21302578018992</v>
      </c>
    </row>
    <row r="174" spans="1:9">
      <c r="A174" s="15">
        <v>43935</v>
      </c>
      <c r="B174" s="16">
        <v>1.5546</v>
      </c>
      <c r="C174" s="73">
        <f t="shared" si="45"/>
        <v>2.9999999999998916E-3</v>
      </c>
      <c r="D174" s="18" t="str">
        <f t="shared" si="46"/>
        <v>/</v>
      </c>
      <c r="E174" s="18">
        <f ca="1">IF(表2_36716262930[[#This Row],[累计净值]]/MAX(INDIRECT("B21:B" &amp; ROW()))-1&lt;E173,表2_36716262930[[#This Row],[累计净值]]/MAX(INDIRECT("B21:B" &amp; ROW()))-1,E173)</f>
        <v>-1.2011210463098942E-2</v>
      </c>
      <c r="F174" s="62">
        <f>表2_36716262930[[#This Row],[累计净值]]-0.0836</f>
        <v>1.4710000000000001</v>
      </c>
      <c r="G174" s="20">
        <f>表2_36716262930[[#This Row],[单位净值]]/$F$21-1</f>
        <v>6.1327561327561453E-2</v>
      </c>
    </row>
    <row r="175" spans="1:9">
      <c r="A175" s="15">
        <v>43936</v>
      </c>
      <c r="B175" s="96">
        <v>1.5566</v>
      </c>
      <c r="C175" s="94">
        <f t="shared" si="45"/>
        <v>2.0000000000000018E-3</v>
      </c>
      <c r="D175" s="95" t="str">
        <f t="shared" si="46"/>
        <v>/</v>
      </c>
      <c r="E175" s="95">
        <f ca="1">IF(表2_36716262930[[#This Row],[累计净值]]/MAX(INDIRECT("B21:B" &amp; ROW()))-1&lt;E174,表2_36716262930[[#This Row],[累计净值]]/MAX(INDIRECT("B21:B" &amp; ROW()))-1,E174)</f>
        <v>-1.2011210463098942E-2</v>
      </c>
      <c r="F175" s="62">
        <f>表2_36716262930[[#This Row],[累计净值]]-0.0836</f>
        <v>1.4730000000000001</v>
      </c>
      <c r="G175" s="20">
        <f>表2_36716262930[[#This Row],[单位净值]]/$F$21-1</f>
        <v>6.277056277056281E-2</v>
      </c>
    </row>
    <row r="176" spans="1:9">
      <c r="A176" s="15">
        <v>43937</v>
      </c>
      <c r="B176" s="96">
        <v>1.5576000000000001</v>
      </c>
      <c r="C176" s="94">
        <f t="shared" si="45"/>
        <v>1.0000000000001119E-3</v>
      </c>
      <c r="D176" s="95" t="str">
        <f t="shared" si="46"/>
        <v>/</v>
      </c>
      <c r="E176" s="95">
        <f ca="1">IF(表2_36716262930[[#This Row],[累计净值]]/MAX(INDIRECT("B21:B" &amp; ROW()))-1&lt;E175,表2_36716262930[[#This Row],[累计净值]]/MAX(INDIRECT("B21:B" &amp; ROW()))-1,E175)</f>
        <v>-1.2011210463098942E-2</v>
      </c>
      <c r="F176" s="62">
        <f>表2_36716262930[[#This Row],[累计净值]]-0.0836</f>
        <v>1.4740000000000002</v>
      </c>
      <c r="G176" s="20">
        <f>表2_36716262930[[#This Row],[单位净值]]/$F$21-1</f>
        <v>6.3492063492063711E-2</v>
      </c>
    </row>
    <row r="177" spans="1:7">
      <c r="A177" s="15">
        <v>43938</v>
      </c>
      <c r="B177" s="96">
        <v>1.5586</v>
      </c>
      <c r="C177" s="94">
        <f t="shared" si="45"/>
        <v>9.9999999999988987E-4</v>
      </c>
      <c r="D177" s="95" t="str">
        <f t="shared" si="46"/>
        <v>/</v>
      </c>
      <c r="E177" s="95">
        <f ca="1">IF(表2_36716262930[[#This Row],[累计净值]]/MAX(INDIRECT("B21:B" &amp; ROW()))-1&lt;E176,表2_36716262930[[#This Row],[累计净值]]/MAX(INDIRECT("B21:B" &amp; ROW()))-1,E176)</f>
        <v>-1.2011210463098942E-2</v>
      </c>
      <c r="F177" s="62">
        <f>表2_36716262930[[#This Row],[累计净值]]-0.0836</f>
        <v>1.4750000000000001</v>
      </c>
      <c r="G177" s="20">
        <f>表2_36716262930[[#This Row],[单位净值]]/$F$21-1</f>
        <v>6.4213564213564389E-2</v>
      </c>
    </row>
    <row r="178" spans="1:7">
      <c r="A178" s="15">
        <v>43941</v>
      </c>
      <c r="B178" s="96">
        <v>1.5586</v>
      </c>
      <c r="C178" s="94">
        <f t="shared" ref="C178:C183" si="47">IFERROR(B178-B177,0)</f>
        <v>0</v>
      </c>
      <c r="D178" s="95" t="str">
        <f t="shared" ref="D178:D183" si="48">IF(C178&lt;0,C178,"/")</f>
        <v>/</v>
      </c>
      <c r="E178" s="95">
        <f ca="1">IF(表2_36716262930[[#This Row],[累计净值]]/MAX(INDIRECT("B21:B" &amp; ROW()))-1&lt;E177,表2_36716262930[[#This Row],[累计净值]]/MAX(INDIRECT("B21:B" &amp; ROW()))-1,E177)</f>
        <v>-1.2011210463098942E-2</v>
      </c>
      <c r="F178" s="62">
        <f>表2_36716262930[[#This Row],[累计净值]]-0.0836</f>
        <v>1.4750000000000001</v>
      </c>
      <c r="G178" s="20">
        <f>表2_36716262930[[#This Row],[单位净值]]/$F$21-1</f>
        <v>6.4213564213564389E-2</v>
      </c>
    </row>
    <row r="179" spans="1:7">
      <c r="A179" s="15">
        <v>43942</v>
      </c>
      <c r="B179" s="96">
        <v>1.5596000000000001</v>
      </c>
      <c r="C179" s="94">
        <f t="shared" si="47"/>
        <v>1.0000000000001119E-3</v>
      </c>
      <c r="D179" s="95" t="str">
        <f t="shared" si="48"/>
        <v>/</v>
      </c>
      <c r="E179" s="95">
        <f ca="1">IF(表2_36716262930[[#This Row],[累计净值]]/MAX(INDIRECT("B21:B" &amp; ROW()))-1&lt;E178,表2_36716262930[[#This Row],[累计净值]]/MAX(INDIRECT("B21:B" &amp; ROW()))-1,E178)</f>
        <v>-1.2011210463098942E-2</v>
      </c>
      <c r="F179" s="62">
        <f>表2_36716262930[[#This Row],[累计净值]]-0.0836</f>
        <v>1.4760000000000002</v>
      </c>
      <c r="G179" s="20">
        <f>表2_36716262930[[#This Row],[单位净值]]/$F$21-1</f>
        <v>6.4935064935065068E-2</v>
      </c>
    </row>
    <row r="180" spans="1:7">
      <c r="A180" s="9">
        <v>43943</v>
      </c>
      <c r="B180" s="114">
        <v>1.5596000000000001</v>
      </c>
      <c r="C180" s="115">
        <f t="shared" si="47"/>
        <v>0</v>
      </c>
      <c r="D180" s="116" t="str">
        <f t="shared" si="48"/>
        <v>/</v>
      </c>
      <c r="E180" s="116">
        <f ca="1">IF(表2_36716262930[[#This Row],[累计净值]]/MAX(INDIRECT("B21:B" &amp; ROW()))-1&lt;E179,表2_36716262930[[#This Row],[累计净值]]/MAX(INDIRECT("B21:B" &amp; ROW()))-1,E179)</f>
        <v>-1.2011210463098942E-2</v>
      </c>
      <c r="F180" s="81">
        <f>表2_36716262930[[#This Row],[累计净值]]-0.0836</f>
        <v>1.4760000000000002</v>
      </c>
      <c r="G180" s="82">
        <f>表2_36716262930[[#This Row],[单位净值]]/$F$21-1</f>
        <v>6.4935064935065068E-2</v>
      </c>
    </row>
    <row r="181" spans="1:7">
      <c r="A181" s="15">
        <v>43944</v>
      </c>
      <c r="B181" s="107">
        <v>1.5606</v>
      </c>
      <c r="C181" s="94">
        <f t="shared" si="47"/>
        <v>9.9999999999988987E-4</v>
      </c>
      <c r="D181" s="95" t="str">
        <f t="shared" si="48"/>
        <v>/</v>
      </c>
      <c r="E181" s="95">
        <f ca="1">IF(表2_36716262930[[#This Row],[累计净值]]/MAX(INDIRECT("B21:B" &amp; ROW()))-1&lt;E180,表2_36716262930[[#This Row],[累计净值]]/MAX(INDIRECT("B21:B" &amp; ROW()))-1,E180)</f>
        <v>-1.2011210463098942E-2</v>
      </c>
      <c r="F181" s="62">
        <f>表2_36716262930[[#This Row],[累计净值]]-0.0836</f>
        <v>1.4770000000000001</v>
      </c>
      <c r="G181" s="20">
        <f>表2_36716262930[[#This Row],[单位净值]]/$F$21-1</f>
        <v>6.5656565656565746E-2</v>
      </c>
    </row>
    <row r="182" spans="1:7">
      <c r="A182" s="15">
        <v>43945</v>
      </c>
      <c r="B182" s="96">
        <v>1.5596000000000001</v>
      </c>
      <c r="C182" s="94">
        <f t="shared" si="47"/>
        <v>-9.9999999999988987E-4</v>
      </c>
      <c r="D182" s="95">
        <f t="shared" si="48"/>
        <v>-9.9999999999988987E-4</v>
      </c>
      <c r="E182" s="95">
        <f ca="1">IF(表2_36716262930[[#This Row],[累计净值]]/MAX(INDIRECT("B21:B" &amp; ROW()))-1&lt;E181,表2_36716262930[[#This Row],[累计净值]]/MAX(INDIRECT("B21:B" &amp; ROW()))-1,E181)</f>
        <v>-1.2011210463098942E-2</v>
      </c>
      <c r="F182" s="62">
        <f>表2_36716262930[[#This Row],[累计净值]]-0.0836</f>
        <v>1.4760000000000002</v>
      </c>
      <c r="G182" s="20">
        <f>表2_36716262930[[#This Row],[单位净值]]/$F$21-1</f>
        <v>6.4935064935065068E-2</v>
      </c>
    </row>
    <row r="183" spans="1:7">
      <c r="A183" s="15">
        <v>43948</v>
      </c>
      <c r="B183" s="96">
        <v>1.5586</v>
      </c>
      <c r="C183" s="94">
        <f t="shared" si="47"/>
        <v>-1.0000000000001119E-3</v>
      </c>
      <c r="D183" s="95">
        <f t="shared" si="48"/>
        <v>-1.0000000000001119E-3</v>
      </c>
      <c r="E183" s="95">
        <f ca="1">IF(表2_36716262930[[#This Row],[累计净值]]/MAX(INDIRECT("B21:B" &amp; ROW()))-1&lt;E182,表2_36716262930[[#This Row],[累计净值]]/MAX(INDIRECT("B21:B" &amp; ROW()))-1,E182)</f>
        <v>-1.2011210463098942E-2</v>
      </c>
      <c r="F183" s="62">
        <f>表2_36716262930[[#This Row],[累计净值]]-0.0836</f>
        <v>1.4750000000000001</v>
      </c>
      <c r="G183" s="20">
        <f>表2_36716262930[[#This Row],[单位净值]]/$F$21-1</f>
        <v>6.4213564213564389E-2</v>
      </c>
    </row>
    <row r="184" spans="1:7">
      <c r="A184" s="15">
        <v>43949</v>
      </c>
      <c r="B184" s="96">
        <v>1.5586</v>
      </c>
      <c r="C184" s="94">
        <f>IFERROR(B184-B183,0)</f>
        <v>0</v>
      </c>
      <c r="D184" s="95" t="str">
        <f>IF(C184&lt;0,C184,"/")</f>
        <v>/</v>
      </c>
      <c r="E184" s="95">
        <f ca="1">IF(表2_36716262930[[#This Row],[累计净值]]/MAX(INDIRECT("B21:B" &amp; ROW()))-1&lt;E183,表2_36716262930[[#This Row],[累计净值]]/MAX(INDIRECT("B21:B" &amp; ROW()))-1,E183)</f>
        <v>-1.2011210463098942E-2</v>
      </c>
      <c r="F184" s="62">
        <f>表2_36716262930[[#This Row],[累计净值]]-0.0836</f>
        <v>1.4750000000000001</v>
      </c>
      <c r="G184" s="20">
        <f>表2_36716262930[[#This Row],[单位净值]]/$F$21-1</f>
        <v>6.4213564213564389E-2</v>
      </c>
    </row>
    <row r="185" spans="1:7">
      <c r="A185" s="15">
        <v>43950</v>
      </c>
      <c r="B185" s="96">
        <v>1.5596000000000001</v>
      </c>
      <c r="C185" s="94">
        <f>IFERROR(B185-B184,0)</f>
        <v>1.0000000000001119E-3</v>
      </c>
      <c r="D185" s="95" t="str">
        <f>IF(C185&lt;0,C185,"/")</f>
        <v>/</v>
      </c>
      <c r="E185" s="95">
        <f ca="1">IF(表2_36716262930[[#This Row],[累计净值]]/MAX(INDIRECT("B21:B" &amp; ROW()))-1&lt;E184,表2_36716262930[[#This Row],[累计净值]]/MAX(INDIRECT("B21:B" &amp; ROW()))-1,E184)</f>
        <v>-1.2011210463098942E-2</v>
      </c>
      <c r="F185" s="62">
        <f>表2_36716262930[[#This Row],[累计净值]]-0.0836</f>
        <v>1.4760000000000002</v>
      </c>
      <c r="G185" s="20">
        <f>表2_36716262930[[#This Row],[单位净值]]/$F$21-1</f>
        <v>6.4935064935065068E-2</v>
      </c>
    </row>
    <row r="186" spans="1:7">
      <c r="A186" s="15">
        <v>43951</v>
      </c>
      <c r="B186" s="96">
        <v>1.5566</v>
      </c>
      <c r="C186" s="94">
        <f>IFERROR(B186-B185,0)</f>
        <v>-3.0000000000001137E-3</v>
      </c>
      <c r="D186" s="95">
        <f>IF(C186&lt;0,C186,"/")</f>
        <v>-3.0000000000001137E-3</v>
      </c>
      <c r="E186" s="95">
        <f ca="1">IF(表2_36716262930[[#This Row],[累计净值]]/MAX(INDIRECT("B21:B" &amp; ROW()))-1&lt;E185,表2_36716262930[[#This Row],[累计净值]]/MAX(INDIRECT("B21:B" &amp; ROW()))-1,E185)</f>
        <v>-1.2011210463098942E-2</v>
      </c>
      <c r="F186" s="62">
        <f>表2_36716262930[[#This Row],[累计净值]]-0.0836</f>
        <v>1.4730000000000001</v>
      </c>
      <c r="G186" s="20">
        <f>表2_36716262930[[#This Row],[单位净值]]/$F$21-1</f>
        <v>6.277056277056281E-2</v>
      </c>
    </row>
    <row r="187" spans="1:7">
      <c r="A187" s="15">
        <v>43957</v>
      </c>
      <c r="B187" s="96">
        <v>1.5576000000000001</v>
      </c>
      <c r="C187" s="94">
        <f>IFERROR(B187-B186,0)</f>
        <v>1.0000000000001119E-3</v>
      </c>
      <c r="D187" s="95" t="str">
        <f>IF(C187&lt;0,C187,"/")</f>
        <v>/</v>
      </c>
      <c r="E187" s="95">
        <f ca="1">IF(表2_36716262930[[#This Row],[累计净值]]/MAX(INDIRECT("B21:B" &amp; ROW()))-1&lt;E186,表2_36716262930[[#This Row],[累计净值]]/MAX(INDIRECT("B21:B" &amp; ROW()))-1,E186)</f>
        <v>-1.2011210463098942E-2</v>
      </c>
      <c r="F187" s="62">
        <f>表2_36716262930[[#This Row],[累计净值]]-0.0836</f>
        <v>1.4740000000000002</v>
      </c>
      <c r="G187" s="20">
        <f>表2_36716262930[[#This Row],[单位净值]]/$F$21-1</f>
        <v>6.3492063492063711E-2</v>
      </c>
    </row>
    <row r="188" spans="1:7">
      <c r="A188" s="15">
        <v>43958</v>
      </c>
      <c r="B188" s="104">
        <v>1.5586</v>
      </c>
      <c r="C188" s="101">
        <f t="shared" ref="C188:C193" si="49">IFERROR(B188-B187,0)</f>
        <v>9.9999999999988987E-4</v>
      </c>
      <c r="D188" s="102" t="str">
        <f t="shared" ref="D188:D193" si="50">IF(C188&lt;0,C188,"/")</f>
        <v>/</v>
      </c>
      <c r="E188" s="102">
        <f ca="1">IF(表2_36716262930[[#This Row],[累计净值]]/MAX(INDIRECT("B21:B" &amp; ROW()))-1&lt;E187,表2_36716262930[[#This Row],[累计净值]]/MAX(INDIRECT("B21:B" &amp; ROW()))-1,E187)</f>
        <v>-1.2011210463098942E-2</v>
      </c>
      <c r="F188" s="62">
        <f>表2_36716262930[[#This Row],[累计净值]]-0.0836</f>
        <v>1.4750000000000001</v>
      </c>
      <c r="G188" s="20">
        <f>表2_36716262930[[#This Row],[单位净值]]/$F$21-1</f>
        <v>6.4213564213564389E-2</v>
      </c>
    </row>
    <row r="189" spans="1:7">
      <c r="A189" s="15">
        <v>43959</v>
      </c>
      <c r="B189" s="104">
        <v>1.5606</v>
      </c>
      <c r="C189" s="101">
        <f t="shared" si="49"/>
        <v>2.0000000000000018E-3</v>
      </c>
      <c r="D189" s="102" t="str">
        <f t="shared" si="50"/>
        <v>/</v>
      </c>
      <c r="E189" s="102">
        <f ca="1">IF(表2_36716262930[[#This Row],[累计净值]]/MAX(INDIRECT("B21:B" &amp; ROW()))-1&lt;E188,表2_36716262930[[#This Row],[累计净值]]/MAX(INDIRECT("B21:B" &amp; ROW()))-1,E188)</f>
        <v>-1.2011210463098942E-2</v>
      </c>
      <c r="F189" s="62">
        <f>表2_36716262930[[#This Row],[累计净值]]-0.0836</f>
        <v>1.4770000000000001</v>
      </c>
      <c r="G189" s="20">
        <f>表2_36716262930[[#This Row],[单位净值]]/$F$21-1</f>
        <v>6.5656565656565746E-2</v>
      </c>
    </row>
    <row r="190" spans="1:7">
      <c r="A190" s="15">
        <v>43962</v>
      </c>
      <c r="B190" s="104">
        <v>1.5616000000000001</v>
      </c>
      <c r="C190" s="101">
        <f t="shared" si="49"/>
        <v>1.0000000000001119E-3</v>
      </c>
      <c r="D190" s="102" t="str">
        <f t="shared" si="50"/>
        <v>/</v>
      </c>
      <c r="E190" s="102">
        <f ca="1">IF(表2_36716262930[[#This Row],[累计净值]]/MAX(INDIRECT("B21:B" &amp; ROW()))-1&lt;E189,表2_36716262930[[#This Row],[累计净值]]/MAX(INDIRECT("B21:B" &amp; ROW()))-1,E189)</f>
        <v>-1.2011210463098942E-2</v>
      </c>
      <c r="F190" s="62">
        <f>表2_36716262930[[#This Row],[累计净值]]-0.0836</f>
        <v>1.4780000000000002</v>
      </c>
      <c r="G190" s="20">
        <f>表2_36716262930[[#This Row],[单位净值]]/$F$21-1</f>
        <v>6.6378066378066647E-2</v>
      </c>
    </row>
    <row r="191" spans="1:7">
      <c r="A191" s="15">
        <v>43963</v>
      </c>
      <c r="B191" s="104">
        <v>1.5646</v>
      </c>
      <c r="C191" s="101">
        <f t="shared" si="49"/>
        <v>2.9999999999998916E-3</v>
      </c>
      <c r="D191" s="102" t="str">
        <f t="shared" si="50"/>
        <v>/</v>
      </c>
      <c r="E191" s="102">
        <f ca="1">IF(表2_36716262930[[#This Row],[累计净值]]/MAX(INDIRECT("B21:B" &amp; ROW()))-1&lt;E190,表2_36716262930[[#This Row],[累计净值]]/MAX(INDIRECT("B21:B" &amp; ROW()))-1,E190)</f>
        <v>-1.2011210463098942E-2</v>
      </c>
      <c r="F191" s="62">
        <f>表2_36716262930[[#This Row],[累计净值]]-0.0836</f>
        <v>1.4810000000000001</v>
      </c>
      <c r="G191" s="20">
        <f>表2_36716262930[[#This Row],[单位净值]]/$F$21-1</f>
        <v>6.8542568542568683E-2</v>
      </c>
    </row>
    <row r="192" spans="1:7">
      <c r="A192" s="15">
        <v>43964</v>
      </c>
      <c r="B192" s="104">
        <v>1.5646</v>
      </c>
      <c r="C192" s="101">
        <f t="shared" si="49"/>
        <v>0</v>
      </c>
      <c r="D192" s="102" t="str">
        <f t="shared" si="50"/>
        <v>/</v>
      </c>
      <c r="E192" s="102">
        <f ca="1">IF(表2_36716262930[[#This Row],[累计净值]]/MAX(INDIRECT("B21:B" &amp; ROW()))-1&lt;E191,表2_36716262930[[#This Row],[累计净值]]/MAX(INDIRECT("B21:B" &amp; ROW()))-1,E191)</f>
        <v>-1.2011210463098942E-2</v>
      </c>
      <c r="F192" s="62">
        <f>表2_36716262930[[#This Row],[累计净值]]-0.0836</f>
        <v>1.4810000000000001</v>
      </c>
      <c r="G192" s="20">
        <f>表2_36716262930[[#This Row],[单位净值]]/$F$21-1</f>
        <v>6.8542568542568683E-2</v>
      </c>
    </row>
    <row r="193" spans="1:7">
      <c r="A193" s="15">
        <v>43965</v>
      </c>
      <c r="B193" s="107">
        <v>1.5656000000000001</v>
      </c>
      <c r="C193" s="101">
        <f t="shared" si="49"/>
        <v>1.0000000000001119E-3</v>
      </c>
      <c r="D193" s="102" t="str">
        <f t="shared" si="50"/>
        <v>/</v>
      </c>
      <c r="E193" s="102">
        <f ca="1">IF(表2_36716262930[[#This Row],[累计净值]]/MAX(INDIRECT("B21:B" &amp; ROW()))-1&lt;E192,表2_36716262930[[#This Row],[累计净值]]/MAX(INDIRECT("B21:B" &amp; ROW()))-1,E192)</f>
        <v>-1.2011210463098942E-2</v>
      </c>
      <c r="F193" s="62">
        <f>表2_36716262930[[#This Row],[累计净值]]-0.0836</f>
        <v>1.4820000000000002</v>
      </c>
      <c r="G193" s="20">
        <f>表2_36716262930[[#This Row],[单位净值]]/$F$21-1</f>
        <v>6.9264069264069583E-2</v>
      </c>
    </row>
    <row r="194" spans="1:7">
      <c r="A194" s="15">
        <v>43966</v>
      </c>
      <c r="B194" s="104">
        <v>1.5636000000000001</v>
      </c>
      <c r="C194" s="101">
        <f t="shared" ref="C194:C199" si="51">IFERROR(B194-B193,0)</f>
        <v>-2.0000000000000018E-3</v>
      </c>
      <c r="D194" s="102">
        <f t="shared" ref="D194:D199" si="52">IF(C194&lt;0,C194,"/")</f>
        <v>-2.0000000000000018E-3</v>
      </c>
      <c r="E194" s="102">
        <f ca="1">IF(表2_36716262930[[#This Row],[累计净值]]/MAX(INDIRECT("B21:B" &amp; ROW()))-1&lt;E193,表2_36716262930[[#This Row],[累计净值]]/MAX(INDIRECT("B21:B" &amp; ROW()))-1,E193)</f>
        <v>-1.2011210463098942E-2</v>
      </c>
      <c r="F194" s="62">
        <f>表2_36716262930[[#This Row],[累计净值]]-0.0836</f>
        <v>1.4800000000000002</v>
      </c>
      <c r="G194" s="20">
        <f>表2_36716262930[[#This Row],[单位净值]]/$F$21-1</f>
        <v>6.7821067821068004E-2</v>
      </c>
    </row>
    <row r="195" spans="1:7">
      <c r="A195" s="15">
        <v>43969</v>
      </c>
      <c r="B195" s="104">
        <v>1.5636000000000001</v>
      </c>
      <c r="C195" s="101">
        <f t="shared" si="51"/>
        <v>0</v>
      </c>
      <c r="D195" s="102" t="str">
        <f t="shared" si="52"/>
        <v>/</v>
      </c>
      <c r="E195" s="102">
        <f ca="1">IF(表2_36716262930[[#This Row],[累计净值]]/MAX(INDIRECT("B21:B" &amp; ROW()))-1&lt;E194,表2_36716262930[[#This Row],[累计净值]]/MAX(INDIRECT("B21:B" &amp; ROW()))-1,E194)</f>
        <v>-1.2011210463098942E-2</v>
      </c>
      <c r="F195" s="62">
        <f>表2_36716262930[[#This Row],[累计净值]]-0.0836</f>
        <v>1.4800000000000002</v>
      </c>
      <c r="G195" s="20">
        <f>表2_36716262930[[#This Row],[单位净值]]/$F$21-1</f>
        <v>6.7821067821068004E-2</v>
      </c>
    </row>
    <row r="196" spans="1:7">
      <c r="A196" s="15">
        <v>43970</v>
      </c>
      <c r="B196" s="104">
        <v>1.5646</v>
      </c>
      <c r="C196" s="101">
        <f t="shared" si="51"/>
        <v>9.9999999999988987E-4</v>
      </c>
      <c r="D196" s="102" t="str">
        <f t="shared" si="52"/>
        <v>/</v>
      </c>
      <c r="E196" s="102">
        <f ca="1">IF(表2_36716262930[[#This Row],[累计净值]]/MAX(INDIRECT("B21:B" &amp; ROW()))-1&lt;E195,表2_36716262930[[#This Row],[累计净值]]/MAX(INDIRECT("B21:B" &amp; ROW()))-1,E195)</f>
        <v>-1.2011210463098942E-2</v>
      </c>
      <c r="F196" s="62">
        <f>表2_36716262930[[#This Row],[累计净值]]-0.0836</f>
        <v>1.4810000000000001</v>
      </c>
      <c r="G196" s="20">
        <f>表2_36716262930[[#This Row],[单位净值]]/$F$21-1</f>
        <v>6.8542568542568683E-2</v>
      </c>
    </row>
    <row r="197" spans="1:7">
      <c r="A197" s="15">
        <v>43971</v>
      </c>
      <c r="B197" s="104">
        <v>1.5656000000000001</v>
      </c>
      <c r="C197" s="101">
        <f t="shared" si="51"/>
        <v>1.0000000000001119E-3</v>
      </c>
      <c r="D197" s="102" t="str">
        <f t="shared" si="52"/>
        <v>/</v>
      </c>
      <c r="E197" s="102">
        <f ca="1">IF(表2_36716262930[[#This Row],[累计净值]]/MAX(INDIRECT("B21:B" &amp; ROW()))-1&lt;E196,表2_36716262930[[#This Row],[累计净值]]/MAX(INDIRECT("B21:B" &amp; ROW()))-1,E196)</f>
        <v>-1.2011210463098942E-2</v>
      </c>
      <c r="F197" s="62">
        <f>表2_36716262930[[#This Row],[累计净值]]-0.0836</f>
        <v>1.4820000000000002</v>
      </c>
      <c r="G197" s="20">
        <f>表2_36716262930[[#This Row],[单位净值]]/$F$21-1</f>
        <v>6.9264069264069583E-2</v>
      </c>
    </row>
    <row r="198" spans="1:7">
      <c r="A198" s="15">
        <v>43972</v>
      </c>
      <c r="B198" s="112">
        <v>1.5646</v>
      </c>
      <c r="C198" s="108">
        <f t="shared" si="51"/>
        <v>-1.0000000000001119E-3</v>
      </c>
      <c r="D198" s="109">
        <f t="shared" si="52"/>
        <v>-1.0000000000001119E-3</v>
      </c>
      <c r="E198" s="109">
        <f ca="1">IF(表2_36716262930[[#This Row],[累计净值]]/MAX(INDIRECT("B21:B" &amp; ROW()))-1&lt;E197,表2_36716262930[[#This Row],[累计净值]]/MAX(INDIRECT("B21:B" &amp; ROW()))-1,E197)</f>
        <v>-1.2011210463098942E-2</v>
      </c>
      <c r="F198" s="62">
        <f>表2_36716262930[[#This Row],[累计净值]]-0.0836</f>
        <v>1.4810000000000001</v>
      </c>
      <c r="G198" s="20">
        <f>表2_36716262930[[#This Row],[单位净值]]/$F$21-1</f>
        <v>6.8542568542568683E-2</v>
      </c>
    </row>
    <row r="199" spans="1:7">
      <c r="A199" s="15">
        <v>43973</v>
      </c>
      <c r="B199" s="112">
        <v>1.5626</v>
      </c>
      <c r="C199" s="108">
        <f t="shared" si="51"/>
        <v>-2.0000000000000018E-3</v>
      </c>
      <c r="D199" s="109">
        <f t="shared" si="52"/>
        <v>-2.0000000000000018E-3</v>
      </c>
      <c r="E199" s="109">
        <f ca="1">IF(表2_36716262930[[#This Row],[累计净值]]/MAX(INDIRECT("B21:B" &amp; ROW()))-1&lt;E198,表2_36716262930[[#This Row],[累计净值]]/MAX(INDIRECT("B21:B" &amp; ROW()))-1,E198)</f>
        <v>-1.2011210463098942E-2</v>
      </c>
      <c r="F199" s="62">
        <f>表2_36716262930[[#This Row],[累计净值]]-0.0836</f>
        <v>1.4790000000000001</v>
      </c>
      <c r="G199" s="20">
        <f>表2_36716262930[[#This Row],[单位净值]]/$F$21-1</f>
        <v>6.7099567099567325E-2</v>
      </c>
    </row>
    <row r="200" spans="1:7">
      <c r="A200" s="15">
        <v>43976</v>
      </c>
      <c r="B200" s="112">
        <v>1.5606</v>
      </c>
      <c r="C200" s="108">
        <f t="shared" ref="C200:C205" si="53">IFERROR(B200-B199,0)</f>
        <v>-2.0000000000000018E-3</v>
      </c>
      <c r="D200" s="109">
        <f t="shared" ref="D200:D205" si="54">IF(C200&lt;0,C200,"/")</f>
        <v>-2.0000000000000018E-3</v>
      </c>
      <c r="E200" s="109">
        <f ca="1">IF(表2_36716262930[[#This Row],[累计净值]]/MAX(INDIRECT("B21:B" &amp; ROW()))-1&lt;E199,表2_36716262930[[#This Row],[累计净值]]/MAX(INDIRECT("B21:B" &amp; ROW()))-1,E199)</f>
        <v>-1.2011210463098942E-2</v>
      </c>
      <c r="F200" s="62">
        <f>表2_36716262930[[#This Row],[累计净值]]-0.0836</f>
        <v>1.4770000000000001</v>
      </c>
      <c r="G200" s="20">
        <f>表2_36716262930[[#This Row],[单位净值]]/$F$21-1</f>
        <v>6.5656565656565746E-2</v>
      </c>
    </row>
    <row r="201" spans="1:7">
      <c r="A201" s="15">
        <v>43977</v>
      </c>
      <c r="B201" s="112">
        <v>1.5636000000000001</v>
      </c>
      <c r="C201" s="108">
        <f t="shared" si="53"/>
        <v>3.0000000000001137E-3</v>
      </c>
      <c r="D201" s="109" t="str">
        <f t="shared" si="54"/>
        <v>/</v>
      </c>
      <c r="E201" s="109">
        <f ca="1">IF(表2_36716262930[[#This Row],[累计净值]]/MAX(INDIRECT("B21:B" &amp; ROW()))-1&lt;E200,表2_36716262930[[#This Row],[累计净值]]/MAX(INDIRECT("B21:B" &amp; ROW()))-1,E200)</f>
        <v>-1.2011210463098942E-2</v>
      </c>
      <c r="F201" s="62">
        <f>表2_36716262930[[#This Row],[累计净值]]-0.0836</f>
        <v>1.4800000000000002</v>
      </c>
      <c r="G201" s="20">
        <f>表2_36716262930[[#This Row],[单位净值]]/$F$21-1</f>
        <v>6.7821067821068004E-2</v>
      </c>
    </row>
    <row r="202" spans="1:7">
      <c r="A202" s="15">
        <v>43978</v>
      </c>
      <c r="B202" s="112">
        <v>1.5646</v>
      </c>
      <c r="C202" s="108">
        <f t="shared" si="53"/>
        <v>9.9999999999988987E-4</v>
      </c>
      <c r="D202" s="109" t="str">
        <f t="shared" si="54"/>
        <v>/</v>
      </c>
      <c r="E202" s="109">
        <f ca="1">IF(表2_36716262930[[#This Row],[累计净值]]/MAX(INDIRECT("B21:B" &amp; ROW()))-1&lt;E201,表2_36716262930[[#This Row],[累计净值]]/MAX(INDIRECT("B21:B" &amp; ROW()))-1,E201)</f>
        <v>-1.2011210463098942E-2</v>
      </c>
      <c r="F202" s="62">
        <f>表2_36716262930[[#This Row],[累计净值]]-0.0836</f>
        <v>1.4810000000000001</v>
      </c>
      <c r="G202" s="20">
        <f>表2_36716262930[[#This Row],[单位净值]]/$F$21-1</f>
        <v>6.8542568542568683E-2</v>
      </c>
    </row>
    <row r="203" spans="1:7">
      <c r="A203" s="15">
        <v>43979</v>
      </c>
      <c r="B203" s="112">
        <v>1.5636000000000001</v>
      </c>
      <c r="C203" s="108">
        <f t="shared" si="53"/>
        <v>-9.9999999999988987E-4</v>
      </c>
      <c r="D203" s="109">
        <f t="shared" si="54"/>
        <v>-9.9999999999988987E-4</v>
      </c>
      <c r="E203" s="109">
        <f ca="1">IF(表2_36716262930[[#This Row],[累计净值]]/MAX(INDIRECT("B21:B" &amp; ROW()))-1&lt;E202,表2_36716262930[[#This Row],[累计净值]]/MAX(INDIRECT("B21:B" &amp; ROW()))-1,E202)</f>
        <v>-1.2011210463098942E-2</v>
      </c>
      <c r="F203" s="62">
        <f>表2_36716262930[[#This Row],[累计净值]]-0.0836</f>
        <v>1.4800000000000002</v>
      </c>
      <c r="G203" s="20">
        <f>表2_36716262930[[#This Row],[单位净值]]/$F$21-1</f>
        <v>6.7821067821068004E-2</v>
      </c>
    </row>
    <row r="204" spans="1:7">
      <c r="A204" s="15">
        <v>43980</v>
      </c>
      <c r="B204" s="112">
        <v>1.5666</v>
      </c>
      <c r="C204" s="108">
        <f t="shared" si="53"/>
        <v>2.9999999999998916E-3</v>
      </c>
      <c r="D204" s="109" t="str">
        <f t="shared" si="54"/>
        <v>/</v>
      </c>
      <c r="E204" s="109">
        <f ca="1">IF(表2_36716262930[[#This Row],[累计净值]]/MAX(INDIRECT("B21:B" &amp; ROW()))-1&lt;E203,表2_36716262930[[#This Row],[累计净值]]/MAX(INDIRECT("B21:B" &amp; ROW()))-1,E203)</f>
        <v>-1.2011210463098942E-2</v>
      </c>
      <c r="F204" s="62">
        <f>表2_36716262930[[#This Row],[累计净值]]-0.0836</f>
        <v>1.4830000000000001</v>
      </c>
      <c r="G204" s="20">
        <f>表2_36716262930[[#This Row],[单位净值]]/$F$21-1</f>
        <v>6.998556998557004E-2</v>
      </c>
    </row>
    <row r="205" spans="1:7">
      <c r="A205" s="15">
        <v>43983</v>
      </c>
      <c r="B205" s="112">
        <v>1.5686</v>
      </c>
      <c r="C205" s="108">
        <f t="shared" si="53"/>
        <v>2.0000000000000018E-3</v>
      </c>
      <c r="D205" s="109" t="str">
        <f t="shared" si="54"/>
        <v>/</v>
      </c>
      <c r="E205" s="109">
        <f ca="1">IF(表2_36716262930[[#This Row],[累计净值]]/MAX(INDIRECT("B21:B" &amp; ROW()))-1&lt;E204,表2_36716262930[[#This Row],[累计净值]]/MAX(INDIRECT("B21:B" &amp; ROW()))-1,E204)</f>
        <v>-1.2011210463098942E-2</v>
      </c>
      <c r="F205" s="62">
        <f>表2_36716262930[[#This Row],[累计净值]]-0.0836</f>
        <v>1.4850000000000001</v>
      </c>
      <c r="G205" s="20">
        <f>表2_36716262930[[#This Row],[单位净值]]/$F$21-1</f>
        <v>7.1428571428571619E-2</v>
      </c>
    </row>
    <row r="206" spans="1:7">
      <c r="A206" s="15">
        <v>43984</v>
      </c>
      <c r="B206" s="112">
        <v>1.5686</v>
      </c>
      <c r="C206" s="108">
        <f t="shared" ref="C206:C212" si="55">IFERROR(B206-B205,0)</f>
        <v>0</v>
      </c>
      <c r="D206" s="109" t="str">
        <f t="shared" ref="D206:D212" si="56">IF(C206&lt;0,C206,"/")</f>
        <v>/</v>
      </c>
      <c r="E206" s="109">
        <f ca="1">IF(表2_36716262930[[#This Row],[累计净值]]/MAX(INDIRECT("B21:B" &amp; ROW()))-1&lt;E205,表2_36716262930[[#This Row],[累计净值]]/MAX(INDIRECT("B21:B" &amp; ROW()))-1,E205)</f>
        <v>-1.2011210463098942E-2</v>
      </c>
      <c r="F206" s="62">
        <f>表2_36716262930[[#This Row],[累计净值]]-0.0836</f>
        <v>1.4850000000000001</v>
      </c>
      <c r="G206" s="20">
        <f>表2_36716262930[[#This Row],[单位净值]]/$F$21-1</f>
        <v>7.1428571428571619E-2</v>
      </c>
    </row>
    <row r="207" spans="1:7">
      <c r="A207" s="15">
        <v>43985</v>
      </c>
      <c r="B207" s="112">
        <v>1.5696000000000001</v>
      </c>
      <c r="C207" s="108">
        <f t="shared" si="55"/>
        <v>1.0000000000001119E-3</v>
      </c>
      <c r="D207" s="109" t="str">
        <f t="shared" si="56"/>
        <v>/</v>
      </c>
      <c r="E207" s="109">
        <f ca="1">IF(表2_36716262930[[#This Row],[累计净值]]/MAX(INDIRECT("B21:B" &amp; ROW()))-1&lt;E206,表2_36716262930[[#This Row],[累计净值]]/MAX(INDIRECT("B21:B" &amp; ROW()))-1,E206)</f>
        <v>-1.2011210463098942E-2</v>
      </c>
      <c r="F207" s="62">
        <f>表2_36716262930[[#This Row],[累计净值]]-0.0836</f>
        <v>1.4860000000000002</v>
      </c>
      <c r="G207" s="20">
        <f>表2_36716262930[[#This Row],[单位净值]]/$F$21-1</f>
        <v>7.2150072150072297E-2</v>
      </c>
    </row>
    <row r="208" spans="1:7">
      <c r="A208" s="15">
        <v>43986</v>
      </c>
      <c r="B208" s="112">
        <v>1.5706</v>
      </c>
      <c r="C208" s="108">
        <f t="shared" si="55"/>
        <v>9.9999999999988987E-4</v>
      </c>
      <c r="D208" s="109" t="str">
        <f t="shared" si="56"/>
        <v>/</v>
      </c>
      <c r="E208" s="109">
        <f ca="1">IF(表2_36716262930[[#This Row],[累计净值]]/MAX(INDIRECT("B21:B" &amp; ROW()))-1&lt;E207,表2_36716262930[[#This Row],[累计净值]]/MAX(INDIRECT("B21:B" &amp; ROW()))-1,E207)</f>
        <v>-1.2011210463098942E-2</v>
      </c>
      <c r="F208" s="62">
        <f>表2_36716262930[[#This Row],[累计净值]]-0.0836</f>
        <v>1.4870000000000001</v>
      </c>
      <c r="G208" s="20">
        <f>表2_36716262930[[#This Row],[单位净值]]/$F$21-1</f>
        <v>7.2871572871572976E-2</v>
      </c>
    </row>
    <row r="209" spans="1:7">
      <c r="A209" s="15">
        <v>43987</v>
      </c>
      <c r="B209" s="112">
        <v>1.5716000000000001</v>
      </c>
      <c r="C209" s="108">
        <f t="shared" si="55"/>
        <v>1.0000000000001119E-3</v>
      </c>
      <c r="D209" s="109" t="str">
        <f t="shared" si="56"/>
        <v>/</v>
      </c>
      <c r="E209" s="109">
        <f ca="1">IF(表2_36716262930[[#This Row],[累计净值]]/MAX(INDIRECT("B21:B" &amp; ROW()))-1&lt;E208,表2_36716262930[[#This Row],[累计净值]]/MAX(INDIRECT("B21:B" &amp; ROW()))-1,E208)</f>
        <v>-1.2011210463098942E-2</v>
      </c>
      <c r="F209" s="62">
        <f>表2_36716262930[[#This Row],[累计净值]]-0.0836</f>
        <v>1.4880000000000002</v>
      </c>
      <c r="G209" s="20">
        <f>表2_36716262930[[#This Row],[单位净值]]/$F$21-1</f>
        <v>7.3593073593073877E-2</v>
      </c>
    </row>
    <row r="210" spans="1:7">
      <c r="A210" s="15">
        <v>43990</v>
      </c>
      <c r="B210" s="112">
        <v>1.5716000000000001</v>
      </c>
      <c r="C210" s="108">
        <f t="shared" si="55"/>
        <v>0</v>
      </c>
      <c r="D210" s="109" t="str">
        <f t="shared" si="56"/>
        <v>/</v>
      </c>
      <c r="E210" s="109">
        <f ca="1">IF(表2_36716262930[[#This Row],[累计净值]]/MAX(INDIRECT("B21:B" &amp; ROW()))-1&lt;E209,表2_36716262930[[#This Row],[累计净值]]/MAX(INDIRECT("B21:B" &amp; ROW()))-1,E209)</f>
        <v>-1.2011210463098942E-2</v>
      </c>
      <c r="F210" s="62">
        <f>表2_36716262930[[#This Row],[累计净值]]-0.0836</f>
        <v>1.4880000000000002</v>
      </c>
      <c r="G210" s="20">
        <f>表2_36716262930[[#This Row],[单位净值]]/$F$21-1</f>
        <v>7.3593073593073877E-2</v>
      </c>
    </row>
    <row r="211" spans="1:7">
      <c r="A211" s="15">
        <v>43991</v>
      </c>
      <c r="B211" s="117">
        <v>1.5726</v>
      </c>
      <c r="C211" s="108">
        <f t="shared" si="55"/>
        <v>9.9999999999988987E-4</v>
      </c>
      <c r="D211" s="109" t="str">
        <f t="shared" si="56"/>
        <v>/</v>
      </c>
      <c r="E211" s="109">
        <f ca="1">IF(表2_36716262930[[#This Row],[累计净值]]/MAX(INDIRECT("B21:B" &amp; ROW()))-1&lt;E210,表2_36716262930[[#This Row],[累计净值]]/MAX(INDIRECT("B21:B" &amp; ROW()))-1,E210)</f>
        <v>-1.2011210463098942E-2</v>
      </c>
      <c r="F211" s="62">
        <f>表2_36716262930[[#This Row],[累计净值]]-0.0836</f>
        <v>1.4890000000000001</v>
      </c>
      <c r="G211" s="20">
        <f>表2_36716262930[[#This Row],[单位净值]]/$F$21-1</f>
        <v>7.4314574314574555E-2</v>
      </c>
    </row>
    <row r="212" spans="1:7">
      <c r="A212" s="15">
        <v>43992</v>
      </c>
      <c r="B212" s="112">
        <v>1.5726</v>
      </c>
      <c r="C212" s="108">
        <f t="shared" si="55"/>
        <v>0</v>
      </c>
      <c r="D212" s="109" t="str">
        <f t="shared" si="56"/>
        <v>/</v>
      </c>
      <c r="E212" s="109">
        <f ca="1">IF(表2_36716262930[[#This Row],[累计净值]]/MAX(INDIRECT("B21:B" &amp; ROW()))-1&lt;E211,表2_36716262930[[#This Row],[累计净值]]/MAX(INDIRECT("B21:B" &amp; ROW()))-1,E211)</f>
        <v>-1.2011210463098942E-2</v>
      </c>
      <c r="F212" s="62">
        <f>表2_36716262930[[#This Row],[累计净值]]-0.0836</f>
        <v>1.4890000000000001</v>
      </c>
      <c r="G212" s="20">
        <f>表2_36716262930[[#This Row],[单位净值]]/$F$21-1</f>
        <v>7.4314574314574555E-2</v>
      </c>
    </row>
    <row r="213" spans="1:7">
      <c r="A213" s="15">
        <v>43993</v>
      </c>
      <c r="B213" s="112">
        <v>1.5716000000000001</v>
      </c>
      <c r="C213" s="108">
        <f t="shared" ref="C213:C218" si="57">IFERROR(B213-B212,0)</f>
        <v>-9.9999999999988987E-4</v>
      </c>
      <c r="D213" s="109">
        <f t="shared" ref="D213:D218" si="58">IF(C213&lt;0,C213,"/")</f>
        <v>-9.9999999999988987E-4</v>
      </c>
      <c r="E213" s="109">
        <f ca="1">IF(表2_36716262930[[#This Row],[累计净值]]/MAX(INDIRECT("B21:B" &amp; ROW()))-1&lt;E212,表2_36716262930[[#This Row],[累计净值]]/MAX(INDIRECT("B21:B" &amp; ROW()))-1,E212)</f>
        <v>-1.2011210463098942E-2</v>
      </c>
      <c r="F213" s="62">
        <f>表2_36716262930[[#This Row],[累计净值]]-0.0836</f>
        <v>1.4880000000000002</v>
      </c>
      <c r="G213" s="20">
        <f>表2_36716262930[[#This Row],[单位净值]]/$F$21-1</f>
        <v>7.3593073593073877E-2</v>
      </c>
    </row>
    <row r="214" spans="1:7">
      <c r="A214" s="15">
        <v>43994</v>
      </c>
      <c r="B214" s="112">
        <v>1.5716000000000001</v>
      </c>
      <c r="C214" s="108">
        <f t="shared" si="57"/>
        <v>0</v>
      </c>
      <c r="D214" s="109" t="str">
        <f t="shared" si="58"/>
        <v>/</v>
      </c>
      <c r="E214" s="109">
        <f ca="1">IF(表2_36716262930[[#This Row],[累计净值]]/MAX(INDIRECT("B21:B" &amp; ROW()))-1&lt;E213,表2_36716262930[[#This Row],[累计净值]]/MAX(INDIRECT("B21:B" &amp; ROW()))-1,E213)</f>
        <v>-1.2011210463098942E-2</v>
      </c>
      <c r="F214" s="62">
        <f>表2_36716262930[[#This Row],[累计净值]]-0.0836</f>
        <v>1.4880000000000002</v>
      </c>
      <c r="G214" s="20">
        <f>表2_36716262930[[#This Row],[单位净值]]/$F$21-1</f>
        <v>7.3593073593073877E-2</v>
      </c>
    </row>
    <row r="215" spans="1:7">
      <c r="A215" s="15">
        <v>43997</v>
      </c>
      <c r="B215" s="112">
        <v>1.5726</v>
      </c>
      <c r="C215" s="108">
        <f t="shared" si="57"/>
        <v>9.9999999999988987E-4</v>
      </c>
      <c r="D215" s="109" t="str">
        <f t="shared" si="58"/>
        <v>/</v>
      </c>
      <c r="E215" s="109">
        <f ca="1">IF(表2_36716262930[[#This Row],[累计净值]]/MAX(INDIRECT("B21:B" &amp; ROW()))-1&lt;E214,表2_36716262930[[#This Row],[累计净值]]/MAX(INDIRECT("B21:B" &amp; ROW()))-1,E214)</f>
        <v>-1.2011210463098942E-2</v>
      </c>
      <c r="F215" s="62">
        <f>表2_36716262930[[#This Row],[累计净值]]-0.0836</f>
        <v>1.4890000000000001</v>
      </c>
      <c r="G215" s="20">
        <f>表2_36716262930[[#This Row],[单位净值]]/$F$21-1</f>
        <v>7.4314574314574555E-2</v>
      </c>
    </row>
    <row r="216" spans="1:7">
      <c r="A216" s="15">
        <v>43998</v>
      </c>
      <c r="B216" s="112">
        <v>1.5706</v>
      </c>
      <c r="C216" s="108">
        <f t="shared" si="57"/>
        <v>-2.0000000000000018E-3</v>
      </c>
      <c r="D216" s="109">
        <f t="shared" si="58"/>
        <v>-2.0000000000000018E-3</v>
      </c>
      <c r="E216" s="109">
        <f ca="1">IF(表2_36716262930[[#This Row],[累计净值]]/MAX(INDIRECT("B21:B" &amp; ROW()))-1&lt;E215,表2_36716262930[[#This Row],[累计净值]]/MAX(INDIRECT("B21:B" &amp; ROW()))-1,E215)</f>
        <v>-1.2011210463098942E-2</v>
      </c>
      <c r="F216" s="62">
        <f>表2_36716262930[[#This Row],[累计净值]]-0.0836</f>
        <v>1.4870000000000001</v>
      </c>
      <c r="G216" s="20">
        <f>表2_36716262930[[#This Row],[单位净值]]/$F$21-1</f>
        <v>7.2871572871572976E-2</v>
      </c>
    </row>
    <row r="217" spans="1:7">
      <c r="A217" s="15">
        <v>43999</v>
      </c>
      <c r="B217" s="112">
        <v>1.5696000000000001</v>
      </c>
      <c r="C217" s="108">
        <f t="shared" si="57"/>
        <v>-9.9999999999988987E-4</v>
      </c>
      <c r="D217" s="109">
        <f t="shared" si="58"/>
        <v>-9.9999999999988987E-4</v>
      </c>
      <c r="E217" s="109">
        <f ca="1">IF(表2_36716262930[[#This Row],[累计净值]]/MAX(INDIRECT("B21:B" &amp; ROW()))-1&lt;E216,表2_36716262930[[#This Row],[累计净值]]/MAX(INDIRECT("B21:B" &amp; ROW()))-1,E216)</f>
        <v>-1.2011210463098942E-2</v>
      </c>
      <c r="F217" s="62">
        <f>表2_36716262930[[#This Row],[累计净值]]-0.0836</f>
        <v>1.4860000000000002</v>
      </c>
      <c r="G217" s="20">
        <f>表2_36716262930[[#This Row],[单位净值]]/$F$21-1</f>
        <v>7.2150072150072297E-2</v>
      </c>
    </row>
    <row r="218" spans="1:7">
      <c r="A218" s="15">
        <v>44000</v>
      </c>
      <c r="B218" s="112">
        <v>1.5676000000000001</v>
      </c>
      <c r="C218" s="108">
        <f t="shared" si="57"/>
        <v>-2.0000000000000018E-3</v>
      </c>
      <c r="D218" s="109">
        <f t="shared" si="58"/>
        <v>-2.0000000000000018E-3</v>
      </c>
      <c r="E218" s="109">
        <f ca="1">IF(表2_36716262930[[#This Row],[累计净值]]/MAX(INDIRECT("B21:B" &amp; ROW()))-1&lt;E217,表2_36716262930[[#This Row],[累计净值]]/MAX(INDIRECT("B21:B" &amp; ROW()))-1,E217)</f>
        <v>-1.2011210463098942E-2</v>
      </c>
      <c r="F218" s="62">
        <f>表2_36716262930[[#This Row],[累计净值]]-0.0836</f>
        <v>1.4840000000000002</v>
      </c>
      <c r="G218" s="20">
        <f>表2_36716262930[[#This Row],[单位净值]]/$F$21-1</f>
        <v>7.070707070707094E-2</v>
      </c>
    </row>
    <row r="219" spans="1:7">
      <c r="A219" s="15">
        <v>44001</v>
      </c>
      <c r="B219" s="112">
        <v>1.5536000000000001</v>
      </c>
      <c r="C219" s="108">
        <f t="shared" ref="C219:C224" si="59">IFERROR(B219-B218,0)</f>
        <v>-1.4000000000000012E-2</v>
      </c>
      <c r="D219" s="109">
        <f t="shared" ref="D219:D224" si="60">IF(C219&lt;0,C219,"/")</f>
        <v>-1.4000000000000012E-2</v>
      </c>
      <c r="E219" s="109">
        <f ca="1">IF(表2_36716262930[[#This Row],[累计净值]]/MAX(INDIRECT("B21:B" &amp; ROW()))-1&lt;E218,表2_36716262930[[#This Row],[累计净值]]/MAX(INDIRECT("B21:B" &amp; ROW()))-1,E218)</f>
        <v>-1.2081902581711712E-2</v>
      </c>
      <c r="F219" s="62">
        <f>表2_36716262930[[#This Row],[累计净值]]-0.0836</f>
        <v>1.4700000000000002</v>
      </c>
      <c r="G219" s="20">
        <f>表2_36716262930[[#This Row],[单位净值]]/$F$21-1</f>
        <v>6.0606060606060774E-2</v>
      </c>
    </row>
    <row r="220" spans="1:7">
      <c r="A220" s="15">
        <v>44004</v>
      </c>
      <c r="B220" s="112">
        <v>1.5416000000000001</v>
      </c>
      <c r="C220" s="108">
        <f t="shared" si="59"/>
        <v>-1.2000000000000011E-2</v>
      </c>
      <c r="D220" s="109">
        <f t="shared" si="60"/>
        <v>-1.2000000000000011E-2</v>
      </c>
      <c r="E220" s="109">
        <f ca="1">IF(表2_36716262930[[#This Row],[累计净值]]/MAX(INDIRECT("B21:B" &amp; ROW()))-1&lt;E219,表2_36716262930[[#This Row],[累计净值]]/MAX(INDIRECT("B21:B" &amp; ROW()))-1,E219)</f>
        <v>-1.9712577896477068E-2</v>
      </c>
      <c r="F220" s="62">
        <f>表2_36716262930[[#This Row],[累计净值]]-0.0836</f>
        <v>1.4580000000000002</v>
      </c>
      <c r="G220" s="20">
        <f>表2_36716262930[[#This Row],[单位净值]]/$F$21-1</f>
        <v>5.1948051948052187E-2</v>
      </c>
    </row>
    <row r="221" spans="1:7">
      <c r="A221" s="15">
        <v>44005</v>
      </c>
      <c r="B221" s="112">
        <v>1.5426</v>
      </c>
      <c r="C221" s="108">
        <f t="shared" si="59"/>
        <v>9.9999999999988987E-4</v>
      </c>
      <c r="D221" s="109" t="str">
        <f t="shared" si="60"/>
        <v>/</v>
      </c>
      <c r="E221" s="109">
        <f ca="1">IF(表2_36716262930[[#This Row],[累计净值]]/MAX(INDIRECT("B21:B" &amp; ROW()))-1&lt;E220,表2_36716262930[[#This Row],[累计净值]]/MAX(INDIRECT("B21:B" &amp; ROW()))-1,E220)</f>
        <v>-1.9712577896477068E-2</v>
      </c>
      <c r="F221" s="62">
        <f>表2_36716262930[[#This Row],[累计净值]]-0.0836</f>
        <v>1.4590000000000001</v>
      </c>
      <c r="G221" s="20">
        <f>表2_36716262930[[#This Row],[单位净值]]/$F$21-1</f>
        <v>5.2669552669552866E-2</v>
      </c>
    </row>
    <row r="222" spans="1:7">
      <c r="A222" s="15">
        <v>44006</v>
      </c>
      <c r="B222" s="112">
        <v>1.5426</v>
      </c>
      <c r="C222" s="108">
        <f t="shared" si="59"/>
        <v>0</v>
      </c>
      <c r="D222" s="109" t="str">
        <f t="shared" si="60"/>
        <v>/</v>
      </c>
      <c r="E222" s="109">
        <f ca="1">IF(表2_36716262930[[#This Row],[累计净值]]/MAX(INDIRECT("B21:B" &amp; ROW()))-1&lt;E221,表2_36716262930[[#This Row],[累计净值]]/MAX(INDIRECT("B21:B" &amp; ROW()))-1,E221)</f>
        <v>-1.9712577896477068E-2</v>
      </c>
      <c r="F222" s="62">
        <f>表2_36716262930[[#This Row],[累计净值]]-0.0836</f>
        <v>1.4590000000000001</v>
      </c>
      <c r="G222" s="20">
        <f>表2_36716262930[[#This Row],[单位净值]]/$F$21-1</f>
        <v>5.2669552669552866E-2</v>
      </c>
    </row>
    <row r="223" spans="1:7">
      <c r="A223" s="15">
        <v>44011</v>
      </c>
      <c r="B223" s="112">
        <v>1.5436000000000001</v>
      </c>
      <c r="C223" s="108">
        <f t="shared" si="59"/>
        <v>1.0000000000001119E-3</v>
      </c>
      <c r="D223" s="109" t="str">
        <f t="shared" si="60"/>
        <v>/</v>
      </c>
      <c r="E223" s="109">
        <f ca="1">IF(表2_36716262930[[#This Row],[累计净值]]/MAX(INDIRECT("B21:B" &amp; ROW()))-1&lt;E222,表2_36716262930[[#This Row],[累计净值]]/MAX(INDIRECT("B21:B" &amp; ROW()))-1,E222)</f>
        <v>-1.9712577896477068E-2</v>
      </c>
      <c r="F223" s="62">
        <f>表2_36716262930[[#This Row],[累计净值]]-0.0836</f>
        <v>1.4600000000000002</v>
      </c>
      <c r="G223" s="20">
        <f>表2_36716262930[[#This Row],[单位净值]]/$F$21-1</f>
        <v>5.3391053391053545E-2</v>
      </c>
    </row>
    <row r="224" spans="1:7">
      <c r="A224" s="15">
        <v>44012</v>
      </c>
      <c r="B224" s="112">
        <v>1.5446</v>
      </c>
      <c r="C224" s="108">
        <f t="shared" si="59"/>
        <v>9.9999999999988987E-4</v>
      </c>
      <c r="D224" s="109" t="str">
        <f t="shared" si="60"/>
        <v>/</v>
      </c>
      <c r="E224" s="109">
        <f ca="1">IF(表2_36716262930[[#This Row],[累计净值]]/MAX(INDIRECT("B21:B" &amp; ROW()))-1&lt;E223,表2_36716262930[[#This Row],[累计净值]]/MAX(INDIRECT("B21:B" &amp; ROW()))-1,E223)</f>
        <v>-1.9712577896477068E-2</v>
      </c>
      <c r="F224" s="62">
        <f>表2_36716262930[[#This Row],[累计净值]]-0.0836</f>
        <v>1.4610000000000001</v>
      </c>
      <c r="G224" s="20">
        <f>表2_36716262930[[#This Row],[单位净值]]/$F$21-1</f>
        <v>5.4112554112554223E-2</v>
      </c>
    </row>
    <row r="225" spans="1:7">
      <c r="A225" s="15">
        <v>44013</v>
      </c>
      <c r="B225" s="112">
        <v>1.5446</v>
      </c>
      <c r="C225" s="108">
        <f>IFERROR(B225-B224,0)</f>
        <v>0</v>
      </c>
      <c r="D225" s="109" t="str">
        <f>IF(C225&lt;0,C225,"/")</f>
        <v>/</v>
      </c>
      <c r="E225" s="109">
        <f ca="1">IF(表2_36716262930[[#This Row],[累计净值]]/MAX(INDIRECT("B21:B" &amp; ROW()))-1&lt;E224,表2_36716262930[[#This Row],[累计净值]]/MAX(INDIRECT("B21:B" &amp; ROW()))-1,E224)</f>
        <v>-1.9712577896477068E-2</v>
      </c>
      <c r="F225" s="62">
        <f>表2_36716262930[[#This Row],[累计净值]]-0.0836</f>
        <v>1.4610000000000001</v>
      </c>
      <c r="G225" s="20">
        <f>表2_36716262930[[#This Row],[单位净值]]/$F$21-1</f>
        <v>5.4112554112554223E-2</v>
      </c>
    </row>
    <row r="226" spans="1:7">
      <c r="A226" s="15">
        <v>44014</v>
      </c>
      <c r="B226" s="112">
        <v>1.5416000000000001</v>
      </c>
      <c r="C226" s="108">
        <f>IFERROR(B226-B225,0)</f>
        <v>-2.9999999999998916E-3</v>
      </c>
      <c r="D226" s="109">
        <f>IF(C226&lt;0,C226,"/")</f>
        <v>-2.9999999999998916E-3</v>
      </c>
      <c r="E226" s="109">
        <f ca="1">IF(表2_36716262930[[#This Row],[累计净值]]/MAX(INDIRECT("B21:B" &amp; ROW()))-1&lt;E225,表2_36716262930[[#This Row],[累计净值]]/MAX(INDIRECT("B21:B" &amp; ROW()))-1,E225)</f>
        <v>-1.9712577896477068E-2</v>
      </c>
      <c r="F226" s="62">
        <f>表2_36716262930[[#This Row],[累计净值]]-0.0836</f>
        <v>1.4580000000000002</v>
      </c>
      <c r="G226" s="20">
        <f>表2_36716262930[[#This Row],[单位净值]]/$F$21-1</f>
        <v>5.1948051948052187E-2</v>
      </c>
    </row>
    <row r="227" spans="1:7">
      <c r="A227" s="15">
        <v>44015</v>
      </c>
      <c r="B227" s="112">
        <v>1.5396000000000001</v>
      </c>
      <c r="C227" s="108">
        <f>IFERROR(B227-B226,0)</f>
        <v>-2.0000000000000018E-3</v>
      </c>
      <c r="D227" s="109">
        <f>IF(C227&lt;0,C227,"/")</f>
        <v>-2.0000000000000018E-3</v>
      </c>
      <c r="E227" s="109">
        <f ca="1">IF(表2_36716262930[[#This Row],[累计净值]]/MAX(INDIRECT("B21:B" &amp; ROW()))-1&lt;E226,表2_36716262930[[#This Row],[累计净值]]/MAX(INDIRECT("B21:B" &amp; ROW()))-1,E226)</f>
        <v>-2.0984357115604646E-2</v>
      </c>
      <c r="F227" s="62">
        <f>表2_36716262930[[#This Row],[累计净值]]-0.0836</f>
        <v>1.4560000000000002</v>
      </c>
      <c r="G227" s="20">
        <f>表2_36716262930[[#This Row],[单位净值]]/$F$21-1</f>
        <v>5.0505050505050608E-2</v>
      </c>
    </row>
    <row r="228" spans="1:7">
      <c r="A228" s="15">
        <v>44018</v>
      </c>
      <c r="B228" s="112">
        <v>1.5386</v>
      </c>
      <c r="C228" s="108">
        <f>IFERROR(B228-B227,0)</f>
        <v>-1.0000000000001119E-3</v>
      </c>
      <c r="D228" s="109">
        <f>IF(C228&lt;0,C228,"/")</f>
        <v>-1.0000000000001119E-3</v>
      </c>
      <c r="E228" s="109">
        <f ca="1">IF(表2_36716262930[[#This Row],[累计净值]]/MAX(INDIRECT("B21:B" &amp; ROW()))-1&lt;E227,表2_36716262930[[#This Row],[累计净值]]/MAX(INDIRECT("B21:B" &amp; ROW()))-1,E227)</f>
        <v>-2.162024672516849E-2</v>
      </c>
      <c r="F228" s="62">
        <f>表2_36716262930[[#This Row],[累计净值]]-0.0836</f>
        <v>1.4550000000000001</v>
      </c>
      <c r="G228" s="20">
        <f>表2_36716262930[[#This Row],[单位净值]]/$F$21-1</f>
        <v>4.978354978354993E-2</v>
      </c>
    </row>
    <row r="229" spans="1:7">
      <c r="A229" s="15">
        <v>44019</v>
      </c>
      <c r="B229" s="112">
        <v>1.5416000000000001</v>
      </c>
      <c r="C229" s="108">
        <f t="shared" ref="C229:C234" si="61">IFERROR(B229-B228,0)</f>
        <v>3.0000000000001137E-3</v>
      </c>
      <c r="D229" s="109" t="str">
        <f t="shared" ref="D229:D234" si="62">IF(C229&lt;0,C229,"/")</f>
        <v>/</v>
      </c>
      <c r="E229" s="109">
        <f ca="1">IF(表2_36716262930[[#This Row],[累计净值]]/MAX(INDIRECT("B21:B" &amp; ROW()))-1&lt;E228,表2_36716262930[[#This Row],[累计净值]]/MAX(INDIRECT("B21:B" &amp; ROW()))-1,E228)</f>
        <v>-2.162024672516849E-2</v>
      </c>
      <c r="F229" s="62">
        <f>表2_36716262930[[#This Row],[累计净值]]-0.0836</f>
        <v>1.4580000000000002</v>
      </c>
      <c r="G229" s="20">
        <f>表2_36716262930[[#This Row],[单位净值]]/$F$21-1</f>
        <v>5.1948051948052187E-2</v>
      </c>
    </row>
    <row r="230" spans="1:7">
      <c r="A230" s="15">
        <v>44020</v>
      </c>
      <c r="B230" s="112">
        <v>1.5416000000000001</v>
      </c>
      <c r="C230" s="108">
        <f t="shared" si="61"/>
        <v>0</v>
      </c>
      <c r="D230" s="109" t="str">
        <f t="shared" si="62"/>
        <v>/</v>
      </c>
      <c r="E230" s="109">
        <f ca="1">IF(表2_36716262930[[#This Row],[累计净值]]/MAX(INDIRECT("B21:B" &amp; ROW()))-1&lt;E229,表2_36716262930[[#This Row],[累计净值]]/MAX(INDIRECT("B21:B" &amp; ROW()))-1,E229)</f>
        <v>-2.162024672516849E-2</v>
      </c>
      <c r="F230" s="62">
        <f>表2_36716262930[[#This Row],[累计净值]]-0.0836</f>
        <v>1.4580000000000002</v>
      </c>
      <c r="G230" s="20">
        <f>表2_36716262930[[#This Row],[单位净值]]/$F$21-1</f>
        <v>5.1948051948052187E-2</v>
      </c>
    </row>
    <row r="231" spans="1:7">
      <c r="A231" s="15">
        <v>44021</v>
      </c>
      <c r="B231" s="112">
        <v>1.5416000000000001</v>
      </c>
      <c r="C231" s="108">
        <f t="shared" si="61"/>
        <v>0</v>
      </c>
      <c r="D231" s="109" t="str">
        <f t="shared" si="62"/>
        <v>/</v>
      </c>
      <c r="E231" s="109">
        <f ca="1">IF(表2_36716262930[[#This Row],[累计净值]]/MAX(INDIRECT("B21:B" &amp; ROW()))-1&lt;E230,表2_36716262930[[#This Row],[累计净值]]/MAX(INDIRECT("B21:B" &amp; ROW()))-1,E230)</f>
        <v>-2.162024672516849E-2</v>
      </c>
      <c r="F231" s="62">
        <f>表2_36716262930[[#This Row],[累计净值]]-0.0836</f>
        <v>1.4580000000000002</v>
      </c>
      <c r="G231" s="20">
        <f>表2_36716262930[[#This Row],[单位净值]]/$F$21-1</f>
        <v>5.1948051948052187E-2</v>
      </c>
    </row>
    <row r="232" spans="1:7">
      <c r="A232" s="15">
        <v>44022</v>
      </c>
      <c r="B232" s="112">
        <v>1.5426</v>
      </c>
      <c r="C232" s="108">
        <f t="shared" si="61"/>
        <v>9.9999999999988987E-4</v>
      </c>
      <c r="D232" s="109" t="str">
        <f t="shared" si="62"/>
        <v>/</v>
      </c>
      <c r="E232" s="109">
        <f ca="1">IF(表2_36716262930[[#This Row],[累计净值]]/MAX(INDIRECT("B21:B" &amp; ROW()))-1&lt;E231,表2_36716262930[[#This Row],[累计净值]]/MAX(INDIRECT("B21:B" &amp; ROW()))-1,E231)</f>
        <v>-2.162024672516849E-2</v>
      </c>
      <c r="F232" s="62">
        <f>表2_36716262930[[#This Row],[累计净值]]-0.0836</f>
        <v>1.4590000000000001</v>
      </c>
      <c r="G232" s="20">
        <f>表2_36716262930[[#This Row],[单位净值]]/$F$21-1</f>
        <v>5.2669552669552866E-2</v>
      </c>
    </row>
    <row r="233" spans="1:7">
      <c r="A233" s="15">
        <v>44025</v>
      </c>
      <c r="B233" s="112">
        <v>1.5476000000000001</v>
      </c>
      <c r="C233" s="108">
        <f t="shared" si="61"/>
        <v>5.0000000000001155E-3</v>
      </c>
      <c r="D233" s="109" t="str">
        <f t="shared" si="62"/>
        <v>/</v>
      </c>
      <c r="E233" s="109">
        <f ca="1">IF(表2_36716262930[[#This Row],[累计净值]]/MAX(INDIRECT("B21:B" &amp; ROW()))-1&lt;E232,表2_36716262930[[#This Row],[累计净值]]/MAX(INDIRECT("B21:B" &amp; ROW()))-1,E232)</f>
        <v>-2.162024672516849E-2</v>
      </c>
      <c r="F233" s="62">
        <f>表2_36716262930[[#This Row],[累计净值]]-0.0836</f>
        <v>1.4640000000000002</v>
      </c>
      <c r="G233" s="20">
        <f>表2_36716262930[[#This Row],[单位净值]]/$F$21-1</f>
        <v>5.6277056277056481E-2</v>
      </c>
    </row>
    <row r="234" spans="1:7">
      <c r="A234" s="15">
        <v>44026</v>
      </c>
      <c r="B234" s="112">
        <v>1.5486</v>
      </c>
      <c r="C234" s="108">
        <f t="shared" si="61"/>
        <v>9.9999999999988987E-4</v>
      </c>
      <c r="D234" s="109" t="str">
        <f t="shared" si="62"/>
        <v>/</v>
      </c>
      <c r="E234" s="109">
        <f ca="1">IF(表2_36716262930[[#This Row],[累计净值]]/MAX(INDIRECT("B21:B" &amp; ROW()))-1&lt;E233,表2_36716262930[[#This Row],[累计净值]]/MAX(INDIRECT("B21:B" &amp; ROW()))-1,E233)</f>
        <v>-2.162024672516849E-2</v>
      </c>
      <c r="F234" s="62">
        <f>表2_36716262930[[#This Row],[累计净值]]-0.0836</f>
        <v>1.4650000000000001</v>
      </c>
      <c r="G234" s="20">
        <f>表2_36716262930[[#This Row],[单位净值]]/$F$21-1</f>
        <v>5.6998556998557159E-2</v>
      </c>
    </row>
    <row r="235" spans="1:7">
      <c r="A235" s="15">
        <v>44027</v>
      </c>
      <c r="B235" s="112">
        <v>1.5486</v>
      </c>
      <c r="C235" s="108">
        <f t="shared" ref="C235:C252" si="63">IFERROR(B235-B234,0)</f>
        <v>0</v>
      </c>
      <c r="D235" s="109" t="str">
        <f t="shared" ref="D235:D252" si="64">IF(C235&lt;0,C235,"/")</f>
        <v>/</v>
      </c>
      <c r="E235" s="109">
        <f ca="1">IF(表2_36716262930[[#This Row],[累计净值]]/MAX(INDIRECT("B21:B" &amp; ROW()))-1&lt;E234,表2_36716262930[[#This Row],[累计净值]]/MAX(INDIRECT("B21:B" &amp; ROW()))-1,E234)</f>
        <v>-2.162024672516849E-2</v>
      </c>
      <c r="F235" s="62">
        <f>表2_36716262930[[#This Row],[累计净值]]-0.0836</f>
        <v>1.4650000000000001</v>
      </c>
      <c r="G235" s="20">
        <f>表2_36716262930[[#This Row],[单位净值]]/$F$21-1</f>
        <v>5.6998556998557159E-2</v>
      </c>
    </row>
    <row r="236" spans="1:7">
      <c r="A236" s="15">
        <v>44028</v>
      </c>
      <c r="B236" s="112">
        <v>1.5536000000000001</v>
      </c>
      <c r="C236" s="108">
        <f t="shared" si="63"/>
        <v>5.0000000000001155E-3</v>
      </c>
      <c r="D236" s="109" t="str">
        <f t="shared" si="64"/>
        <v>/</v>
      </c>
      <c r="E236" s="109">
        <f ca="1">IF(表2_36716262930[[#This Row],[累计净值]]/MAX(INDIRECT("B21:B" &amp; ROW()))-1&lt;E235,表2_36716262930[[#This Row],[累计净值]]/MAX(INDIRECT("B21:B" &amp; ROW()))-1,E235)</f>
        <v>-2.162024672516849E-2</v>
      </c>
      <c r="F236" s="62">
        <f>表2_36716262930[[#This Row],[累计净值]]-0.0836</f>
        <v>1.4700000000000002</v>
      </c>
      <c r="G236" s="20">
        <f>表2_36716262930[[#This Row],[单位净值]]/$F$21-1</f>
        <v>6.0606060606060774E-2</v>
      </c>
    </row>
    <row r="237" spans="1:7">
      <c r="A237" s="15">
        <v>44029</v>
      </c>
      <c r="B237" s="112">
        <v>1.5566</v>
      </c>
      <c r="C237" s="108">
        <f t="shared" si="63"/>
        <v>2.9999999999998916E-3</v>
      </c>
      <c r="D237" s="109" t="str">
        <f t="shared" si="64"/>
        <v>/</v>
      </c>
      <c r="E237" s="109">
        <f ca="1">IF(表2_36716262930[[#This Row],[累计净值]]/MAX(INDIRECT("B21:B" &amp; ROW()))-1&lt;E236,表2_36716262930[[#This Row],[累计净值]]/MAX(INDIRECT("B21:B" &amp; ROW()))-1,E236)</f>
        <v>-2.162024672516849E-2</v>
      </c>
      <c r="F237" s="62">
        <f>表2_36716262930[[#This Row],[累计净值]]-0.0836</f>
        <v>1.4730000000000001</v>
      </c>
      <c r="G237" s="20">
        <f>表2_36716262930[[#This Row],[单位净值]]/$F$21-1</f>
        <v>6.277056277056281E-2</v>
      </c>
    </row>
    <row r="238" spans="1:7">
      <c r="A238" s="15">
        <v>44032</v>
      </c>
      <c r="B238" s="112">
        <v>1.5556000000000001</v>
      </c>
      <c r="C238" s="108">
        <f t="shared" si="63"/>
        <v>-9.9999999999988987E-4</v>
      </c>
      <c r="D238" s="109">
        <f t="shared" si="64"/>
        <v>-9.9999999999988987E-4</v>
      </c>
      <c r="E238" s="109">
        <f ca="1">IF(表2_36716262930[[#This Row],[累计净值]]/MAX(INDIRECT("B21:B" &amp; ROW()))-1&lt;E237,表2_36716262930[[#This Row],[累计净值]]/MAX(INDIRECT("B21:B" &amp; ROW()))-1,E237)</f>
        <v>-2.162024672516849E-2</v>
      </c>
      <c r="F238" s="62">
        <f>表2_36716262930[[#This Row],[累计净值]]-0.0836</f>
        <v>1.4720000000000002</v>
      </c>
      <c r="G238" s="20">
        <f>表2_36716262930[[#This Row],[单位净值]]/$F$21-1</f>
        <v>6.2049062049062353E-2</v>
      </c>
    </row>
    <row r="239" spans="1:7">
      <c r="A239" s="15">
        <v>44033</v>
      </c>
      <c r="B239" s="112">
        <v>1.5566</v>
      </c>
      <c r="C239" s="108">
        <f t="shared" si="63"/>
        <v>9.9999999999988987E-4</v>
      </c>
      <c r="D239" s="109" t="str">
        <f t="shared" si="64"/>
        <v>/</v>
      </c>
      <c r="E239" s="109">
        <f ca="1">IF(表2_36716262930[[#This Row],[累计净值]]/MAX(INDIRECT("B21:B" &amp; ROW()))-1&lt;E238,表2_36716262930[[#This Row],[累计净值]]/MAX(INDIRECT("B21:B" &amp; ROW()))-1,E238)</f>
        <v>-2.162024672516849E-2</v>
      </c>
      <c r="F239" s="62">
        <f>表2_36716262930[[#This Row],[累计净值]]-0.0836</f>
        <v>1.4730000000000001</v>
      </c>
      <c r="G239" s="20">
        <f>表2_36716262930[[#This Row],[单位净值]]/$F$21-1</f>
        <v>6.277056277056281E-2</v>
      </c>
    </row>
    <row r="240" spans="1:7">
      <c r="A240" s="15">
        <v>44034</v>
      </c>
      <c r="B240" s="112">
        <v>1.5566</v>
      </c>
      <c r="C240" s="108">
        <f t="shared" si="63"/>
        <v>0</v>
      </c>
      <c r="D240" s="109" t="str">
        <f t="shared" si="64"/>
        <v>/</v>
      </c>
      <c r="E240" s="109">
        <f ca="1">IF(表2_36716262930[[#This Row],[累计净值]]/MAX(INDIRECT("B21:B" &amp; ROW()))-1&lt;E239,表2_36716262930[[#This Row],[累计净值]]/MAX(INDIRECT("B21:B" &amp; ROW()))-1,E239)</f>
        <v>-2.162024672516849E-2</v>
      </c>
      <c r="F240" s="62">
        <f>表2_36716262930[[#This Row],[累计净值]]-0.0836</f>
        <v>1.4730000000000001</v>
      </c>
      <c r="G240" s="20">
        <f>表2_36716262930[[#This Row],[单位净值]]/$F$21-1</f>
        <v>6.277056277056281E-2</v>
      </c>
    </row>
    <row r="241" spans="1:7">
      <c r="A241" s="15">
        <v>44035</v>
      </c>
      <c r="B241" s="112">
        <v>1.5576000000000001</v>
      </c>
      <c r="C241" s="108">
        <f t="shared" si="63"/>
        <v>1.0000000000001119E-3</v>
      </c>
      <c r="D241" s="109" t="str">
        <f t="shared" si="64"/>
        <v>/</v>
      </c>
      <c r="E241" s="109">
        <f ca="1">IF(表2_36716262930[[#This Row],[累计净值]]/MAX(INDIRECT("B21:B" &amp; ROW()))-1&lt;E240,表2_36716262930[[#This Row],[累计净值]]/MAX(INDIRECT("B21:B" &amp; ROW()))-1,E240)</f>
        <v>-2.162024672516849E-2</v>
      </c>
      <c r="F241" s="62">
        <f>表2_36716262930[[#This Row],[累计净值]]-0.0836</f>
        <v>1.4740000000000002</v>
      </c>
      <c r="G241" s="20">
        <f>表2_36716262930[[#This Row],[单位净值]]/$F$21-1</f>
        <v>6.3492063492063711E-2</v>
      </c>
    </row>
    <row r="242" spans="1:7">
      <c r="A242" s="15">
        <v>44036</v>
      </c>
      <c r="B242" s="112">
        <v>1.5566</v>
      </c>
      <c r="C242" s="108">
        <f t="shared" si="63"/>
        <v>-1.0000000000001119E-3</v>
      </c>
      <c r="D242" s="109">
        <f t="shared" si="64"/>
        <v>-1.0000000000001119E-3</v>
      </c>
      <c r="E242" s="109">
        <f ca="1">IF(表2_36716262930[[#This Row],[累计净值]]/MAX(INDIRECT("B21:B" &amp; ROW()))-1&lt;E241,表2_36716262930[[#This Row],[累计净值]]/MAX(INDIRECT("B21:B" &amp; ROW()))-1,E241)</f>
        <v>-2.162024672516849E-2</v>
      </c>
      <c r="F242" s="62">
        <f>表2_36716262930[[#This Row],[累计净值]]-0.0836</f>
        <v>1.4730000000000001</v>
      </c>
      <c r="G242" s="20">
        <f>表2_36716262930[[#This Row],[单位净值]]/$F$21-1</f>
        <v>6.277056277056281E-2</v>
      </c>
    </row>
    <row r="243" spans="1:7">
      <c r="A243" s="15">
        <v>44039</v>
      </c>
      <c r="B243" s="112">
        <v>1.5576000000000001</v>
      </c>
      <c r="C243" s="108">
        <f t="shared" si="63"/>
        <v>1.0000000000001119E-3</v>
      </c>
      <c r="D243" s="109" t="str">
        <f t="shared" si="64"/>
        <v>/</v>
      </c>
      <c r="E243" s="109">
        <f ca="1">IF(表2_36716262930[[#This Row],[累计净值]]/MAX(INDIRECT("B21:B" &amp; ROW()))-1&lt;E242,表2_36716262930[[#This Row],[累计净值]]/MAX(INDIRECT("B21:B" &amp; ROW()))-1,E242)</f>
        <v>-2.162024672516849E-2</v>
      </c>
      <c r="F243" s="62">
        <f>表2_36716262930[[#This Row],[累计净值]]-0.0836</f>
        <v>1.4740000000000002</v>
      </c>
      <c r="G243" s="20">
        <f>表2_36716262930[[#This Row],[单位净值]]/$F$21-1</f>
        <v>6.3492063492063711E-2</v>
      </c>
    </row>
    <row r="244" spans="1:7">
      <c r="A244" s="15">
        <v>44040</v>
      </c>
      <c r="B244" s="112">
        <v>1.5576000000000001</v>
      </c>
      <c r="C244" s="108">
        <f t="shared" si="63"/>
        <v>0</v>
      </c>
      <c r="D244" s="109" t="str">
        <f t="shared" si="64"/>
        <v>/</v>
      </c>
      <c r="E244" s="109">
        <f ca="1">IF(表2_36716262930[[#This Row],[累计净值]]/MAX(INDIRECT("B21:B" &amp; ROW()))-1&lt;E243,表2_36716262930[[#This Row],[累计净值]]/MAX(INDIRECT("B21:B" &amp; ROW()))-1,E243)</f>
        <v>-2.162024672516849E-2</v>
      </c>
      <c r="F244" s="62">
        <f>表2_36716262930[[#This Row],[累计净值]]-0.0836</f>
        <v>1.4740000000000002</v>
      </c>
      <c r="G244" s="20">
        <f>表2_36716262930[[#This Row],[单位净值]]/$F$21-1</f>
        <v>6.3492063492063711E-2</v>
      </c>
    </row>
    <row r="245" spans="1:7">
      <c r="A245" s="15">
        <v>44041</v>
      </c>
      <c r="B245" s="112">
        <v>1.5566</v>
      </c>
      <c r="C245" s="108">
        <f t="shared" si="63"/>
        <v>-1.0000000000001119E-3</v>
      </c>
      <c r="D245" s="109">
        <f t="shared" si="64"/>
        <v>-1.0000000000001119E-3</v>
      </c>
      <c r="E245" s="109">
        <f ca="1">IF(表2_36716262930[[#This Row],[累计净值]]/MAX(INDIRECT("B21:B" &amp; ROW()))-1&lt;E244,表2_36716262930[[#This Row],[累计净值]]/MAX(INDIRECT("B21:B" &amp; ROW()))-1,E244)</f>
        <v>-2.162024672516849E-2</v>
      </c>
      <c r="F245" s="62">
        <f>表2_36716262930[[#This Row],[累计净值]]-0.0836</f>
        <v>1.4730000000000001</v>
      </c>
      <c r="G245" s="20">
        <f>表2_36716262930[[#This Row],[单位净值]]/$F$21-1</f>
        <v>6.277056277056281E-2</v>
      </c>
    </row>
    <row r="246" spans="1:7">
      <c r="A246" s="15">
        <v>44042</v>
      </c>
      <c r="B246" s="112">
        <v>1.5576000000000001</v>
      </c>
      <c r="C246" s="108">
        <f t="shared" si="63"/>
        <v>1.0000000000001119E-3</v>
      </c>
      <c r="D246" s="109" t="str">
        <f t="shared" si="64"/>
        <v>/</v>
      </c>
      <c r="E246" s="109">
        <f ca="1">IF(表2_36716262930[[#This Row],[累计净值]]/MAX(INDIRECT("B21:B" &amp; ROW()))-1&lt;E245,表2_36716262930[[#This Row],[累计净值]]/MAX(INDIRECT("B21:B" &amp; ROW()))-1,E245)</f>
        <v>-2.162024672516849E-2</v>
      </c>
      <c r="F246" s="62">
        <f>表2_36716262930[[#This Row],[累计净值]]-0.0836</f>
        <v>1.4740000000000002</v>
      </c>
      <c r="G246" s="20">
        <f>表2_36716262930[[#This Row],[单位净值]]/$F$21-1</f>
        <v>6.3492063492063711E-2</v>
      </c>
    </row>
    <row r="247" spans="1:7">
      <c r="A247" s="15">
        <v>44043</v>
      </c>
      <c r="B247" s="112">
        <v>1.5596000000000001</v>
      </c>
      <c r="C247" s="108">
        <f t="shared" si="63"/>
        <v>2.0000000000000018E-3</v>
      </c>
      <c r="D247" s="109" t="str">
        <f t="shared" si="64"/>
        <v>/</v>
      </c>
      <c r="E247" s="109">
        <f ca="1">IF(表2_36716262930[[#This Row],[累计净值]]/MAX(INDIRECT("B21:B" &amp; ROW()))-1&lt;E246,表2_36716262930[[#This Row],[累计净值]]/MAX(INDIRECT("B21:B" &amp; ROW()))-1,E246)</f>
        <v>-2.162024672516849E-2</v>
      </c>
      <c r="F247" s="62">
        <f>表2_36716262930[[#This Row],[累计净值]]-0.0836</f>
        <v>1.4760000000000002</v>
      </c>
      <c r="G247" s="20">
        <f>表2_36716262930[[#This Row],[单位净值]]/$F$21-1</f>
        <v>6.4935064935065068E-2</v>
      </c>
    </row>
    <row r="248" spans="1:7">
      <c r="A248" s="15">
        <v>44046</v>
      </c>
      <c r="B248" s="112">
        <v>1.5606</v>
      </c>
      <c r="C248" s="108">
        <f t="shared" si="63"/>
        <v>9.9999999999988987E-4</v>
      </c>
      <c r="D248" s="109" t="str">
        <f t="shared" si="64"/>
        <v>/</v>
      </c>
      <c r="E248" s="109">
        <f ca="1">IF(表2_36716262930[[#This Row],[累计净值]]/MAX(INDIRECT("B21:B" &amp; ROW()))-1&lt;E247,表2_36716262930[[#This Row],[累计净值]]/MAX(INDIRECT("B21:B" &amp; ROW()))-1,E247)</f>
        <v>-2.162024672516849E-2</v>
      </c>
      <c r="F248" s="62">
        <f>表2_36716262930[[#This Row],[累计净值]]-0.0836</f>
        <v>1.4770000000000001</v>
      </c>
      <c r="G248" s="20">
        <f>表2_36716262930[[#This Row],[单位净值]]/$F$21-1</f>
        <v>6.5656565656565746E-2</v>
      </c>
    </row>
    <row r="249" spans="1:7">
      <c r="A249" s="15">
        <v>44047</v>
      </c>
      <c r="B249" s="112">
        <v>1.5596000000000001</v>
      </c>
      <c r="C249" s="108">
        <f t="shared" si="63"/>
        <v>-9.9999999999988987E-4</v>
      </c>
      <c r="D249" s="109">
        <f t="shared" si="64"/>
        <v>-9.9999999999988987E-4</v>
      </c>
      <c r="E249" s="109">
        <f ca="1">IF(表2_36716262930[[#This Row],[累计净值]]/MAX(INDIRECT("B21:B" &amp; ROW()))-1&lt;E248,表2_36716262930[[#This Row],[累计净值]]/MAX(INDIRECT("B21:B" &amp; ROW()))-1,E248)</f>
        <v>-2.162024672516849E-2</v>
      </c>
      <c r="F249" s="62">
        <f>表2_36716262930[[#This Row],[累计净值]]-0.0836</f>
        <v>1.4760000000000002</v>
      </c>
      <c r="G249" s="20">
        <f>表2_36716262930[[#This Row],[单位净值]]/$F$21-1</f>
        <v>6.4935064935065068E-2</v>
      </c>
    </row>
    <row r="250" spans="1:7">
      <c r="A250" s="15">
        <v>44048</v>
      </c>
      <c r="B250" s="112">
        <v>1.5596000000000001</v>
      </c>
      <c r="C250" s="108">
        <f t="shared" si="63"/>
        <v>0</v>
      </c>
      <c r="D250" s="109" t="str">
        <f t="shared" si="64"/>
        <v>/</v>
      </c>
      <c r="E250" s="109">
        <f ca="1">IF(表2_36716262930[[#This Row],[累计净值]]/MAX(INDIRECT("B21:B" &amp; ROW()))-1&lt;E249,表2_36716262930[[#This Row],[累计净值]]/MAX(INDIRECT("B21:B" &amp; ROW()))-1,E249)</f>
        <v>-2.162024672516849E-2</v>
      </c>
      <c r="F250" s="62">
        <f>表2_36716262930[[#This Row],[累计净值]]-0.0836</f>
        <v>1.4760000000000002</v>
      </c>
      <c r="G250" s="20">
        <f>表2_36716262930[[#This Row],[单位净值]]/$F$21-1</f>
        <v>6.4935064935065068E-2</v>
      </c>
    </row>
    <row r="251" spans="1:7">
      <c r="A251" s="15">
        <v>44049</v>
      </c>
      <c r="B251" s="63">
        <v>1.5596000000000001</v>
      </c>
      <c r="C251" s="64">
        <f t="shared" si="63"/>
        <v>0</v>
      </c>
      <c r="D251" s="65" t="str">
        <f t="shared" si="64"/>
        <v>/</v>
      </c>
      <c r="E251" s="65">
        <f ca="1">IF(表2_36716262930[[#This Row],[累计净值]]/MAX(INDIRECT("B21:B" &amp; ROW()))-1&lt;E250,表2_36716262930[[#This Row],[累计净值]]/MAX(INDIRECT("B21:B" &amp; ROW()))-1,E250)</f>
        <v>-2.162024672516849E-2</v>
      </c>
      <c r="F251" s="62">
        <f>表2_36716262930[[#This Row],[累计净值]]-0.0836</f>
        <v>1.4760000000000002</v>
      </c>
      <c r="G251" s="20">
        <f>表2_36716262930[[#This Row],[单位净值]]/$F$21-1</f>
        <v>6.4935064935065068E-2</v>
      </c>
    </row>
    <row r="252" spans="1:7">
      <c r="A252" s="15">
        <v>44050</v>
      </c>
      <c r="B252" s="112">
        <v>1.5586</v>
      </c>
      <c r="C252" s="108">
        <f t="shared" si="63"/>
        <v>-1.0000000000001119E-3</v>
      </c>
      <c r="D252" s="109">
        <f t="shared" si="64"/>
        <v>-1.0000000000001119E-3</v>
      </c>
      <c r="E252" s="109">
        <f ca="1">IF(表2_36716262930[[#This Row],[累计净值]]/MAX(INDIRECT("B21:B" &amp; ROW()))-1&lt;E251,表2_36716262930[[#This Row],[累计净值]]/MAX(INDIRECT("B21:B" &amp; ROW()))-1,E251)</f>
        <v>-2.162024672516849E-2</v>
      </c>
      <c r="F252" s="62">
        <f>表2_36716262930[[#This Row],[累计净值]]-0.0836</f>
        <v>1.4750000000000001</v>
      </c>
      <c r="G252" s="20">
        <f>表2_36716262930[[#This Row],[单位净值]]/$F$21-1</f>
        <v>6.4213564213564389E-2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5">
    <tabColor theme="1"/>
  </sheetPr>
  <dimension ref="A1:G107"/>
  <sheetViews>
    <sheetView workbookViewId="0">
      <pane xSplit="1" ySplit="20" topLeftCell="B100" activePane="bottomRight" state="frozen"/>
      <selection pane="topRight" activeCell="B1" sqref="B1"/>
      <selection pane="bottomLeft" activeCell="A21" sqref="A21"/>
      <selection pane="bottomRight" activeCell="H106" sqref="H106"/>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COUNT(表2_3671626293038912131415[每日盈亏])</f>
        <v>87</v>
      </c>
      <c r="C2" s="27"/>
      <c r="D2" s="3" t="s">
        <v>1</v>
      </c>
      <c r="E2" s="28"/>
      <c r="F2" s="1" t="s">
        <v>2</v>
      </c>
      <c r="G2" s="400" t="s">
        <v>3</v>
      </c>
    </row>
    <row r="3" spans="1:7">
      <c r="A3" s="25" t="s">
        <v>4</v>
      </c>
      <c r="B3" s="26">
        <f>COUNTIF(表2_3671626293038912131415[每日盈亏],"&gt;0")</f>
        <v>44</v>
      </c>
      <c r="C3" s="29"/>
      <c r="D3" s="30" t="s">
        <v>5</v>
      </c>
      <c r="E3" s="31">
        <f>245^0.5*(B10-0.025/365)/E10</f>
        <v>-1.731133111335545</v>
      </c>
      <c r="G3" s="400"/>
    </row>
    <row r="4" spans="1:7">
      <c r="A4" s="25" t="s">
        <v>6</v>
      </c>
      <c r="B4" s="26">
        <f>COUNTIF(表2_3671626293038912131415[每日盈亏],"&lt;0")</f>
        <v>36</v>
      </c>
      <c r="C4" s="29"/>
      <c r="D4" s="32" t="s">
        <v>7</v>
      </c>
      <c r="E4" s="31">
        <f ca="1">-B9/E8</f>
        <v>-2.1915954022988497</v>
      </c>
      <c r="G4" s="2">
        <f>LOOKUP(999^10,表2_3671626293038912131415[累计净值])</f>
        <v>0.92400000000000004</v>
      </c>
    </row>
    <row r="5" spans="1:7">
      <c r="A5" s="25" t="s">
        <v>8</v>
      </c>
      <c r="B5" s="26">
        <f>B2-B3-B4</f>
        <v>7</v>
      </c>
      <c r="C5" s="29"/>
      <c r="D5" s="33" t="s">
        <v>9</v>
      </c>
      <c r="E5" s="4">
        <f>245^0.5*(B10-0.025/365)/E9</f>
        <v>-1.6096890183015105</v>
      </c>
    </row>
    <row r="6" spans="1:7" ht="16" thickBot="1">
      <c r="A6" s="34"/>
      <c r="B6" s="35"/>
      <c r="C6" s="35"/>
      <c r="D6" s="35"/>
      <c r="E6" s="36"/>
    </row>
    <row r="7" spans="1:7" ht="16" thickBot="1">
      <c r="A7" s="5" t="s">
        <v>10</v>
      </c>
      <c r="B7" s="35"/>
      <c r="C7" s="35"/>
      <c r="D7" s="3" t="s">
        <v>11</v>
      </c>
      <c r="E7" s="37"/>
    </row>
    <row r="8" spans="1:7">
      <c r="A8" s="38" t="s">
        <v>12</v>
      </c>
      <c r="B8" s="39">
        <f>LOOKUP(999^10,表2_3671626293038912131415[累计净值])/$B$21-1</f>
        <v>-7.5999999999999956E-2</v>
      </c>
      <c r="C8" s="40"/>
      <c r="D8" s="30" t="s">
        <v>13</v>
      </c>
      <c r="E8" s="41">
        <f ca="1">MIN(表2_3671626293038912131415[最大回撤])</f>
        <v>-9.765625E-2</v>
      </c>
    </row>
    <row r="9" spans="1:7">
      <c r="A9" s="25" t="s">
        <v>14</v>
      </c>
      <c r="B9" s="32">
        <f>B8*245/B2</f>
        <v>-0.21402298850574702</v>
      </c>
      <c r="C9" s="40"/>
      <c r="D9" s="33" t="s">
        <v>15</v>
      </c>
      <c r="E9" s="6">
        <f>STDEV(表2_3671626293038912131415[下跌幅度])</f>
        <v>9.1604740987726932E-3</v>
      </c>
    </row>
    <row r="10" spans="1:7">
      <c r="A10" s="42" t="s">
        <v>16</v>
      </c>
      <c r="B10" s="43">
        <f>AVERAGE(表2_3671626293038912131415[每日盈亏])</f>
        <v>-8.7356321839080408E-4</v>
      </c>
      <c r="C10" s="44"/>
      <c r="D10" s="33" t="s">
        <v>17</v>
      </c>
      <c r="E10" s="6">
        <f>STDEV(表2_3671626293038912131415[每日盈亏])</f>
        <v>8.5178398256468401E-3</v>
      </c>
    </row>
    <row r="11" spans="1:7">
      <c r="A11" s="7" t="s">
        <v>18</v>
      </c>
      <c r="B11" s="32">
        <f>B3/B2</f>
        <v>0.50574712643678166</v>
      </c>
      <c r="C11" s="40"/>
      <c r="D11" s="32" t="s">
        <v>19</v>
      </c>
      <c r="E11" s="41">
        <f>245^0.5*E10</f>
        <v>0.13332528210120903</v>
      </c>
    </row>
    <row r="12" spans="1:7" ht="16" thickBot="1">
      <c r="A12" s="45" t="s">
        <v>20</v>
      </c>
      <c r="B12" s="46">
        <f>-(SUMIF(表2_3671626293038912131415[每日盈亏],"&gt;=0")/B3)/(SUMIF(表2_3671626293038912131415[每日盈亏],"&lt;0")/B4)</f>
        <v>0.56541019955654126</v>
      </c>
      <c r="C12" s="47"/>
      <c r="D12" s="48"/>
      <c r="E12" s="49"/>
    </row>
    <row r="14" spans="1:7" ht="32">
      <c r="A14" s="50" t="s">
        <v>21</v>
      </c>
      <c r="B14" s="50" t="s">
        <v>14</v>
      </c>
      <c r="C14" s="51" t="s">
        <v>19</v>
      </c>
      <c r="D14" s="51" t="s">
        <v>13</v>
      </c>
      <c r="E14" s="51" t="s">
        <v>5</v>
      </c>
      <c r="F14" s="51" t="s">
        <v>7</v>
      </c>
    </row>
    <row r="15" spans="1:7">
      <c r="A15" s="78">
        <f>B2</f>
        <v>87</v>
      </c>
      <c r="B15" s="53">
        <f>B9</f>
        <v>-0.21402298850574702</v>
      </c>
      <c r="C15" s="53">
        <f>E11</f>
        <v>0.13332528210120903</v>
      </c>
      <c r="D15" s="53">
        <f ca="1">E8</f>
        <v>-9.765625E-2</v>
      </c>
      <c r="E15" s="54">
        <f>E3</f>
        <v>-1.731133111335545</v>
      </c>
      <c r="F15" s="54">
        <f ca="1">E4</f>
        <v>-2.1915954022988497</v>
      </c>
    </row>
    <row r="19" spans="1:7">
      <c r="A19" s="8"/>
      <c r="B19" s="1" t="s">
        <v>22</v>
      </c>
    </row>
    <row r="20" spans="1:7" ht="16">
      <c r="A20" s="22" t="s">
        <v>23</v>
      </c>
      <c r="B20" s="22" t="s">
        <v>24</v>
      </c>
      <c r="C20" s="22" t="s">
        <v>25</v>
      </c>
      <c r="D20" s="22" t="s">
        <v>26</v>
      </c>
      <c r="E20" s="22" t="s">
        <v>27</v>
      </c>
      <c r="F20" s="22" t="s">
        <v>28</v>
      </c>
      <c r="G20" s="22" t="s">
        <v>29</v>
      </c>
    </row>
    <row r="21" spans="1:7">
      <c r="A21" s="15">
        <v>43928</v>
      </c>
      <c r="B21" s="16">
        <v>1</v>
      </c>
      <c r="C21" s="11">
        <f t="shared" ref="C21:C50" si="0">IFERROR(B21-B20,0)</f>
        <v>0</v>
      </c>
      <c r="D21" s="12" t="str">
        <f t="shared" ref="D21:D50" si="1">IF(C21&lt;0,C21,"/")</f>
        <v>/</v>
      </c>
      <c r="E21" s="12">
        <f ca="1">IF(表2_3671626293038912131415[[#This Row],[累计净值]]/MAX(INDIRECT("B21:B" &amp; ROW()))-1&lt;E20,表2_3671626293038912131415[[#This Row],[累计净值]]/MAX(INDIRECT("B21:B" &amp; ROW()))-1,E20)</f>
        <v>0</v>
      </c>
      <c r="F21" s="13">
        <f>表2_3671626293038912131415[[#This Row],[累计净值]]</f>
        <v>1</v>
      </c>
      <c r="G21" s="14"/>
    </row>
    <row r="22" spans="1:7">
      <c r="A22" s="15">
        <v>43929</v>
      </c>
      <c r="B22" s="16">
        <v>0.999</v>
      </c>
      <c r="C22" s="17">
        <f t="shared" si="0"/>
        <v>-1.0000000000000009E-3</v>
      </c>
      <c r="D22" s="18">
        <f t="shared" si="1"/>
        <v>-1.0000000000000009E-3</v>
      </c>
      <c r="E22" s="18">
        <f ca="1">IF(表2_3671626293038912131415[[#This Row],[累计净值]]/MAX(INDIRECT("B21:B" &amp; ROW()))-1&lt;E21,表2_3671626293038912131415[[#This Row],[累计净值]]/MAX(INDIRECT("B21:B" &amp; ROW()))-1,E21)</f>
        <v>-1.0000000000000009E-3</v>
      </c>
      <c r="F22" s="19">
        <f>表2_3671626293038912131415[[#This Row],[累计净值]]</f>
        <v>0.999</v>
      </c>
      <c r="G22" s="20"/>
    </row>
    <row r="23" spans="1:7">
      <c r="A23" s="15">
        <v>43930</v>
      </c>
      <c r="B23" s="16">
        <v>0.999</v>
      </c>
      <c r="C23" s="73">
        <f t="shared" si="0"/>
        <v>0</v>
      </c>
      <c r="D23" s="18" t="str">
        <f t="shared" si="1"/>
        <v>/</v>
      </c>
      <c r="E23" s="18">
        <f ca="1">IF(表2_3671626293038912131415[[#This Row],[累计净值]]/MAX(INDIRECT("B21:B" &amp; ROW()))-1&lt;E22,表2_3671626293038912131415[[#This Row],[累计净值]]/MAX(INDIRECT("B21:B" &amp; ROW()))-1,E22)</f>
        <v>-1.0000000000000009E-3</v>
      </c>
      <c r="F23" s="62">
        <f>表2_3671626293038912131415[[#This Row],[累计净值]]</f>
        <v>0.999</v>
      </c>
      <c r="G23" s="20"/>
    </row>
    <row r="24" spans="1:7">
      <c r="A24" s="15">
        <v>43931</v>
      </c>
      <c r="B24" s="16">
        <v>0.999</v>
      </c>
      <c r="C24" s="73">
        <f t="shared" si="0"/>
        <v>0</v>
      </c>
      <c r="D24" s="18" t="str">
        <f t="shared" si="1"/>
        <v>/</v>
      </c>
      <c r="E24" s="18">
        <f ca="1">IF(表2_3671626293038912131415[[#This Row],[累计净值]]/MAX(INDIRECT("B21:B" &amp; ROW()))-1&lt;E23,表2_3671626293038912131415[[#This Row],[累计净值]]/MAX(INDIRECT("B21:B" &amp; ROW()))-1,E23)</f>
        <v>-1.0000000000000009E-3</v>
      </c>
      <c r="F24" s="62">
        <f>表2_3671626293038912131415[[#This Row],[累计净值]]</f>
        <v>0.999</v>
      </c>
      <c r="G24" s="20"/>
    </row>
    <row r="25" spans="1:7">
      <c r="A25" s="15">
        <v>43934</v>
      </c>
      <c r="B25" s="16">
        <v>1</v>
      </c>
      <c r="C25" s="73">
        <f t="shared" si="0"/>
        <v>1.0000000000000009E-3</v>
      </c>
      <c r="D25" s="18" t="str">
        <f t="shared" si="1"/>
        <v>/</v>
      </c>
      <c r="E25" s="18">
        <f ca="1">IF(表2_3671626293038912131415[[#This Row],[累计净值]]/MAX(INDIRECT("B21:B" &amp; ROW()))-1&lt;E24,表2_3671626293038912131415[[#This Row],[累计净值]]/MAX(INDIRECT("B21:B" &amp; ROW()))-1,E24)</f>
        <v>-1.0000000000000009E-3</v>
      </c>
      <c r="F25" s="62">
        <f>表2_3671626293038912131415[[#This Row],[累计净值]]</f>
        <v>1</v>
      </c>
      <c r="G25" s="20"/>
    </row>
    <row r="26" spans="1:7">
      <c r="A26" s="15">
        <v>43935</v>
      </c>
      <c r="B26" s="96">
        <v>1</v>
      </c>
      <c r="C26" s="94">
        <f t="shared" si="0"/>
        <v>0</v>
      </c>
      <c r="D26" s="95" t="str">
        <f t="shared" si="1"/>
        <v>/</v>
      </c>
      <c r="E26" s="95">
        <f ca="1">IF(表2_3671626293038912131415[[#This Row],[累计净值]]/MAX(INDIRECT("B21:B" &amp; ROW()))-1&lt;E25,表2_3671626293038912131415[[#This Row],[累计净值]]/MAX(INDIRECT("B21:B" &amp; ROW()))-1,E25)</f>
        <v>-1.0000000000000009E-3</v>
      </c>
      <c r="F26" s="97">
        <f>表2_3671626293038912131415[[#This Row],[累计净值]]</f>
        <v>1</v>
      </c>
      <c r="G26" s="20"/>
    </row>
    <row r="27" spans="1:7">
      <c r="A27" s="15">
        <v>43936</v>
      </c>
      <c r="B27" s="96">
        <v>0.998</v>
      </c>
      <c r="C27" s="94">
        <f t="shared" si="0"/>
        <v>-2.0000000000000018E-3</v>
      </c>
      <c r="D27" s="95">
        <f t="shared" si="1"/>
        <v>-2.0000000000000018E-3</v>
      </c>
      <c r="E27" s="95">
        <f ca="1">IF(表2_3671626293038912131415[[#This Row],[累计净值]]/MAX(INDIRECT("B21:B" &amp; ROW()))-1&lt;E26,表2_3671626293038912131415[[#This Row],[累计净值]]/MAX(INDIRECT("B21:B" &amp; ROW()))-1,E26)</f>
        <v>-2.0000000000000018E-3</v>
      </c>
      <c r="F27" s="97">
        <f>表2_3671626293038912131415[[#This Row],[累计净值]]</f>
        <v>0.998</v>
      </c>
      <c r="G27" s="20"/>
    </row>
    <row r="28" spans="1:7">
      <c r="A28" s="15">
        <v>43937</v>
      </c>
      <c r="B28" s="96">
        <v>0.998</v>
      </c>
      <c r="C28" s="94">
        <f t="shared" si="0"/>
        <v>0</v>
      </c>
      <c r="D28" s="95" t="str">
        <f t="shared" si="1"/>
        <v>/</v>
      </c>
      <c r="E28" s="95">
        <f ca="1">IF(表2_3671626293038912131415[[#This Row],[累计净值]]/MAX(INDIRECT("B21:B" &amp; ROW()))-1&lt;E27,表2_3671626293038912131415[[#This Row],[累计净值]]/MAX(INDIRECT("B21:B" &amp; ROW()))-1,E27)</f>
        <v>-2.0000000000000018E-3</v>
      </c>
      <c r="F28" s="97">
        <f>表2_3671626293038912131415[[#This Row],[累计净值]]</f>
        <v>0.998</v>
      </c>
      <c r="G28" s="20"/>
    </row>
    <row r="29" spans="1:7">
      <c r="A29" s="15">
        <v>43938</v>
      </c>
      <c r="B29" s="96">
        <v>1.0029999999999999</v>
      </c>
      <c r="C29" s="94">
        <f t="shared" si="0"/>
        <v>4.9999999999998934E-3</v>
      </c>
      <c r="D29" s="95" t="str">
        <f t="shared" si="1"/>
        <v>/</v>
      </c>
      <c r="E29" s="95">
        <f ca="1">IF(表2_3671626293038912131415[[#This Row],[累计净值]]/MAX(INDIRECT("B21:B" &amp; ROW()))-1&lt;E28,表2_3671626293038912131415[[#This Row],[累计净值]]/MAX(INDIRECT("B21:B" &amp; ROW()))-1,E28)</f>
        <v>-2.0000000000000018E-3</v>
      </c>
      <c r="F29" s="97">
        <f>表2_3671626293038912131415[[#This Row],[累计净值]]</f>
        <v>1.0029999999999999</v>
      </c>
      <c r="G29" s="20"/>
    </row>
    <row r="30" spans="1:7">
      <c r="A30" s="15">
        <v>43941</v>
      </c>
      <c r="B30" s="96">
        <v>1.002</v>
      </c>
      <c r="C30" s="94">
        <f t="shared" si="0"/>
        <v>-9.9999999999988987E-4</v>
      </c>
      <c r="D30" s="95">
        <f t="shared" si="1"/>
        <v>-9.9999999999988987E-4</v>
      </c>
      <c r="E30" s="95">
        <f ca="1">IF(表2_3671626293038912131415[[#This Row],[累计净值]]/MAX(INDIRECT("B21:B" &amp; ROW()))-1&lt;E29,表2_3671626293038912131415[[#This Row],[累计净值]]/MAX(INDIRECT("B21:B" &amp; ROW()))-1,E29)</f>
        <v>-2.0000000000000018E-3</v>
      </c>
      <c r="F30" s="97">
        <f>表2_3671626293038912131415[[#This Row],[累计净值]]</f>
        <v>1.002</v>
      </c>
      <c r="G30" s="20"/>
    </row>
    <row r="31" spans="1:7">
      <c r="A31" s="15">
        <v>43942</v>
      </c>
      <c r="B31" s="96">
        <v>1.0069999999999999</v>
      </c>
      <c r="C31" s="94">
        <f t="shared" si="0"/>
        <v>4.9999999999998934E-3</v>
      </c>
      <c r="D31" s="95" t="str">
        <f t="shared" si="1"/>
        <v>/</v>
      </c>
      <c r="E31" s="95">
        <f ca="1">IF(表2_3671626293038912131415[[#This Row],[累计净值]]/MAX(INDIRECT("B21:B" &amp; ROW()))-1&lt;E30,表2_3671626293038912131415[[#This Row],[累计净值]]/MAX(INDIRECT("B21:B" &amp; ROW()))-1,E30)</f>
        <v>-2.0000000000000018E-3</v>
      </c>
      <c r="F31" s="97">
        <f>表2_3671626293038912131415[[#This Row],[累计净值]]</f>
        <v>1.0069999999999999</v>
      </c>
      <c r="G31" s="20"/>
    </row>
    <row r="32" spans="1:7">
      <c r="A32" s="15">
        <v>43943</v>
      </c>
      <c r="B32" s="96">
        <v>1.004</v>
      </c>
      <c r="C32" s="94">
        <f t="shared" si="0"/>
        <v>-2.9999999999998916E-3</v>
      </c>
      <c r="D32" s="95">
        <f t="shared" si="1"/>
        <v>-2.9999999999998916E-3</v>
      </c>
      <c r="E32" s="95">
        <f ca="1">IF(表2_3671626293038912131415[[#This Row],[累计净值]]/MAX(INDIRECT("B21:B" &amp; ROW()))-1&lt;E31,表2_3671626293038912131415[[#This Row],[累计净值]]/MAX(INDIRECT("B21:B" &amp; ROW()))-1,E31)</f>
        <v>-2.9791459781528529E-3</v>
      </c>
      <c r="F32" s="97">
        <f>表2_3671626293038912131415[[#This Row],[累计净值]]</f>
        <v>1.004</v>
      </c>
      <c r="G32" s="20"/>
    </row>
    <row r="33" spans="1:7">
      <c r="A33" s="15">
        <v>43944</v>
      </c>
      <c r="B33" s="96">
        <v>1.0049999999999999</v>
      </c>
      <c r="C33" s="94">
        <f t="shared" si="0"/>
        <v>9.9999999999988987E-4</v>
      </c>
      <c r="D33" s="95" t="str">
        <f t="shared" si="1"/>
        <v>/</v>
      </c>
      <c r="E33" s="95">
        <f ca="1">IF(表2_3671626293038912131415[[#This Row],[累计净值]]/MAX(INDIRECT("B21:B" &amp; ROW()))-1&lt;E32,表2_3671626293038912131415[[#This Row],[累计净值]]/MAX(INDIRECT("B21:B" &amp; ROW()))-1,E32)</f>
        <v>-2.9791459781528529E-3</v>
      </c>
      <c r="F33" s="97">
        <f>表2_3671626293038912131415[[#This Row],[累计净值]]</f>
        <v>1.0049999999999999</v>
      </c>
      <c r="G33" s="20"/>
    </row>
    <row r="34" spans="1:7">
      <c r="A34" s="15">
        <v>43945</v>
      </c>
      <c r="B34" s="96">
        <v>1.006</v>
      </c>
      <c r="C34" s="94">
        <f t="shared" si="0"/>
        <v>1.0000000000001119E-3</v>
      </c>
      <c r="D34" s="95" t="str">
        <f t="shared" si="1"/>
        <v>/</v>
      </c>
      <c r="E34" s="95">
        <f ca="1">IF(表2_3671626293038912131415[[#This Row],[累计净值]]/MAX(INDIRECT("B21:B" &amp; ROW()))-1&lt;E33,表2_3671626293038912131415[[#This Row],[累计净值]]/MAX(INDIRECT("B21:B" &amp; ROW()))-1,E33)</f>
        <v>-2.9791459781528529E-3</v>
      </c>
      <c r="F34" s="97">
        <f>表2_3671626293038912131415[[#This Row],[累计净值]]</f>
        <v>1.006</v>
      </c>
      <c r="G34" s="20"/>
    </row>
    <row r="35" spans="1:7">
      <c r="A35" s="15">
        <v>43948</v>
      </c>
      <c r="B35" s="96">
        <v>1.0049999999999999</v>
      </c>
      <c r="C35" s="94">
        <f t="shared" si="0"/>
        <v>-1.0000000000001119E-3</v>
      </c>
      <c r="D35" s="95">
        <f t="shared" si="1"/>
        <v>-1.0000000000001119E-3</v>
      </c>
      <c r="E35" s="95">
        <f ca="1">IF(表2_3671626293038912131415[[#This Row],[累计净值]]/MAX(INDIRECT("B21:B" &amp; ROW()))-1&lt;E34,表2_3671626293038912131415[[#This Row],[累计净值]]/MAX(INDIRECT("B21:B" &amp; ROW()))-1,E34)</f>
        <v>-2.9791459781528529E-3</v>
      </c>
      <c r="F35" s="97">
        <f>表2_3671626293038912131415[[#This Row],[累计净值]]</f>
        <v>1.0049999999999999</v>
      </c>
      <c r="G35" s="20"/>
    </row>
    <row r="36" spans="1:7">
      <c r="A36" s="15">
        <v>43949</v>
      </c>
      <c r="B36" s="96">
        <v>1.006</v>
      </c>
      <c r="C36" s="94">
        <f t="shared" si="0"/>
        <v>1.0000000000001119E-3</v>
      </c>
      <c r="D36" s="95" t="str">
        <f t="shared" si="1"/>
        <v>/</v>
      </c>
      <c r="E36" s="95">
        <f ca="1">IF(表2_3671626293038912131415[[#This Row],[累计净值]]/MAX(INDIRECT("B21:B" &amp; ROW()))-1&lt;E35,表2_3671626293038912131415[[#This Row],[累计净值]]/MAX(INDIRECT("B21:B" &amp; ROW()))-1,E35)</f>
        <v>-2.9791459781528529E-3</v>
      </c>
      <c r="F36" s="97">
        <f>表2_3671626293038912131415[[#This Row],[累计净值]]</f>
        <v>1.006</v>
      </c>
      <c r="G36" s="20"/>
    </row>
    <row r="37" spans="1:7">
      <c r="A37" s="15">
        <v>43950</v>
      </c>
      <c r="B37" s="96">
        <v>1.0049999999999999</v>
      </c>
      <c r="C37" s="94">
        <f t="shared" si="0"/>
        <v>-1.0000000000001119E-3</v>
      </c>
      <c r="D37" s="95">
        <f t="shared" si="1"/>
        <v>-1.0000000000001119E-3</v>
      </c>
      <c r="E37" s="95">
        <f ca="1">IF(表2_3671626293038912131415[[#This Row],[累计净值]]/MAX(INDIRECT("B21:B" &amp; ROW()))-1&lt;E36,表2_3671626293038912131415[[#This Row],[累计净值]]/MAX(INDIRECT("B21:B" &amp; ROW()))-1,E36)</f>
        <v>-2.9791459781528529E-3</v>
      </c>
      <c r="F37" s="97">
        <f>表2_3671626293038912131415[[#This Row],[累计净值]]</f>
        <v>1.0049999999999999</v>
      </c>
      <c r="G37" s="20"/>
    </row>
    <row r="38" spans="1:7">
      <c r="A38" s="15">
        <v>43951</v>
      </c>
      <c r="B38" s="96">
        <v>1.006</v>
      </c>
      <c r="C38" s="94">
        <f t="shared" si="0"/>
        <v>1.0000000000001119E-3</v>
      </c>
      <c r="D38" s="95" t="str">
        <f t="shared" si="1"/>
        <v>/</v>
      </c>
      <c r="E38" s="95">
        <f ca="1">IF(表2_3671626293038912131415[[#This Row],[累计净值]]/MAX(INDIRECT("B21:B" &amp; ROW()))-1&lt;E37,表2_3671626293038912131415[[#This Row],[累计净值]]/MAX(INDIRECT("B21:B" &amp; ROW()))-1,E37)</f>
        <v>-2.9791459781528529E-3</v>
      </c>
      <c r="F38" s="97">
        <f>表2_3671626293038912131415[[#This Row],[累计净值]]</f>
        <v>1.006</v>
      </c>
      <c r="G38" s="20"/>
    </row>
    <row r="39" spans="1:7">
      <c r="A39" s="15">
        <v>43957</v>
      </c>
      <c r="B39" s="104">
        <v>1.0049999999999999</v>
      </c>
      <c r="C39" s="101">
        <f t="shared" si="0"/>
        <v>-1.0000000000001119E-3</v>
      </c>
      <c r="D39" s="102">
        <f t="shared" si="1"/>
        <v>-1.0000000000001119E-3</v>
      </c>
      <c r="E39" s="102">
        <f ca="1">IF(表2_3671626293038912131415[[#This Row],[累计净值]]/MAX(INDIRECT("B21:B" &amp; ROW()))-1&lt;E38,表2_3671626293038912131415[[#This Row],[累计净值]]/MAX(INDIRECT("B21:B" &amp; ROW()))-1,E38)</f>
        <v>-2.9791459781528529E-3</v>
      </c>
      <c r="F39" s="103">
        <f>表2_3671626293038912131415[[#This Row],[累计净值]]</f>
        <v>1.0049999999999999</v>
      </c>
      <c r="G39" s="20"/>
    </row>
    <row r="40" spans="1:7">
      <c r="A40" s="15">
        <v>43958</v>
      </c>
      <c r="B40" s="104">
        <v>1.006</v>
      </c>
      <c r="C40" s="101">
        <f t="shared" si="0"/>
        <v>1.0000000000001119E-3</v>
      </c>
      <c r="D40" s="102" t="str">
        <f t="shared" si="1"/>
        <v>/</v>
      </c>
      <c r="E40" s="102">
        <f ca="1">IF(表2_3671626293038912131415[[#This Row],[累计净值]]/MAX(INDIRECT("B21:B" &amp; ROW()))-1&lt;E39,表2_3671626293038912131415[[#This Row],[累计净值]]/MAX(INDIRECT("B21:B" &amp; ROW()))-1,E39)</f>
        <v>-2.9791459781528529E-3</v>
      </c>
      <c r="F40" s="103">
        <f>表2_3671626293038912131415[[#This Row],[累计净值]]</f>
        <v>1.006</v>
      </c>
      <c r="G40" s="20"/>
    </row>
    <row r="41" spans="1:7">
      <c r="A41" s="15">
        <v>43959</v>
      </c>
      <c r="B41" s="104">
        <v>1.006</v>
      </c>
      <c r="C41" s="101">
        <f t="shared" si="0"/>
        <v>0</v>
      </c>
      <c r="D41" s="102" t="str">
        <f t="shared" si="1"/>
        <v>/</v>
      </c>
      <c r="E41" s="102">
        <f ca="1">IF(表2_3671626293038912131415[[#This Row],[累计净值]]/MAX(INDIRECT("B21:B" &amp; ROW()))-1&lt;E40,表2_3671626293038912131415[[#This Row],[累计净值]]/MAX(INDIRECT("B21:B" &amp; ROW()))-1,E40)</f>
        <v>-2.9791459781528529E-3</v>
      </c>
      <c r="F41" s="103">
        <f>表2_3671626293038912131415[[#This Row],[累计净值]]</f>
        <v>1.006</v>
      </c>
      <c r="G41" s="20"/>
    </row>
    <row r="42" spans="1:7">
      <c r="A42" s="15">
        <v>43962</v>
      </c>
      <c r="B42" s="104">
        <v>1.008</v>
      </c>
      <c r="C42" s="101">
        <f t="shared" si="0"/>
        <v>2.0000000000000018E-3</v>
      </c>
      <c r="D42" s="102" t="str">
        <f t="shared" si="1"/>
        <v>/</v>
      </c>
      <c r="E42" s="102">
        <f ca="1">IF(表2_3671626293038912131415[[#This Row],[累计净值]]/MAX(INDIRECT("B21:B" &amp; ROW()))-1&lt;E41,表2_3671626293038912131415[[#This Row],[累计净值]]/MAX(INDIRECT("B21:B" &amp; ROW()))-1,E41)</f>
        <v>-2.9791459781528529E-3</v>
      </c>
      <c r="F42" s="103">
        <f>表2_3671626293038912131415[[#This Row],[累计净值]]</f>
        <v>1.008</v>
      </c>
      <c r="G42" s="20"/>
    </row>
    <row r="43" spans="1:7">
      <c r="A43" s="15">
        <v>43963</v>
      </c>
      <c r="B43" s="104">
        <v>1.0069999999999999</v>
      </c>
      <c r="C43" s="101">
        <f t="shared" si="0"/>
        <v>-1.0000000000001119E-3</v>
      </c>
      <c r="D43" s="102">
        <f t="shared" si="1"/>
        <v>-1.0000000000001119E-3</v>
      </c>
      <c r="E43" s="102">
        <f ca="1">IF(表2_3671626293038912131415[[#This Row],[累计净值]]/MAX(INDIRECT("B21:B" &amp; ROW()))-1&lt;E42,表2_3671626293038912131415[[#This Row],[累计净值]]/MAX(INDIRECT("B21:B" &amp; ROW()))-1,E42)</f>
        <v>-2.9791459781528529E-3</v>
      </c>
      <c r="F43" s="103">
        <f>表2_3671626293038912131415[[#This Row],[累计净值]]</f>
        <v>1.0069999999999999</v>
      </c>
      <c r="G43" s="20"/>
    </row>
    <row r="44" spans="1:7">
      <c r="A44" s="15">
        <v>43964</v>
      </c>
      <c r="B44" s="104">
        <v>1.006</v>
      </c>
      <c r="C44" s="101">
        <f t="shared" si="0"/>
        <v>-9.9999999999988987E-4</v>
      </c>
      <c r="D44" s="102">
        <f t="shared" si="1"/>
        <v>-9.9999999999988987E-4</v>
      </c>
      <c r="E44" s="102">
        <f ca="1">IF(表2_3671626293038912131415[[#This Row],[累计净值]]/MAX(INDIRECT("B21:B" &amp; ROW()))-1&lt;E43,表2_3671626293038912131415[[#This Row],[累计净值]]/MAX(INDIRECT("B21:B" &amp; ROW()))-1,E43)</f>
        <v>-2.9791459781528529E-3</v>
      </c>
      <c r="F44" s="103">
        <f>表2_3671626293038912131415[[#This Row],[累计净值]]</f>
        <v>1.006</v>
      </c>
      <c r="G44" s="20"/>
    </row>
    <row r="45" spans="1:7">
      <c r="A45" s="15">
        <v>43965</v>
      </c>
      <c r="B45" s="104">
        <v>1.01</v>
      </c>
      <c r="C45" s="101">
        <f t="shared" si="0"/>
        <v>4.0000000000000036E-3</v>
      </c>
      <c r="D45" s="102" t="str">
        <f t="shared" si="1"/>
        <v>/</v>
      </c>
      <c r="E45" s="102">
        <f ca="1">IF(表2_3671626293038912131415[[#This Row],[累计净值]]/MAX(INDIRECT("B21:B" &amp; ROW()))-1&lt;E44,表2_3671626293038912131415[[#This Row],[累计净值]]/MAX(INDIRECT("B21:B" &amp; ROW()))-1,E44)</f>
        <v>-2.9791459781528529E-3</v>
      </c>
      <c r="F45" s="103">
        <f>表2_3671626293038912131415[[#This Row],[累计净值]]</f>
        <v>1.01</v>
      </c>
      <c r="G45" s="20"/>
    </row>
    <row r="46" spans="1:7">
      <c r="A46" s="15">
        <v>43966</v>
      </c>
      <c r="B46" s="104">
        <v>1.0109999999999999</v>
      </c>
      <c r="C46" s="101">
        <f t="shared" si="0"/>
        <v>9.9999999999988987E-4</v>
      </c>
      <c r="D46" s="102" t="str">
        <f t="shared" si="1"/>
        <v>/</v>
      </c>
      <c r="E46" s="102">
        <f ca="1">IF(表2_3671626293038912131415[[#This Row],[累计净值]]/MAX(INDIRECT("B21:B" &amp; ROW()))-1&lt;E45,表2_3671626293038912131415[[#This Row],[累计净值]]/MAX(INDIRECT("B21:B" &amp; ROW()))-1,E45)</f>
        <v>-2.9791459781528529E-3</v>
      </c>
      <c r="F46" s="103">
        <f>表2_3671626293038912131415[[#This Row],[累计净值]]</f>
        <v>1.0109999999999999</v>
      </c>
      <c r="G46" s="20"/>
    </row>
    <row r="47" spans="1:7">
      <c r="A47" s="15">
        <v>43969</v>
      </c>
      <c r="B47" s="104">
        <v>1.012</v>
      </c>
      <c r="C47" s="101">
        <f t="shared" si="0"/>
        <v>1.0000000000001119E-3</v>
      </c>
      <c r="D47" s="102" t="str">
        <f t="shared" si="1"/>
        <v>/</v>
      </c>
      <c r="E47" s="102">
        <f ca="1">IF(表2_3671626293038912131415[[#This Row],[累计净值]]/MAX(INDIRECT("B21:B" &amp; ROW()))-1&lt;E46,表2_3671626293038912131415[[#This Row],[累计净值]]/MAX(INDIRECT("B21:B" &amp; ROW()))-1,E46)</f>
        <v>-2.9791459781528529E-3</v>
      </c>
      <c r="F47" s="103">
        <f>表2_3671626293038912131415[[#This Row],[累计净值]]</f>
        <v>1.012</v>
      </c>
      <c r="G47" s="20"/>
    </row>
    <row r="48" spans="1:7">
      <c r="A48" s="15">
        <v>43970</v>
      </c>
      <c r="B48" s="104">
        <v>1.01</v>
      </c>
      <c r="C48" s="101">
        <f t="shared" si="0"/>
        <v>-2.0000000000000018E-3</v>
      </c>
      <c r="D48" s="102">
        <f t="shared" si="1"/>
        <v>-2.0000000000000018E-3</v>
      </c>
      <c r="E48" s="102">
        <f ca="1">IF(表2_3671626293038912131415[[#This Row],[累计净值]]/MAX(INDIRECT("B21:B" &amp; ROW()))-1&lt;E47,表2_3671626293038912131415[[#This Row],[累计净值]]/MAX(INDIRECT("B21:B" &amp; ROW()))-1,E47)</f>
        <v>-2.9791459781528529E-3</v>
      </c>
      <c r="F48" s="103">
        <f>表2_3671626293038912131415[[#This Row],[累计净值]]</f>
        <v>1.01</v>
      </c>
      <c r="G48" s="20"/>
    </row>
    <row r="49" spans="1:7">
      <c r="A49" s="15">
        <v>43971</v>
      </c>
      <c r="B49" s="104">
        <v>1.012</v>
      </c>
      <c r="C49" s="101">
        <f t="shared" si="0"/>
        <v>2.0000000000000018E-3</v>
      </c>
      <c r="D49" s="102" t="str">
        <f t="shared" si="1"/>
        <v>/</v>
      </c>
      <c r="E49" s="102">
        <f ca="1">IF(表2_3671626293038912131415[[#This Row],[累计净值]]/MAX(INDIRECT("B21:B" &amp; ROW()))-1&lt;E48,表2_3671626293038912131415[[#This Row],[累计净值]]/MAX(INDIRECT("B21:B" &amp; ROW()))-1,E48)</f>
        <v>-2.9791459781528529E-3</v>
      </c>
      <c r="F49" s="103">
        <f>表2_3671626293038912131415[[#This Row],[累计净值]]</f>
        <v>1.012</v>
      </c>
      <c r="G49" s="20"/>
    </row>
    <row r="50" spans="1:7">
      <c r="A50" s="15">
        <v>43972</v>
      </c>
      <c r="B50" s="104">
        <v>1.0149999999999999</v>
      </c>
      <c r="C50" s="101">
        <f t="shared" si="0"/>
        <v>2.9999999999998916E-3</v>
      </c>
      <c r="D50" s="102" t="str">
        <f t="shared" si="1"/>
        <v>/</v>
      </c>
      <c r="E50" s="102">
        <f ca="1">IF(表2_3671626293038912131415[[#This Row],[累计净值]]/MAX(INDIRECT("B21:B" &amp; ROW()))-1&lt;E49,表2_3671626293038912131415[[#This Row],[累计净值]]/MAX(INDIRECT("B21:B" &amp; ROW()))-1,E49)</f>
        <v>-2.9791459781528529E-3</v>
      </c>
      <c r="F50" s="103">
        <f>表2_3671626293038912131415[[#This Row],[累计净值]]</f>
        <v>1.0149999999999999</v>
      </c>
      <c r="G50" s="20"/>
    </row>
    <row r="51" spans="1:7">
      <c r="A51" s="15">
        <v>43973</v>
      </c>
      <c r="B51" s="112">
        <v>1.016</v>
      </c>
      <c r="C51" s="108">
        <f t="shared" ref="C51:C57" si="2">IFERROR(B51-B50,0)</f>
        <v>1.0000000000001119E-3</v>
      </c>
      <c r="D51" s="109" t="str">
        <f t="shared" ref="D51:D57" si="3">IF(C51&lt;0,C51,"/")</f>
        <v>/</v>
      </c>
      <c r="E51" s="109">
        <f ca="1">IF(表2_3671626293038912131415[[#This Row],[累计净值]]/MAX(INDIRECT("B21:B" &amp; ROW()))-1&lt;E50,表2_3671626293038912131415[[#This Row],[累计净值]]/MAX(INDIRECT("B21:B" &amp; ROW()))-1,E50)</f>
        <v>-2.9791459781528529E-3</v>
      </c>
      <c r="F51" s="110">
        <f>表2_3671626293038912131415[[#This Row],[累计净值]]</f>
        <v>1.016</v>
      </c>
      <c r="G51" s="20"/>
    </row>
    <row r="52" spans="1:7">
      <c r="A52" s="15">
        <v>43976</v>
      </c>
      <c r="B52" s="112">
        <v>1.012</v>
      </c>
      <c r="C52" s="108">
        <f t="shared" si="2"/>
        <v>-4.0000000000000036E-3</v>
      </c>
      <c r="D52" s="109">
        <f t="shared" si="3"/>
        <v>-4.0000000000000036E-3</v>
      </c>
      <c r="E52" s="109">
        <f ca="1">IF(表2_3671626293038912131415[[#This Row],[累计净值]]/MAX(INDIRECT("B21:B" &amp; ROW()))-1&lt;E51,表2_3671626293038912131415[[#This Row],[累计净值]]/MAX(INDIRECT("B21:B" &amp; ROW()))-1,E51)</f>
        <v>-3.937007874015741E-3</v>
      </c>
      <c r="F52" s="110">
        <f>表2_3671626293038912131415[[#This Row],[累计净值]]</f>
        <v>1.012</v>
      </c>
      <c r="G52" s="20"/>
    </row>
    <row r="53" spans="1:7">
      <c r="A53" s="15">
        <v>43977</v>
      </c>
      <c r="B53" s="112">
        <v>1.014</v>
      </c>
      <c r="C53" s="108">
        <f t="shared" si="2"/>
        <v>2.0000000000000018E-3</v>
      </c>
      <c r="D53" s="109" t="str">
        <f t="shared" si="3"/>
        <v>/</v>
      </c>
      <c r="E53" s="109">
        <f ca="1">IF(表2_3671626293038912131415[[#This Row],[累计净值]]/MAX(INDIRECT("B21:B" &amp; ROW()))-1&lt;E52,表2_3671626293038912131415[[#This Row],[累计净值]]/MAX(INDIRECT("B21:B" &amp; ROW()))-1,E52)</f>
        <v>-3.937007874015741E-3</v>
      </c>
      <c r="F53" s="110">
        <f>表2_3671626293038912131415[[#This Row],[累计净值]]</f>
        <v>1.014</v>
      </c>
      <c r="G53" s="20"/>
    </row>
    <row r="54" spans="1:7">
      <c r="A54" s="15">
        <v>43978</v>
      </c>
      <c r="B54" s="112">
        <v>1.0149999999999999</v>
      </c>
      <c r="C54" s="108">
        <f t="shared" si="2"/>
        <v>9.9999999999988987E-4</v>
      </c>
      <c r="D54" s="109" t="str">
        <f t="shared" si="3"/>
        <v>/</v>
      </c>
      <c r="E54" s="109">
        <f ca="1">IF(表2_3671626293038912131415[[#This Row],[累计净值]]/MAX(INDIRECT("B21:B" &amp; ROW()))-1&lt;E53,表2_3671626293038912131415[[#This Row],[累计净值]]/MAX(INDIRECT("B21:B" &amp; ROW()))-1,E53)</f>
        <v>-3.937007874015741E-3</v>
      </c>
      <c r="F54" s="110">
        <f>表2_3671626293038912131415[[#This Row],[累计净值]]</f>
        <v>1.0149999999999999</v>
      </c>
      <c r="G54" s="20"/>
    </row>
    <row r="55" spans="1:7">
      <c r="A55" s="15">
        <v>43979</v>
      </c>
      <c r="B55" s="112">
        <v>1.016</v>
      </c>
      <c r="C55" s="108">
        <f t="shared" si="2"/>
        <v>1.0000000000001119E-3</v>
      </c>
      <c r="D55" s="109" t="str">
        <f t="shared" si="3"/>
        <v>/</v>
      </c>
      <c r="E55" s="109">
        <f ca="1">IF(表2_3671626293038912131415[[#This Row],[累计净值]]/MAX(INDIRECT("B21:B" &amp; ROW()))-1&lt;E54,表2_3671626293038912131415[[#This Row],[累计净值]]/MAX(INDIRECT("B21:B" &amp; ROW()))-1,E54)</f>
        <v>-3.937007874015741E-3</v>
      </c>
      <c r="F55" s="110">
        <f>表2_3671626293038912131415[[#This Row],[累计净值]]</f>
        <v>1.016</v>
      </c>
      <c r="G55" s="20"/>
    </row>
    <row r="56" spans="1:7">
      <c r="A56" s="15">
        <v>43980</v>
      </c>
      <c r="B56" s="112">
        <v>1.0169999999999999</v>
      </c>
      <c r="C56" s="108">
        <f t="shared" si="2"/>
        <v>9.9999999999988987E-4</v>
      </c>
      <c r="D56" s="109" t="str">
        <f t="shared" si="3"/>
        <v>/</v>
      </c>
      <c r="E56" s="109">
        <f ca="1">IF(表2_3671626293038912131415[[#This Row],[累计净值]]/MAX(INDIRECT("B21:B" &amp; ROW()))-1&lt;E55,表2_3671626293038912131415[[#This Row],[累计净值]]/MAX(INDIRECT("B21:B" &amp; ROW()))-1,E55)</f>
        <v>-3.937007874015741E-3</v>
      </c>
      <c r="F56" s="110">
        <f>表2_3671626293038912131415[[#This Row],[累计净值]]</f>
        <v>1.0169999999999999</v>
      </c>
      <c r="G56" s="20"/>
    </row>
    <row r="57" spans="1:7">
      <c r="A57" s="15">
        <v>43983</v>
      </c>
      <c r="B57" s="117">
        <v>1.018</v>
      </c>
      <c r="C57" s="108">
        <f t="shared" si="2"/>
        <v>1.0000000000001119E-3</v>
      </c>
      <c r="D57" s="109" t="str">
        <f t="shared" si="3"/>
        <v>/</v>
      </c>
      <c r="E57" s="109">
        <f ca="1">IF(表2_3671626293038912131415[[#This Row],[累计净值]]/MAX(INDIRECT("B21:B" &amp; ROW()))-1&lt;E56,表2_3671626293038912131415[[#This Row],[累计净值]]/MAX(INDIRECT("B21:B" &amp; ROW()))-1,E56)</f>
        <v>-3.937007874015741E-3</v>
      </c>
      <c r="F57" s="110">
        <f>表2_3671626293038912131415[[#This Row],[累计净值]]</f>
        <v>1.018</v>
      </c>
      <c r="G57" s="20"/>
    </row>
    <row r="58" spans="1:7">
      <c r="A58" s="15">
        <v>43984</v>
      </c>
      <c r="B58" s="112">
        <v>1.0149999999999999</v>
      </c>
      <c r="C58" s="108">
        <f t="shared" ref="C58:C63" si="4">IFERROR(B58-B57,0)</f>
        <v>-3.0000000000001137E-3</v>
      </c>
      <c r="D58" s="109">
        <f t="shared" ref="D58:D63" si="5">IF(C58&lt;0,C58,"/")</f>
        <v>-3.0000000000001137E-3</v>
      </c>
      <c r="E58" s="109">
        <f ca="1">IF(表2_3671626293038912131415[[#This Row],[累计净值]]/MAX(INDIRECT("B21:B" &amp; ROW()))-1&lt;E57,表2_3671626293038912131415[[#This Row],[累计净值]]/MAX(INDIRECT("B21:B" &amp; ROW()))-1,E57)</f>
        <v>-3.937007874015741E-3</v>
      </c>
      <c r="F58" s="110">
        <f>表2_3671626293038912131415[[#This Row],[累计净值]]</f>
        <v>1.0149999999999999</v>
      </c>
      <c r="G58" s="20"/>
    </row>
    <row r="59" spans="1:7">
      <c r="A59" s="15">
        <v>43985</v>
      </c>
      <c r="B59" s="112">
        <v>1.0089999999999999</v>
      </c>
      <c r="C59" s="108">
        <f t="shared" si="4"/>
        <v>-6.0000000000000053E-3</v>
      </c>
      <c r="D59" s="109">
        <f t="shared" si="5"/>
        <v>-6.0000000000000053E-3</v>
      </c>
      <c r="E59" s="109">
        <f ca="1">IF(表2_3671626293038912131415[[#This Row],[累计净值]]/MAX(INDIRECT("B21:B" &amp; ROW()))-1&lt;E58,表2_3671626293038912131415[[#This Row],[累计净值]]/MAX(INDIRECT("B21:B" &amp; ROW()))-1,E58)</f>
        <v>-8.8408644400786995E-3</v>
      </c>
      <c r="F59" s="110">
        <f>表2_3671626293038912131415[[#This Row],[累计净值]]</f>
        <v>1.0089999999999999</v>
      </c>
      <c r="G59" s="20"/>
    </row>
    <row r="60" spans="1:7">
      <c r="A60" s="15">
        <v>43986</v>
      </c>
      <c r="B60" s="112">
        <v>1.016</v>
      </c>
      <c r="C60" s="108">
        <f t="shared" si="4"/>
        <v>7.0000000000001172E-3</v>
      </c>
      <c r="D60" s="109" t="str">
        <f t="shared" si="5"/>
        <v>/</v>
      </c>
      <c r="E60" s="109">
        <f ca="1">IF(表2_3671626293038912131415[[#This Row],[累计净值]]/MAX(INDIRECT("B21:B" &amp; ROW()))-1&lt;E59,表2_3671626293038912131415[[#This Row],[累计净值]]/MAX(INDIRECT("B21:B" &amp; ROW()))-1,E59)</f>
        <v>-8.8408644400786995E-3</v>
      </c>
      <c r="F60" s="110">
        <f>表2_3671626293038912131415[[#This Row],[累计净值]]</f>
        <v>1.016</v>
      </c>
      <c r="G60" s="20"/>
    </row>
    <row r="61" spans="1:7">
      <c r="A61" s="15">
        <v>43987</v>
      </c>
      <c r="B61" s="112">
        <v>1.022</v>
      </c>
      <c r="C61" s="108">
        <f t="shared" si="4"/>
        <v>6.0000000000000053E-3</v>
      </c>
      <c r="D61" s="109" t="str">
        <f t="shared" si="5"/>
        <v>/</v>
      </c>
      <c r="E61" s="109">
        <f ca="1">IF(表2_3671626293038912131415[[#This Row],[累计净值]]/MAX(INDIRECT("B21:B" &amp; ROW()))-1&lt;E60,表2_3671626293038912131415[[#This Row],[累计净值]]/MAX(INDIRECT("B21:B" &amp; ROW()))-1,E60)</f>
        <v>-8.8408644400786995E-3</v>
      </c>
      <c r="F61" s="110">
        <f>表2_3671626293038912131415[[#This Row],[累计净值]]</f>
        <v>1.022</v>
      </c>
      <c r="G61" s="20"/>
    </row>
    <row r="62" spans="1:7">
      <c r="A62" s="15">
        <v>43990</v>
      </c>
      <c r="B62" s="112">
        <v>1.0189999999999999</v>
      </c>
      <c r="C62" s="108">
        <f t="shared" si="4"/>
        <v>-3.0000000000001137E-3</v>
      </c>
      <c r="D62" s="109">
        <f t="shared" si="5"/>
        <v>-3.0000000000001137E-3</v>
      </c>
      <c r="E62" s="109">
        <f ca="1">IF(表2_3671626293038912131415[[#This Row],[累计净值]]/MAX(INDIRECT("B21:B" &amp; ROW()))-1&lt;E61,表2_3671626293038912131415[[#This Row],[累计净值]]/MAX(INDIRECT("B21:B" &amp; ROW()))-1,E61)</f>
        <v>-8.8408644400786995E-3</v>
      </c>
      <c r="F62" s="110">
        <f>表2_3671626293038912131415[[#This Row],[累计净值]]</f>
        <v>1.0189999999999999</v>
      </c>
      <c r="G62" s="20"/>
    </row>
    <row r="63" spans="1:7">
      <c r="A63" s="15">
        <v>43991</v>
      </c>
      <c r="B63" s="112">
        <v>1.024</v>
      </c>
      <c r="C63" s="108">
        <f t="shared" si="4"/>
        <v>5.0000000000001155E-3</v>
      </c>
      <c r="D63" s="109" t="str">
        <f t="shared" si="5"/>
        <v>/</v>
      </c>
      <c r="E63" s="109">
        <f ca="1">IF(表2_3671626293038912131415[[#This Row],[累计净值]]/MAX(INDIRECT("B21:B" &amp; ROW()))-1&lt;E62,表2_3671626293038912131415[[#This Row],[累计净值]]/MAX(INDIRECT("B21:B" &amp; ROW()))-1,E62)</f>
        <v>-8.8408644400786995E-3</v>
      </c>
      <c r="F63" s="110">
        <f>表2_3671626293038912131415[[#This Row],[累计净值]]</f>
        <v>1.024</v>
      </c>
      <c r="G63" s="20"/>
    </row>
    <row r="64" spans="1:7">
      <c r="A64" s="15">
        <v>43992</v>
      </c>
      <c r="B64" s="112">
        <v>1.0209999999999999</v>
      </c>
      <c r="C64" s="108">
        <f t="shared" ref="C64:C69" si="6">IFERROR(B64-B63,0)</f>
        <v>-3.0000000000001137E-3</v>
      </c>
      <c r="D64" s="109">
        <f t="shared" ref="D64:D69" si="7">IF(C64&lt;0,C64,"/")</f>
        <v>-3.0000000000001137E-3</v>
      </c>
      <c r="E64" s="109">
        <f ca="1">IF(表2_3671626293038912131415[[#This Row],[累计净值]]/MAX(INDIRECT("B21:B" &amp; ROW()))-1&lt;E63,表2_3671626293038912131415[[#This Row],[累计净值]]/MAX(INDIRECT("B21:B" &amp; ROW()))-1,E63)</f>
        <v>-8.8408644400786995E-3</v>
      </c>
      <c r="F64" s="110">
        <f>表2_3671626293038912131415[[#This Row],[累计净值]]</f>
        <v>1.0209999999999999</v>
      </c>
      <c r="G64" s="20"/>
    </row>
    <row r="65" spans="1:7">
      <c r="A65" s="15">
        <v>43993</v>
      </c>
      <c r="B65" s="112">
        <v>1.024</v>
      </c>
      <c r="C65" s="108">
        <f t="shared" si="6"/>
        <v>3.0000000000001137E-3</v>
      </c>
      <c r="D65" s="109" t="str">
        <f t="shared" si="7"/>
        <v>/</v>
      </c>
      <c r="E65" s="109">
        <f ca="1">IF(表2_3671626293038912131415[[#This Row],[累计净值]]/MAX(INDIRECT("B21:B" &amp; ROW()))-1&lt;E64,表2_3671626293038912131415[[#This Row],[累计净值]]/MAX(INDIRECT("B21:B" &amp; ROW()))-1,E64)</f>
        <v>-8.8408644400786995E-3</v>
      </c>
      <c r="F65" s="110">
        <f>表2_3671626293038912131415[[#This Row],[累计净值]]</f>
        <v>1.024</v>
      </c>
      <c r="G65" s="20"/>
    </row>
    <row r="66" spans="1:7">
      <c r="A66" s="15">
        <v>43994</v>
      </c>
      <c r="B66" s="112">
        <v>1.018</v>
      </c>
      <c r="C66" s="108">
        <f t="shared" si="6"/>
        <v>-6.0000000000000053E-3</v>
      </c>
      <c r="D66" s="109">
        <f t="shared" si="7"/>
        <v>-6.0000000000000053E-3</v>
      </c>
      <c r="E66" s="109">
        <f ca="1">IF(表2_3671626293038912131415[[#This Row],[累计净值]]/MAX(INDIRECT("B21:B" &amp; ROW()))-1&lt;E65,表2_3671626293038912131415[[#This Row],[累计净值]]/MAX(INDIRECT("B21:B" &amp; ROW()))-1,E65)</f>
        <v>-8.8408644400786995E-3</v>
      </c>
      <c r="F66" s="110">
        <f>表2_3671626293038912131415[[#This Row],[累计净值]]</f>
        <v>1.018</v>
      </c>
      <c r="G66" s="20"/>
    </row>
    <row r="67" spans="1:7">
      <c r="A67" s="15">
        <v>43997</v>
      </c>
      <c r="B67" s="112">
        <v>1.0049999999999999</v>
      </c>
      <c r="C67" s="108">
        <f t="shared" si="6"/>
        <v>-1.3000000000000123E-2</v>
      </c>
      <c r="D67" s="109">
        <f t="shared" si="7"/>
        <v>-1.3000000000000123E-2</v>
      </c>
      <c r="E67" s="109">
        <f ca="1">IF(表2_3671626293038912131415[[#This Row],[累计净值]]/MAX(INDIRECT("B21:B" &amp; ROW()))-1&lt;E66,表2_3671626293038912131415[[#This Row],[累计净值]]/MAX(INDIRECT("B21:B" &amp; ROW()))-1,E66)</f>
        <v>-1.8554687500000111E-2</v>
      </c>
      <c r="F67" s="110">
        <f>表2_3671626293038912131415[[#This Row],[累计净值]]</f>
        <v>1.0049999999999999</v>
      </c>
      <c r="G67" s="14" t="s">
        <v>30</v>
      </c>
    </row>
    <row r="68" spans="1:7">
      <c r="A68" s="15">
        <v>43998</v>
      </c>
      <c r="B68" s="112">
        <v>1.0169999999999999</v>
      </c>
      <c r="C68" s="108">
        <f t="shared" si="6"/>
        <v>1.2000000000000011E-2</v>
      </c>
      <c r="D68" s="109" t="str">
        <f t="shared" si="7"/>
        <v>/</v>
      </c>
      <c r="E68" s="109">
        <f ca="1">IF(表2_3671626293038912131415[[#This Row],[累计净值]]/MAX(INDIRECT("B21:B" &amp; ROW()))-1&lt;E67,表2_3671626293038912131415[[#This Row],[累计净值]]/MAX(INDIRECT("B21:B" &amp; ROW()))-1,E67)</f>
        <v>-1.8554687500000111E-2</v>
      </c>
      <c r="F68" s="110">
        <f>表2_3671626293038912131415[[#This Row],[累计净值]]</f>
        <v>1.0169999999999999</v>
      </c>
      <c r="G68" s="20">
        <f>IF(表2_3671626293038912131415[[#This Row],[累计净值]]&gt;1.005,0.8*(表2_3671626293038912131415[[#This Row],[累计净值]]/1.005-1),(表2_3671626293038912131415[[#This Row],[累计净值]]/1.005-1))</f>
        <v>9.5522388059700713E-3</v>
      </c>
    </row>
    <row r="69" spans="1:7">
      <c r="A69" s="15">
        <v>43999</v>
      </c>
      <c r="B69" s="112">
        <v>1.014</v>
      </c>
      <c r="C69" s="108">
        <f t="shared" si="6"/>
        <v>-2.9999999999998916E-3</v>
      </c>
      <c r="D69" s="109">
        <f t="shared" si="7"/>
        <v>-2.9999999999998916E-3</v>
      </c>
      <c r="E69" s="109">
        <f ca="1">IF(表2_3671626293038912131415[[#This Row],[累计净值]]/MAX(INDIRECT("B21:B" &amp; ROW()))-1&lt;E68,表2_3671626293038912131415[[#This Row],[累计净值]]/MAX(INDIRECT("B21:B" &amp; ROW()))-1,E68)</f>
        <v>-1.8554687500000111E-2</v>
      </c>
      <c r="F69" s="110">
        <f>表2_3671626293038912131415[[#This Row],[累计净值]]</f>
        <v>1.014</v>
      </c>
      <c r="G69" s="20">
        <f>IF(表2_3671626293038912131415[[#This Row],[累计净值]]&gt;1.005,0.8*(表2_3671626293038912131415[[#This Row],[累计净值]]/1.005-1),(表2_3671626293038912131415[[#This Row],[累计净值]]/1.005-1))</f>
        <v>7.1641791044777751E-3</v>
      </c>
    </row>
    <row r="70" spans="1:7">
      <c r="A70" s="15">
        <v>44000</v>
      </c>
      <c r="B70" s="112">
        <v>1.01</v>
      </c>
      <c r="C70" s="108">
        <f t="shared" ref="C70:C76" si="8">IFERROR(B70-B69,0)</f>
        <v>-4.0000000000000036E-3</v>
      </c>
      <c r="D70" s="109">
        <f t="shared" ref="D70:D76" si="9">IF(C70&lt;0,C70,"/")</f>
        <v>-4.0000000000000036E-3</v>
      </c>
      <c r="E70" s="109">
        <f ca="1">IF(表2_3671626293038912131415[[#This Row],[累计净值]]/MAX(INDIRECT("B21:B" &amp; ROW()))-1&lt;E69,表2_3671626293038912131415[[#This Row],[累计净值]]/MAX(INDIRECT("B21:B" &amp; ROW()))-1,E69)</f>
        <v>-1.8554687500000111E-2</v>
      </c>
      <c r="F70" s="110">
        <f>表2_3671626293038912131415[[#This Row],[累计净值]]</f>
        <v>1.01</v>
      </c>
      <c r="G70" s="20">
        <f>IF(表2_3671626293038912131415[[#This Row],[累计净值]]&gt;1.005,0.8*(表2_3671626293038912131415[[#This Row],[累计净值]]/1.005-1),(表2_3671626293038912131415[[#This Row],[累计净值]]/1.005-1))</f>
        <v>3.9800995024876331E-3</v>
      </c>
    </row>
    <row r="71" spans="1:7">
      <c r="A71" s="15">
        <v>44001</v>
      </c>
      <c r="B71" s="112">
        <v>0.997</v>
      </c>
      <c r="C71" s="108">
        <f t="shared" si="8"/>
        <v>-1.3000000000000012E-2</v>
      </c>
      <c r="D71" s="109">
        <f t="shared" si="9"/>
        <v>-1.3000000000000012E-2</v>
      </c>
      <c r="E71" s="109">
        <f ca="1">IF(表2_3671626293038912131415[[#This Row],[累计净值]]/MAX(INDIRECT("B21:B" &amp; ROW()))-1&lt;E70,表2_3671626293038912131415[[#This Row],[累计净值]]/MAX(INDIRECT("B21:B" &amp; ROW()))-1,E70)</f>
        <v>-2.63671875E-2</v>
      </c>
      <c r="F71" s="110">
        <f>表2_3671626293038912131415[[#This Row],[累计净值]]</f>
        <v>0.997</v>
      </c>
      <c r="G71" s="20">
        <f>IF(表2_3671626293038912131415[[#This Row],[累计净值]]&gt;1.005,0.8*(表2_3671626293038912131415[[#This Row],[累计净值]]/1.005-1),(表2_3671626293038912131415[[#This Row],[累计净值]]/1.005-1))</f>
        <v>-7.9601990049750215E-3</v>
      </c>
    </row>
    <row r="72" spans="1:7">
      <c r="A72" s="15">
        <v>44004</v>
      </c>
      <c r="B72" s="112">
        <v>1.0049999999999999</v>
      </c>
      <c r="C72" s="108">
        <f t="shared" si="8"/>
        <v>7.9999999999998961E-3</v>
      </c>
      <c r="D72" s="109" t="str">
        <f t="shared" si="9"/>
        <v>/</v>
      </c>
      <c r="E72" s="109">
        <f ca="1">IF(表2_3671626293038912131415[[#This Row],[累计净值]]/MAX(INDIRECT("B21:B" &amp; ROW()))-1&lt;E71,表2_3671626293038912131415[[#This Row],[累计净值]]/MAX(INDIRECT("B21:B" &amp; ROW()))-1,E71)</f>
        <v>-2.63671875E-2</v>
      </c>
      <c r="F72" s="110">
        <f>表2_3671626293038912131415[[#This Row],[累计净值]]</f>
        <v>1.0049999999999999</v>
      </c>
      <c r="G72" s="20">
        <f>IF(表2_3671626293038912131415[[#This Row],[累计净值]]&gt;1.005,0.8*(表2_3671626293038912131415[[#This Row],[累计净值]]/1.005-1),(表2_3671626293038912131415[[#This Row],[累计净值]]/1.005-1))</f>
        <v>0</v>
      </c>
    </row>
    <row r="73" spans="1:7">
      <c r="A73" s="15">
        <v>44005</v>
      </c>
      <c r="B73" s="112">
        <v>1.0069999999999999</v>
      </c>
      <c r="C73" s="108">
        <f t="shared" si="8"/>
        <v>2.0000000000000018E-3</v>
      </c>
      <c r="D73" s="109" t="str">
        <f t="shared" si="9"/>
        <v>/</v>
      </c>
      <c r="E73" s="109">
        <f ca="1">IF(表2_3671626293038912131415[[#This Row],[累计净值]]/MAX(INDIRECT("B21:B" &amp; ROW()))-1&lt;E72,表2_3671626293038912131415[[#This Row],[累计净值]]/MAX(INDIRECT("B21:B" &amp; ROW()))-1,E72)</f>
        <v>-2.63671875E-2</v>
      </c>
      <c r="F73" s="110">
        <f>表2_3671626293038912131415[[#This Row],[累计净值]]</f>
        <v>1.0069999999999999</v>
      </c>
      <c r="G73" s="20">
        <f>IF(表2_3671626293038912131415[[#This Row],[累计净值]]&gt;1.005,0.8*(表2_3671626293038912131415[[#This Row],[累计净值]]/1.005-1),(表2_3671626293038912131415[[#This Row],[累计净值]]/1.005-1))</f>
        <v>1.5920398009949821E-3</v>
      </c>
    </row>
    <row r="74" spans="1:7">
      <c r="A74" s="15">
        <v>44006</v>
      </c>
      <c r="B74" s="112">
        <v>1.006</v>
      </c>
      <c r="C74" s="108">
        <f t="shared" si="8"/>
        <v>-9.9999999999988987E-4</v>
      </c>
      <c r="D74" s="109">
        <f t="shared" si="9"/>
        <v>-9.9999999999988987E-4</v>
      </c>
      <c r="E74" s="109">
        <f ca="1">IF(表2_3671626293038912131415[[#This Row],[累计净值]]/MAX(INDIRECT("B21:B" &amp; ROW()))-1&lt;E73,表2_3671626293038912131415[[#This Row],[累计净值]]/MAX(INDIRECT("B21:B" &amp; ROW()))-1,E73)</f>
        <v>-2.63671875E-2</v>
      </c>
      <c r="F74" s="110">
        <f>表2_3671626293038912131415[[#This Row],[累计净值]]</f>
        <v>1.006</v>
      </c>
      <c r="G74" s="20">
        <f>IF(表2_3671626293038912131415[[#This Row],[累计净值]]&gt;1.005,0.8*(表2_3671626293038912131415[[#This Row],[累计净值]]/1.005-1),(表2_3671626293038912131415[[#This Row],[累计净值]]/1.005-1))</f>
        <v>7.9601990049766875E-4</v>
      </c>
    </row>
    <row r="75" spans="1:7">
      <c r="A75" s="15">
        <v>44011</v>
      </c>
      <c r="B75" s="112">
        <v>1.0149999999999999</v>
      </c>
      <c r="C75" s="108">
        <f t="shared" si="8"/>
        <v>8.999999999999897E-3</v>
      </c>
      <c r="D75" s="109" t="str">
        <f t="shared" si="9"/>
        <v>/</v>
      </c>
      <c r="E75" s="109">
        <f ca="1">IF(表2_3671626293038912131415[[#This Row],[累计净值]]/MAX(INDIRECT("B21:B" &amp; ROW()))-1&lt;E74,表2_3671626293038912131415[[#This Row],[累计净值]]/MAX(INDIRECT("B21:B" &amp; ROW()))-1,E74)</f>
        <v>-2.63671875E-2</v>
      </c>
      <c r="F75" s="110">
        <f>表2_3671626293038912131415[[#This Row],[累计净值]]</f>
        <v>1.0149999999999999</v>
      </c>
      <c r="G75" s="20">
        <f>IF(表2_3671626293038912131415[[#This Row],[累计净值]]&gt;1.005,0.8*(表2_3671626293038912131415[[#This Row],[累计净值]]/1.005-1),(表2_3671626293038912131415[[#This Row],[累计净值]]/1.005-1))</f>
        <v>7.9601990049750892E-3</v>
      </c>
    </row>
    <row r="76" spans="1:7">
      <c r="A76" s="15">
        <v>44012</v>
      </c>
      <c r="B76" s="112">
        <v>1.0089999999999999</v>
      </c>
      <c r="C76" s="108">
        <f t="shared" si="8"/>
        <v>-6.0000000000000053E-3</v>
      </c>
      <c r="D76" s="109">
        <f t="shared" si="9"/>
        <v>-6.0000000000000053E-3</v>
      </c>
      <c r="E76" s="109">
        <f ca="1">IF(表2_3671626293038912131415[[#This Row],[累计净值]]/MAX(INDIRECT("B21:B" &amp; ROW()))-1&lt;E75,表2_3671626293038912131415[[#This Row],[累计净值]]/MAX(INDIRECT("B21:B" &amp; ROW()))-1,E75)</f>
        <v>-2.63671875E-2</v>
      </c>
      <c r="F76" s="110">
        <f>表2_3671626293038912131415[[#This Row],[累计净值]]</f>
        <v>1.0089999999999999</v>
      </c>
      <c r="G76" s="20">
        <f>IF(表2_3671626293038912131415[[#This Row],[累计净值]]&gt;1.005,0.8*(表2_3671626293038912131415[[#This Row],[累计净值]]/1.005-1),(表2_3671626293038912131415[[#This Row],[累计净值]]/1.005-1))</f>
        <v>3.1840796019899642E-3</v>
      </c>
    </row>
    <row r="77" spans="1:7">
      <c r="A77" s="15">
        <v>44013</v>
      </c>
      <c r="B77" s="112">
        <v>1.0109999999999999</v>
      </c>
      <c r="C77" s="108">
        <f>IFERROR(B77-B76,0)</f>
        <v>2.0000000000000018E-3</v>
      </c>
      <c r="D77" s="109" t="str">
        <f>IF(C77&lt;0,C77,"/")</f>
        <v>/</v>
      </c>
      <c r="E77" s="109">
        <f ca="1">IF(表2_3671626293038912131415[[#This Row],[累计净值]]/MAX(INDIRECT("B21:B" &amp; ROW()))-1&lt;E76,表2_3671626293038912131415[[#This Row],[累计净值]]/MAX(INDIRECT("B21:B" &amp; ROW()))-1,E76)</f>
        <v>-2.63671875E-2</v>
      </c>
      <c r="F77" s="110">
        <f>表2_3671626293038912131415[[#This Row],[累计净值]]</f>
        <v>1.0109999999999999</v>
      </c>
      <c r="G77" s="20">
        <f>IF(表2_3671626293038912131415[[#This Row],[累计净值]]&gt;1.005,0.8*(表2_3671626293038912131415[[#This Row],[累计净值]]/1.005-1),(表2_3671626293038912131415[[#This Row],[累计净值]]/1.005-1))</f>
        <v>4.7761194029851241E-3</v>
      </c>
    </row>
    <row r="78" spans="1:7">
      <c r="A78" s="15">
        <v>44014</v>
      </c>
      <c r="B78" s="112">
        <v>0.97099999999999997</v>
      </c>
      <c r="C78" s="108">
        <f>IFERROR(B78-B77,0)</f>
        <v>-3.9999999999999925E-2</v>
      </c>
      <c r="D78" s="109">
        <f>IF(C78&lt;0,C78,"/")</f>
        <v>-3.9999999999999925E-2</v>
      </c>
      <c r="E78" s="109">
        <f ca="1">IF(表2_3671626293038912131415[[#This Row],[累计净值]]/MAX(INDIRECT("B21:B" &amp; ROW()))-1&lt;E77,表2_3671626293038912131415[[#This Row],[累计净值]]/MAX(INDIRECT("B21:B" &amp; ROW()))-1,E77)</f>
        <v>-5.17578125E-2</v>
      </c>
      <c r="F78" s="110">
        <f>表2_3671626293038912131415[[#This Row],[累计净值]]</f>
        <v>0.97099999999999997</v>
      </c>
      <c r="G78" s="20">
        <f>IF(表2_3671626293038912131415[[#This Row],[累计净值]]&gt;1.005,0.8*(表2_3671626293038912131415[[#This Row],[累计净值]]/1.005-1),(表2_3671626293038912131415[[#This Row],[累计净值]]/1.005-1))</f>
        <v>-3.3830845771144147E-2</v>
      </c>
    </row>
    <row r="79" spans="1:7">
      <c r="A79" s="15">
        <v>44015</v>
      </c>
      <c r="B79" s="112">
        <v>0.97199999999999998</v>
      </c>
      <c r="C79" s="108">
        <f>IFERROR(B79-B78,0)</f>
        <v>1.0000000000000009E-3</v>
      </c>
      <c r="D79" s="109" t="str">
        <f>IF(C79&lt;0,C79,"/")</f>
        <v>/</v>
      </c>
      <c r="E79" s="109">
        <f ca="1">IF(表2_3671626293038912131415[[#This Row],[累计净值]]/MAX(INDIRECT("B21:B" &amp; ROW()))-1&lt;E78,表2_3671626293038912131415[[#This Row],[累计净值]]/MAX(INDIRECT("B21:B" &amp; ROW()))-1,E78)</f>
        <v>-5.17578125E-2</v>
      </c>
      <c r="F79" s="110">
        <f>表2_3671626293038912131415[[#This Row],[累计净值]]</f>
        <v>0.97199999999999998</v>
      </c>
      <c r="G79" s="20">
        <f>IF(表2_3671626293038912131415[[#This Row],[累计净值]]&gt;1.005,0.8*(表2_3671626293038912131415[[#This Row],[累计净值]]/1.005-1),(表2_3671626293038912131415[[#This Row],[累计净值]]/1.005-1))</f>
        <v>-3.2835820895522283E-2</v>
      </c>
    </row>
    <row r="80" spans="1:7">
      <c r="A80" s="15">
        <v>44018</v>
      </c>
      <c r="B80" s="112">
        <v>0.97099999999999997</v>
      </c>
      <c r="C80" s="108">
        <f>IFERROR(B80-B79,0)</f>
        <v>-1.0000000000000009E-3</v>
      </c>
      <c r="D80" s="109">
        <f>IF(C80&lt;0,C80,"/")</f>
        <v>-1.0000000000000009E-3</v>
      </c>
      <c r="E80" s="109">
        <f ca="1">IF(表2_3671626293038912131415[[#This Row],[累计净值]]/MAX(INDIRECT("B21:B" &amp; ROW()))-1&lt;E79,表2_3671626293038912131415[[#This Row],[累计净值]]/MAX(INDIRECT("B21:B" &amp; ROW()))-1,E79)</f>
        <v>-5.17578125E-2</v>
      </c>
      <c r="F80" s="110">
        <f>表2_3671626293038912131415[[#This Row],[累计净值]]</f>
        <v>0.97099999999999997</v>
      </c>
      <c r="G80" s="20">
        <f>IF(表2_3671626293038912131415[[#This Row],[累计净值]]&gt;1.005,0.8*(表2_3671626293038912131415[[#This Row],[累计净值]]/1.005-1),(表2_3671626293038912131415[[#This Row],[累计净值]]/1.005-1))</f>
        <v>-3.3830845771144147E-2</v>
      </c>
    </row>
    <row r="81" spans="1:7">
      <c r="A81" s="15">
        <v>44019</v>
      </c>
      <c r="B81" s="112">
        <v>0.95499999999999996</v>
      </c>
      <c r="C81" s="108">
        <f t="shared" ref="C81:C86" si="10">IFERROR(B81-B80,0)</f>
        <v>-1.6000000000000014E-2</v>
      </c>
      <c r="D81" s="109">
        <f t="shared" ref="D81:D86" si="11">IF(C81&lt;0,C81,"/")</f>
        <v>-1.6000000000000014E-2</v>
      </c>
      <c r="E81" s="109">
        <f ca="1">IF(表2_3671626293038912131415[[#This Row],[累计净值]]/MAX(INDIRECT("B21:B" &amp; ROW()))-1&lt;E80,表2_3671626293038912131415[[#This Row],[累计净值]]/MAX(INDIRECT("B21:B" &amp; ROW()))-1,E80)</f>
        <v>-6.7382812500000111E-2</v>
      </c>
      <c r="F81" s="110">
        <f>表2_3671626293038912131415[[#This Row],[累计净值]]</f>
        <v>0.95499999999999996</v>
      </c>
      <c r="G81" s="20">
        <f>IF(表2_3671626293038912131415[[#This Row],[累计净值]]&gt;1.005,0.8*(表2_3671626293038912131415[[#This Row],[累计净值]]/1.005-1),(表2_3671626293038912131415[[#This Row],[累计净值]]/1.005-1))</f>
        <v>-4.9751243781094412E-2</v>
      </c>
    </row>
    <row r="82" spans="1:7">
      <c r="A82" s="15">
        <v>44020</v>
      </c>
      <c r="B82" s="112">
        <v>0.95599999999999996</v>
      </c>
      <c r="C82" s="108">
        <f t="shared" si="10"/>
        <v>1.0000000000000009E-3</v>
      </c>
      <c r="D82" s="109" t="str">
        <f t="shared" si="11"/>
        <v>/</v>
      </c>
      <c r="E82" s="109">
        <f ca="1">IF(表2_3671626293038912131415[[#This Row],[累计净值]]/MAX(INDIRECT("B21:B" &amp; ROW()))-1&lt;E81,表2_3671626293038912131415[[#This Row],[累计净值]]/MAX(INDIRECT("B21:B" &amp; ROW()))-1,E81)</f>
        <v>-6.7382812500000111E-2</v>
      </c>
      <c r="F82" s="110">
        <f>表2_3671626293038912131415[[#This Row],[累计净值]]</f>
        <v>0.95599999999999996</v>
      </c>
      <c r="G82" s="20">
        <f>IF(表2_3671626293038912131415[[#This Row],[累计净值]]&gt;1.005,0.8*(表2_3671626293038912131415[[#This Row],[累计净值]]/1.005-1),(表2_3671626293038912131415[[#This Row],[累计净值]]/1.005-1))</f>
        <v>-4.8756218905472548E-2</v>
      </c>
    </row>
    <row r="83" spans="1:7">
      <c r="A83" s="15">
        <v>44021</v>
      </c>
      <c r="B83" s="112">
        <v>0.95699999999999996</v>
      </c>
      <c r="C83" s="108">
        <f t="shared" si="10"/>
        <v>1.0000000000000009E-3</v>
      </c>
      <c r="D83" s="109" t="str">
        <f t="shared" si="11"/>
        <v>/</v>
      </c>
      <c r="E83" s="109">
        <f ca="1">IF(表2_3671626293038912131415[[#This Row],[累计净值]]/MAX(INDIRECT("B21:B" &amp; ROW()))-1&lt;E82,表2_3671626293038912131415[[#This Row],[累计净值]]/MAX(INDIRECT("B21:B" &amp; ROW()))-1,E82)</f>
        <v>-6.7382812500000111E-2</v>
      </c>
      <c r="F83" s="110">
        <f>表2_3671626293038912131415[[#This Row],[累计净值]]</f>
        <v>0.95699999999999996</v>
      </c>
      <c r="G83" s="20">
        <f>IF(表2_3671626293038912131415[[#This Row],[累计净值]]&gt;1.005,0.8*(表2_3671626293038912131415[[#This Row],[累计净值]]/1.005-1),(表2_3671626293038912131415[[#This Row],[累计净值]]/1.005-1))</f>
        <v>-4.7761194029850684E-2</v>
      </c>
    </row>
    <row r="84" spans="1:7">
      <c r="A84" s="15">
        <v>44022</v>
      </c>
      <c r="B84" s="112">
        <v>0.95599999999999996</v>
      </c>
      <c r="C84" s="108">
        <f t="shared" si="10"/>
        <v>-1.0000000000000009E-3</v>
      </c>
      <c r="D84" s="109">
        <f t="shared" si="11"/>
        <v>-1.0000000000000009E-3</v>
      </c>
      <c r="E84" s="109">
        <f ca="1">IF(表2_3671626293038912131415[[#This Row],[累计净值]]/MAX(INDIRECT("B21:B" &amp; ROW()))-1&lt;E83,表2_3671626293038912131415[[#This Row],[累计净值]]/MAX(INDIRECT("B21:B" &amp; ROW()))-1,E83)</f>
        <v>-6.7382812500000111E-2</v>
      </c>
      <c r="F84" s="110">
        <f>表2_3671626293038912131415[[#This Row],[累计净值]]</f>
        <v>0.95599999999999996</v>
      </c>
      <c r="G84" s="20">
        <f>IF(表2_3671626293038912131415[[#This Row],[累计净值]]&gt;1.005,0.8*(表2_3671626293038912131415[[#This Row],[累计净值]]/1.005-1),(表2_3671626293038912131415[[#This Row],[累计净值]]/1.005-1))</f>
        <v>-4.8756218905472548E-2</v>
      </c>
    </row>
    <row r="85" spans="1:7">
      <c r="A85" s="15">
        <v>44025</v>
      </c>
      <c r="B85" s="112">
        <v>0.95699999999999996</v>
      </c>
      <c r="C85" s="108">
        <f t="shared" si="10"/>
        <v>1.0000000000000009E-3</v>
      </c>
      <c r="D85" s="109" t="str">
        <f t="shared" si="11"/>
        <v>/</v>
      </c>
      <c r="E85" s="109">
        <f ca="1">IF(表2_3671626293038912131415[[#This Row],[累计净值]]/MAX(INDIRECT("B21:B" &amp; ROW()))-1&lt;E84,表2_3671626293038912131415[[#This Row],[累计净值]]/MAX(INDIRECT("B21:B" &amp; ROW()))-1,E84)</f>
        <v>-6.7382812500000111E-2</v>
      </c>
      <c r="F85" s="110">
        <f>表2_3671626293038912131415[[#This Row],[累计净值]]</f>
        <v>0.95699999999999996</v>
      </c>
      <c r="G85" s="20">
        <f>IF(表2_3671626293038912131415[[#This Row],[累计净值]]&gt;1.005,0.8*(表2_3671626293038912131415[[#This Row],[累计净值]]/1.005-1),(表2_3671626293038912131415[[#This Row],[累计净值]]/1.005-1))</f>
        <v>-4.7761194029850684E-2</v>
      </c>
    </row>
    <row r="86" spans="1:7">
      <c r="A86" s="15">
        <v>44026</v>
      </c>
      <c r="B86" s="112">
        <v>0.95599999999999996</v>
      </c>
      <c r="C86" s="108">
        <f t="shared" si="10"/>
        <v>-1.0000000000000009E-3</v>
      </c>
      <c r="D86" s="109">
        <f t="shared" si="11"/>
        <v>-1.0000000000000009E-3</v>
      </c>
      <c r="E86" s="109">
        <f ca="1">IF(表2_3671626293038912131415[[#This Row],[累计净值]]/MAX(INDIRECT("B21:B" &amp; ROW()))-1&lt;E85,表2_3671626293038912131415[[#This Row],[累计净值]]/MAX(INDIRECT("B21:B" &amp; ROW()))-1,E85)</f>
        <v>-6.7382812500000111E-2</v>
      </c>
      <c r="F86" s="110">
        <f>表2_3671626293038912131415[[#This Row],[累计净值]]</f>
        <v>0.95599999999999996</v>
      </c>
      <c r="G86" s="20">
        <f>IF(表2_3671626293038912131415[[#This Row],[累计净值]]&gt;1.005,0.8*(表2_3671626293038912131415[[#This Row],[累计净值]]/1.005-1),(表2_3671626293038912131415[[#This Row],[累计净值]]/1.005-1))</f>
        <v>-4.8756218905472548E-2</v>
      </c>
    </row>
    <row r="87" spans="1:7">
      <c r="A87" s="15">
        <v>44027</v>
      </c>
      <c r="B87" s="112">
        <v>0.95699999999999996</v>
      </c>
      <c r="C87" s="108">
        <f t="shared" ref="C87:C92" si="12">IFERROR(B87-B86,0)</f>
        <v>1.0000000000000009E-3</v>
      </c>
      <c r="D87" s="109" t="str">
        <f t="shared" ref="D87:D92" si="13">IF(C87&lt;0,C87,"/")</f>
        <v>/</v>
      </c>
      <c r="E87" s="109">
        <f ca="1">IF(表2_3671626293038912131415[[#This Row],[累计净值]]/MAX(INDIRECT("B21:B" &amp; ROW()))-1&lt;E86,表2_3671626293038912131415[[#This Row],[累计净值]]/MAX(INDIRECT("B21:B" &amp; ROW()))-1,E86)</f>
        <v>-6.7382812500000111E-2</v>
      </c>
      <c r="F87" s="110">
        <f>表2_3671626293038912131415[[#This Row],[累计净值]]</f>
        <v>0.95699999999999996</v>
      </c>
      <c r="G87" s="20">
        <f>IF(表2_3671626293038912131415[[#This Row],[累计净值]]&gt;1.005,0.8*(表2_3671626293038912131415[[#This Row],[累计净值]]/1.005-1),(表2_3671626293038912131415[[#This Row],[累计净值]]/1.005-1))</f>
        <v>-4.7761194029850684E-2</v>
      </c>
    </row>
    <row r="88" spans="1:7">
      <c r="A88" s="15">
        <v>44028</v>
      </c>
      <c r="B88" s="112">
        <v>0.96299999999999997</v>
      </c>
      <c r="C88" s="108">
        <f t="shared" si="12"/>
        <v>6.0000000000000053E-3</v>
      </c>
      <c r="D88" s="109" t="str">
        <f t="shared" si="13"/>
        <v>/</v>
      </c>
      <c r="E88" s="109">
        <f ca="1">IF(表2_3671626293038912131415[[#This Row],[累计净值]]/MAX(INDIRECT("B21:B" &amp; ROW()))-1&lt;E87,表2_3671626293038912131415[[#This Row],[累计净值]]/MAX(INDIRECT("B21:B" &amp; ROW()))-1,E87)</f>
        <v>-6.7382812500000111E-2</v>
      </c>
      <c r="F88" s="110">
        <f>表2_3671626293038912131415[[#This Row],[累计净值]]</f>
        <v>0.96299999999999997</v>
      </c>
      <c r="G88" s="20">
        <f>IF(表2_3671626293038912131415[[#This Row],[累计净值]]&gt;1.005,0.8*(表2_3671626293038912131415[[#This Row],[累计净值]]/1.005-1),(表2_3671626293038912131415[[#This Row],[累计净值]]/1.005-1))</f>
        <v>-4.1791044776119279E-2</v>
      </c>
    </row>
    <row r="89" spans="1:7">
      <c r="A89" s="15">
        <v>44029</v>
      </c>
      <c r="B89" s="112">
        <v>0.94799999999999995</v>
      </c>
      <c r="C89" s="108">
        <f t="shared" si="12"/>
        <v>-1.5000000000000013E-2</v>
      </c>
      <c r="D89" s="109">
        <f t="shared" si="13"/>
        <v>-1.5000000000000013E-2</v>
      </c>
      <c r="E89" s="109">
        <f ca="1">IF(表2_3671626293038912131415[[#This Row],[累计净值]]/MAX(INDIRECT("B21:B" &amp; ROW()))-1&lt;E88,表2_3671626293038912131415[[#This Row],[累计净值]]/MAX(INDIRECT("B21:B" &amp; ROW()))-1,E88)</f>
        <v>-7.4218750000000111E-2</v>
      </c>
      <c r="F89" s="110">
        <f>表2_3671626293038912131415[[#This Row],[累计净值]]</f>
        <v>0.94799999999999995</v>
      </c>
      <c r="G89" s="20">
        <f>IF(表2_3671626293038912131415[[#This Row],[累计净值]]&gt;1.005,0.8*(表2_3671626293038912131415[[#This Row],[累计净值]]/1.005-1),(表2_3671626293038912131415[[#This Row],[累计净值]]/1.005-1))</f>
        <v>-5.6716417910447681E-2</v>
      </c>
    </row>
    <row r="90" spans="1:7">
      <c r="A90" s="15">
        <v>44032</v>
      </c>
      <c r="B90" s="112">
        <v>0.95</v>
      </c>
      <c r="C90" s="108">
        <f t="shared" si="12"/>
        <v>2.0000000000000018E-3</v>
      </c>
      <c r="D90" s="109" t="str">
        <f t="shared" si="13"/>
        <v>/</v>
      </c>
      <c r="E90" s="109">
        <f ca="1">IF(表2_3671626293038912131415[[#This Row],[累计净值]]/MAX(INDIRECT("B21:B" &amp; ROW()))-1&lt;E89,表2_3671626293038912131415[[#This Row],[累计净值]]/MAX(INDIRECT("B21:B" &amp; ROW()))-1,E89)</f>
        <v>-7.4218750000000111E-2</v>
      </c>
      <c r="F90" s="110">
        <f>表2_3671626293038912131415[[#This Row],[累计净值]]</f>
        <v>0.95</v>
      </c>
      <c r="G90" s="20">
        <f>IF(表2_3671626293038912131415[[#This Row],[累计净值]]&gt;1.005,0.8*(表2_3671626293038912131415[[#This Row],[累计净值]]/1.005-1),(表2_3671626293038912131415[[#This Row],[累计净值]]/1.005-1))</f>
        <v>-5.4726368159203953E-2</v>
      </c>
    </row>
    <row r="91" spans="1:7">
      <c r="A91" s="15">
        <v>44033</v>
      </c>
      <c r="B91" s="112">
        <v>0.95199999999999996</v>
      </c>
      <c r="C91" s="108">
        <f t="shared" si="12"/>
        <v>2.0000000000000018E-3</v>
      </c>
      <c r="D91" s="109" t="str">
        <f t="shared" si="13"/>
        <v>/</v>
      </c>
      <c r="E91" s="109">
        <f ca="1">IF(表2_3671626293038912131415[[#This Row],[累计净值]]/MAX(INDIRECT("B21:B" &amp; ROW()))-1&lt;E90,表2_3671626293038912131415[[#This Row],[累计净值]]/MAX(INDIRECT("B21:B" &amp; ROW()))-1,E90)</f>
        <v>-7.4218750000000111E-2</v>
      </c>
      <c r="F91" s="110">
        <f>表2_3671626293038912131415[[#This Row],[累计净值]]</f>
        <v>0.95199999999999996</v>
      </c>
      <c r="G91" s="20">
        <f>IF(表2_3671626293038912131415[[#This Row],[累计净值]]&gt;1.005,0.8*(表2_3671626293038912131415[[#This Row],[累计净值]]/1.005-1),(表2_3671626293038912131415[[#This Row],[累计净值]]/1.005-1))</f>
        <v>-5.2736318407960114E-2</v>
      </c>
    </row>
    <row r="92" spans="1:7">
      <c r="A92" s="15">
        <v>44034</v>
      </c>
      <c r="B92" s="112">
        <v>0.95399999999999996</v>
      </c>
      <c r="C92" s="108">
        <f t="shared" si="12"/>
        <v>2.0000000000000018E-3</v>
      </c>
      <c r="D92" s="109" t="str">
        <f t="shared" si="13"/>
        <v>/</v>
      </c>
      <c r="E92" s="109">
        <f ca="1">IF(表2_3671626293038912131415[[#This Row],[累计净值]]/MAX(INDIRECT("B21:B" &amp; ROW()))-1&lt;E91,表2_3671626293038912131415[[#This Row],[累计净值]]/MAX(INDIRECT("B21:B" &amp; ROW()))-1,E91)</f>
        <v>-7.4218750000000111E-2</v>
      </c>
      <c r="F92" s="110">
        <f>表2_3671626293038912131415[[#This Row],[累计净值]]</f>
        <v>0.95399999999999996</v>
      </c>
      <c r="G92" s="20">
        <f>IF(表2_3671626293038912131415[[#This Row],[累计净值]]&gt;1.005,0.8*(表2_3671626293038912131415[[#This Row],[累计净值]]/1.005-1),(表2_3671626293038912131415[[#This Row],[累计净值]]/1.005-1))</f>
        <v>-5.0746268656716387E-2</v>
      </c>
    </row>
    <row r="93" spans="1:7">
      <c r="A93" s="15">
        <v>44035</v>
      </c>
      <c r="B93" s="112">
        <v>0.94899999999999995</v>
      </c>
      <c r="C93" s="108">
        <f>IFERROR(B93-B92,0)</f>
        <v>-5.0000000000000044E-3</v>
      </c>
      <c r="D93" s="109">
        <f>IF(C93&lt;0,C93,"/")</f>
        <v>-5.0000000000000044E-3</v>
      </c>
      <c r="E93" s="109">
        <f ca="1">IF(表2_3671626293038912131415[[#This Row],[累计净值]]/MAX(INDIRECT("B21:B" &amp; ROW()))-1&lt;E92,表2_3671626293038912131415[[#This Row],[累计净值]]/MAX(INDIRECT("B21:B" &amp; ROW()))-1,E92)</f>
        <v>-7.4218750000000111E-2</v>
      </c>
      <c r="F93" s="110">
        <f>表2_3671626293038912131415[[#This Row],[累计净值]]</f>
        <v>0.94899999999999995</v>
      </c>
      <c r="G93" s="20">
        <f>IF(表2_3671626293038912131415[[#This Row],[累计净值]]&gt;1.005,0.8*(表2_3671626293038912131415[[#This Row],[累计净值]]/1.005-1),(表2_3671626293038912131415[[#This Row],[累计净值]]/1.005-1))</f>
        <v>-5.5721393034825817E-2</v>
      </c>
    </row>
    <row r="94" spans="1:7">
      <c r="A94" s="15">
        <v>44036</v>
      </c>
      <c r="B94" s="112">
        <v>0.93899999999999995</v>
      </c>
      <c r="C94" s="108">
        <f>IFERROR(B94-B93,0)</f>
        <v>-1.0000000000000009E-2</v>
      </c>
      <c r="D94" s="109">
        <f>IF(C94&lt;0,C94,"/")</f>
        <v>-1.0000000000000009E-2</v>
      </c>
      <c r="E94" s="109">
        <f ca="1">IF(表2_3671626293038912131415[[#This Row],[累计净值]]/MAX(INDIRECT("B21:B" &amp; ROW()))-1&lt;E93,表2_3671626293038912131415[[#This Row],[累计净值]]/MAX(INDIRECT("B21:B" &amp; ROW()))-1,E93)</f>
        <v>-8.3007812500000111E-2</v>
      </c>
      <c r="F94" s="110">
        <f>表2_3671626293038912131415[[#This Row],[累计净值]]</f>
        <v>0.93899999999999995</v>
      </c>
      <c r="G94" s="20">
        <f>IF(表2_3671626293038912131415[[#This Row],[累计净值]]&gt;1.005,0.8*(表2_3671626293038912131415[[#This Row],[累计净值]]/1.005-1),(表2_3671626293038912131415[[#This Row],[累计净值]]/1.005-1))</f>
        <v>-6.5671641791044677E-2</v>
      </c>
    </row>
    <row r="95" spans="1:7">
      <c r="A95" s="15">
        <v>44039</v>
      </c>
      <c r="B95" s="112">
        <v>0.93400000000000005</v>
      </c>
      <c r="C95" s="108">
        <f t="shared" ref="C95:C100" si="14">IFERROR(B95-B94,0)</f>
        <v>-4.9999999999998934E-3</v>
      </c>
      <c r="D95" s="109">
        <f t="shared" ref="D95:D100" si="15">IF(C95&lt;0,C95,"/")</f>
        <v>-4.9999999999998934E-3</v>
      </c>
      <c r="E95" s="109">
        <f ca="1">IF(表2_3671626293038912131415[[#This Row],[累计净值]]/MAX(INDIRECT("B21:B" &amp; ROW()))-1&lt;E94,表2_3671626293038912131415[[#This Row],[累计净值]]/MAX(INDIRECT("B21:B" &amp; ROW()))-1,E94)</f>
        <v>-8.7890625E-2</v>
      </c>
      <c r="F95" s="110">
        <f>表2_3671626293038912131415[[#This Row],[累计净值]]</f>
        <v>0.93400000000000005</v>
      </c>
      <c r="G95" s="20">
        <f>IF(表2_3671626293038912131415[[#This Row],[累计净值]]&gt;1.005,0.8*(表2_3671626293038912131415[[#This Row],[累计净值]]/1.005-1),(表2_3671626293038912131415[[#This Row],[累计净值]]/1.005-1))</f>
        <v>-7.0646766169154107E-2</v>
      </c>
    </row>
    <row r="96" spans="1:7">
      <c r="A96" s="15">
        <v>44040</v>
      </c>
      <c r="B96" s="112">
        <v>0.92900000000000005</v>
      </c>
      <c r="C96" s="108">
        <f t="shared" si="14"/>
        <v>-5.0000000000000044E-3</v>
      </c>
      <c r="D96" s="109">
        <f t="shared" si="15"/>
        <v>-5.0000000000000044E-3</v>
      </c>
      <c r="E96" s="109">
        <f ca="1">IF(表2_3671626293038912131415[[#This Row],[累计净值]]/MAX(INDIRECT("B21:B" &amp; ROW()))-1&lt;E95,表2_3671626293038912131415[[#This Row],[累计净值]]/MAX(INDIRECT("B21:B" &amp; ROW()))-1,E95)</f>
        <v>-9.27734375E-2</v>
      </c>
      <c r="F96" s="110">
        <f>表2_3671626293038912131415[[#This Row],[累计净值]]</f>
        <v>0.92900000000000005</v>
      </c>
      <c r="G96" s="20">
        <f>IF(表2_3671626293038912131415[[#This Row],[累计净值]]&gt;1.005,0.8*(表2_3671626293038912131415[[#This Row],[累计净值]]/1.005-1),(表2_3671626293038912131415[[#This Row],[累计净值]]/1.005-1))</f>
        <v>-7.5621890547263537E-2</v>
      </c>
    </row>
    <row r="97" spans="1:7">
      <c r="A97" s="15">
        <v>44041</v>
      </c>
      <c r="B97" s="112">
        <v>0.93300000000000005</v>
      </c>
      <c r="C97" s="108">
        <f t="shared" si="14"/>
        <v>4.0000000000000036E-3</v>
      </c>
      <c r="D97" s="109" t="str">
        <f t="shared" si="15"/>
        <v>/</v>
      </c>
      <c r="E97" s="109">
        <f ca="1">IF(表2_3671626293038912131415[[#This Row],[累计净值]]/MAX(INDIRECT("B21:B" &amp; ROW()))-1&lt;E96,表2_3671626293038912131415[[#This Row],[累计净值]]/MAX(INDIRECT("B21:B" &amp; ROW()))-1,E96)</f>
        <v>-9.27734375E-2</v>
      </c>
      <c r="F97" s="110">
        <f>表2_3671626293038912131415[[#This Row],[累计净值]]</f>
        <v>0.93300000000000005</v>
      </c>
      <c r="G97" s="20">
        <f>IF(表2_3671626293038912131415[[#This Row],[累计净值]]&gt;1.005,0.8*(表2_3671626293038912131415[[#This Row],[累计净值]]/1.005-1),(表2_3671626293038912131415[[#This Row],[累计净值]]/1.005-1))</f>
        <v>-7.1641791044775971E-2</v>
      </c>
    </row>
    <row r="98" spans="1:7">
      <c r="A98" s="15">
        <v>44042</v>
      </c>
      <c r="B98" s="112">
        <v>0.95099999999999996</v>
      </c>
      <c r="C98" s="108">
        <f t="shared" si="14"/>
        <v>1.7999999999999905E-2</v>
      </c>
      <c r="D98" s="109" t="str">
        <f t="shared" si="15"/>
        <v>/</v>
      </c>
      <c r="E98" s="109">
        <f ca="1">IF(表2_3671626293038912131415[[#This Row],[累计净值]]/MAX(INDIRECT("B21:B" &amp; ROW()))-1&lt;E97,表2_3671626293038912131415[[#This Row],[累计净值]]/MAX(INDIRECT("B21:B" &amp; ROW()))-1,E97)</f>
        <v>-9.27734375E-2</v>
      </c>
      <c r="F98" s="110">
        <f>表2_3671626293038912131415[[#This Row],[累计净值]]</f>
        <v>0.95099999999999996</v>
      </c>
      <c r="G98" s="20">
        <f>IF(表2_3671626293038912131415[[#This Row],[累计净值]]&gt;1.005,0.8*(表2_3671626293038912131415[[#This Row],[累计净值]]/1.005-1),(表2_3671626293038912131415[[#This Row],[累计净值]]/1.005-1))</f>
        <v>-5.3731343283581978E-2</v>
      </c>
    </row>
    <row r="99" spans="1:7">
      <c r="A99" s="15">
        <v>44043</v>
      </c>
      <c r="B99" s="112">
        <v>0.96299999999999997</v>
      </c>
      <c r="C99" s="108">
        <f t="shared" si="14"/>
        <v>1.2000000000000011E-2</v>
      </c>
      <c r="D99" s="109" t="str">
        <f t="shared" si="15"/>
        <v>/</v>
      </c>
      <c r="E99" s="109">
        <f ca="1">IF(表2_3671626293038912131415[[#This Row],[累计净值]]/MAX(INDIRECT("B21:B" &amp; ROW()))-1&lt;E98,表2_3671626293038912131415[[#This Row],[累计净值]]/MAX(INDIRECT("B21:B" &amp; ROW()))-1,E98)</f>
        <v>-9.27734375E-2</v>
      </c>
      <c r="F99" s="110">
        <f>表2_3671626293038912131415[[#This Row],[累计净值]]</f>
        <v>0.96299999999999997</v>
      </c>
      <c r="G99" s="20">
        <f>IF(表2_3671626293038912131415[[#This Row],[累计净值]]&gt;1.005,0.8*(表2_3671626293038912131415[[#This Row],[累计净值]]/1.005-1),(表2_3671626293038912131415[[#This Row],[累计净值]]/1.005-1))</f>
        <v>-4.1791044776119279E-2</v>
      </c>
    </row>
    <row r="100" spans="1:7">
      <c r="A100" s="15">
        <v>44046</v>
      </c>
      <c r="B100" s="112">
        <v>0.92600000000000005</v>
      </c>
      <c r="C100" s="108">
        <f t="shared" si="14"/>
        <v>-3.6999999999999922E-2</v>
      </c>
      <c r="D100" s="109">
        <f t="shared" si="15"/>
        <v>-3.6999999999999922E-2</v>
      </c>
      <c r="E100" s="109">
        <f ca="1">IF(表2_3671626293038912131415[[#This Row],[累计净值]]/MAX(INDIRECT("B21:B" &amp; ROW()))-1&lt;E99,表2_3671626293038912131415[[#This Row],[累计净值]]/MAX(INDIRECT("B21:B" &amp; ROW()))-1,E99)</f>
        <v>-9.5703125E-2</v>
      </c>
      <c r="F100" s="110">
        <f>表2_3671626293038912131415[[#This Row],[累计净值]]</f>
        <v>0.92600000000000005</v>
      </c>
      <c r="G100" s="20">
        <f>IF(表2_3671626293038912131415[[#This Row],[累计净值]]&gt;1.005,0.8*(表2_3671626293038912131415[[#This Row],[累计净值]]/1.005-1),(表2_3671626293038912131415[[#This Row],[累计净值]]/1.005-1))</f>
        <v>-7.860696517412924E-2</v>
      </c>
    </row>
    <row r="101" spans="1:7">
      <c r="A101" s="15">
        <v>44047</v>
      </c>
      <c r="B101" s="112">
        <v>0.92900000000000005</v>
      </c>
      <c r="C101" s="108">
        <f t="shared" ref="C101:C107" si="16">IFERROR(B101-B100,0)</f>
        <v>3.0000000000000027E-3</v>
      </c>
      <c r="D101" s="109" t="str">
        <f t="shared" ref="D101:D107" si="17">IF(C101&lt;0,C101,"/")</f>
        <v>/</v>
      </c>
      <c r="E101" s="109">
        <f ca="1">IF(表2_3671626293038912131415[[#This Row],[累计净值]]/MAX(INDIRECT("B21:B" &amp; ROW()))-1&lt;E100,表2_3671626293038912131415[[#This Row],[累计净值]]/MAX(INDIRECT("B21:B" &amp; ROW()))-1,E100)</f>
        <v>-9.5703125E-2</v>
      </c>
      <c r="F101" s="110">
        <f>表2_3671626293038912131415[[#This Row],[累计净值]]</f>
        <v>0.92900000000000005</v>
      </c>
      <c r="G101" s="20">
        <f>IF(表2_3671626293038912131415[[#This Row],[累计净值]]&gt;1.005,0.8*(表2_3671626293038912131415[[#This Row],[累计净值]]/1.005-1),(表2_3671626293038912131415[[#This Row],[累计净值]]/1.005-1))</f>
        <v>-7.5621890547263537E-2</v>
      </c>
    </row>
    <row r="102" spans="1:7">
      <c r="A102" s="15">
        <v>44048</v>
      </c>
      <c r="B102" s="112">
        <v>0.93</v>
      </c>
      <c r="C102" s="108">
        <f t="shared" si="16"/>
        <v>1.0000000000000009E-3</v>
      </c>
      <c r="D102" s="109" t="str">
        <f t="shared" si="17"/>
        <v>/</v>
      </c>
      <c r="E102" s="109">
        <f ca="1">IF(表2_3671626293038912131415[[#This Row],[累计净值]]/MAX(INDIRECT("B21:B" &amp; ROW()))-1&lt;E101,表2_3671626293038912131415[[#This Row],[累计净值]]/MAX(INDIRECT("B21:B" &amp; ROW()))-1,E101)</f>
        <v>-9.5703125E-2</v>
      </c>
      <c r="F102" s="110">
        <f>表2_3671626293038912131415[[#This Row],[累计净值]]</f>
        <v>0.93</v>
      </c>
      <c r="G102" s="20">
        <f>IF(表2_3671626293038912131415[[#This Row],[累计净值]]&gt;1.005,0.8*(表2_3671626293038912131415[[#This Row],[累计净值]]/1.005-1),(表2_3671626293038912131415[[#This Row],[累计净值]]/1.005-1))</f>
        <v>-7.4626865671641673E-2</v>
      </c>
    </row>
    <row r="103" spans="1:7">
      <c r="A103" s="15">
        <v>44049</v>
      </c>
      <c r="B103" s="112">
        <v>0.92900000000000005</v>
      </c>
      <c r="C103" s="108">
        <f t="shared" si="16"/>
        <v>-1.0000000000000009E-3</v>
      </c>
      <c r="D103" s="109">
        <f t="shared" si="17"/>
        <v>-1.0000000000000009E-3</v>
      </c>
      <c r="E103" s="109">
        <f ca="1">IF(表2_3671626293038912131415[[#This Row],[累计净值]]/MAX(INDIRECT("B21:B" &amp; ROW()))-1&lt;E102,表2_3671626293038912131415[[#This Row],[累计净值]]/MAX(INDIRECT("B21:B" &amp; ROW()))-1,E102)</f>
        <v>-9.5703125E-2</v>
      </c>
      <c r="F103" s="110">
        <f>表2_3671626293038912131415[[#This Row],[累计净值]]</f>
        <v>0.92900000000000005</v>
      </c>
      <c r="G103" s="20">
        <f>IF(表2_3671626293038912131415[[#This Row],[累计净值]]&gt;1.005,0.8*(表2_3671626293038912131415[[#This Row],[累计净值]]/1.005-1),(表2_3671626293038912131415[[#This Row],[累计净值]]/1.005-1))</f>
        <v>-7.5621890547263537E-2</v>
      </c>
    </row>
    <row r="104" spans="1:7">
      <c r="A104" s="15">
        <v>44050</v>
      </c>
      <c r="B104" s="112">
        <v>0.95399999999999996</v>
      </c>
      <c r="C104" s="108">
        <f t="shared" si="16"/>
        <v>2.4999999999999911E-2</v>
      </c>
      <c r="D104" s="109" t="str">
        <f t="shared" si="17"/>
        <v>/</v>
      </c>
      <c r="E104" s="109">
        <f ca="1">IF(表2_3671626293038912131415[[#This Row],[累计净值]]/MAX(INDIRECT("B21:B" &amp; ROW()))-1&lt;E103,表2_3671626293038912131415[[#This Row],[累计净值]]/MAX(INDIRECT("B21:B" &amp; ROW()))-1,E103)</f>
        <v>-9.5703125E-2</v>
      </c>
      <c r="F104" s="110">
        <f>表2_3671626293038912131415[[#This Row],[累计净值]]</f>
        <v>0.95399999999999996</v>
      </c>
      <c r="G104" s="20">
        <f>IF(表2_3671626293038912131415[[#This Row],[累计净值]]&gt;1.005,0.8*(表2_3671626293038912131415[[#This Row],[累计净值]]/1.005-1),(表2_3671626293038912131415[[#This Row],[累计净值]]/1.005-1))</f>
        <v>-5.0746268656716387E-2</v>
      </c>
    </row>
    <row r="105" spans="1:7">
      <c r="A105" s="15">
        <v>44053</v>
      </c>
      <c r="B105" s="112">
        <v>0.93899999999999995</v>
      </c>
      <c r="C105" s="108">
        <f t="shared" si="16"/>
        <v>-1.5000000000000013E-2</v>
      </c>
      <c r="D105" s="109">
        <f t="shared" si="17"/>
        <v>-1.5000000000000013E-2</v>
      </c>
      <c r="E105" s="109">
        <f ca="1">IF(表2_3671626293038912131415[[#This Row],[累计净值]]/MAX(INDIRECT("B21:B" &amp; ROW()))-1&lt;E104,表2_3671626293038912131415[[#This Row],[累计净值]]/MAX(INDIRECT("B21:B" &amp; ROW()))-1,E104)</f>
        <v>-9.5703125E-2</v>
      </c>
      <c r="F105" s="110">
        <f>表2_3671626293038912131415[[#This Row],[累计净值]]</f>
        <v>0.93899999999999995</v>
      </c>
      <c r="G105" s="20">
        <f>IF(表2_3671626293038912131415[[#This Row],[累计净值]]&gt;1.005,0.8*(表2_3671626293038912131415[[#This Row],[累计净值]]/1.005-1),(表2_3671626293038912131415[[#This Row],[累计净值]]/1.005-1))</f>
        <v>-6.5671641791044677E-2</v>
      </c>
    </row>
    <row r="106" spans="1:7">
      <c r="A106" s="15">
        <v>44054</v>
      </c>
      <c r="B106" s="112">
        <v>0.92400000000000004</v>
      </c>
      <c r="C106" s="108">
        <f t="shared" si="16"/>
        <v>-1.4999999999999902E-2</v>
      </c>
      <c r="D106" s="109">
        <f t="shared" si="17"/>
        <v>-1.4999999999999902E-2</v>
      </c>
      <c r="E106" s="109">
        <f ca="1">IF(表2_3671626293038912131415[[#This Row],[累计净值]]/MAX(INDIRECT("B21:B" &amp; ROW()))-1&lt;E105,表2_3671626293038912131415[[#This Row],[累计净值]]/MAX(INDIRECT("B21:B" &amp; ROW()))-1,E105)</f>
        <v>-9.765625E-2</v>
      </c>
      <c r="F106" s="110">
        <f>表2_3671626293038912131415[[#This Row],[累计净值]]</f>
        <v>0.92400000000000004</v>
      </c>
      <c r="G106" s="20">
        <f>IF(表2_3671626293038912131415[[#This Row],[累计净值]]&gt;1.005,0.8*(表2_3671626293038912131415[[#This Row],[累计净值]]/1.005-1),(表2_3671626293038912131415[[#This Row],[累计净值]]/1.005-1))</f>
        <v>-8.0597014925372967E-2</v>
      </c>
    </row>
    <row r="107" spans="1:7">
      <c r="A107" s="15">
        <v>44055</v>
      </c>
      <c r="B107" s="112">
        <v>0.92400000000000004</v>
      </c>
      <c r="C107" s="108">
        <f t="shared" si="16"/>
        <v>0</v>
      </c>
      <c r="D107" s="109" t="str">
        <f t="shared" si="17"/>
        <v>/</v>
      </c>
      <c r="E107" s="109">
        <f ca="1">IF(表2_3671626293038912131415[[#This Row],[累计净值]]/MAX(INDIRECT("B21:B" &amp; ROW()))-1&lt;E106,表2_3671626293038912131415[[#This Row],[累计净值]]/MAX(INDIRECT("B21:B" &amp; ROW()))-1,E106)</f>
        <v>-9.765625E-2</v>
      </c>
      <c r="F107" s="110">
        <f>表2_3671626293038912131415[[#This Row],[累计净值]]</f>
        <v>0.92400000000000004</v>
      </c>
      <c r="G107" s="20">
        <f>IF(表2_3671626293038912131415[[#This Row],[累计净值]]&gt;1.005,0.8*(表2_3671626293038912131415[[#This Row],[累计净值]]/1.005-1),(表2_3671626293038912131415[[#This Row],[累计净值]]/1.005-1))</f>
        <v>-8.0597014925372967E-2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6">
    <tabColor theme="1"/>
  </sheetPr>
  <dimension ref="A1:N174"/>
  <sheetViews>
    <sheetView workbookViewId="0">
      <pane xSplit="1" ySplit="20" topLeftCell="B167" activePane="bottomRight" state="frozen"/>
      <selection pane="topRight" activeCell="B1" sqref="B1"/>
      <selection pane="bottomLeft" activeCell="A21" sqref="A21"/>
      <selection pane="bottomRight" activeCell="J173" sqref="J173"/>
    </sheetView>
  </sheetViews>
  <sheetFormatPr baseColWidth="10" defaultColWidth="9" defaultRowHeight="15"/>
  <cols>
    <col min="1" max="1" width="11.6640625" style="120" bestFit="1" customWidth="1"/>
    <col min="2" max="2" width="13" style="120" customWidth="1"/>
    <col min="3" max="4" width="13.5" style="120" bestFit="1" customWidth="1"/>
    <col min="5" max="5" width="10.1640625" style="120" customWidth="1"/>
    <col min="6" max="6" width="11.1640625" style="120" customWidth="1"/>
    <col min="7" max="7" width="18.83203125" style="121" customWidth="1"/>
    <col min="8" max="8" width="9" style="120"/>
    <col min="9" max="9" width="14.1640625" style="120" customWidth="1"/>
    <col min="10" max="10" width="12" style="120" bestFit="1" customWidth="1"/>
    <col min="11" max="16384" width="9" style="120"/>
  </cols>
  <sheetData>
    <row r="1" spans="1:7" ht="16" thickBot="1"/>
    <row r="2" spans="1:7" ht="16" thickBot="1">
      <c r="A2" s="122" t="s">
        <v>0</v>
      </c>
      <c r="B2" s="123">
        <f>COUNT(表2_3671626293034522[每日盈亏])</f>
        <v>154</v>
      </c>
      <c r="C2" s="124"/>
      <c r="D2" s="125" t="s">
        <v>1</v>
      </c>
      <c r="E2" s="126"/>
      <c r="F2" s="136" t="s">
        <v>2</v>
      </c>
      <c r="G2" s="401" t="s">
        <v>3</v>
      </c>
    </row>
    <row r="3" spans="1:7">
      <c r="A3" s="127" t="s">
        <v>4</v>
      </c>
      <c r="B3" s="128">
        <f>COUNTIF(表2_3671626293034522[每日盈亏],"&gt;0")</f>
        <v>84</v>
      </c>
      <c r="C3" s="129"/>
      <c r="D3" s="130" t="s">
        <v>5</v>
      </c>
      <c r="E3" s="131">
        <f>245^0.5*(B10-0.025/365)/E10</f>
        <v>1.9902445824599571</v>
      </c>
      <c r="F3" s="136"/>
      <c r="G3" s="401"/>
    </row>
    <row r="4" spans="1:7">
      <c r="A4" s="127" t="s">
        <v>6</v>
      </c>
      <c r="B4" s="128">
        <f>COUNTIF(表2_3671626293034522[每日盈亏],"&lt;0")</f>
        <v>65</v>
      </c>
      <c r="C4" s="129"/>
      <c r="D4" s="132" t="s">
        <v>7</v>
      </c>
      <c r="E4" s="131">
        <f ca="1">-B9/E8</f>
        <v>6.2273382611369295</v>
      </c>
      <c r="F4" s="136"/>
      <c r="G4" s="121">
        <f>LOOKUP(999^10,表2_3671626293034522[累计净值])</f>
        <v>1.3221000000000001</v>
      </c>
    </row>
    <row r="5" spans="1:7">
      <c r="A5" s="127" t="s">
        <v>8</v>
      </c>
      <c r="B5" s="128">
        <f>B2-B3-B4</f>
        <v>5</v>
      </c>
      <c r="C5" s="129"/>
      <c r="D5" s="133" t="s">
        <v>9</v>
      </c>
      <c r="E5" s="134">
        <f>245^0.5*(B10-0.025/365)/E9</f>
        <v>4.4125916091759718</v>
      </c>
      <c r="F5" s="136"/>
    </row>
    <row r="6" spans="1:7" ht="16" thickBot="1">
      <c r="A6" s="135"/>
      <c r="B6" s="136"/>
      <c r="C6" s="136"/>
      <c r="D6" s="136"/>
      <c r="E6" s="137"/>
      <c r="F6" s="136"/>
    </row>
    <row r="7" spans="1:7" ht="16" thickBot="1">
      <c r="A7" s="138" t="s">
        <v>10</v>
      </c>
      <c r="B7" s="136"/>
      <c r="C7" s="136"/>
      <c r="D7" s="125" t="s">
        <v>11</v>
      </c>
      <c r="E7" s="139"/>
      <c r="F7" s="136"/>
    </row>
    <row r="8" spans="1:7">
      <c r="A8" s="140" t="s">
        <v>12</v>
      </c>
      <c r="B8" s="141">
        <f>LOOKUP(999^10,表2_3671626293034522[累计净值])/$B$21-1</f>
        <v>0.10524995820096983</v>
      </c>
      <c r="C8" s="142"/>
      <c r="D8" s="130" t="s">
        <v>13</v>
      </c>
      <c r="E8" s="143">
        <f ca="1">MIN(表2_3671626293034522[最大回撤])</f>
        <v>-2.6888392487796953E-2</v>
      </c>
      <c r="F8" s="136"/>
    </row>
    <row r="9" spans="1:7">
      <c r="A9" s="127" t="s">
        <v>14</v>
      </c>
      <c r="B9" s="132">
        <f>B8*245/B2</f>
        <v>0.16744311531972475</v>
      </c>
      <c r="C9" s="142"/>
      <c r="D9" s="133" t="s">
        <v>15</v>
      </c>
      <c r="E9" s="144">
        <f>STDEV(表2_3671626293034522[下跌幅度])</f>
        <v>2.6570144827490903E-3</v>
      </c>
      <c r="F9" s="136"/>
    </row>
    <row r="10" spans="1:7">
      <c r="A10" s="145" t="s">
        <v>16</v>
      </c>
      <c r="B10" s="146">
        <f>AVERAGE(表2_3671626293034522[每日盈亏])</f>
        <v>8.175324675324683E-4</v>
      </c>
      <c r="C10" s="147"/>
      <c r="D10" s="133" t="s">
        <v>17</v>
      </c>
      <c r="E10" s="144">
        <f>STDEV(表2_3671626293034522[每日盈亏])</f>
        <v>5.8908939712054506E-3</v>
      </c>
      <c r="F10" s="136"/>
    </row>
    <row r="11" spans="1:7">
      <c r="A11" s="148" t="s">
        <v>18</v>
      </c>
      <c r="B11" s="132">
        <f>B3/B2</f>
        <v>0.54545454545454541</v>
      </c>
      <c r="C11" s="142"/>
      <c r="D11" s="132" t="s">
        <v>19</v>
      </c>
      <c r="E11" s="143">
        <f>245^0.5*E10</f>
        <v>9.2207075575013536E-2</v>
      </c>
      <c r="F11" s="136"/>
    </row>
    <row r="12" spans="1:7" ht="16" thickBot="1">
      <c r="A12" s="149" t="s">
        <v>20</v>
      </c>
      <c r="B12" s="150">
        <f>-(SUMIF(表2_3671626293034522[每日盈亏],"&gt;=0")/B3)/(SUMIF(表2_3671626293034522[每日盈亏],"&lt;0")/B4)</f>
        <v>1.27521260691616</v>
      </c>
      <c r="C12" s="151"/>
      <c r="D12" s="152"/>
      <c r="E12" s="153"/>
      <c r="F12" s="136"/>
    </row>
    <row r="13" spans="1:7">
      <c r="A13" s="136"/>
      <c r="B13" s="136"/>
      <c r="C13" s="136"/>
      <c r="D13" s="136"/>
      <c r="E13" s="136"/>
      <c r="F13" s="136"/>
    </row>
    <row r="14" spans="1:7" ht="32">
      <c r="A14" s="154" t="s">
        <v>21</v>
      </c>
      <c r="B14" s="154" t="s">
        <v>14</v>
      </c>
      <c r="C14" s="155" t="s">
        <v>19</v>
      </c>
      <c r="D14" s="155" t="s">
        <v>13</v>
      </c>
      <c r="E14" s="155" t="s">
        <v>5</v>
      </c>
      <c r="F14" s="155" t="s">
        <v>7</v>
      </c>
    </row>
    <row r="15" spans="1:7">
      <c r="A15" s="156">
        <f>B2</f>
        <v>154</v>
      </c>
      <c r="B15" s="157">
        <f>B9</f>
        <v>0.16744311531972475</v>
      </c>
      <c r="C15" s="157">
        <f>E11</f>
        <v>9.2207075575013536E-2</v>
      </c>
      <c r="D15" s="157">
        <f ca="1">E8</f>
        <v>-2.6888392487796953E-2</v>
      </c>
      <c r="E15" s="158">
        <f>E3</f>
        <v>1.9902445824599571</v>
      </c>
      <c r="F15" s="158">
        <f ca="1">E4</f>
        <v>6.2273382611369295</v>
      </c>
    </row>
    <row r="19" spans="1:14">
      <c r="A19" s="159"/>
      <c r="B19" s="120" t="s">
        <v>22</v>
      </c>
    </row>
    <row r="20" spans="1:14" ht="16">
      <c r="A20" s="160" t="s">
        <v>23</v>
      </c>
      <c r="B20" s="160" t="s">
        <v>24</v>
      </c>
      <c r="C20" s="160" t="s">
        <v>25</v>
      </c>
      <c r="D20" s="160" t="s">
        <v>26</v>
      </c>
      <c r="E20" s="160" t="s">
        <v>27</v>
      </c>
      <c r="F20" s="160" t="s">
        <v>28</v>
      </c>
      <c r="G20" s="160" t="s">
        <v>29</v>
      </c>
    </row>
    <row r="21" spans="1:14">
      <c r="A21" s="161">
        <v>43781</v>
      </c>
      <c r="B21" s="174">
        <v>1.1961999999999999</v>
      </c>
      <c r="C21" s="163">
        <f>IFERROR(B21-#REF!,0)</f>
        <v>0</v>
      </c>
      <c r="D21" s="164" t="str">
        <f>IF(C21&lt;0,C21,"/")</f>
        <v>/</v>
      </c>
      <c r="E21" s="164">
        <v>0</v>
      </c>
      <c r="F21" s="165">
        <f>表2_3671626293034522[[#This Row],[累计净值]]</f>
        <v>1.1961999999999999</v>
      </c>
      <c r="G21" s="166" t="s">
        <v>30</v>
      </c>
    </row>
    <row r="22" spans="1:14">
      <c r="A22" s="161">
        <v>43782</v>
      </c>
      <c r="B22" s="162">
        <v>1.1961999999999999</v>
      </c>
      <c r="C22" s="167">
        <f>IFERROR(B22-B21,0)</f>
        <v>0</v>
      </c>
      <c r="D22" s="168" t="str">
        <f>IF(C22&lt;0,C22,"/")</f>
        <v>/</v>
      </c>
      <c r="E22" s="168">
        <f ca="1">IF(表2_3671626293034522[[#This Row],[累计净值]]/MAX(INDIRECT("B21:B" &amp; ROW()))-1&lt;E21,表2_3671626293034522[[#This Row],[累计净值]]/MAX(INDIRECT("B21:B" &amp; ROW()))-1,E21)</f>
        <v>0</v>
      </c>
      <c r="F22" s="169">
        <f>表2_3671626293034522[[#This Row],[累计净值]]</f>
        <v>1.1961999999999999</v>
      </c>
      <c r="G22" s="170">
        <f>表2_3671626293034522[[#This Row],[累计净值]]/$B$21-1</f>
        <v>0</v>
      </c>
    </row>
    <row r="23" spans="1:14">
      <c r="A23" s="161">
        <v>43783</v>
      </c>
      <c r="B23" s="169">
        <v>1.1912</v>
      </c>
      <c r="C23" s="167">
        <f>IFERROR(B23-B22,0)</f>
        <v>-4.9999999999998934E-3</v>
      </c>
      <c r="D23" s="168">
        <f>IF(C23&lt;0,C23,"/")</f>
        <v>-4.9999999999998934E-3</v>
      </c>
      <c r="E23" s="168">
        <f ca="1">IF(表2_3671626293034522[[#This Row],[累计净值]]/MAX(INDIRECT("B21:B" &amp; ROW()))-1&lt;E22,表2_3671626293034522[[#This Row],[累计净值]]/MAX(INDIRECT("B21:B" &amp; ROW()))-1,E22)</f>
        <v>-4.1799030262497094E-3</v>
      </c>
      <c r="F23" s="169">
        <f>表2_3671626293034522[[#This Row],[累计净值]]</f>
        <v>1.1912</v>
      </c>
      <c r="G23" s="170">
        <f>表2_3671626293034522[[#This Row],[累计净值]]/$B$21-1</f>
        <v>-4.1799030262497094E-3</v>
      </c>
    </row>
    <row r="24" spans="1:14">
      <c r="A24" s="161">
        <v>43784</v>
      </c>
      <c r="B24" s="162">
        <v>1.196</v>
      </c>
      <c r="C24" s="167">
        <f t="shared" ref="C24:C87" si="0">IFERROR(B24-B23,0)</f>
        <v>4.7999999999999154E-3</v>
      </c>
      <c r="D24" s="168" t="str">
        <f>IF(C24&lt;0,C24,"/")</f>
        <v>/</v>
      </c>
      <c r="E24" s="168">
        <f ca="1">IF(表2_3671626293034522[[#This Row],[累计净值]]/MAX(INDIRECT("B21:B" &amp; ROW()))-1&lt;E23,表2_3671626293034522[[#This Row],[累计净值]]/MAX(INDIRECT("B21:B" &amp; ROW()))-1,E23)</f>
        <v>-4.1799030262497094E-3</v>
      </c>
      <c r="F24" s="169">
        <f>表2_3671626293034522[[#This Row],[累计净值]]</f>
        <v>1.196</v>
      </c>
      <c r="G24" s="170">
        <f>表2_3671626293034522[[#This Row],[累计净值]]/$B$21-1</f>
        <v>-1.6719612104998394E-4</v>
      </c>
    </row>
    <row r="25" spans="1:14">
      <c r="A25" s="161">
        <v>43787</v>
      </c>
      <c r="B25" s="162">
        <v>1.1921999999999999</v>
      </c>
      <c r="C25" s="167">
        <f t="shared" si="0"/>
        <v>-3.8000000000000256E-3</v>
      </c>
      <c r="D25" s="168">
        <f>IF(C25&lt;0,C25,"/")</f>
        <v>-3.8000000000000256E-3</v>
      </c>
      <c r="E25" s="168">
        <f ca="1">IF(表2_3671626293034522[[#This Row],[累计净值]]/MAX(INDIRECT("B21:B" &amp; ROW()))-1&lt;E24,表2_3671626293034522[[#This Row],[累计净值]]/MAX(INDIRECT("B21:B" &amp; ROW()))-1,E24)</f>
        <v>-4.1799030262497094E-3</v>
      </c>
      <c r="F25" s="169">
        <f>表2_3671626293034522[[#This Row],[累计净值]]</f>
        <v>1.1921999999999999</v>
      </c>
      <c r="G25" s="170">
        <f>表2_3671626293034522[[#This Row],[累计净值]]/$B$21-1</f>
        <v>-3.3439224209997898E-3</v>
      </c>
    </row>
    <row r="26" spans="1:14">
      <c r="A26" s="161">
        <v>43788</v>
      </c>
      <c r="B26" s="162">
        <v>1.1972</v>
      </c>
      <c r="C26" s="171">
        <f t="shared" si="0"/>
        <v>5.0000000000001155E-3</v>
      </c>
      <c r="D26" s="168" t="str">
        <f t="shared" ref="D26:D89" si="1">IF(C26&lt;0,C26,"/")</f>
        <v>/</v>
      </c>
      <c r="E26" s="168">
        <f ca="1">IF(表2_3671626293034522[[#This Row],[累计净值]]/MAX(INDIRECT("B21:B" &amp; ROW()))-1&lt;E25,表2_3671626293034522[[#This Row],[累计净值]]/MAX(INDIRECT("B21:B" &amp; ROW()))-1,E25)</f>
        <v>-4.1799030262497094E-3</v>
      </c>
      <c r="F26" s="172">
        <f>表2_3671626293034522[[#This Row],[累计净值]]</f>
        <v>1.1972</v>
      </c>
      <c r="G26" s="170">
        <f>表2_3671626293034522[[#This Row],[累计净值]]/$B$21-1</f>
        <v>8.3598060525003071E-4</v>
      </c>
      <c r="J26" s="187"/>
      <c r="K26" s="188"/>
      <c r="L26" s="188"/>
      <c r="M26" s="188"/>
      <c r="N26" s="188"/>
    </row>
    <row r="27" spans="1:14">
      <c r="A27" s="161">
        <v>43789</v>
      </c>
      <c r="B27" s="189">
        <v>1.2014</v>
      </c>
      <c r="C27" s="171">
        <f t="shared" si="0"/>
        <v>4.1999999999999815E-3</v>
      </c>
      <c r="D27" s="168" t="str">
        <f t="shared" si="1"/>
        <v>/</v>
      </c>
      <c r="E27" s="168">
        <f ca="1">IF(表2_3671626293034522[[#This Row],[累计净值]]/MAX(INDIRECT("B21:B" &amp; ROW()))-1&lt;E26,表2_3671626293034522[[#This Row],[累计净值]]/MAX(INDIRECT("B21:B" &amp; ROW()))-1,E26)</f>
        <v>-4.1799030262497094E-3</v>
      </c>
      <c r="F27" s="172">
        <f>表2_3671626293034522[[#This Row],[累计净值]]</f>
        <v>1.2014</v>
      </c>
      <c r="G27" s="170">
        <f>表2_3671626293034522[[#This Row],[累计净值]]/$B$21-1</f>
        <v>4.3470991472998044E-3</v>
      </c>
      <c r="J27" s="187"/>
      <c r="K27" s="188"/>
      <c r="L27" s="188"/>
      <c r="M27" s="188"/>
      <c r="N27" s="188"/>
    </row>
    <row r="28" spans="1:14">
      <c r="A28" s="161">
        <v>43790</v>
      </c>
      <c r="B28" s="162">
        <v>1.1992</v>
      </c>
      <c r="C28" s="171">
        <f t="shared" si="0"/>
        <v>-2.1999999999999797E-3</v>
      </c>
      <c r="D28" s="168">
        <f t="shared" si="1"/>
        <v>-2.1999999999999797E-3</v>
      </c>
      <c r="E28" s="168">
        <f ca="1">IF(表2_3671626293034522[[#This Row],[累计净值]]/MAX(INDIRECT("B21:B" &amp; ROW()))-1&lt;E27,表2_3671626293034522[[#This Row],[累计净值]]/MAX(INDIRECT("B21:B" &amp; ROW()))-1,E27)</f>
        <v>-4.1799030262497094E-3</v>
      </c>
      <c r="F28" s="172">
        <f>表2_3671626293034522[[#This Row],[累计净值]]</f>
        <v>1.1992</v>
      </c>
      <c r="G28" s="170">
        <f>表2_3671626293034522[[#This Row],[累计净值]]/$B$21-1</f>
        <v>2.5079418157498701E-3</v>
      </c>
      <c r="J28" s="187"/>
      <c r="K28" s="188"/>
      <c r="L28" s="188"/>
      <c r="M28" s="188"/>
      <c r="N28" s="188"/>
    </row>
    <row r="29" spans="1:14">
      <c r="A29" s="161">
        <v>43791</v>
      </c>
      <c r="B29" s="162">
        <v>1.2028000000000001</v>
      </c>
      <c r="C29" s="171">
        <f t="shared" si="0"/>
        <v>3.6000000000000476E-3</v>
      </c>
      <c r="D29" s="168" t="str">
        <f t="shared" si="1"/>
        <v>/</v>
      </c>
      <c r="E29" s="168">
        <f ca="1">IF(表2_3671626293034522[[#This Row],[累计净值]]/MAX(INDIRECT("B21:B" &amp; ROW()))-1&lt;E28,表2_3671626293034522[[#This Row],[累计净值]]/MAX(INDIRECT("B21:B" &amp; ROW()))-1,E28)</f>
        <v>-4.1799030262497094E-3</v>
      </c>
      <c r="F29" s="172">
        <f>表2_3671626293034522[[#This Row],[累计净值]]</f>
        <v>1.2028000000000001</v>
      </c>
      <c r="G29" s="170">
        <f>表2_3671626293034522[[#This Row],[累计净值]]/$B$21-1</f>
        <v>5.517471994649803E-3</v>
      </c>
      <c r="J29" s="187"/>
      <c r="K29" s="188"/>
      <c r="L29" s="188"/>
      <c r="M29" s="188"/>
      <c r="N29" s="188"/>
    </row>
    <row r="30" spans="1:14">
      <c r="A30" s="161">
        <v>43794</v>
      </c>
      <c r="B30" s="162">
        <v>1.2021999999999999</v>
      </c>
      <c r="C30" s="171">
        <f t="shared" si="0"/>
        <v>-6.0000000000015596E-4</v>
      </c>
      <c r="D30" s="168">
        <f t="shared" si="1"/>
        <v>-6.0000000000015596E-4</v>
      </c>
      <c r="E30" s="168">
        <f ca="1">IF(表2_3671626293034522[[#This Row],[累计净值]]/MAX(INDIRECT("B21:B" &amp; ROW()))-1&lt;E29,表2_3671626293034522[[#This Row],[累计净值]]/MAX(INDIRECT("B21:B" &amp; ROW()))-1,E29)</f>
        <v>-4.1799030262497094E-3</v>
      </c>
      <c r="F30" s="172">
        <f>表2_3671626293034522[[#This Row],[累计净值]]</f>
        <v>1.2021999999999999</v>
      </c>
      <c r="G30" s="170">
        <f>表2_3671626293034522[[#This Row],[累计净值]]/$B$21-1</f>
        <v>5.0158836314997401E-3</v>
      </c>
      <c r="J30" s="187"/>
      <c r="K30" s="188"/>
      <c r="L30" s="188"/>
      <c r="M30" s="188"/>
      <c r="N30" s="188"/>
    </row>
    <row r="31" spans="1:14">
      <c r="A31" s="161">
        <v>43795</v>
      </c>
      <c r="B31" s="162">
        <v>1.2044999999999999</v>
      </c>
      <c r="C31" s="171">
        <f t="shared" si="0"/>
        <v>2.2999999999999687E-3</v>
      </c>
      <c r="D31" s="168" t="str">
        <f t="shared" si="1"/>
        <v>/</v>
      </c>
      <c r="E31" s="168">
        <f ca="1">IF(表2_3671626293034522[[#This Row],[累计净值]]/MAX(INDIRECT("B21:B" &amp; ROW()))-1&lt;E30,表2_3671626293034522[[#This Row],[累计净值]]/MAX(INDIRECT("B21:B" &amp; ROW()))-1,E30)</f>
        <v>-4.1799030262497094E-3</v>
      </c>
      <c r="F31" s="172">
        <f>表2_3671626293034522[[#This Row],[累计净值]]</f>
        <v>1.2044999999999999</v>
      </c>
      <c r="G31" s="170">
        <f>表2_3671626293034522[[#This Row],[累计净值]]/$B$21-1</f>
        <v>6.9386390235746109E-3</v>
      </c>
      <c r="J31" s="187"/>
      <c r="K31" s="188"/>
      <c r="L31" s="188"/>
      <c r="M31" s="188"/>
      <c r="N31" s="188"/>
    </row>
    <row r="32" spans="1:14">
      <c r="A32" s="161">
        <v>43796</v>
      </c>
      <c r="B32" s="162">
        <v>1.2031000000000001</v>
      </c>
      <c r="C32" s="171">
        <f t="shared" si="0"/>
        <v>-1.3999999999998458E-3</v>
      </c>
      <c r="D32" s="168">
        <f t="shared" si="1"/>
        <v>-1.3999999999998458E-3</v>
      </c>
      <c r="E32" s="168">
        <f ca="1">IF(表2_3671626293034522[[#This Row],[累计净值]]/MAX(INDIRECT("B21:B" &amp; ROW()))-1&lt;E31,表2_3671626293034522[[#This Row],[累计净值]]/MAX(INDIRECT("B21:B" &amp; ROW()))-1,E31)</f>
        <v>-4.1799030262497094E-3</v>
      </c>
      <c r="F32" s="172">
        <f>表2_3671626293034522[[#This Row],[累计净值]]</f>
        <v>1.2031000000000001</v>
      </c>
      <c r="G32" s="170">
        <f>表2_3671626293034522[[#This Row],[累计净值]]/$B$21-1</f>
        <v>5.7682661762248344E-3</v>
      </c>
      <c r="J32" s="187"/>
      <c r="K32" s="188"/>
      <c r="L32" s="188"/>
      <c r="M32" s="188"/>
      <c r="N32" s="188"/>
    </row>
    <row r="33" spans="1:14">
      <c r="A33" s="161">
        <v>43797</v>
      </c>
      <c r="B33" s="162">
        <v>1.2036</v>
      </c>
      <c r="C33" s="171">
        <f t="shared" si="0"/>
        <v>4.9999999999994493E-4</v>
      </c>
      <c r="D33" s="168" t="str">
        <f t="shared" si="1"/>
        <v>/</v>
      </c>
      <c r="E33" s="168">
        <f ca="1">IF(表2_3671626293034522[[#This Row],[累计净值]]/MAX(INDIRECT("B21:B" &amp; ROW()))-1&lt;E32,表2_3671626293034522[[#This Row],[累计净值]]/MAX(INDIRECT("B21:B" &amp; ROW()))-1,E32)</f>
        <v>-4.1799030262497094E-3</v>
      </c>
      <c r="F33" s="172">
        <f>表2_3671626293034522[[#This Row],[累计净值]]</f>
        <v>1.2036</v>
      </c>
      <c r="G33" s="170">
        <f>表2_3671626293034522[[#This Row],[累计净值]]/$B$21-1</f>
        <v>6.1862564788497387E-3</v>
      </c>
      <c r="J33" s="187"/>
      <c r="K33" s="188"/>
      <c r="L33" s="188"/>
      <c r="M33" s="188"/>
      <c r="N33" s="188"/>
    </row>
    <row r="34" spans="1:14">
      <c r="A34" s="161">
        <v>43798</v>
      </c>
      <c r="B34" s="162">
        <v>1.2087000000000001</v>
      </c>
      <c r="C34" s="171">
        <f t="shared" si="0"/>
        <v>5.1000000000001044E-3</v>
      </c>
      <c r="D34" s="168" t="str">
        <f t="shared" si="1"/>
        <v>/</v>
      </c>
      <c r="E34" s="168">
        <f ca="1">IF(表2_3671626293034522[[#This Row],[累计净值]]/MAX(INDIRECT("B21:B" &amp; ROW()))-1&lt;E33,表2_3671626293034522[[#This Row],[累计净值]]/MAX(INDIRECT("B21:B" &amp; ROW()))-1,E33)</f>
        <v>-4.1799030262497094E-3</v>
      </c>
      <c r="F34" s="172">
        <f>表2_3671626293034522[[#This Row],[累计净值]]</f>
        <v>1.2087000000000001</v>
      </c>
      <c r="G34" s="170">
        <f>表2_3671626293034522[[#This Row],[累计净值]]/$B$21-1</f>
        <v>1.0449757565624607E-2</v>
      </c>
      <c r="J34" s="187"/>
      <c r="K34" s="188"/>
      <c r="L34" s="188"/>
      <c r="M34" s="188"/>
      <c r="N34" s="188"/>
    </row>
    <row r="35" spans="1:14">
      <c r="A35" s="161">
        <v>43801</v>
      </c>
      <c r="B35" s="162">
        <v>1.1996</v>
      </c>
      <c r="C35" s="171">
        <f t="shared" si="0"/>
        <v>-9.100000000000108E-3</v>
      </c>
      <c r="D35" s="168">
        <f t="shared" si="1"/>
        <v>-9.100000000000108E-3</v>
      </c>
      <c r="E35" s="168">
        <f ca="1">IF(表2_3671626293034522[[#This Row],[累计净值]]/MAX(INDIRECT("B21:B" &amp; ROW()))-1&lt;E34,表2_3671626293034522[[#This Row],[累计净值]]/MAX(INDIRECT("B21:B" &amp; ROW()))-1,E34)</f>
        <v>-7.5287498965831423E-3</v>
      </c>
      <c r="F35" s="172">
        <f>表2_3671626293034522[[#This Row],[累计净值]]</f>
        <v>1.1996</v>
      </c>
      <c r="G35" s="170">
        <f>表2_3671626293034522[[#This Row],[累计净值]]/$B$21-1</f>
        <v>2.8423340578498379E-3</v>
      </c>
      <c r="J35" s="187"/>
      <c r="K35" s="188"/>
      <c r="L35" s="188"/>
      <c r="M35" s="188"/>
      <c r="N35" s="188"/>
    </row>
    <row r="36" spans="1:14">
      <c r="A36" s="161">
        <v>43802</v>
      </c>
      <c r="B36" s="162">
        <v>1.2012</v>
      </c>
      <c r="C36" s="171">
        <f t="shared" si="0"/>
        <v>1.6000000000000458E-3</v>
      </c>
      <c r="D36" s="168" t="str">
        <f t="shared" si="1"/>
        <v>/</v>
      </c>
      <c r="E36" s="168">
        <f ca="1">IF(表2_3671626293034522[[#This Row],[累计净值]]/MAX(INDIRECT("B21:B" &amp; ROW()))-1&lt;E35,表2_3671626293034522[[#This Row],[累计净值]]/MAX(INDIRECT("B21:B" &amp; ROW()))-1,E35)</f>
        <v>-7.5287498965831423E-3</v>
      </c>
      <c r="F36" s="172">
        <f>表2_3671626293034522[[#This Row],[累计净值]]</f>
        <v>1.2012</v>
      </c>
      <c r="G36" s="170">
        <f>表2_3671626293034522[[#This Row],[累计净值]]/$B$21-1</f>
        <v>4.1799030262499315E-3</v>
      </c>
      <c r="J36" s="187"/>
      <c r="K36" s="188"/>
      <c r="L36" s="188"/>
      <c r="M36" s="188"/>
      <c r="N36" s="188"/>
    </row>
    <row r="37" spans="1:14">
      <c r="A37" s="161">
        <v>43803</v>
      </c>
      <c r="B37" s="162">
        <v>1.1994</v>
      </c>
      <c r="C37" s="171">
        <f t="shared" si="0"/>
        <v>-1.8000000000000238E-3</v>
      </c>
      <c r="D37" s="168">
        <f t="shared" si="1"/>
        <v>-1.8000000000000238E-3</v>
      </c>
      <c r="E37" s="168">
        <f ca="1">IF(表2_3671626293034522[[#This Row],[累计净值]]/MAX(INDIRECT("B21:B" &amp; ROW()))-1&lt;E36,表2_3671626293034522[[#This Row],[累计净值]]/MAX(INDIRECT("B21:B" &amp; ROW()))-1,E36)</f>
        <v>-7.694216927277342E-3</v>
      </c>
      <c r="F37" s="172">
        <f>表2_3671626293034522[[#This Row],[累计净值]]</f>
        <v>1.1994</v>
      </c>
      <c r="G37" s="170">
        <f>表2_3671626293034522[[#This Row],[累计净值]]/$B$21-1</f>
        <v>2.675137936799965E-3</v>
      </c>
      <c r="J37" s="187"/>
      <c r="K37" s="188"/>
      <c r="L37" s="188"/>
      <c r="M37" s="188"/>
      <c r="N37" s="188"/>
    </row>
    <row r="38" spans="1:14">
      <c r="A38" s="161">
        <v>43804</v>
      </c>
      <c r="B38" s="162">
        <v>1.1962999999999999</v>
      </c>
      <c r="C38" s="171">
        <f t="shared" si="0"/>
        <v>-3.1000000000001027E-3</v>
      </c>
      <c r="D38" s="168">
        <f t="shared" si="1"/>
        <v>-3.1000000000001027E-3</v>
      </c>
      <c r="E38" s="168">
        <f ca="1">IF(表2_3671626293034522[[#This Row],[累计净值]]/MAX(INDIRECT("B21:B" &amp; ROW()))-1&lt;E37,表2_3671626293034522[[#This Row],[累计净值]]/MAX(INDIRECT("B21:B" &amp; ROW()))-1,E37)</f>
        <v>-1.0258955903036493E-2</v>
      </c>
      <c r="F38" s="172">
        <f>表2_3671626293034522[[#This Row],[累计净值]]</f>
        <v>1.1962999999999999</v>
      </c>
      <c r="G38" s="170">
        <f>表2_3671626293034522[[#This Row],[累计净值]]/$B$21-1</f>
        <v>8.3598060524936457E-5</v>
      </c>
      <c r="J38" s="187"/>
      <c r="K38" s="188"/>
      <c r="L38" s="188"/>
      <c r="M38" s="188"/>
      <c r="N38" s="188"/>
    </row>
    <row r="39" spans="1:14">
      <c r="A39" s="161">
        <v>43805</v>
      </c>
      <c r="B39" s="162">
        <v>1.1924999999999999</v>
      </c>
      <c r="C39" s="171">
        <f t="shared" si="0"/>
        <v>-3.8000000000000256E-3</v>
      </c>
      <c r="D39" s="168">
        <f t="shared" si="1"/>
        <v>-3.8000000000000256E-3</v>
      </c>
      <c r="E39" s="168">
        <f ca="1">IF(表2_3671626293034522[[#This Row],[累计净值]]/MAX(INDIRECT("B21:B" &amp; ROW()))-1&lt;E38,表2_3671626293034522[[#This Row],[累计净值]]/MAX(INDIRECT("B21:B" &amp; ROW()))-1,E38)</f>
        <v>-1.3402829486225065E-2</v>
      </c>
      <c r="F39" s="172">
        <f>表2_3671626293034522[[#This Row],[累计净值]]</f>
        <v>1.1924999999999999</v>
      </c>
      <c r="G39" s="170">
        <f>表2_3671626293034522[[#This Row],[累计净值]]/$B$21-1</f>
        <v>-3.0931282394248694E-3</v>
      </c>
      <c r="J39" s="187"/>
      <c r="K39" s="188"/>
      <c r="L39" s="188"/>
      <c r="M39" s="188"/>
      <c r="N39" s="188"/>
    </row>
    <row r="40" spans="1:14">
      <c r="A40" s="161">
        <v>43808</v>
      </c>
      <c r="B40" s="162">
        <v>1.1928000000000001</v>
      </c>
      <c r="C40" s="171">
        <f t="shared" si="0"/>
        <v>3.00000000000189E-4</v>
      </c>
      <c r="D40" s="168" t="str">
        <f t="shared" si="1"/>
        <v>/</v>
      </c>
      <c r="E40" s="168">
        <f ca="1">IF(表2_3671626293034522[[#This Row],[累计净值]]/MAX(INDIRECT("B21:B" &amp; ROW()))-1&lt;E39,表2_3671626293034522[[#This Row],[累计净值]]/MAX(INDIRECT("B21:B" &amp; ROW()))-1,E39)</f>
        <v>-1.3402829486225065E-2</v>
      </c>
      <c r="F40" s="172">
        <f>表2_3671626293034522[[#This Row],[累计净值]]</f>
        <v>1.1928000000000001</v>
      </c>
      <c r="G40" s="170">
        <f>表2_3671626293034522[[#This Row],[累计净值]]/$B$21-1</f>
        <v>-2.8423340578497269E-3</v>
      </c>
      <c r="J40" s="187"/>
      <c r="K40" s="188"/>
      <c r="L40" s="188"/>
      <c r="M40" s="188"/>
      <c r="N40" s="188"/>
    </row>
    <row r="41" spans="1:14">
      <c r="A41" s="161">
        <v>43809</v>
      </c>
      <c r="B41" s="162">
        <v>1.1875</v>
      </c>
      <c r="C41" s="171">
        <f t="shared" si="0"/>
        <v>-5.3000000000000824E-3</v>
      </c>
      <c r="D41" s="168">
        <f t="shared" si="1"/>
        <v>-5.3000000000000824E-3</v>
      </c>
      <c r="E41" s="168">
        <f ca="1">IF(表2_3671626293034522[[#This Row],[累计净值]]/MAX(INDIRECT("B21:B" &amp; ROW()))-1&lt;E40,表2_3671626293034522[[#This Row],[累计净值]]/MAX(INDIRECT("B21:B" &amp; ROW()))-1,E40)</f>
        <v>-1.753950525357828E-2</v>
      </c>
      <c r="F41" s="172">
        <f>表2_3671626293034522[[#This Row],[累计净值]]</f>
        <v>1.1875</v>
      </c>
      <c r="G41" s="170">
        <f>表2_3671626293034522[[#This Row],[累计净值]]/$B$21-1</f>
        <v>-7.2730312656745788E-3</v>
      </c>
      <c r="J41" s="187"/>
      <c r="K41" s="188"/>
      <c r="L41" s="188"/>
      <c r="M41" s="188"/>
      <c r="N41" s="188"/>
    </row>
    <row r="42" spans="1:14">
      <c r="A42" s="161">
        <v>43810</v>
      </c>
      <c r="B42" s="162">
        <v>1.1827000000000001</v>
      </c>
      <c r="C42" s="171">
        <f t="shared" si="0"/>
        <v>-4.7999999999999154E-3</v>
      </c>
      <c r="D42" s="168">
        <f t="shared" si="1"/>
        <v>-4.7999999999999154E-3</v>
      </c>
      <c r="E42" s="168">
        <f ca="1">IF(表2_3671626293034522[[#This Row],[累计净值]]/MAX(INDIRECT("B21:B" &amp; ROW()))-1&lt;E41,表2_3671626293034522[[#This Row],[累计净值]]/MAX(INDIRECT("B21:B" &amp; ROW()))-1,E41)</f>
        <v>-2.1510713990237518E-2</v>
      </c>
      <c r="F42" s="172">
        <f>表2_3671626293034522[[#This Row],[累计净值]]</f>
        <v>1.1827000000000001</v>
      </c>
      <c r="G42" s="170">
        <f>表2_3671626293034522[[#This Row],[累计净值]]/$B$21-1</f>
        <v>-1.1285738170874304E-2</v>
      </c>
      <c r="J42" s="187"/>
      <c r="K42" s="188"/>
      <c r="L42" s="188"/>
      <c r="M42" s="188"/>
      <c r="N42" s="188"/>
    </row>
    <row r="43" spans="1:14">
      <c r="A43" s="161">
        <v>43811</v>
      </c>
      <c r="B43" s="162">
        <v>1.1843999999999999</v>
      </c>
      <c r="C43" s="171">
        <f t="shared" si="0"/>
        <v>1.6999999999998128E-3</v>
      </c>
      <c r="D43" s="168" t="str">
        <f t="shared" si="1"/>
        <v>/</v>
      </c>
      <c r="E43" s="168">
        <f ca="1">IF(表2_3671626293034522[[#This Row],[累计净值]]/MAX(INDIRECT("B21:B" &amp; ROW()))-1&lt;E42,表2_3671626293034522[[#This Row],[累计净值]]/MAX(INDIRECT("B21:B" &amp; ROW()))-1,E42)</f>
        <v>-2.1510713990237518E-2</v>
      </c>
      <c r="F43" s="172">
        <f>表2_3671626293034522[[#This Row],[累计净值]]</f>
        <v>1.1843999999999999</v>
      </c>
      <c r="G43" s="170">
        <f>表2_3671626293034522[[#This Row],[累计净值]]/$B$21-1</f>
        <v>-9.8645711419494964E-3</v>
      </c>
      <c r="J43" s="187"/>
      <c r="K43" s="188"/>
      <c r="L43" s="188"/>
      <c r="M43" s="188"/>
      <c r="N43" s="188"/>
    </row>
    <row r="44" spans="1:14">
      <c r="A44" s="161">
        <v>43812</v>
      </c>
      <c r="B44" s="162">
        <v>1.1776</v>
      </c>
      <c r="C44" s="171">
        <f t="shared" si="0"/>
        <v>-6.7999999999999172E-3</v>
      </c>
      <c r="D44" s="168">
        <f t="shared" si="1"/>
        <v>-6.7999999999999172E-3</v>
      </c>
      <c r="E44" s="168">
        <f ca="1">IF(表2_3671626293034522[[#This Row],[累计净值]]/MAX(INDIRECT("B21:B" &amp; ROW()))-1&lt;E43,表2_3671626293034522[[#This Row],[累计净值]]/MAX(INDIRECT("B21:B" &amp; ROW()))-1,E43)</f>
        <v>-2.5730123272937999E-2</v>
      </c>
      <c r="F44" s="172">
        <f>表2_3671626293034522[[#This Row],[累计净值]]</f>
        <v>1.1776</v>
      </c>
      <c r="G44" s="170">
        <f>表2_3671626293034522[[#This Row],[累计净值]]/$B$21-1</f>
        <v>-1.5549239257649172E-2</v>
      </c>
      <c r="J44" s="187"/>
      <c r="K44" s="188"/>
      <c r="L44" s="188"/>
      <c r="M44" s="188"/>
      <c r="N44" s="188"/>
    </row>
    <row r="45" spans="1:14">
      <c r="A45" s="161">
        <v>43815</v>
      </c>
      <c r="B45" s="162">
        <v>1.1777</v>
      </c>
      <c r="C45" s="171">
        <f t="shared" si="0"/>
        <v>9.9999999999988987E-5</v>
      </c>
      <c r="D45" s="168" t="str">
        <f t="shared" si="1"/>
        <v>/</v>
      </c>
      <c r="E45" s="168">
        <f ca="1">IF(表2_3671626293034522[[#This Row],[累计净值]]/MAX(INDIRECT("B21:B" &amp; ROW()))-1&lt;E44,表2_3671626293034522[[#This Row],[累计净值]]/MAX(INDIRECT("B21:B" &amp; ROW()))-1,E44)</f>
        <v>-2.5730123272937999E-2</v>
      </c>
      <c r="F45" s="172">
        <f>表2_3671626293034522[[#This Row],[累计净值]]</f>
        <v>1.1777</v>
      </c>
      <c r="G45" s="170">
        <f>表2_3671626293034522[[#This Row],[累计净值]]/$B$21-1</f>
        <v>-1.5465641197124236E-2</v>
      </c>
      <c r="J45" s="187"/>
      <c r="K45" s="188"/>
      <c r="L45" s="188"/>
      <c r="M45" s="188"/>
      <c r="N45" s="188"/>
    </row>
    <row r="46" spans="1:14">
      <c r="A46" s="161">
        <v>43816</v>
      </c>
      <c r="B46" s="162">
        <v>1.1778</v>
      </c>
      <c r="C46" s="171">
        <f t="shared" si="0"/>
        <v>9.9999999999988987E-5</v>
      </c>
      <c r="D46" s="168" t="str">
        <f t="shared" si="1"/>
        <v>/</v>
      </c>
      <c r="E46" s="168">
        <f ca="1">IF(表2_3671626293034522[[#This Row],[累计净值]]/MAX(INDIRECT("B21:B" &amp; ROW()))-1&lt;E45,表2_3671626293034522[[#This Row],[累计净值]]/MAX(INDIRECT("B21:B" &amp; ROW()))-1,E45)</f>
        <v>-2.5730123272937999E-2</v>
      </c>
      <c r="F46" s="172">
        <f>表2_3671626293034522[[#This Row],[累计净值]]</f>
        <v>1.1778</v>
      </c>
      <c r="G46" s="170">
        <f>表2_3671626293034522[[#This Row],[累计净值]]/$B$21-1</f>
        <v>-1.5382043136599188E-2</v>
      </c>
      <c r="J46" s="187"/>
      <c r="K46" s="188"/>
      <c r="L46" s="188"/>
      <c r="M46" s="188"/>
      <c r="N46" s="188"/>
    </row>
    <row r="47" spans="1:14">
      <c r="A47" s="161">
        <v>43817</v>
      </c>
      <c r="B47" s="162">
        <v>1.1767000000000001</v>
      </c>
      <c r="C47" s="171">
        <f t="shared" si="0"/>
        <v>-1.0999999999998789E-3</v>
      </c>
      <c r="D47" s="168">
        <f t="shared" si="1"/>
        <v>-1.0999999999998789E-3</v>
      </c>
      <c r="E47" s="168">
        <f ca="1">IF(表2_3671626293034522[[#This Row],[累计净值]]/MAX(INDIRECT("B21:B" &amp; ROW()))-1&lt;E46,表2_3671626293034522[[#This Row],[累计净值]]/MAX(INDIRECT("B21:B" &amp; ROW()))-1,E46)</f>
        <v>-2.6474724911061509E-2</v>
      </c>
      <c r="F47" s="172">
        <f>表2_3671626293034522[[#This Row],[累计净值]]</f>
        <v>1.1767000000000001</v>
      </c>
      <c r="G47" s="170">
        <f>表2_3671626293034522[[#This Row],[累计净值]]/$B$21-1</f>
        <v>-1.6301621802374044E-2</v>
      </c>
      <c r="J47" s="187"/>
      <c r="K47" s="188"/>
      <c r="L47" s="188"/>
      <c r="M47" s="188"/>
      <c r="N47" s="188"/>
    </row>
    <row r="48" spans="1:14">
      <c r="A48" s="161">
        <v>43818</v>
      </c>
      <c r="B48" s="162">
        <v>1.1761999999999999</v>
      </c>
      <c r="C48" s="171">
        <f t="shared" si="0"/>
        <v>-5.0000000000016698E-4</v>
      </c>
      <c r="D48" s="168">
        <f t="shared" si="1"/>
        <v>-5.0000000000016698E-4</v>
      </c>
      <c r="E48" s="168">
        <f ca="1">IF(表2_3671626293034522[[#This Row],[累计净值]]/MAX(INDIRECT("B21:B" &amp; ROW()))-1&lt;E47,表2_3671626293034522[[#This Row],[累计净值]]/MAX(INDIRECT("B21:B" &amp; ROW()))-1,E47)</f>
        <v>-2.6888392487796953E-2</v>
      </c>
      <c r="F48" s="172">
        <f>表2_3671626293034522[[#This Row],[累计净值]]</f>
        <v>1.1761999999999999</v>
      </c>
      <c r="G48" s="170">
        <f>表2_3671626293034522[[#This Row],[累计净值]]/$B$21-1</f>
        <v>-1.6719612104999171E-2</v>
      </c>
      <c r="J48" s="187"/>
      <c r="K48" s="188"/>
      <c r="L48" s="188"/>
      <c r="M48" s="188"/>
      <c r="N48" s="188"/>
    </row>
    <row r="49" spans="1:14">
      <c r="A49" s="161">
        <v>43819</v>
      </c>
      <c r="B49" s="162">
        <v>1.179</v>
      </c>
      <c r="C49" s="171">
        <f t="shared" si="0"/>
        <v>2.8000000000001357E-3</v>
      </c>
      <c r="D49" s="168" t="str">
        <f t="shared" si="1"/>
        <v>/</v>
      </c>
      <c r="E49" s="168">
        <f ca="1">IF(表2_3671626293034522[[#This Row],[累计净值]]/MAX(INDIRECT("B21:B" &amp; ROW()))-1&lt;E48,表2_3671626293034522[[#This Row],[累计净值]]/MAX(INDIRECT("B21:B" &amp; ROW()))-1,E48)</f>
        <v>-2.6888392487796953E-2</v>
      </c>
      <c r="F49" s="172">
        <f>表2_3671626293034522[[#This Row],[累计净值]]</f>
        <v>1.179</v>
      </c>
      <c r="G49" s="170">
        <f>表2_3671626293034522[[#This Row],[累计净值]]/$B$21-1</f>
        <v>-1.4378866410299174E-2</v>
      </c>
      <c r="J49" s="187"/>
      <c r="K49" s="188"/>
      <c r="L49" s="188"/>
      <c r="M49" s="188"/>
      <c r="N49" s="188"/>
    </row>
    <row r="50" spans="1:14">
      <c r="A50" s="161">
        <v>43822</v>
      </c>
      <c r="B50" s="162">
        <v>1.1828000000000001</v>
      </c>
      <c r="C50" s="171">
        <f t="shared" si="0"/>
        <v>3.8000000000000256E-3</v>
      </c>
      <c r="D50" s="168" t="str">
        <f t="shared" si="1"/>
        <v>/</v>
      </c>
      <c r="E50" s="168">
        <f ca="1">IF(表2_3671626293034522[[#This Row],[累计净值]]/MAX(INDIRECT("B21:B" &amp; ROW()))-1&lt;E49,表2_3671626293034522[[#This Row],[累计净值]]/MAX(INDIRECT("B21:B" &amp; ROW()))-1,E49)</f>
        <v>-2.6888392487796953E-2</v>
      </c>
      <c r="F50" s="172">
        <f>表2_3671626293034522[[#This Row],[累计净值]]</f>
        <v>1.1828000000000001</v>
      </c>
      <c r="G50" s="170">
        <f>表2_3671626293034522[[#This Row],[累计净值]]/$B$21-1</f>
        <v>-1.1202140110349368E-2</v>
      </c>
      <c r="J50" s="187"/>
      <c r="K50" s="188"/>
      <c r="L50" s="188"/>
      <c r="M50" s="188"/>
      <c r="N50" s="188"/>
    </row>
    <row r="51" spans="1:14">
      <c r="A51" s="161">
        <v>43823</v>
      </c>
      <c r="B51" s="162">
        <v>1.1860999999999999</v>
      </c>
      <c r="C51" s="171">
        <f t="shared" si="0"/>
        <v>3.2999999999998586E-3</v>
      </c>
      <c r="D51" s="168" t="str">
        <f t="shared" si="1"/>
        <v>/</v>
      </c>
      <c r="E51" s="168">
        <f ca="1">IF(表2_3671626293034522[[#This Row],[累计净值]]/MAX(INDIRECT("B21:B" &amp; ROW()))-1&lt;E50,表2_3671626293034522[[#This Row],[累计净值]]/MAX(INDIRECT("B21:B" &amp; ROW()))-1,E50)</f>
        <v>-2.6888392487796953E-2</v>
      </c>
      <c r="F51" s="172">
        <f>表2_3671626293034522[[#This Row],[累计净值]]</f>
        <v>1.1860999999999999</v>
      </c>
      <c r="G51" s="170">
        <f>表2_3671626293034522[[#This Row],[累计净值]]/$B$21-1</f>
        <v>-8.4434041130245774E-3</v>
      </c>
      <c r="J51" s="187"/>
      <c r="K51" s="188"/>
      <c r="L51" s="188"/>
      <c r="M51" s="188"/>
      <c r="N51" s="188"/>
    </row>
    <row r="52" spans="1:14">
      <c r="A52" s="161">
        <v>43824</v>
      </c>
      <c r="B52" s="162">
        <v>1.1855</v>
      </c>
      <c r="C52" s="171">
        <f t="shared" si="0"/>
        <v>-5.9999999999993392E-4</v>
      </c>
      <c r="D52" s="168">
        <f t="shared" si="1"/>
        <v>-5.9999999999993392E-4</v>
      </c>
      <c r="E52" s="168">
        <f ca="1">IF(表2_3671626293034522[[#This Row],[累计净值]]/MAX(INDIRECT("B21:B" &amp; ROW()))-1&lt;E51,表2_3671626293034522[[#This Row],[累计净值]]/MAX(INDIRECT("B21:B" &amp; ROW()))-1,E51)</f>
        <v>-2.6888392487796953E-2</v>
      </c>
      <c r="F52" s="172">
        <f>表2_3671626293034522[[#This Row],[累计净值]]</f>
        <v>1.1855</v>
      </c>
      <c r="G52" s="170">
        <f>表2_3671626293034522[[#This Row],[累计净值]]/$B$21-1</f>
        <v>-8.9449924761745292E-3</v>
      </c>
      <c r="J52" s="187"/>
      <c r="K52" s="188"/>
      <c r="L52" s="188"/>
      <c r="M52" s="188"/>
      <c r="N52" s="188"/>
    </row>
    <row r="53" spans="1:14">
      <c r="A53" s="161">
        <v>43825</v>
      </c>
      <c r="B53" s="162">
        <v>1.1831</v>
      </c>
      <c r="C53" s="171">
        <f t="shared" si="0"/>
        <v>-2.3999999999999577E-3</v>
      </c>
      <c r="D53" s="168">
        <f t="shared" si="1"/>
        <v>-2.3999999999999577E-3</v>
      </c>
      <c r="E53" s="168">
        <f ca="1">IF(表2_3671626293034522[[#This Row],[累计净值]]/MAX(INDIRECT("B21:B" &amp; ROW()))-1&lt;E52,表2_3671626293034522[[#This Row],[累计净值]]/MAX(INDIRECT("B21:B" &amp; ROW()))-1,E52)</f>
        <v>-2.6888392487796953E-2</v>
      </c>
      <c r="F53" s="172">
        <f>表2_3671626293034522[[#This Row],[累计净值]]</f>
        <v>1.1831</v>
      </c>
      <c r="G53" s="170">
        <f>表2_3671626293034522[[#This Row],[累计净值]]/$B$21-1</f>
        <v>-1.0951345928774336E-2</v>
      </c>
      <c r="J53" s="187"/>
      <c r="K53" s="188"/>
      <c r="L53" s="188"/>
      <c r="M53" s="188"/>
      <c r="N53" s="188"/>
    </row>
    <row r="54" spans="1:14">
      <c r="A54" s="161">
        <v>43826</v>
      </c>
      <c r="B54" s="162">
        <v>1.1812</v>
      </c>
      <c r="C54" s="171">
        <f t="shared" si="0"/>
        <v>-1.9000000000000128E-3</v>
      </c>
      <c r="D54" s="168">
        <f t="shared" si="1"/>
        <v>-1.9000000000000128E-3</v>
      </c>
      <c r="E54" s="168">
        <f ca="1">IF(表2_3671626293034522[[#This Row],[累计净值]]/MAX(INDIRECT("B21:B" &amp; ROW()))-1&lt;E53,表2_3671626293034522[[#This Row],[累计净值]]/MAX(INDIRECT("B21:B" &amp; ROW()))-1,E53)</f>
        <v>-2.6888392487796953E-2</v>
      </c>
      <c r="F54" s="172">
        <f>表2_3671626293034522[[#This Row],[累计净值]]</f>
        <v>1.1812</v>
      </c>
      <c r="G54" s="170">
        <f>表2_3671626293034522[[#This Row],[累计净值]]/$B$21-1</f>
        <v>-1.2539709078749239E-2</v>
      </c>
      <c r="J54" s="187"/>
      <c r="K54" s="188"/>
      <c r="L54" s="188"/>
      <c r="M54" s="188"/>
      <c r="N54" s="188"/>
    </row>
    <row r="55" spans="1:14">
      <c r="A55" s="161">
        <v>43829</v>
      </c>
      <c r="B55" s="162">
        <v>1.1851</v>
      </c>
      <c r="C55" s="171">
        <f t="shared" si="0"/>
        <v>3.9000000000000146E-3</v>
      </c>
      <c r="D55" s="168" t="str">
        <f t="shared" si="1"/>
        <v>/</v>
      </c>
      <c r="E55" s="168">
        <f ca="1">IF(表2_3671626293034522[[#This Row],[累计净值]]/MAX(INDIRECT("B21:B" &amp; ROW()))-1&lt;E54,表2_3671626293034522[[#This Row],[累计净值]]/MAX(INDIRECT("B21:B" &amp; ROW()))-1,E54)</f>
        <v>-2.6888392487796953E-2</v>
      </c>
      <c r="F55" s="172">
        <f>表2_3671626293034522[[#This Row],[累计净值]]</f>
        <v>1.1851</v>
      </c>
      <c r="G55" s="170">
        <f>表2_3671626293034522[[#This Row],[累计净值]]/$B$21-1</f>
        <v>-9.2793847182744971E-3</v>
      </c>
      <c r="J55" s="187"/>
      <c r="K55" s="188"/>
      <c r="L55" s="188"/>
      <c r="M55" s="188"/>
      <c r="N55" s="188"/>
    </row>
    <row r="56" spans="1:14">
      <c r="A56" s="161">
        <v>43830</v>
      </c>
      <c r="B56" s="162">
        <v>1.1888000000000001</v>
      </c>
      <c r="C56" s="171">
        <f t="shared" si="0"/>
        <v>3.7000000000000366E-3</v>
      </c>
      <c r="D56" s="168" t="str">
        <f t="shared" si="1"/>
        <v>/</v>
      </c>
      <c r="E56" s="168">
        <f ca="1">IF(表2_3671626293034522[[#This Row],[累计净值]]/MAX(INDIRECT("B21:B" &amp; ROW()))-1&lt;E55,表2_3671626293034522[[#This Row],[累计净值]]/MAX(INDIRECT("B21:B" &amp; ROW()))-1,E55)</f>
        <v>-2.6888392487796953E-2</v>
      </c>
      <c r="F56" s="172">
        <f>表2_3671626293034522[[#This Row],[累计净值]]</f>
        <v>1.1888000000000001</v>
      </c>
      <c r="G56" s="170">
        <f>表2_3671626293034522[[#This Row],[累计净值]]/$B$21-1</f>
        <v>-6.1862564788495167E-3</v>
      </c>
      <c r="J56" s="187"/>
      <c r="K56" s="188"/>
      <c r="L56" s="188"/>
      <c r="M56" s="188"/>
      <c r="N56" s="188"/>
    </row>
    <row r="57" spans="1:14">
      <c r="A57" s="161">
        <v>43832</v>
      </c>
      <c r="B57" s="162">
        <v>1.1933</v>
      </c>
      <c r="C57" s="171">
        <f t="shared" si="0"/>
        <v>4.4999999999999485E-3</v>
      </c>
      <c r="D57" s="168" t="str">
        <f t="shared" si="1"/>
        <v>/</v>
      </c>
      <c r="E57" s="168">
        <f ca="1">IF(表2_3671626293034522[[#This Row],[累计净值]]/MAX(INDIRECT("B21:B" &amp; ROW()))-1&lt;E56,表2_3671626293034522[[#This Row],[累计净值]]/MAX(INDIRECT("B21:B" &amp; ROW()))-1,E56)</f>
        <v>-2.6888392487796953E-2</v>
      </c>
      <c r="F57" s="172">
        <f>表2_3671626293034522[[#This Row],[累计净值]]</f>
        <v>1.1933</v>
      </c>
      <c r="G57" s="170">
        <f>表2_3671626293034522[[#This Row],[累计净值]]/$B$21-1</f>
        <v>-2.4243437552248226E-3</v>
      </c>
      <c r="J57" s="187"/>
      <c r="K57" s="188"/>
      <c r="L57" s="188"/>
      <c r="M57" s="188"/>
      <c r="N57" s="188"/>
    </row>
    <row r="58" spans="1:14">
      <c r="A58" s="161">
        <v>43833</v>
      </c>
      <c r="B58" s="162">
        <v>1.1892</v>
      </c>
      <c r="C58" s="171">
        <f t="shared" si="0"/>
        <v>-4.0999999999999925E-3</v>
      </c>
      <c r="D58" s="168">
        <f t="shared" si="1"/>
        <v>-4.0999999999999925E-3</v>
      </c>
      <c r="E58" s="168">
        <f ca="1">IF(表2_3671626293034522[[#This Row],[累计净值]]/MAX(INDIRECT("B21:B" &amp; ROW()))-1&lt;E57,表2_3671626293034522[[#This Row],[累计净值]]/MAX(INDIRECT("B21:B" &amp; ROW()))-1,E57)</f>
        <v>-2.6888392487796953E-2</v>
      </c>
      <c r="F58" s="172">
        <f>表2_3671626293034522[[#This Row],[累计净值]]</f>
        <v>1.1892</v>
      </c>
      <c r="G58" s="170">
        <f>表2_3671626293034522[[#This Row],[累计净值]]/$B$21-1</f>
        <v>-5.8518642367496598E-3</v>
      </c>
      <c r="J58" s="187"/>
      <c r="K58" s="188"/>
      <c r="L58" s="188"/>
      <c r="M58" s="188"/>
      <c r="N58" s="188"/>
    </row>
    <row r="59" spans="1:14">
      <c r="A59" s="161">
        <v>43836</v>
      </c>
      <c r="B59" s="162">
        <v>1.1839</v>
      </c>
      <c r="C59" s="171">
        <f t="shared" si="0"/>
        <v>-5.3000000000000824E-3</v>
      </c>
      <c r="D59" s="168">
        <f t="shared" si="1"/>
        <v>-5.3000000000000824E-3</v>
      </c>
      <c r="E59" s="168">
        <f ca="1">IF(表2_3671626293034522[[#This Row],[累计净值]]/MAX(INDIRECT("B21:B" &amp; ROW()))-1&lt;E58,表2_3671626293034522[[#This Row],[累计净值]]/MAX(INDIRECT("B21:B" &amp; ROW()))-1,E58)</f>
        <v>-2.6888392487796953E-2</v>
      </c>
      <c r="F59" s="172">
        <f>表2_3671626293034522[[#This Row],[累计净值]]</f>
        <v>1.1839</v>
      </c>
      <c r="G59" s="170">
        <f>表2_3671626293034522[[#This Row],[累计净值]]/$B$21-1</f>
        <v>-1.0282561444574512E-2</v>
      </c>
      <c r="J59" s="187"/>
      <c r="K59" s="188"/>
      <c r="L59" s="188"/>
      <c r="M59" s="188"/>
      <c r="N59" s="188"/>
    </row>
    <row r="60" spans="1:14">
      <c r="A60" s="161">
        <v>43837</v>
      </c>
      <c r="B60" s="162">
        <v>1.1901999999999999</v>
      </c>
      <c r="C60" s="171">
        <f t="shared" si="0"/>
        <v>6.2999999999999723E-3</v>
      </c>
      <c r="D60" s="168" t="str">
        <f t="shared" si="1"/>
        <v>/</v>
      </c>
      <c r="E60" s="168">
        <f ca="1">IF(表2_3671626293034522[[#This Row],[累计净值]]/MAX(INDIRECT("B21:B" &amp; ROW()))-1&lt;E59,表2_3671626293034522[[#This Row],[累计净值]]/MAX(INDIRECT("B21:B" &amp; ROW()))-1,E59)</f>
        <v>-2.6888392487796953E-2</v>
      </c>
      <c r="F60" s="172">
        <f>表2_3671626293034522[[#This Row],[累计净值]]</f>
        <v>1.1901999999999999</v>
      </c>
      <c r="G60" s="170">
        <f>表2_3671626293034522[[#This Row],[累计净值]]/$B$21-1</f>
        <v>-5.0158836314997401E-3</v>
      </c>
      <c r="J60" s="187"/>
      <c r="K60" s="188"/>
      <c r="L60" s="188"/>
      <c r="M60" s="188"/>
      <c r="N60" s="188"/>
    </row>
    <row r="61" spans="1:14">
      <c r="A61" s="161">
        <v>43838</v>
      </c>
      <c r="B61" s="162">
        <v>1.1950000000000001</v>
      </c>
      <c r="C61" s="171">
        <f t="shared" si="0"/>
        <v>4.8000000000001375E-3</v>
      </c>
      <c r="D61" s="168" t="str">
        <f t="shared" si="1"/>
        <v>/</v>
      </c>
      <c r="E61" s="168">
        <f ca="1">IF(表2_3671626293034522[[#This Row],[累计净值]]/MAX(INDIRECT("B21:B" &amp; ROW()))-1&lt;E60,表2_3671626293034522[[#This Row],[累计净值]]/MAX(INDIRECT("B21:B" &amp; ROW()))-1,E60)</f>
        <v>-2.6888392487796953E-2</v>
      </c>
      <c r="F61" s="172">
        <f>表2_3671626293034522[[#This Row],[累计净值]]</f>
        <v>1.1950000000000001</v>
      </c>
      <c r="G61" s="170">
        <f>表2_3671626293034522[[#This Row],[累计净值]]/$B$21-1</f>
        <v>-1.0031767262997926E-3</v>
      </c>
      <c r="J61" s="187"/>
      <c r="K61" s="188"/>
      <c r="L61" s="188"/>
      <c r="M61" s="188"/>
      <c r="N61" s="188"/>
    </row>
    <row r="62" spans="1:14">
      <c r="A62" s="161">
        <v>43839</v>
      </c>
      <c r="B62" s="162">
        <v>1.196</v>
      </c>
      <c r="C62" s="171">
        <f t="shared" si="0"/>
        <v>9.9999999999988987E-4</v>
      </c>
      <c r="D62" s="168" t="str">
        <f t="shared" si="1"/>
        <v>/</v>
      </c>
      <c r="E62" s="168">
        <f ca="1">IF(表2_3671626293034522[[#This Row],[累计净值]]/MAX(INDIRECT("B21:B" &amp; ROW()))-1&lt;E61,表2_3671626293034522[[#This Row],[累计净值]]/MAX(INDIRECT("B21:B" &amp; ROW()))-1,E61)</f>
        <v>-2.6888392487796953E-2</v>
      </c>
      <c r="F62" s="172">
        <f>表2_3671626293034522[[#This Row],[累计净值]]</f>
        <v>1.196</v>
      </c>
      <c r="G62" s="170">
        <f>表2_3671626293034522[[#This Row],[累计净值]]/$B$21-1</f>
        <v>-1.6719612104998394E-4</v>
      </c>
      <c r="J62" s="187"/>
      <c r="K62" s="188"/>
      <c r="L62" s="188"/>
      <c r="M62" s="188"/>
      <c r="N62" s="188"/>
    </row>
    <row r="63" spans="1:14">
      <c r="A63" s="161">
        <v>43840</v>
      </c>
      <c r="B63" s="162">
        <v>1.196</v>
      </c>
      <c r="C63" s="171">
        <f t="shared" si="0"/>
        <v>0</v>
      </c>
      <c r="D63" s="168" t="str">
        <f t="shared" si="1"/>
        <v>/</v>
      </c>
      <c r="E63" s="168">
        <f ca="1">IF(表2_3671626293034522[[#This Row],[累计净值]]/MAX(INDIRECT("B21:B" &amp; ROW()))-1&lt;E62,表2_3671626293034522[[#This Row],[累计净值]]/MAX(INDIRECT("B21:B" &amp; ROW()))-1,E62)</f>
        <v>-2.6888392487796953E-2</v>
      </c>
      <c r="F63" s="172">
        <f>表2_3671626293034522[[#This Row],[累计净值]]</f>
        <v>1.196</v>
      </c>
      <c r="G63" s="170">
        <f>表2_3671626293034522[[#This Row],[累计净值]]/$B$21-1</f>
        <v>-1.6719612104998394E-4</v>
      </c>
      <c r="J63" s="187"/>
      <c r="K63" s="188"/>
      <c r="L63" s="188"/>
      <c r="M63" s="188"/>
      <c r="N63" s="188"/>
    </row>
    <row r="64" spans="1:14">
      <c r="A64" s="161">
        <v>43843</v>
      </c>
      <c r="B64" s="162">
        <v>1.1966000000000001</v>
      </c>
      <c r="C64" s="171">
        <f t="shared" si="0"/>
        <v>6.0000000000015596E-4</v>
      </c>
      <c r="D64" s="168" t="str">
        <f t="shared" si="1"/>
        <v>/</v>
      </c>
      <c r="E64" s="168">
        <f ca="1">IF(表2_3671626293034522[[#This Row],[累计净值]]/MAX(INDIRECT("B21:B" &amp; ROW()))-1&lt;E63,表2_3671626293034522[[#This Row],[累计净值]]/MAX(INDIRECT("B21:B" &amp; ROW()))-1,E63)</f>
        <v>-2.6888392487796953E-2</v>
      </c>
      <c r="F64" s="172">
        <f>表2_3671626293034522[[#This Row],[累计净值]]</f>
        <v>1.1966000000000001</v>
      </c>
      <c r="G64" s="170">
        <f>表2_3671626293034522[[#This Row],[累计净值]]/$B$21-1</f>
        <v>3.3439224210018992E-4</v>
      </c>
      <c r="J64" s="187"/>
      <c r="K64" s="188"/>
      <c r="L64" s="188"/>
      <c r="M64" s="188"/>
      <c r="N64" s="188"/>
    </row>
    <row r="65" spans="1:14">
      <c r="A65" s="161">
        <v>43844</v>
      </c>
      <c r="B65" s="162">
        <v>1.1983999999999999</v>
      </c>
      <c r="C65" s="171">
        <f t="shared" si="0"/>
        <v>1.7999999999998018E-3</v>
      </c>
      <c r="D65" s="168" t="str">
        <f t="shared" si="1"/>
        <v>/</v>
      </c>
      <c r="E65" s="168">
        <f ca="1">IF(表2_3671626293034522[[#This Row],[累计净值]]/MAX(INDIRECT("B21:B" &amp; ROW()))-1&lt;E64,表2_3671626293034522[[#This Row],[累计净值]]/MAX(INDIRECT("B21:B" &amp; ROW()))-1,E64)</f>
        <v>-2.6888392487796953E-2</v>
      </c>
      <c r="F65" s="172">
        <f>表2_3671626293034522[[#This Row],[累计净值]]</f>
        <v>1.1983999999999999</v>
      </c>
      <c r="G65" s="170">
        <f>表2_3671626293034522[[#This Row],[累计净值]]/$B$21-1</f>
        <v>1.8391573315499343E-3</v>
      </c>
      <c r="J65" s="187"/>
      <c r="K65" s="188"/>
      <c r="L65" s="188"/>
      <c r="M65" s="188"/>
      <c r="N65" s="188"/>
    </row>
    <row r="66" spans="1:14">
      <c r="A66" s="161">
        <v>43845</v>
      </c>
      <c r="B66" s="162">
        <v>1.2019</v>
      </c>
      <c r="C66" s="171">
        <f t="shared" si="0"/>
        <v>3.5000000000000586E-3</v>
      </c>
      <c r="D66" s="168" t="str">
        <f t="shared" si="1"/>
        <v>/</v>
      </c>
      <c r="E66" s="168">
        <f ca="1">IF(表2_3671626293034522[[#This Row],[累计净值]]/MAX(INDIRECT("B21:B" &amp; ROW()))-1&lt;E65,表2_3671626293034522[[#This Row],[累计净值]]/MAX(INDIRECT("B21:B" &amp; ROW()))-1,E65)</f>
        <v>-2.6888392487796953E-2</v>
      </c>
      <c r="F66" s="172">
        <f>表2_3671626293034522[[#This Row],[累计净值]]</f>
        <v>1.2019</v>
      </c>
      <c r="G66" s="170">
        <f>表2_3671626293034522[[#This Row],[累计净值]]/$B$21-1</f>
        <v>4.7650894499247087E-3</v>
      </c>
      <c r="J66" s="187"/>
      <c r="K66" s="188"/>
      <c r="L66" s="188"/>
      <c r="M66" s="188"/>
      <c r="N66" s="188"/>
    </row>
    <row r="67" spans="1:14">
      <c r="A67" s="161">
        <v>43846</v>
      </c>
      <c r="B67" s="162">
        <v>1.202</v>
      </c>
      <c r="C67" s="171">
        <f t="shared" si="0"/>
        <v>9.9999999999988987E-5</v>
      </c>
      <c r="D67" s="168" t="str">
        <f t="shared" si="1"/>
        <v>/</v>
      </c>
      <c r="E67" s="168">
        <f ca="1">IF(表2_3671626293034522[[#This Row],[累计净值]]/MAX(INDIRECT("B21:B" &amp; ROW()))-1&lt;E66,表2_3671626293034522[[#This Row],[累计净值]]/MAX(INDIRECT("B21:B" &amp; ROW()))-1,E66)</f>
        <v>-2.6888392487796953E-2</v>
      </c>
      <c r="F67" s="172">
        <f>表2_3671626293034522[[#This Row],[累计净值]]</f>
        <v>1.202</v>
      </c>
      <c r="G67" s="170">
        <f>表2_3671626293034522[[#This Row],[累计净值]]/$B$21-1</f>
        <v>4.8486875104498672E-3</v>
      </c>
      <c r="J67" s="187"/>
      <c r="K67" s="188"/>
      <c r="L67" s="188"/>
      <c r="M67" s="188"/>
      <c r="N67" s="188"/>
    </row>
    <row r="68" spans="1:14">
      <c r="A68" s="161">
        <v>43847</v>
      </c>
      <c r="B68" s="162">
        <v>1.2013</v>
      </c>
      <c r="C68" s="171">
        <f t="shared" si="0"/>
        <v>-6.9999999999992291E-4</v>
      </c>
      <c r="D68" s="168">
        <f t="shared" si="1"/>
        <v>-6.9999999999992291E-4</v>
      </c>
      <c r="E68" s="168">
        <f ca="1">IF(表2_3671626293034522[[#This Row],[累计净值]]/MAX(INDIRECT("B21:B" &amp; ROW()))-1&lt;E67,表2_3671626293034522[[#This Row],[累计净值]]/MAX(INDIRECT("B21:B" &amp; ROW()))-1,E67)</f>
        <v>-2.6888392487796953E-2</v>
      </c>
      <c r="F68" s="172">
        <f>表2_3671626293034522[[#This Row],[累计净值]]</f>
        <v>1.2013</v>
      </c>
      <c r="G68" s="170">
        <f>表2_3671626293034522[[#This Row],[累计净值]]/$B$21-1</f>
        <v>4.2635010867748679E-3</v>
      </c>
      <c r="J68" s="187"/>
      <c r="K68" s="188"/>
      <c r="L68" s="188"/>
      <c r="M68" s="188"/>
      <c r="N68" s="188"/>
    </row>
    <row r="69" spans="1:14">
      <c r="A69" s="161">
        <v>43850</v>
      </c>
      <c r="B69" s="162">
        <v>1.2002999999999999</v>
      </c>
      <c r="C69" s="171">
        <f t="shared" si="0"/>
        <v>-1.0000000000001119E-3</v>
      </c>
      <c r="D69" s="168">
        <f t="shared" si="1"/>
        <v>-1.0000000000001119E-3</v>
      </c>
      <c r="E69" s="168">
        <f ca="1">IF(表2_3671626293034522[[#This Row],[累计净值]]/MAX(INDIRECT("B21:B" &amp; ROW()))-1&lt;E68,表2_3671626293034522[[#This Row],[累计净值]]/MAX(INDIRECT("B21:B" &amp; ROW()))-1,E68)</f>
        <v>-2.6888392487796953E-2</v>
      </c>
      <c r="F69" s="172">
        <f>表2_3671626293034522[[#This Row],[累计净值]]</f>
        <v>1.2002999999999999</v>
      </c>
      <c r="G69" s="170">
        <f>表2_3671626293034522[[#This Row],[累计净值]]/$B$21-1</f>
        <v>3.4275204815248372E-3</v>
      </c>
      <c r="J69" s="187"/>
      <c r="K69" s="188"/>
      <c r="L69" s="188"/>
      <c r="M69" s="188"/>
      <c r="N69" s="188"/>
    </row>
    <row r="70" spans="1:14">
      <c r="A70" s="161">
        <v>43851</v>
      </c>
      <c r="B70" s="162">
        <v>1.2024999999999999</v>
      </c>
      <c r="C70" s="171">
        <f t="shared" si="0"/>
        <v>2.1999999999999797E-3</v>
      </c>
      <c r="D70" s="168" t="str">
        <f t="shared" si="1"/>
        <v>/</v>
      </c>
      <c r="E70" s="168">
        <f ca="1">IF(表2_3671626293034522[[#This Row],[累计净值]]/MAX(INDIRECT("B21:B" &amp; ROW()))-1&lt;E69,表2_3671626293034522[[#This Row],[累计净值]]/MAX(INDIRECT("B21:B" &amp; ROW()))-1,E69)</f>
        <v>-2.6888392487796953E-2</v>
      </c>
      <c r="F70" s="172">
        <f>表2_3671626293034522[[#This Row],[累计净值]]</f>
        <v>1.2024999999999999</v>
      </c>
      <c r="G70" s="170">
        <f>表2_3671626293034522[[#This Row],[累计净值]]/$B$21-1</f>
        <v>5.2666778130747716E-3</v>
      </c>
      <c r="J70" s="187"/>
      <c r="K70" s="188"/>
      <c r="L70" s="188"/>
      <c r="M70" s="188"/>
      <c r="N70" s="188"/>
    </row>
    <row r="71" spans="1:14">
      <c r="A71" s="161">
        <v>43852</v>
      </c>
      <c r="B71" s="162">
        <v>1.2052</v>
      </c>
      <c r="C71" s="171">
        <f t="shared" si="0"/>
        <v>2.7000000000001467E-3</v>
      </c>
      <c r="D71" s="168" t="str">
        <f t="shared" si="1"/>
        <v>/</v>
      </c>
      <c r="E71" s="168">
        <f ca="1">IF(表2_3671626293034522[[#This Row],[累计净值]]/MAX(INDIRECT("B21:B" &amp; ROW()))-1&lt;E70,表2_3671626293034522[[#This Row],[累计净值]]/MAX(INDIRECT("B21:B" &amp; ROW()))-1,E70)</f>
        <v>-2.6888392487796953E-2</v>
      </c>
      <c r="F71" s="172">
        <f>表2_3671626293034522[[#This Row],[累计净值]]</f>
        <v>1.2052</v>
      </c>
      <c r="G71" s="170">
        <f>表2_3671626293034522[[#This Row],[累计净值]]/$B$21-1</f>
        <v>7.5238254472498323E-3</v>
      </c>
      <c r="J71" s="187"/>
      <c r="K71" s="188"/>
      <c r="L71" s="188"/>
      <c r="M71" s="188"/>
      <c r="N71" s="188"/>
    </row>
    <row r="72" spans="1:14">
      <c r="A72" s="161">
        <v>43853</v>
      </c>
      <c r="B72" s="162">
        <v>1.2038</v>
      </c>
      <c r="C72" s="171">
        <f t="shared" si="0"/>
        <v>-1.4000000000000679E-3</v>
      </c>
      <c r="D72" s="168">
        <f t="shared" si="1"/>
        <v>-1.4000000000000679E-3</v>
      </c>
      <c r="E72" s="168">
        <f ca="1">IF(表2_3671626293034522[[#This Row],[累计净值]]/MAX(INDIRECT("B21:B" &amp; ROW()))-1&lt;E71,表2_3671626293034522[[#This Row],[累计净值]]/MAX(INDIRECT("B21:B" &amp; ROW()))-1,E71)</f>
        <v>-2.6888392487796953E-2</v>
      </c>
      <c r="F72" s="172">
        <f>表2_3671626293034522[[#This Row],[累计净值]]</f>
        <v>1.2038</v>
      </c>
      <c r="G72" s="170">
        <f>表2_3671626293034522[[#This Row],[累计净值]]/$B$21-1</f>
        <v>6.3534525998998337E-3</v>
      </c>
      <c r="J72" s="187"/>
      <c r="K72" s="188"/>
      <c r="L72" s="188"/>
      <c r="M72" s="188"/>
      <c r="N72" s="188"/>
    </row>
    <row r="73" spans="1:14">
      <c r="A73" s="161">
        <v>43864</v>
      </c>
      <c r="B73" s="162">
        <v>1.2490000000000001</v>
      </c>
      <c r="C73" s="171">
        <f t="shared" si="0"/>
        <v>4.5200000000000129E-2</v>
      </c>
      <c r="D73" s="168" t="str">
        <f t="shared" si="1"/>
        <v>/</v>
      </c>
      <c r="E73" s="168">
        <f ca="1">IF(表2_3671626293034522[[#This Row],[累计净值]]/MAX(INDIRECT("B21:B" &amp; ROW()))-1&lt;E72,表2_3671626293034522[[#This Row],[累计净值]]/MAX(INDIRECT("B21:B" &amp; ROW()))-1,E72)</f>
        <v>-2.6888392487796953E-2</v>
      </c>
      <c r="F73" s="172">
        <f>表2_3671626293034522[[#This Row],[累计净值]]</f>
        <v>1.2490000000000001</v>
      </c>
      <c r="G73" s="170">
        <f>表2_3671626293034522[[#This Row],[累计净值]]/$B$21-1</f>
        <v>4.413977595719798E-2</v>
      </c>
      <c r="J73" s="187"/>
      <c r="K73" s="188"/>
      <c r="L73" s="188"/>
      <c r="M73" s="188"/>
      <c r="N73" s="188"/>
    </row>
    <row r="74" spans="1:14">
      <c r="A74" s="161">
        <v>43865</v>
      </c>
      <c r="B74" s="162">
        <v>1.2524</v>
      </c>
      <c r="C74" s="171">
        <f t="shared" si="0"/>
        <v>3.3999999999998476E-3</v>
      </c>
      <c r="D74" s="168" t="str">
        <f t="shared" si="1"/>
        <v>/</v>
      </c>
      <c r="E74" s="168">
        <f ca="1">IF(表2_3671626293034522[[#This Row],[累计净值]]/MAX(INDIRECT("B21:B" &amp; ROW()))-1&lt;E73,表2_3671626293034522[[#This Row],[累计净值]]/MAX(INDIRECT("B21:B" &amp; ROW()))-1,E73)</f>
        <v>-2.6888392487796953E-2</v>
      </c>
      <c r="F74" s="172">
        <f>表2_3671626293034522[[#This Row],[累计净值]]</f>
        <v>1.2524</v>
      </c>
      <c r="G74" s="170">
        <f>表2_3671626293034522[[#This Row],[累计净值]]/$B$21-1</f>
        <v>4.6982110015047596E-2</v>
      </c>
      <c r="J74" s="187"/>
      <c r="K74" s="188"/>
      <c r="L74" s="188"/>
      <c r="M74" s="188"/>
      <c r="N74" s="188"/>
    </row>
    <row r="75" spans="1:14">
      <c r="A75" s="161">
        <v>43866</v>
      </c>
      <c r="B75" s="162">
        <v>1.2546999999999999</v>
      </c>
      <c r="C75" s="171">
        <f t="shared" si="0"/>
        <v>2.2999999999999687E-3</v>
      </c>
      <c r="D75" s="168" t="str">
        <f t="shared" si="1"/>
        <v>/</v>
      </c>
      <c r="E75" s="168">
        <f ca="1">IF(表2_3671626293034522[[#This Row],[累计净值]]/MAX(INDIRECT("B21:B" &amp; ROW()))-1&lt;E74,表2_3671626293034522[[#This Row],[累计净值]]/MAX(INDIRECT("B21:B" &amp; ROW()))-1,E74)</f>
        <v>-2.6888392487796953E-2</v>
      </c>
      <c r="F75" s="172">
        <f>表2_3671626293034522[[#This Row],[累计净值]]</f>
        <v>1.2546999999999999</v>
      </c>
      <c r="G75" s="170">
        <f>表2_3671626293034522[[#This Row],[累计净值]]/$B$21-1</f>
        <v>4.8904865407122466E-2</v>
      </c>
      <c r="J75" s="187"/>
      <c r="K75" s="188"/>
      <c r="L75" s="188"/>
      <c r="M75" s="188"/>
      <c r="N75" s="188"/>
    </row>
    <row r="76" spans="1:14">
      <c r="A76" s="161">
        <v>43867</v>
      </c>
      <c r="B76" s="162">
        <v>1.2603</v>
      </c>
      <c r="C76" s="171">
        <f t="shared" si="0"/>
        <v>5.6000000000000494E-3</v>
      </c>
      <c r="D76" s="168" t="str">
        <f t="shared" si="1"/>
        <v>/</v>
      </c>
      <c r="E76" s="168">
        <f ca="1">IF(表2_3671626293034522[[#This Row],[累计净值]]/MAX(INDIRECT("B21:B" &amp; ROW()))-1&lt;E75,表2_3671626293034522[[#This Row],[累计净值]]/MAX(INDIRECT("B21:B" &amp; ROW()))-1,E75)</f>
        <v>-2.6888392487796953E-2</v>
      </c>
      <c r="F76" s="172">
        <f>表2_3671626293034522[[#This Row],[累计净值]]</f>
        <v>1.2603</v>
      </c>
      <c r="G76" s="170">
        <f>表2_3671626293034522[[#This Row],[累计净值]]/$B$21-1</f>
        <v>5.3586356796522461E-2</v>
      </c>
      <c r="J76" s="187"/>
      <c r="K76" s="188"/>
      <c r="L76" s="188"/>
      <c r="M76" s="188"/>
      <c r="N76" s="188"/>
    </row>
    <row r="77" spans="1:14">
      <c r="A77" s="161">
        <v>43868</v>
      </c>
      <c r="B77" s="162">
        <v>1.2625999999999999</v>
      </c>
      <c r="C77" s="171">
        <f t="shared" si="0"/>
        <v>2.2999999999999687E-3</v>
      </c>
      <c r="D77" s="168" t="str">
        <f t="shared" si="1"/>
        <v>/</v>
      </c>
      <c r="E77" s="168">
        <f ca="1">IF(表2_3671626293034522[[#This Row],[累计净值]]/MAX(INDIRECT("B21:B" &amp; ROW()))-1&lt;E76,表2_3671626293034522[[#This Row],[累计净值]]/MAX(INDIRECT("B21:B" &amp; ROW()))-1,E76)</f>
        <v>-2.6888392487796953E-2</v>
      </c>
      <c r="F77" s="172">
        <f>表2_3671626293034522[[#This Row],[累计净值]]</f>
        <v>1.2625999999999999</v>
      </c>
      <c r="G77" s="170">
        <f>表2_3671626293034522[[#This Row],[累计净值]]/$B$21-1</f>
        <v>5.5509112188597332E-2</v>
      </c>
      <c r="J77" s="187"/>
      <c r="K77" s="188"/>
      <c r="L77" s="188"/>
      <c r="M77" s="188"/>
      <c r="N77" s="188"/>
    </row>
    <row r="78" spans="1:14">
      <c r="A78" s="161">
        <v>43871</v>
      </c>
      <c r="B78" s="162">
        <v>1.2615000000000001</v>
      </c>
      <c r="C78" s="171">
        <f t="shared" si="0"/>
        <v>-1.0999999999998789E-3</v>
      </c>
      <c r="D78" s="168">
        <f t="shared" si="1"/>
        <v>-1.0999999999998789E-3</v>
      </c>
      <c r="E78" s="168">
        <f ca="1">IF(表2_3671626293034522[[#This Row],[累计净值]]/MAX(INDIRECT("B21:B" &amp; ROW()))-1&lt;E77,表2_3671626293034522[[#This Row],[累计净值]]/MAX(INDIRECT("B21:B" &amp; ROW()))-1,E77)</f>
        <v>-2.6888392487796953E-2</v>
      </c>
      <c r="F78" s="172">
        <f>表2_3671626293034522[[#This Row],[累计净值]]</f>
        <v>1.2615000000000001</v>
      </c>
      <c r="G78" s="170">
        <f>表2_3671626293034522[[#This Row],[累计净值]]/$B$21-1</f>
        <v>5.4589533522822364E-2</v>
      </c>
      <c r="J78" s="187"/>
      <c r="K78" s="188"/>
      <c r="L78" s="188"/>
      <c r="M78" s="188"/>
      <c r="N78" s="188"/>
    </row>
    <row r="79" spans="1:14">
      <c r="A79" s="161">
        <v>43872</v>
      </c>
      <c r="B79" s="162">
        <v>1.2607999999999999</v>
      </c>
      <c r="C79" s="171">
        <f t="shared" si="0"/>
        <v>-7.0000000000014495E-4</v>
      </c>
      <c r="D79" s="168">
        <f t="shared" si="1"/>
        <v>-7.0000000000014495E-4</v>
      </c>
      <c r="E79" s="168">
        <f ca="1">IF(表2_3671626293034522[[#This Row],[累计净值]]/MAX(INDIRECT("B21:B" &amp; ROW()))-1&lt;E78,表2_3671626293034522[[#This Row],[累计净值]]/MAX(INDIRECT("B21:B" &amp; ROW()))-1,E78)</f>
        <v>-2.6888392487796953E-2</v>
      </c>
      <c r="F79" s="172">
        <f>表2_3671626293034522[[#This Row],[累计净值]]</f>
        <v>1.2607999999999999</v>
      </c>
      <c r="G79" s="170">
        <f>表2_3671626293034522[[#This Row],[累计净值]]/$B$21-1</f>
        <v>5.4004347099147365E-2</v>
      </c>
      <c r="J79" s="187"/>
      <c r="K79" s="188"/>
      <c r="L79" s="188"/>
      <c r="M79" s="188"/>
      <c r="N79" s="188"/>
    </row>
    <row r="80" spans="1:14">
      <c r="A80" s="161">
        <v>43873</v>
      </c>
      <c r="B80" s="162">
        <v>1.2615000000000001</v>
      </c>
      <c r="C80" s="171">
        <f t="shared" si="0"/>
        <v>7.0000000000014495E-4</v>
      </c>
      <c r="D80" s="168" t="str">
        <f t="shared" si="1"/>
        <v>/</v>
      </c>
      <c r="E80" s="168">
        <f ca="1">IF(表2_3671626293034522[[#This Row],[累计净值]]/MAX(INDIRECT("B21:B" &amp; ROW()))-1&lt;E79,表2_3671626293034522[[#This Row],[累计净值]]/MAX(INDIRECT("B21:B" &amp; ROW()))-1,E79)</f>
        <v>-2.6888392487796953E-2</v>
      </c>
      <c r="F80" s="172">
        <f>表2_3671626293034522[[#This Row],[累计净值]]</f>
        <v>1.2615000000000001</v>
      </c>
      <c r="G80" s="170">
        <f>表2_3671626293034522[[#This Row],[累计净值]]/$B$21-1</f>
        <v>5.4589533522822364E-2</v>
      </c>
      <c r="J80" s="187"/>
      <c r="K80" s="188"/>
      <c r="L80" s="188"/>
      <c r="M80" s="188"/>
      <c r="N80" s="188"/>
    </row>
    <row r="81" spans="1:14">
      <c r="A81" s="161">
        <v>43874</v>
      </c>
      <c r="B81" s="162">
        <v>1.2623</v>
      </c>
      <c r="C81" s="171">
        <f t="shared" si="0"/>
        <v>7.9999999999991189E-4</v>
      </c>
      <c r="D81" s="168" t="str">
        <f t="shared" si="1"/>
        <v>/</v>
      </c>
      <c r="E81" s="168">
        <f ca="1">IF(表2_3671626293034522[[#This Row],[累计净值]]/MAX(INDIRECT("B21:B" &amp; ROW()))-1&lt;E80,表2_3671626293034522[[#This Row],[累计净值]]/MAX(INDIRECT("B21:B" &amp; ROW()))-1,E80)</f>
        <v>-2.6888392487796953E-2</v>
      </c>
      <c r="F81" s="172">
        <f>表2_3671626293034522[[#This Row],[累计净值]]</f>
        <v>1.2623</v>
      </c>
      <c r="G81" s="170">
        <f>表2_3671626293034522[[#This Row],[累计净值]]/$B$21-1</f>
        <v>5.52583180070223E-2</v>
      </c>
      <c r="J81" s="187"/>
      <c r="K81" s="188"/>
      <c r="L81" s="188"/>
      <c r="M81" s="188"/>
      <c r="N81" s="188"/>
    </row>
    <row r="82" spans="1:14">
      <c r="A82" s="161">
        <v>43875</v>
      </c>
      <c r="B82" s="162">
        <v>1.2633000000000001</v>
      </c>
      <c r="C82" s="171">
        <f t="shared" si="0"/>
        <v>1.0000000000001119E-3</v>
      </c>
      <c r="D82" s="168" t="str">
        <f t="shared" si="1"/>
        <v>/</v>
      </c>
      <c r="E82" s="168">
        <f ca="1">IF(表2_3671626293034522[[#This Row],[累计净值]]/MAX(INDIRECT("B21:B" &amp; ROW()))-1&lt;E81,表2_3671626293034522[[#This Row],[累计净值]]/MAX(INDIRECT("B21:B" &amp; ROW()))-1,E81)</f>
        <v>-2.6888392487796953E-2</v>
      </c>
      <c r="F82" s="172">
        <f>表2_3671626293034522[[#This Row],[累计净值]]</f>
        <v>1.2633000000000001</v>
      </c>
      <c r="G82" s="170">
        <f>表2_3671626293034522[[#This Row],[累计净值]]/$B$21-1</f>
        <v>5.6094298612272331E-2</v>
      </c>
      <c r="J82" s="187"/>
      <c r="K82" s="188"/>
      <c r="L82" s="188"/>
      <c r="M82" s="188"/>
      <c r="N82" s="188"/>
    </row>
    <row r="83" spans="1:14">
      <c r="A83" s="161">
        <v>43878</v>
      </c>
      <c r="B83" s="162">
        <v>1.2654000000000001</v>
      </c>
      <c r="C83" s="171">
        <f t="shared" si="0"/>
        <v>2.0999999999999908E-3</v>
      </c>
      <c r="D83" s="168" t="str">
        <f t="shared" si="1"/>
        <v>/</v>
      </c>
      <c r="E83" s="168">
        <f ca="1">IF(表2_3671626293034522[[#This Row],[累计净值]]/MAX(INDIRECT("B21:B" &amp; ROW()))-1&lt;E82,表2_3671626293034522[[#This Row],[累计净值]]/MAX(INDIRECT("B21:B" &amp; ROW()))-1,E82)</f>
        <v>-2.6888392487796953E-2</v>
      </c>
      <c r="F83" s="172">
        <f>表2_3671626293034522[[#This Row],[累计净值]]</f>
        <v>1.2654000000000001</v>
      </c>
      <c r="G83" s="170">
        <f>表2_3671626293034522[[#This Row],[累计净值]]/$B$21-1</f>
        <v>5.7849857883297329E-2</v>
      </c>
      <c r="J83" s="187"/>
      <c r="K83" s="188"/>
      <c r="L83" s="188"/>
      <c r="M83" s="188"/>
      <c r="N83" s="188"/>
    </row>
    <row r="84" spans="1:14">
      <c r="A84" s="161">
        <v>43879</v>
      </c>
      <c r="B84" s="162">
        <v>1.2645999999999999</v>
      </c>
      <c r="C84" s="171">
        <f t="shared" si="0"/>
        <v>-8.0000000000013394E-4</v>
      </c>
      <c r="D84" s="168">
        <f t="shared" si="1"/>
        <v>-8.0000000000013394E-4</v>
      </c>
      <c r="E84" s="168">
        <f ca="1">IF(表2_3671626293034522[[#This Row],[累计净值]]/MAX(INDIRECT("B21:B" &amp; ROW()))-1&lt;E83,表2_3671626293034522[[#This Row],[累计净值]]/MAX(INDIRECT("B21:B" &amp; ROW()))-1,E83)</f>
        <v>-2.6888392487796953E-2</v>
      </c>
      <c r="F84" s="172">
        <f>表2_3671626293034522[[#This Row],[累计净值]]</f>
        <v>1.2645999999999999</v>
      </c>
      <c r="G84" s="170">
        <f>表2_3671626293034522[[#This Row],[累计净值]]/$B$21-1</f>
        <v>5.7181073399097171E-2</v>
      </c>
      <c r="J84" s="187"/>
      <c r="K84" s="188"/>
      <c r="L84" s="188"/>
      <c r="M84" s="188"/>
      <c r="N84" s="188"/>
    </row>
    <row r="85" spans="1:14">
      <c r="A85" s="161">
        <v>43880</v>
      </c>
      <c r="B85" s="162">
        <v>1.2643</v>
      </c>
      <c r="C85" s="171">
        <f t="shared" si="0"/>
        <v>-2.9999999999996696E-4</v>
      </c>
      <c r="D85" s="168">
        <f t="shared" si="1"/>
        <v>-2.9999999999996696E-4</v>
      </c>
      <c r="E85" s="168">
        <f ca="1">IF(表2_3671626293034522[[#This Row],[累计净值]]/MAX(INDIRECT("B21:B" &amp; ROW()))-1&lt;E84,表2_3671626293034522[[#This Row],[累计净值]]/MAX(INDIRECT("B21:B" &amp; ROW()))-1,E84)</f>
        <v>-2.6888392487796953E-2</v>
      </c>
      <c r="F85" s="172">
        <f>表2_3671626293034522[[#This Row],[累计净值]]</f>
        <v>1.2643</v>
      </c>
      <c r="G85" s="170">
        <f>表2_3671626293034522[[#This Row],[累计净值]]/$B$21-1</f>
        <v>5.6930279217522139E-2</v>
      </c>
      <c r="J85" s="187"/>
      <c r="K85" s="188"/>
      <c r="L85" s="188"/>
      <c r="M85" s="188"/>
      <c r="N85" s="188"/>
    </row>
    <row r="86" spans="1:14">
      <c r="A86" s="161">
        <v>43881</v>
      </c>
      <c r="B86" s="162">
        <v>1.2701</v>
      </c>
      <c r="C86" s="171">
        <f t="shared" si="0"/>
        <v>5.8000000000000274E-3</v>
      </c>
      <c r="D86" s="168" t="str">
        <f t="shared" si="1"/>
        <v>/</v>
      </c>
      <c r="E86" s="168">
        <f ca="1">IF(表2_3671626293034522[[#This Row],[累计净值]]/MAX(INDIRECT("B21:B" &amp; ROW()))-1&lt;E85,表2_3671626293034522[[#This Row],[累计净值]]/MAX(INDIRECT("B21:B" &amp; ROW()))-1,E85)</f>
        <v>-2.6888392487796953E-2</v>
      </c>
      <c r="F86" s="172">
        <f>表2_3671626293034522[[#This Row],[累计净值]]</f>
        <v>1.2701</v>
      </c>
      <c r="G86" s="170">
        <f>表2_3671626293034522[[#This Row],[累计净值]]/$B$21-1</f>
        <v>6.1778966727972007E-2</v>
      </c>
      <c r="J86" s="187"/>
      <c r="K86" s="188"/>
      <c r="L86" s="188"/>
      <c r="M86" s="188"/>
      <c r="N86" s="188"/>
    </row>
    <row r="87" spans="1:14">
      <c r="A87" s="161">
        <v>43882</v>
      </c>
      <c r="B87" s="162">
        <v>1.2710999999999999</v>
      </c>
      <c r="C87" s="171">
        <f t="shared" si="0"/>
        <v>9.9999999999988987E-4</v>
      </c>
      <c r="D87" s="168" t="str">
        <f t="shared" si="1"/>
        <v>/</v>
      </c>
      <c r="E87" s="168">
        <f ca="1">IF(表2_3671626293034522[[#This Row],[累计净值]]/MAX(INDIRECT("B21:B" &amp; ROW()))-1&lt;E86,表2_3671626293034522[[#This Row],[累计净值]]/MAX(INDIRECT("B21:B" &amp; ROW()))-1,E86)</f>
        <v>-2.6888392487796953E-2</v>
      </c>
      <c r="F87" s="172">
        <f>表2_3671626293034522[[#This Row],[累计净值]]</f>
        <v>1.2710999999999999</v>
      </c>
      <c r="G87" s="170">
        <f>表2_3671626293034522[[#This Row],[累计净值]]/$B$21-1</f>
        <v>6.2614947333221815E-2</v>
      </c>
      <c r="J87" s="187"/>
      <c r="K87" s="188"/>
      <c r="L87" s="188"/>
      <c r="M87" s="188"/>
      <c r="N87" s="188"/>
    </row>
    <row r="88" spans="1:14">
      <c r="A88" s="161">
        <v>43885</v>
      </c>
      <c r="B88" s="162">
        <v>1.2777000000000001</v>
      </c>
      <c r="C88" s="171">
        <f t="shared" ref="C88:C151" si="2">IFERROR(B88-B87,0)</f>
        <v>6.6000000000001613E-3</v>
      </c>
      <c r="D88" s="168" t="str">
        <f t="shared" si="1"/>
        <v>/</v>
      </c>
      <c r="E88" s="168">
        <f ca="1">IF(表2_3671626293034522[[#This Row],[累计净值]]/MAX(INDIRECT("B21:B" &amp; ROW()))-1&lt;E87,表2_3671626293034522[[#This Row],[累计净值]]/MAX(INDIRECT("B21:B" &amp; ROW()))-1,E87)</f>
        <v>-2.6888392487796953E-2</v>
      </c>
      <c r="F88" s="172">
        <f>表2_3671626293034522[[#This Row],[累计净值]]</f>
        <v>1.2777000000000001</v>
      </c>
      <c r="G88" s="170">
        <f>表2_3671626293034522[[#This Row],[累计净值]]/$B$21-1</f>
        <v>6.8132419327871618E-2</v>
      </c>
      <c r="J88" s="187"/>
      <c r="K88" s="188"/>
      <c r="L88" s="188"/>
      <c r="M88" s="188"/>
      <c r="N88" s="188"/>
    </row>
    <row r="89" spans="1:14">
      <c r="A89" s="161">
        <v>43886</v>
      </c>
      <c r="B89" s="162">
        <v>1.2786999999999999</v>
      </c>
      <c r="C89" s="171">
        <f t="shared" si="2"/>
        <v>9.9999999999988987E-4</v>
      </c>
      <c r="D89" s="168" t="str">
        <f t="shared" si="1"/>
        <v>/</v>
      </c>
      <c r="E89" s="168">
        <f ca="1">IF(表2_3671626293034522[[#This Row],[累计净值]]/MAX(INDIRECT("B21:B" &amp; ROW()))-1&lt;E88,表2_3671626293034522[[#This Row],[累计净值]]/MAX(INDIRECT("B21:B" &amp; ROW()))-1,E88)</f>
        <v>-2.6888392487796953E-2</v>
      </c>
      <c r="F89" s="172">
        <f>表2_3671626293034522[[#This Row],[累计净值]]</f>
        <v>1.2786999999999999</v>
      </c>
      <c r="G89" s="170">
        <f>表2_3671626293034522[[#This Row],[累计净值]]/$B$21-1</f>
        <v>6.8968399933121649E-2</v>
      </c>
      <c r="J89" s="187"/>
      <c r="K89" s="188"/>
      <c r="L89" s="188"/>
      <c r="M89" s="188"/>
      <c r="N89" s="188"/>
    </row>
    <row r="90" spans="1:14">
      <c r="A90" s="161">
        <v>43887</v>
      </c>
      <c r="B90" s="162">
        <v>1.2794000000000001</v>
      </c>
      <c r="C90" s="171">
        <f t="shared" si="2"/>
        <v>7.0000000000014495E-4</v>
      </c>
      <c r="D90" s="168" t="str">
        <f t="shared" ref="D90:D153" si="3">IF(C90&lt;0,C90,"/")</f>
        <v>/</v>
      </c>
      <c r="E90" s="168">
        <f ca="1">IF(表2_3671626293034522[[#This Row],[累计净值]]/MAX(INDIRECT("B21:B" &amp; ROW()))-1&lt;E89,表2_3671626293034522[[#This Row],[累计净值]]/MAX(INDIRECT("B21:B" &amp; ROW()))-1,E89)</f>
        <v>-2.6888392487796953E-2</v>
      </c>
      <c r="F90" s="172">
        <f>表2_3671626293034522[[#This Row],[累计净值]]</f>
        <v>1.2794000000000001</v>
      </c>
      <c r="G90" s="170">
        <f>表2_3671626293034522[[#This Row],[累计净值]]/$B$21-1</f>
        <v>6.9553586356796648E-2</v>
      </c>
      <c r="J90" s="187"/>
      <c r="K90" s="188"/>
      <c r="L90" s="188"/>
      <c r="M90" s="188"/>
      <c r="N90" s="188"/>
    </row>
    <row r="91" spans="1:14">
      <c r="A91" s="161">
        <v>43888</v>
      </c>
      <c r="B91" s="162">
        <v>1.2825</v>
      </c>
      <c r="C91" s="171">
        <f t="shared" si="2"/>
        <v>3.0999999999998806E-3</v>
      </c>
      <c r="D91" s="168" t="str">
        <f t="shared" si="3"/>
        <v>/</v>
      </c>
      <c r="E91" s="168">
        <f ca="1">IF(表2_3671626293034522[[#This Row],[累计净值]]/MAX(INDIRECT("B21:B" &amp; ROW()))-1&lt;E90,表2_3671626293034522[[#This Row],[累计净值]]/MAX(INDIRECT("B21:B" &amp; ROW()))-1,E90)</f>
        <v>-2.6888392487796953E-2</v>
      </c>
      <c r="F91" s="172">
        <f>表2_3671626293034522[[#This Row],[累计净值]]</f>
        <v>1.2825</v>
      </c>
      <c r="G91" s="170">
        <f>表2_3671626293034522[[#This Row],[累计净值]]/$B$21-1</f>
        <v>7.2145126233071455E-2</v>
      </c>
      <c r="J91" s="187"/>
      <c r="K91" s="188"/>
      <c r="L91" s="188"/>
      <c r="M91" s="188"/>
      <c r="N91" s="188"/>
    </row>
    <row r="92" spans="1:14">
      <c r="A92" s="161">
        <v>43889</v>
      </c>
      <c r="B92" s="162">
        <v>1.2904</v>
      </c>
      <c r="C92" s="171">
        <f t="shared" si="2"/>
        <v>7.9000000000000181E-3</v>
      </c>
      <c r="D92" s="168" t="str">
        <f t="shared" si="3"/>
        <v>/</v>
      </c>
      <c r="E92" s="168">
        <f ca="1">IF(表2_3671626293034522[[#This Row],[累计净值]]/MAX(INDIRECT("B21:B" &amp; ROW()))-1&lt;E91,表2_3671626293034522[[#This Row],[累计净值]]/MAX(INDIRECT("B21:B" &amp; ROW()))-1,E91)</f>
        <v>-2.6888392487796953E-2</v>
      </c>
      <c r="F92" s="172">
        <f>表2_3671626293034522[[#This Row],[累计净值]]</f>
        <v>1.2904</v>
      </c>
      <c r="G92" s="170">
        <f>表2_3671626293034522[[#This Row],[累计净值]]/$B$21-1</f>
        <v>7.8749373014546098E-2</v>
      </c>
      <c r="J92" s="187"/>
      <c r="K92" s="188"/>
      <c r="L92" s="188"/>
      <c r="M92" s="188"/>
      <c r="N92" s="188"/>
    </row>
    <row r="93" spans="1:14">
      <c r="A93" s="161">
        <v>43892</v>
      </c>
      <c r="B93" s="162">
        <v>1.2842</v>
      </c>
      <c r="C93" s="171">
        <f t="shared" si="2"/>
        <v>-6.1999999999999833E-3</v>
      </c>
      <c r="D93" s="168">
        <f t="shared" si="3"/>
        <v>-6.1999999999999833E-3</v>
      </c>
      <c r="E93" s="168">
        <f ca="1">IF(表2_3671626293034522[[#This Row],[累计净值]]/MAX(INDIRECT("B21:B" &amp; ROW()))-1&lt;E92,表2_3671626293034522[[#This Row],[累计净值]]/MAX(INDIRECT("B21:B" &amp; ROW()))-1,E92)</f>
        <v>-2.6888392487796953E-2</v>
      </c>
      <c r="F93" s="172">
        <f>表2_3671626293034522[[#This Row],[累计净值]]</f>
        <v>1.2842</v>
      </c>
      <c r="G93" s="170">
        <f>表2_3671626293034522[[#This Row],[累计净值]]/$B$21-1</f>
        <v>7.3566293261996485E-2</v>
      </c>
      <c r="J93" s="187"/>
      <c r="K93" s="188"/>
      <c r="L93" s="188"/>
      <c r="M93" s="188"/>
      <c r="N93" s="188"/>
    </row>
    <row r="94" spans="1:14">
      <c r="A94" s="161">
        <v>43893</v>
      </c>
      <c r="B94" s="162">
        <v>1.3169999999999999</v>
      </c>
      <c r="C94" s="171">
        <f t="shared" si="2"/>
        <v>3.279999999999994E-2</v>
      </c>
      <c r="D94" s="168" t="str">
        <f t="shared" si="3"/>
        <v>/</v>
      </c>
      <c r="E94" s="168">
        <f ca="1">IF(表2_3671626293034522[[#This Row],[累计净值]]/MAX(INDIRECT("B21:B" &amp; ROW()))-1&lt;E93,表2_3671626293034522[[#This Row],[累计净值]]/MAX(INDIRECT("B21:B" &amp; ROW()))-1,E93)</f>
        <v>-2.6888392487796953E-2</v>
      </c>
      <c r="F94" s="172">
        <f>表2_3671626293034522[[#This Row],[累计净值]]</f>
        <v>1.3169999999999999</v>
      </c>
      <c r="G94" s="170">
        <f>表2_3671626293034522[[#This Row],[累计净值]]/$B$21-1</f>
        <v>0.10098645711419496</v>
      </c>
      <c r="J94" s="187"/>
      <c r="K94" s="188"/>
      <c r="L94" s="188"/>
      <c r="M94" s="188"/>
      <c r="N94" s="188"/>
    </row>
    <row r="95" spans="1:14">
      <c r="A95" s="161">
        <v>43894</v>
      </c>
      <c r="B95" s="162">
        <v>1.3171999999999999</v>
      </c>
      <c r="C95" s="171">
        <f t="shared" si="2"/>
        <v>1.9999999999997797E-4</v>
      </c>
      <c r="D95" s="168" t="str">
        <f t="shared" si="3"/>
        <v>/</v>
      </c>
      <c r="E95" s="168">
        <f ca="1">IF(表2_3671626293034522[[#This Row],[累计净值]]/MAX(INDIRECT("B21:B" &amp; ROW()))-1&lt;E94,表2_3671626293034522[[#This Row],[累计净值]]/MAX(INDIRECT("B21:B" &amp; ROW()))-1,E94)</f>
        <v>-2.6888392487796953E-2</v>
      </c>
      <c r="F95" s="172">
        <f>表2_3671626293034522[[#This Row],[累计净值]]</f>
        <v>1.3171999999999999</v>
      </c>
      <c r="G95" s="170">
        <f>表2_3671626293034522[[#This Row],[累计净值]]/$B$21-1</f>
        <v>0.10115365323524506</v>
      </c>
      <c r="J95" s="187"/>
      <c r="K95" s="188"/>
      <c r="L95" s="188"/>
      <c r="M95" s="188"/>
      <c r="N95" s="188"/>
    </row>
    <row r="96" spans="1:14">
      <c r="A96" s="161">
        <v>43895</v>
      </c>
      <c r="B96" s="178">
        <v>1.3209</v>
      </c>
      <c r="C96" s="171">
        <f t="shared" si="2"/>
        <v>3.7000000000000366E-3</v>
      </c>
      <c r="D96" s="168" t="str">
        <f t="shared" si="3"/>
        <v>/</v>
      </c>
      <c r="E96" s="168">
        <f ca="1">IF(表2_3671626293034522[[#This Row],[累计净值]]/MAX(INDIRECT("B21:B" &amp; ROW()))-1&lt;E95,表2_3671626293034522[[#This Row],[累计净值]]/MAX(INDIRECT("B21:B" &amp; ROW()))-1,E95)</f>
        <v>-2.6888392487796953E-2</v>
      </c>
      <c r="F96" s="172">
        <f>表2_3671626293034522[[#This Row],[累计净值]]</f>
        <v>1.3209</v>
      </c>
      <c r="G96" s="170">
        <f>表2_3671626293034522[[#This Row],[累计净值]]/$B$21-1</f>
        <v>0.10424678147466993</v>
      </c>
      <c r="J96" s="187"/>
      <c r="K96" s="188"/>
      <c r="L96" s="188"/>
      <c r="M96" s="188"/>
      <c r="N96" s="188"/>
    </row>
    <row r="97" spans="1:14">
      <c r="A97" s="161">
        <v>43896</v>
      </c>
      <c r="B97" s="162">
        <v>1.3187</v>
      </c>
      <c r="C97" s="171">
        <f t="shared" si="2"/>
        <v>-2.1999999999999797E-3</v>
      </c>
      <c r="D97" s="168">
        <f t="shared" si="3"/>
        <v>-2.1999999999999797E-3</v>
      </c>
      <c r="E97" s="168">
        <f ca="1">IF(表2_3671626293034522[[#This Row],[累计净值]]/MAX(INDIRECT("B21:B" &amp; ROW()))-1&lt;E96,表2_3671626293034522[[#This Row],[累计净值]]/MAX(INDIRECT("B21:B" &amp; ROW()))-1,E96)</f>
        <v>-2.6888392487796953E-2</v>
      </c>
      <c r="F97" s="172">
        <f>表2_3671626293034522[[#This Row],[累计净值]]</f>
        <v>1.3187</v>
      </c>
      <c r="G97" s="170">
        <f>表2_3671626293034522[[#This Row],[累计净值]]/$B$21-1</f>
        <v>0.10240762414311999</v>
      </c>
      <c r="J97" s="187"/>
      <c r="K97" s="188"/>
      <c r="L97" s="188"/>
      <c r="M97" s="188"/>
      <c r="N97" s="188"/>
    </row>
    <row r="98" spans="1:14">
      <c r="A98" s="161">
        <v>43899</v>
      </c>
      <c r="B98" s="162">
        <v>1.3113999999999999</v>
      </c>
      <c r="C98" s="171">
        <f t="shared" si="2"/>
        <v>-7.3000000000000842E-3</v>
      </c>
      <c r="D98" s="168">
        <f t="shared" si="3"/>
        <v>-7.3000000000000842E-3</v>
      </c>
      <c r="E98" s="168">
        <f ca="1">IF(表2_3671626293034522[[#This Row],[累计净值]]/MAX(INDIRECT("B21:B" &amp; ROW()))-1&lt;E97,表2_3671626293034522[[#This Row],[累计净值]]/MAX(INDIRECT("B21:B" &amp; ROW()))-1,E97)</f>
        <v>-2.6888392487796953E-2</v>
      </c>
      <c r="F98" s="172">
        <f>表2_3671626293034522[[#This Row],[累计净值]]</f>
        <v>1.3113999999999999</v>
      </c>
      <c r="G98" s="170">
        <f>表2_3671626293034522[[#This Row],[累计净值]]/$B$21-1</f>
        <v>9.6304965724795188E-2</v>
      </c>
      <c r="J98" s="187"/>
      <c r="K98" s="188"/>
      <c r="L98" s="188"/>
      <c r="M98" s="188"/>
      <c r="N98" s="188"/>
    </row>
    <row r="99" spans="1:14">
      <c r="A99" s="161">
        <v>43900</v>
      </c>
      <c r="B99" s="162">
        <v>1.3037000000000001</v>
      </c>
      <c r="C99" s="171">
        <f t="shared" si="2"/>
        <v>-7.6999999999998181E-3</v>
      </c>
      <c r="D99" s="168">
        <f t="shared" si="3"/>
        <v>-7.6999999999998181E-3</v>
      </c>
      <c r="E99" s="168">
        <f ca="1">IF(表2_3671626293034522[[#This Row],[累计净值]]/MAX(INDIRECT("B21:B" &amp; ROW()))-1&lt;E98,表2_3671626293034522[[#This Row],[累计净值]]/MAX(INDIRECT("B21:B" &amp; ROW()))-1,E98)</f>
        <v>-2.6888392487796953E-2</v>
      </c>
      <c r="F99" s="172">
        <f>表2_3671626293034522[[#This Row],[累计净值]]</f>
        <v>1.3037000000000001</v>
      </c>
      <c r="G99" s="170">
        <f>表2_3671626293034522[[#This Row],[累计净值]]/$B$21-1</f>
        <v>8.986791506437064E-2</v>
      </c>
      <c r="J99" s="187"/>
      <c r="K99" s="188"/>
      <c r="L99" s="188"/>
      <c r="M99" s="188"/>
      <c r="N99" s="188"/>
    </row>
    <row r="100" spans="1:14">
      <c r="A100" s="161">
        <v>43901</v>
      </c>
      <c r="B100" s="162">
        <v>1.3104</v>
      </c>
      <c r="C100" s="171">
        <f t="shared" si="2"/>
        <v>6.6999999999999282E-3</v>
      </c>
      <c r="D100" s="168" t="str">
        <f t="shared" si="3"/>
        <v>/</v>
      </c>
      <c r="E100" s="168">
        <f ca="1">IF(表2_3671626293034522[[#This Row],[累计净值]]/MAX(INDIRECT("B21:B" &amp; ROW()))-1&lt;E99,表2_3671626293034522[[#This Row],[累计净值]]/MAX(INDIRECT("B21:B" &amp; ROW()))-1,E99)</f>
        <v>-2.6888392487796953E-2</v>
      </c>
      <c r="F100" s="172">
        <f>表2_3671626293034522[[#This Row],[累计净值]]</f>
        <v>1.3104</v>
      </c>
      <c r="G100" s="170">
        <f>表2_3671626293034522[[#This Row],[累计净值]]/$B$21-1</f>
        <v>9.546898511954538E-2</v>
      </c>
      <c r="J100" s="187"/>
      <c r="K100" s="188"/>
      <c r="L100" s="188"/>
      <c r="M100" s="188"/>
      <c r="N100" s="188"/>
    </row>
    <row r="101" spans="1:14">
      <c r="A101" s="161">
        <v>43902</v>
      </c>
      <c r="B101" s="162">
        <v>1.3166</v>
      </c>
      <c r="C101" s="171">
        <f t="shared" si="2"/>
        <v>6.1999999999999833E-3</v>
      </c>
      <c r="D101" s="168" t="str">
        <f t="shared" si="3"/>
        <v>/</v>
      </c>
      <c r="E101" s="168">
        <f ca="1">IF(表2_3671626293034522[[#This Row],[累计净值]]/MAX(INDIRECT("B21:B" &amp; ROW()))-1&lt;E100,表2_3671626293034522[[#This Row],[累计净值]]/MAX(INDIRECT("B21:B" &amp; ROW()))-1,E100)</f>
        <v>-2.6888392487796953E-2</v>
      </c>
      <c r="F101" s="172">
        <f>表2_3671626293034522[[#This Row],[累计净值]]</f>
        <v>1.3166</v>
      </c>
      <c r="G101" s="170">
        <f>表2_3671626293034522[[#This Row],[累计净值]]/$B$21-1</f>
        <v>0.10065206487209499</v>
      </c>
      <c r="J101" s="187"/>
      <c r="K101" s="188"/>
      <c r="L101" s="188"/>
      <c r="M101" s="188"/>
      <c r="N101" s="188"/>
    </row>
    <row r="102" spans="1:14">
      <c r="A102" s="161">
        <v>43903</v>
      </c>
      <c r="B102" s="162">
        <v>1.3089</v>
      </c>
      <c r="C102" s="171">
        <f t="shared" si="2"/>
        <v>-7.7000000000000401E-3</v>
      </c>
      <c r="D102" s="168">
        <f t="shared" si="3"/>
        <v>-7.7000000000000401E-3</v>
      </c>
      <c r="E102" s="168">
        <f ca="1">IF(表2_3671626293034522[[#This Row],[累计净值]]/MAX(INDIRECT("B21:B" &amp; ROW()))-1&lt;E101,表2_3671626293034522[[#This Row],[累计净值]]/MAX(INDIRECT("B21:B" &amp; ROW()))-1,E101)</f>
        <v>-2.6888392487796953E-2</v>
      </c>
      <c r="F102" s="172">
        <f>表2_3671626293034522[[#This Row],[累计净值]]</f>
        <v>1.3089</v>
      </c>
      <c r="G102" s="170">
        <f>表2_3671626293034522[[#This Row],[累计净值]]/$B$21-1</f>
        <v>9.4215014211670223E-2</v>
      </c>
      <c r="J102" s="187"/>
      <c r="K102" s="188"/>
      <c r="L102" s="188"/>
      <c r="M102" s="188"/>
      <c r="N102" s="188"/>
    </row>
    <row r="103" spans="1:14">
      <c r="A103" s="161">
        <v>43906</v>
      </c>
      <c r="B103" s="162">
        <v>1.3151999999999999</v>
      </c>
      <c r="C103" s="171">
        <f t="shared" si="2"/>
        <v>6.2999999999999723E-3</v>
      </c>
      <c r="D103" s="168" t="str">
        <f t="shared" si="3"/>
        <v>/</v>
      </c>
      <c r="E103" s="168">
        <f ca="1">IF(表2_3671626293034522[[#This Row],[累计净值]]/MAX(INDIRECT("B21:B" &amp; ROW()))-1&lt;E102,表2_3671626293034522[[#This Row],[累计净值]]/MAX(INDIRECT("B21:B" &amp; ROW()))-1,E102)</f>
        <v>-2.6888392487796953E-2</v>
      </c>
      <c r="F103" s="172">
        <f>表2_3671626293034522[[#This Row],[累计净值]]</f>
        <v>1.3151999999999999</v>
      </c>
      <c r="G103" s="170">
        <f>表2_3671626293034522[[#This Row],[累计净值]]/$B$21-1</f>
        <v>9.9481692024744994E-2</v>
      </c>
      <c r="J103" s="187"/>
      <c r="K103" s="188"/>
      <c r="L103" s="188"/>
      <c r="M103" s="188"/>
      <c r="N103" s="188"/>
    </row>
    <row r="104" spans="1:14">
      <c r="A104" s="161">
        <v>43907</v>
      </c>
      <c r="B104" s="162">
        <v>1.3205</v>
      </c>
      <c r="C104" s="171">
        <f t="shared" si="2"/>
        <v>5.3000000000000824E-3</v>
      </c>
      <c r="D104" s="168" t="str">
        <f t="shared" si="3"/>
        <v>/</v>
      </c>
      <c r="E104" s="168">
        <f ca="1">IF(表2_3671626293034522[[#This Row],[累计净值]]/MAX(INDIRECT("B21:B" &amp; ROW()))-1&lt;E103,表2_3671626293034522[[#This Row],[累计净值]]/MAX(INDIRECT("B21:B" &amp; ROW()))-1,E103)</f>
        <v>-2.6888392487796953E-2</v>
      </c>
      <c r="F104" s="172">
        <f>表2_3671626293034522[[#This Row],[累计净值]]</f>
        <v>1.3205</v>
      </c>
      <c r="G104" s="170">
        <f>表2_3671626293034522[[#This Row],[累计净值]]/$B$21-1</f>
        <v>0.10391238923256996</v>
      </c>
      <c r="J104" s="187"/>
      <c r="K104" s="188"/>
      <c r="L104" s="188"/>
      <c r="M104" s="188"/>
      <c r="N104" s="188"/>
    </row>
    <row r="105" spans="1:14">
      <c r="A105" s="161">
        <v>43908</v>
      </c>
      <c r="B105" s="162">
        <v>1.3258000000000001</v>
      </c>
      <c r="C105" s="171">
        <f t="shared" si="2"/>
        <v>5.3000000000000824E-3</v>
      </c>
      <c r="D105" s="168" t="str">
        <f t="shared" si="3"/>
        <v>/</v>
      </c>
      <c r="E105" s="168">
        <f ca="1">IF(表2_3671626293034522[[#This Row],[累计净值]]/MAX(INDIRECT("B21:B" &amp; ROW()))-1&lt;E104,表2_3671626293034522[[#This Row],[累计净值]]/MAX(INDIRECT("B21:B" &amp; ROW()))-1,E104)</f>
        <v>-2.6888392487796953E-2</v>
      </c>
      <c r="F105" s="172">
        <f>表2_3671626293034522[[#This Row],[累计净值]]</f>
        <v>1.3258000000000001</v>
      </c>
      <c r="G105" s="170">
        <f>表2_3671626293034522[[#This Row],[累计净值]]/$B$21-1</f>
        <v>0.1083430864403947</v>
      </c>
      <c r="J105" s="187"/>
      <c r="K105" s="188"/>
      <c r="L105" s="188"/>
      <c r="M105" s="188"/>
      <c r="N105" s="188"/>
    </row>
    <row r="106" spans="1:14">
      <c r="A106" s="161">
        <v>43909</v>
      </c>
      <c r="B106" s="162">
        <v>1.3309</v>
      </c>
      <c r="C106" s="171">
        <f t="shared" si="2"/>
        <v>5.0999999999998824E-3</v>
      </c>
      <c r="D106" s="168" t="str">
        <f t="shared" si="3"/>
        <v>/</v>
      </c>
      <c r="E106" s="168">
        <f ca="1">IF(表2_3671626293034522[[#This Row],[累计净值]]/MAX(INDIRECT("B21:B" &amp; ROW()))-1&lt;E105,表2_3671626293034522[[#This Row],[累计净值]]/MAX(INDIRECT("B21:B" &amp; ROW()))-1,E105)</f>
        <v>-2.6888392487796953E-2</v>
      </c>
      <c r="F106" s="172">
        <f>表2_3671626293034522[[#This Row],[累计净值]]</f>
        <v>1.3309</v>
      </c>
      <c r="G106" s="170">
        <f>表2_3671626293034522[[#This Row],[累计净值]]/$B$21-1</f>
        <v>0.11260658752716934</v>
      </c>
      <c r="J106" s="187"/>
      <c r="K106" s="188"/>
      <c r="L106" s="188"/>
      <c r="M106" s="188"/>
      <c r="N106" s="188"/>
    </row>
    <row r="107" spans="1:14">
      <c r="A107" s="161">
        <v>43910</v>
      </c>
      <c r="B107" s="162">
        <v>1.3187</v>
      </c>
      <c r="C107" s="171">
        <f t="shared" si="2"/>
        <v>-1.2199999999999989E-2</v>
      </c>
      <c r="D107" s="168">
        <f t="shared" si="3"/>
        <v>-1.2199999999999989E-2</v>
      </c>
      <c r="E107" s="168">
        <f ca="1">IF(表2_3671626293034522[[#This Row],[累计净值]]/MAX(INDIRECT("B21:B" &amp; ROW()))-1&lt;E106,表2_3671626293034522[[#This Row],[累计净值]]/MAX(INDIRECT("B21:B" &amp; ROW()))-1,E106)</f>
        <v>-2.6888392487796953E-2</v>
      </c>
      <c r="F107" s="172">
        <f>表2_3671626293034522[[#This Row],[累计净值]]</f>
        <v>1.3187</v>
      </c>
      <c r="G107" s="170">
        <f>表2_3671626293034522[[#This Row],[累计净值]]/$B$21-1</f>
        <v>0.10240762414311999</v>
      </c>
      <c r="J107" s="187"/>
      <c r="K107" s="188"/>
      <c r="L107" s="188"/>
      <c r="M107" s="188"/>
      <c r="N107" s="188"/>
    </row>
    <row r="108" spans="1:14">
      <c r="A108" s="161">
        <v>43913</v>
      </c>
      <c r="B108" s="178">
        <v>1.3351</v>
      </c>
      <c r="C108" s="171">
        <f t="shared" si="2"/>
        <v>1.639999999999997E-2</v>
      </c>
      <c r="D108" s="168" t="str">
        <f t="shared" si="3"/>
        <v>/</v>
      </c>
      <c r="E108" s="168">
        <f ca="1">IF(表2_3671626293034522[[#This Row],[累计净值]]/MAX(INDIRECT("B21:B" &amp; ROW()))-1&lt;E107,表2_3671626293034522[[#This Row],[累计净值]]/MAX(INDIRECT("B21:B" &amp; ROW()))-1,E107)</f>
        <v>-2.6888392487796953E-2</v>
      </c>
      <c r="F108" s="172">
        <f>表2_3671626293034522[[#This Row],[累计净值]]</f>
        <v>1.3351</v>
      </c>
      <c r="G108" s="170">
        <f>表2_3671626293034522[[#This Row],[累计净值]]/$B$21-1</f>
        <v>0.11611770606921912</v>
      </c>
      <c r="J108" s="187"/>
      <c r="K108" s="188"/>
      <c r="L108" s="188"/>
      <c r="M108" s="188"/>
      <c r="N108" s="188"/>
    </row>
    <row r="109" spans="1:14">
      <c r="A109" s="161">
        <v>43914</v>
      </c>
      <c r="B109" s="162">
        <v>1.3242</v>
      </c>
      <c r="C109" s="171">
        <f t="shared" si="2"/>
        <v>-1.089999999999991E-2</v>
      </c>
      <c r="D109" s="168">
        <f t="shared" si="3"/>
        <v>-1.089999999999991E-2</v>
      </c>
      <c r="E109" s="168">
        <f ca="1">IF(表2_3671626293034522[[#This Row],[累计净值]]/MAX(INDIRECT("B21:B" &amp; ROW()))-1&lt;E108,表2_3671626293034522[[#This Row],[累计净值]]/MAX(INDIRECT("B21:B" &amp; ROW()))-1,E108)</f>
        <v>-2.6888392487796953E-2</v>
      </c>
      <c r="F109" s="172">
        <f>表2_3671626293034522[[#This Row],[累计净值]]</f>
        <v>1.3242</v>
      </c>
      <c r="G109" s="170">
        <f>表2_3671626293034522[[#This Row],[累计净值]]/$B$21-1</f>
        <v>0.10700551747199483</v>
      </c>
      <c r="J109" s="187"/>
      <c r="K109" s="188"/>
      <c r="L109" s="188"/>
      <c r="M109" s="188"/>
      <c r="N109" s="188"/>
    </row>
    <row r="110" spans="1:14">
      <c r="A110" s="161">
        <v>43915</v>
      </c>
      <c r="B110" s="162">
        <v>1.319</v>
      </c>
      <c r="C110" s="171">
        <f t="shared" si="2"/>
        <v>-5.2000000000000934E-3</v>
      </c>
      <c r="D110" s="168">
        <f t="shared" si="3"/>
        <v>-5.2000000000000934E-3</v>
      </c>
      <c r="E110" s="168">
        <f ca="1">IF(表2_3671626293034522[[#This Row],[累计净值]]/MAX(INDIRECT("B21:B" &amp; ROW()))-1&lt;E109,表2_3671626293034522[[#This Row],[累计净值]]/MAX(INDIRECT("B21:B" &amp; ROW()))-1,E109)</f>
        <v>-2.6888392487796953E-2</v>
      </c>
      <c r="F110" s="172">
        <f>表2_3671626293034522[[#This Row],[累计净值]]</f>
        <v>1.319</v>
      </c>
      <c r="G110" s="170">
        <f>表2_3671626293034522[[#This Row],[累计净值]]/$B$21-1</f>
        <v>0.1026584183246948</v>
      </c>
      <c r="J110" s="187"/>
      <c r="K110" s="188"/>
      <c r="L110" s="188"/>
      <c r="M110" s="188"/>
      <c r="N110" s="188"/>
    </row>
    <row r="111" spans="1:14">
      <c r="A111" s="161">
        <v>43916</v>
      </c>
      <c r="B111" s="162">
        <v>1.3207</v>
      </c>
      <c r="C111" s="171">
        <f t="shared" si="2"/>
        <v>1.7000000000000348E-3</v>
      </c>
      <c r="D111" s="168" t="str">
        <f t="shared" si="3"/>
        <v>/</v>
      </c>
      <c r="E111" s="168">
        <f ca="1">IF(表2_3671626293034522[[#This Row],[累计净值]]/MAX(INDIRECT("B21:B" &amp; ROW()))-1&lt;E110,表2_3671626293034522[[#This Row],[累计净值]]/MAX(INDIRECT("B21:B" &amp; ROW()))-1,E110)</f>
        <v>-2.6888392487796953E-2</v>
      </c>
      <c r="F111" s="172">
        <f>表2_3671626293034522[[#This Row],[累计净值]]</f>
        <v>1.3207</v>
      </c>
      <c r="G111" s="170">
        <f>表2_3671626293034522[[#This Row],[累计净值]]/$B$21-1</f>
        <v>0.10407958535361983</v>
      </c>
      <c r="J111" s="187"/>
      <c r="K111" s="188"/>
      <c r="L111" s="188"/>
      <c r="M111" s="188"/>
      <c r="N111" s="188"/>
    </row>
    <row r="112" spans="1:14">
      <c r="A112" s="161">
        <v>43917</v>
      </c>
      <c r="B112" s="162">
        <v>1.3211999999999999</v>
      </c>
      <c r="C112" s="171">
        <f t="shared" si="2"/>
        <v>4.9999999999994493E-4</v>
      </c>
      <c r="D112" s="168" t="str">
        <f t="shared" si="3"/>
        <v>/</v>
      </c>
      <c r="E112" s="168">
        <f ca="1">IF(表2_3671626293034522[[#This Row],[累计净值]]/MAX(INDIRECT("B21:B" &amp; ROW()))-1&lt;E111,表2_3671626293034522[[#This Row],[累计净值]]/MAX(INDIRECT("B21:B" &amp; ROW()))-1,E111)</f>
        <v>-2.6888392487796953E-2</v>
      </c>
      <c r="F112" s="172">
        <f>表2_3671626293034522[[#This Row],[累计净值]]</f>
        <v>1.3211999999999999</v>
      </c>
      <c r="G112" s="170">
        <f>表2_3671626293034522[[#This Row],[累计净值]]/$B$21-1</f>
        <v>0.10449757565624473</v>
      </c>
      <c r="J112" s="187"/>
      <c r="K112" s="188"/>
      <c r="L112" s="188"/>
      <c r="M112" s="188"/>
      <c r="N112" s="188"/>
    </row>
    <row r="113" spans="1:14">
      <c r="A113" s="161">
        <v>43920</v>
      </c>
      <c r="B113" s="162">
        <v>1.3225</v>
      </c>
      <c r="C113" s="171">
        <f t="shared" si="2"/>
        <v>1.3000000000000789E-3</v>
      </c>
      <c r="D113" s="168" t="str">
        <f t="shared" si="3"/>
        <v>/</v>
      </c>
      <c r="E113" s="168">
        <f ca="1">IF(表2_3671626293034522[[#This Row],[累计净值]]/MAX(INDIRECT("B21:B" &amp; ROW()))-1&lt;E112,表2_3671626293034522[[#This Row],[累计净值]]/MAX(INDIRECT("B21:B" &amp; ROW()))-1,E112)</f>
        <v>-2.6888392487796953E-2</v>
      </c>
      <c r="F113" s="172">
        <f>表2_3671626293034522[[#This Row],[累计净值]]</f>
        <v>1.3225</v>
      </c>
      <c r="G113" s="170">
        <f>表2_3671626293034522[[#This Row],[累计净值]]/$B$21-1</f>
        <v>0.1055843504430698</v>
      </c>
      <c r="J113" s="187"/>
      <c r="K113" s="188"/>
      <c r="L113" s="188"/>
      <c r="M113" s="188"/>
      <c r="N113" s="188"/>
    </row>
    <row r="114" spans="1:14">
      <c r="A114" s="161">
        <v>43921</v>
      </c>
      <c r="B114" s="162">
        <v>1.3230999999999999</v>
      </c>
      <c r="C114" s="171">
        <f t="shared" si="2"/>
        <v>5.9999999999993392E-4</v>
      </c>
      <c r="D114" s="168" t="str">
        <f t="shared" si="3"/>
        <v>/</v>
      </c>
      <c r="E114" s="168">
        <f ca="1">IF(表2_3671626293034522[[#This Row],[累计净值]]/MAX(INDIRECT("B21:B" &amp; ROW()))-1&lt;E113,表2_3671626293034522[[#This Row],[累计净值]]/MAX(INDIRECT("B21:B" &amp; ROW()))-1,E113)</f>
        <v>-2.6888392487796953E-2</v>
      </c>
      <c r="F114" s="172">
        <f>表2_3671626293034522[[#This Row],[累计净值]]</f>
        <v>1.3230999999999999</v>
      </c>
      <c r="G114" s="170">
        <f>表2_3671626293034522[[#This Row],[累计净值]]/$B$21-1</f>
        <v>0.10608593880621964</v>
      </c>
      <c r="J114" s="187"/>
      <c r="K114" s="188"/>
      <c r="L114" s="188"/>
      <c r="M114" s="188"/>
      <c r="N114" s="188"/>
    </row>
    <row r="115" spans="1:14">
      <c r="A115" s="161">
        <v>43922</v>
      </c>
      <c r="B115" s="162">
        <v>1.3217000000000001</v>
      </c>
      <c r="C115" s="171">
        <f t="shared" si="2"/>
        <v>-1.3999999999998458E-3</v>
      </c>
      <c r="D115" s="168">
        <f t="shared" si="3"/>
        <v>-1.3999999999998458E-3</v>
      </c>
      <c r="E115" s="168">
        <f ca="1">IF(表2_3671626293034522[[#This Row],[累计净值]]/MAX(INDIRECT("B21:B" &amp; ROW()))-1&lt;E114,表2_3671626293034522[[#This Row],[累计净值]]/MAX(INDIRECT("B21:B" &amp; ROW()))-1,E114)</f>
        <v>-2.6888392487796953E-2</v>
      </c>
      <c r="F115" s="172">
        <f>表2_3671626293034522[[#This Row],[累计净值]]</f>
        <v>1.3217000000000001</v>
      </c>
      <c r="G115" s="170">
        <f>表2_3671626293034522[[#This Row],[累计净值]]/$B$21-1</f>
        <v>0.10491556595886986</v>
      </c>
      <c r="J115" s="187"/>
      <c r="K115" s="188"/>
      <c r="L115" s="188"/>
      <c r="M115" s="188"/>
      <c r="N115" s="188"/>
    </row>
    <row r="116" spans="1:14">
      <c r="A116" s="161">
        <v>43923</v>
      </c>
      <c r="B116" s="162">
        <v>1.3267</v>
      </c>
      <c r="C116" s="171">
        <f t="shared" si="2"/>
        <v>4.9999999999998934E-3</v>
      </c>
      <c r="D116" s="168" t="str">
        <f t="shared" si="3"/>
        <v>/</v>
      </c>
      <c r="E116" s="168">
        <f ca="1">IF(表2_3671626293034522[[#This Row],[累计净值]]/MAX(INDIRECT("B21:B" &amp; ROW()))-1&lt;E115,表2_3671626293034522[[#This Row],[累计净值]]/MAX(INDIRECT("B21:B" &amp; ROW()))-1,E115)</f>
        <v>-2.6888392487796953E-2</v>
      </c>
      <c r="F116" s="172">
        <f>表2_3671626293034522[[#This Row],[累计净值]]</f>
        <v>1.3267</v>
      </c>
      <c r="G116" s="170">
        <f>表2_3671626293034522[[#This Row],[累计净值]]/$B$21-1</f>
        <v>0.10909546898511957</v>
      </c>
      <c r="J116" s="187"/>
      <c r="K116" s="188"/>
      <c r="L116" s="188"/>
      <c r="M116" s="188"/>
      <c r="N116" s="188"/>
    </row>
    <row r="117" spans="1:14">
      <c r="A117" s="161">
        <v>43924</v>
      </c>
      <c r="B117" s="162">
        <v>1.3228</v>
      </c>
      <c r="C117" s="171">
        <f t="shared" si="2"/>
        <v>-3.9000000000000146E-3</v>
      </c>
      <c r="D117" s="168">
        <f t="shared" si="3"/>
        <v>-3.9000000000000146E-3</v>
      </c>
      <c r="E117" s="168">
        <f ca="1">IF(表2_3671626293034522[[#This Row],[累计净值]]/MAX(INDIRECT("B21:B" &amp; ROW()))-1&lt;E116,表2_3671626293034522[[#This Row],[累计净值]]/MAX(INDIRECT("B21:B" &amp; ROW()))-1,E116)</f>
        <v>-2.6888392487796953E-2</v>
      </c>
      <c r="F117" s="172">
        <f>表2_3671626293034522[[#This Row],[累计净值]]</f>
        <v>1.3228</v>
      </c>
      <c r="G117" s="170">
        <f>表2_3671626293034522[[#This Row],[累计净值]]/$B$21-1</f>
        <v>0.10583514462464483</v>
      </c>
      <c r="J117" s="187"/>
      <c r="K117" s="188"/>
      <c r="L117" s="188"/>
      <c r="M117" s="188"/>
      <c r="N117" s="188"/>
    </row>
    <row r="118" spans="1:14">
      <c r="A118" s="161">
        <v>43928</v>
      </c>
      <c r="B118" s="162">
        <v>1.3214999999999999</v>
      </c>
      <c r="C118" s="171">
        <f t="shared" si="2"/>
        <v>-1.3000000000000789E-3</v>
      </c>
      <c r="D118" s="168">
        <f t="shared" si="3"/>
        <v>-1.3000000000000789E-3</v>
      </c>
      <c r="E118" s="168">
        <f ca="1">IF(表2_3671626293034522[[#This Row],[累计净值]]/MAX(INDIRECT("B21:B" &amp; ROW()))-1&lt;E117,表2_3671626293034522[[#This Row],[累计净值]]/MAX(INDIRECT("B21:B" &amp; ROW()))-1,E117)</f>
        <v>-2.6888392487796953E-2</v>
      </c>
      <c r="F118" s="172">
        <f>表2_3671626293034522[[#This Row],[累计净值]]</f>
        <v>1.3214999999999999</v>
      </c>
      <c r="G118" s="170">
        <f>表2_3671626293034522[[#This Row],[累计净值]]/$B$21-1</f>
        <v>0.10474836983781977</v>
      </c>
      <c r="J118" s="187"/>
      <c r="K118" s="188"/>
      <c r="L118" s="188"/>
      <c r="M118" s="188"/>
      <c r="N118" s="188"/>
    </row>
    <row r="119" spans="1:14">
      <c r="A119" s="161">
        <v>43929</v>
      </c>
      <c r="B119" s="162">
        <v>1.3186</v>
      </c>
      <c r="C119" s="171">
        <f t="shared" si="2"/>
        <v>-2.8999999999999027E-3</v>
      </c>
      <c r="D119" s="168">
        <f t="shared" si="3"/>
        <v>-2.8999999999999027E-3</v>
      </c>
      <c r="E119" s="168">
        <f ca="1">IF(表2_3671626293034522[[#This Row],[累计净值]]/MAX(INDIRECT("B21:B" &amp; ROW()))-1&lt;E118,表2_3671626293034522[[#This Row],[累计净值]]/MAX(INDIRECT("B21:B" &amp; ROW()))-1,E118)</f>
        <v>-2.6888392487796953E-2</v>
      </c>
      <c r="F119" s="172">
        <f>表2_3671626293034522[[#This Row],[累计净值]]</f>
        <v>1.3186</v>
      </c>
      <c r="G119" s="170">
        <f>表2_3671626293034522[[#This Row],[累计净值]]/$B$21-1</f>
        <v>0.10232402608259505</v>
      </c>
      <c r="J119" s="187"/>
      <c r="K119" s="188"/>
      <c r="L119" s="188"/>
      <c r="M119" s="188"/>
      <c r="N119" s="188"/>
    </row>
    <row r="120" spans="1:14">
      <c r="A120" s="161">
        <v>43930</v>
      </c>
      <c r="B120" s="162">
        <v>1.3190999999999999</v>
      </c>
      <c r="C120" s="171">
        <f t="shared" si="2"/>
        <v>4.9999999999994493E-4</v>
      </c>
      <c r="D120" s="168" t="str">
        <f t="shared" si="3"/>
        <v>/</v>
      </c>
      <c r="E120" s="168">
        <f ca="1">IF(表2_3671626293034522[[#This Row],[累计净值]]/MAX(INDIRECT("B21:B" &amp; ROW()))-1&lt;E119,表2_3671626293034522[[#This Row],[累计净值]]/MAX(INDIRECT("B21:B" &amp; ROW()))-1,E119)</f>
        <v>-2.6888392487796953E-2</v>
      </c>
      <c r="F120" s="172">
        <f>表2_3671626293034522[[#This Row],[累计净值]]</f>
        <v>1.3190999999999999</v>
      </c>
      <c r="G120" s="170">
        <f>表2_3671626293034522[[#This Row],[累计净值]]/$B$21-1</f>
        <v>0.10274201638521996</v>
      </c>
      <c r="J120" s="187"/>
      <c r="K120" s="188"/>
      <c r="L120" s="188"/>
      <c r="M120" s="188"/>
      <c r="N120" s="188"/>
    </row>
    <row r="121" spans="1:14">
      <c r="A121" s="161">
        <v>43931</v>
      </c>
      <c r="B121" s="162">
        <v>1.3218000000000001</v>
      </c>
      <c r="C121" s="171">
        <f t="shared" si="2"/>
        <v>2.7000000000001467E-3</v>
      </c>
      <c r="D121" s="168" t="str">
        <f t="shared" si="3"/>
        <v>/</v>
      </c>
      <c r="E121" s="168">
        <f ca="1">IF(表2_3671626293034522[[#This Row],[累计净值]]/MAX(INDIRECT("B21:B" &amp; ROW()))-1&lt;E120,表2_3671626293034522[[#This Row],[累计净值]]/MAX(INDIRECT("B21:B" &amp; ROW()))-1,E120)</f>
        <v>-2.6888392487796953E-2</v>
      </c>
      <c r="F121" s="172">
        <f>表2_3671626293034522[[#This Row],[累计净值]]</f>
        <v>1.3218000000000001</v>
      </c>
      <c r="G121" s="170">
        <f>表2_3671626293034522[[#This Row],[累计净值]]/$B$21-1</f>
        <v>0.1049991640193948</v>
      </c>
      <c r="J121" s="187"/>
      <c r="K121" s="188"/>
      <c r="L121" s="188"/>
      <c r="M121" s="188"/>
      <c r="N121" s="188"/>
    </row>
    <row r="122" spans="1:14">
      <c r="A122" s="161">
        <v>43934</v>
      </c>
      <c r="B122" s="162">
        <v>1.3221000000000001</v>
      </c>
      <c r="C122" s="171">
        <f t="shared" si="2"/>
        <v>2.9999999999996696E-4</v>
      </c>
      <c r="D122" s="168" t="str">
        <f t="shared" si="3"/>
        <v>/</v>
      </c>
      <c r="E122" s="168">
        <f ca="1">IF(表2_3671626293034522[[#This Row],[累计净值]]/MAX(INDIRECT("B21:B" &amp; ROW()))-1&lt;E121,表2_3671626293034522[[#This Row],[累计净值]]/MAX(INDIRECT("B21:B" &amp; ROW()))-1,E121)</f>
        <v>-2.6888392487796953E-2</v>
      </c>
      <c r="F122" s="172">
        <f>表2_3671626293034522[[#This Row],[累计净值]]</f>
        <v>1.3221000000000001</v>
      </c>
      <c r="G122" s="170">
        <f>表2_3671626293034522[[#This Row],[累计净值]]/$B$21-1</f>
        <v>0.10524995820096983</v>
      </c>
      <c r="J122" s="187"/>
      <c r="K122" s="188"/>
      <c r="L122" s="188"/>
      <c r="M122" s="188"/>
      <c r="N122" s="188"/>
    </row>
    <row r="123" spans="1:14">
      <c r="A123" s="161">
        <v>43935</v>
      </c>
      <c r="B123" s="162">
        <v>1.3221000000000001</v>
      </c>
      <c r="C123" s="171">
        <f t="shared" si="2"/>
        <v>0</v>
      </c>
      <c r="D123" s="168" t="str">
        <f t="shared" si="3"/>
        <v>/</v>
      </c>
      <c r="E123" s="168">
        <f ca="1">IF(表2_3671626293034522[[#This Row],[累计净值]]/MAX(INDIRECT("B21:B" &amp; ROW()))-1&lt;E122,表2_3671626293034522[[#This Row],[累计净值]]/MAX(INDIRECT("B21:B" &amp; ROW()))-1,E122)</f>
        <v>-2.6888392487796953E-2</v>
      </c>
      <c r="F123" s="172">
        <f>表2_3671626293034522[[#This Row],[累计净值]]</f>
        <v>1.3221000000000001</v>
      </c>
      <c r="G123" s="170">
        <f>表2_3671626293034522[[#This Row],[累计净值]]/$B$21-1</f>
        <v>0.10524995820096983</v>
      </c>
      <c r="J123" s="187"/>
      <c r="K123" s="188"/>
      <c r="L123" s="188"/>
      <c r="M123" s="188"/>
      <c r="N123" s="188"/>
    </row>
    <row r="124" spans="1:14">
      <c r="A124" s="161">
        <v>43936</v>
      </c>
      <c r="B124" s="162">
        <v>1.323</v>
      </c>
      <c r="C124" s="171">
        <f t="shared" si="2"/>
        <v>8.9999999999990088E-4</v>
      </c>
      <c r="D124" s="168" t="str">
        <f t="shared" si="3"/>
        <v>/</v>
      </c>
      <c r="E124" s="168">
        <f ca="1">IF(表2_3671626293034522[[#This Row],[累计净值]]/MAX(INDIRECT("B21:B" &amp; ROW()))-1&lt;E123,表2_3671626293034522[[#This Row],[累计净值]]/MAX(INDIRECT("B21:B" &amp; ROW()))-1,E123)</f>
        <v>-2.6888392487796953E-2</v>
      </c>
      <c r="F124" s="172">
        <f>表2_3671626293034522[[#This Row],[累计净值]]</f>
        <v>1.323</v>
      </c>
      <c r="G124" s="170">
        <f>表2_3671626293034522[[#This Row],[累计净值]]/$B$21-1</f>
        <v>0.1060023407456947</v>
      </c>
      <c r="J124" s="187"/>
      <c r="K124" s="188"/>
      <c r="L124" s="188"/>
      <c r="M124" s="188"/>
      <c r="N124" s="188"/>
    </row>
    <row r="125" spans="1:14">
      <c r="A125" s="161">
        <v>43937</v>
      </c>
      <c r="B125" s="162">
        <v>1.3212999999999999</v>
      </c>
      <c r="C125" s="171">
        <f t="shared" si="2"/>
        <v>-1.7000000000000348E-3</v>
      </c>
      <c r="D125" s="168">
        <f t="shared" si="3"/>
        <v>-1.7000000000000348E-3</v>
      </c>
      <c r="E125" s="168">
        <f ca="1">IF(表2_3671626293034522[[#This Row],[累计净值]]/MAX(INDIRECT("B21:B" &amp; ROW()))-1&lt;E124,表2_3671626293034522[[#This Row],[累计净值]]/MAX(INDIRECT("B21:B" &amp; ROW()))-1,E124)</f>
        <v>-2.6888392487796953E-2</v>
      </c>
      <c r="F125" s="172">
        <f>表2_3671626293034522[[#This Row],[累计净值]]</f>
        <v>1.3212999999999999</v>
      </c>
      <c r="G125" s="170">
        <f>表2_3671626293034522[[#This Row],[累计净值]]/$B$21-1</f>
        <v>0.10458117371676967</v>
      </c>
      <c r="J125" s="187"/>
      <c r="K125" s="188"/>
      <c r="L125" s="188"/>
      <c r="M125" s="188"/>
      <c r="N125" s="188"/>
    </row>
    <row r="126" spans="1:14">
      <c r="A126" s="161">
        <v>43938</v>
      </c>
      <c r="B126" s="162">
        <v>1.3288</v>
      </c>
      <c r="C126" s="171">
        <f t="shared" si="2"/>
        <v>7.5000000000000622E-3</v>
      </c>
      <c r="D126" s="168" t="str">
        <f t="shared" si="3"/>
        <v>/</v>
      </c>
      <c r="E126" s="168">
        <f ca="1">IF(表2_3671626293034522[[#This Row],[累计净值]]/MAX(INDIRECT("B21:B" &amp; ROW()))-1&lt;E125,表2_3671626293034522[[#This Row],[累计净值]]/MAX(INDIRECT("B21:B" &amp; ROW()))-1,E125)</f>
        <v>-2.6888392487796953E-2</v>
      </c>
      <c r="F126" s="172">
        <f>表2_3671626293034522[[#This Row],[累计净值]]</f>
        <v>1.3288</v>
      </c>
      <c r="G126" s="170">
        <f>表2_3671626293034522[[#This Row],[累计净值]]/$B$21-1</f>
        <v>0.11085102825614457</v>
      </c>
      <c r="J126" s="187"/>
      <c r="K126" s="188"/>
      <c r="L126" s="188"/>
      <c r="M126" s="188"/>
      <c r="N126" s="188"/>
    </row>
    <row r="127" spans="1:14">
      <c r="A127" s="161">
        <v>43941</v>
      </c>
      <c r="B127" s="162">
        <v>1.3280000000000001</v>
      </c>
      <c r="C127" s="171">
        <f t="shared" si="2"/>
        <v>-7.9999999999991189E-4</v>
      </c>
      <c r="D127" s="168">
        <f t="shared" si="3"/>
        <v>-7.9999999999991189E-4</v>
      </c>
      <c r="E127" s="168">
        <f ca="1">IF(表2_3671626293034522[[#This Row],[累计净值]]/MAX(INDIRECT("B21:B" &amp; ROW()))-1&lt;E126,表2_3671626293034522[[#This Row],[累计净值]]/MAX(INDIRECT("B21:B" &amp; ROW()))-1,E126)</f>
        <v>-2.6888392487796953E-2</v>
      </c>
      <c r="F127" s="172">
        <f>表2_3671626293034522[[#This Row],[累计净值]]</f>
        <v>1.3280000000000001</v>
      </c>
      <c r="G127" s="170">
        <f>表2_3671626293034522[[#This Row],[累计净值]]/$B$21-1</f>
        <v>0.11018224377194463</v>
      </c>
      <c r="J127" s="187"/>
      <c r="K127" s="188"/>
      <c r="L127" s="188"/>
      <c r="M127" s="188"/>
      <c r="N127" s="188"/>
    </row>
    <row r="128" spans="1:14">
      <c r="A128" s="161">
        <v>43942</v>
      </c>
      <c r="B128" s="162">
        <v>1.3273999999999999</v>
      </c>
      <c r="C128" s="171">
        <f t="shared" si="2"/>
        <v>-6.0000000000015596E-4</v>
      </c>
      <c r="D128" s="168">
        <f t="shared" si="3"/>
        <v>-6.0000000000015596E-4</v>
      </c>
      <c r="E128" s="168">
        <f ca="1">IF(表2_3671626293034522[[#This Row],[累计净值]]/MAX(INDIRECT("B21:B" &amp; ROW()))-1&lt;E127,表2_3671626293034522[[#This Row],[累计净值]]/MAX(INDIRECT("B21:B" &amp; ROW()))-1,E127)</f>
        <v>-2.6888392487796953E-2</v>
      </c>
      <c r="F128" s="172">
        <f>表2_3671626293034522[[#This Row],[累计净值]]</f>
        <v>1.3273999999999999</v>
      </c>
      <c r="G128" s="170">
        <f>表2_3671626293034522[[#This Row],[累计净值]]/$B$21-1</f>
        <v>0.10968065540879457</v>
      </c>
      <c r="J128" s="187"/>
      <c r="K128" s="188"/>
      <c r="L128" s="188"/>
      <c r="M128" s="188"/>
      <c r="N128" s="188"/>
    </row>
    <row r="129" spans="1:14">
      <c r="A129" s="161">
        <v>43943</v>
      </c>
      <c r="B129" s="162">
        <v>1.3275999999999999</v>
      </c>
      <c r="C129" s="171">
        <f t="shared" si="2"/>
        <v>1.9999999999997797E-4</v>
      </c>
      <c r="D129" s="168" t="str">
        <f t="shared" si="3"/>
        <v>/</v>
      </c>
      <c r="E129" s="168">
        <f ca="1">IF(表2_3671626293034522[[#This Row],[累计净值]]/MAX(INDIRECT("B21:B" &amp; ROW()))-1&lt;E128,表2_3671626293034522[[#This Row],[累计净值]]/MAX(INDIRECT("B21:B" &amp; ROW()))-1,E128)</f>
        <v>-2.6888392487796953E-2</v>
      </c>
      <c r="F129" s="172">
        <f>表2_3671626293034522[[#This Row],[累计净值]]</f>
        <v>1.3275999999999999</v>
      </c>
      <c r="G129" s="170">
        <f>表2_3671626293034522[[#This Row],[累计净值]]/$B$21-1</f>
        <v>0.10984785152984444</v>
      </c>
      <c r="J129" s="187"/>
      <c r="K129" s="188"/>
      <c r="L129" s="188"/>
      <c r="M129" s="188"/>
      <c r="N129" s="188"/>
    </row>
    <row r="130" spans="1:14">
      <c r="A130" s="161">
        <v>43944</v>
      </c>
      <c r="B130" s="162">
        <v>1.3232999999999999</v>
      </c>
      <c r="C130" s="171">
        <f t="shared" si="2"/>
        <v>-4.2999999999999705E-3</v>
      </c>
      <c r="D130" s="168">
        <f t="shared" si="3"/>
        <v>-4.2999999999999705E-3</v>
      </c>
      <c r="E130" s="168">
        <f ca="1">IF(表2_3671626293034522[[#This Row],[累计净值]]/MAX(INDIRECT("B21:B" &amp; ROW()))-1&lt;E129,表2_3671626293034522[[#This Row],[累计净值]]/MAX(INDIRECT("B21:B" &amp; ROW()))-1,E129)</f>
        <v>-2.6888392487796953E-2</v>
      </c>
      <c r="F130" s="172">
        <f>表2_3671626293034522[[#This Row],[累计净值]]</f>
        <v>1.3232999999999999</v>
      </c>
      <c r="G130" s="170">
        <f>表2_3671626293034522[[#This Row],[累计净值]]/$B$21-1</f>
        <v>0.10625313492726973</v>
      </c>
      <c r="J130" s="187"/>
      <c r="K130" s="188"/>
      <c r="L130" s="188"/>
      <c r="M130" s="188"/>
      <c r="N130" s="188"/>
    </row>
    <row r="131" spans="1:14">
      <c r="A131" s="161">
        <v>43945</v>
      </c>
      <c r="B131" s="162">
        <v>1.3272999999999999</v>
      </c>
      <c r="C131" s="171">
        <f t="shared" si="2"/>
        <v>4.0000000000000036E-3</v>
      </c>
      <c r="D131" s="168" t="str">
        <f t="shared" si="3"/>
        <v>/</v>
      </c>
      <c r="E131" s="168">
        <f ca="1">IF(表2_3671626293034522[[#This Row],[累计净值]]/MAX(INDIRECT("B21:B" &amp; ROW()))-1&lt;E130,表2_3671626293034522[[#This Row],[累计净值]]/MAX(INDIRECT("B21:B" &amp; ROW()))-1,E130)</f>
        <v>-2.6888392487796953E-2</v>
      </c>
      <c r="F131" s="172">
        <f>表2_3671626293034522[[#This Row],[累计净值]]</f>
        <v>1.3272999999999999</v>
      </c>
      <c r="G131" s="170">
        <f>表2_3671626293034522[[#This Row],[累计净值]]/$B$21-1</f>
        <v>0.10959705734826941</v>
      </c>
      <c r="J131" s="187"/>
      <c r="K131" s="188"/>
      <c r="L131" s="188"/>
      <c r="M131" s="188"/>
      <c r="N131" s="188"/>
    </row>
    <row r="132" spans="1:14">
      <c r="A132" s="161">
        <v>43948</v>
      </c>
      <c r="B132" s="162">
        <v>1.3302</v>
      </c>
      <c r="C132" s="171">
        <f t="shared" si="2"/>
        <v>2.9000000000001247E-3</v>
      </c>
      <c r="D132" s="168" t="str">
        <f t="shared" si="3"/>
        <v>/</v>
      </c>
      <c r="E132" s="168">
        <f ca="1">IF(表2_3671626293034522[[#This Row],[累计净值]]/MAX(INDIRECT("B21:B" &amp; ROW()))-1&lt;E131,表2_3671626293034522[[#This Row],[累计净值]]/MAX(INDIRECT("B21:B" &amp; ROW()))-1,E131)</f>
        <v>-2.6888392487796953E-2</v>
      </c>
      <c r="F132" s="172">
        <f>表2_3671626293034522[[#This Row],[累计净值]]</f>
        <v>1.3302</v>
      </c>
      <c r="G132" s="170">
        <f>表2_3671626293034522[[#This Row],[累计净值]]/$B$21-1</f>
        <v>0.11202140110349457</v>
      </c>
      <c r="J132" s="187"/>
      <c r="K132" s="188"/>
      <c r="L132" s="188"/>
      <c r="M132" s="188"/>
      <c r="N132" s="188"/>
    </row>
    <row r="133" spans="1:14">
      <c r="A133" s="161">
        <v>43949</v>
      </c>
      <c r="B133" s="162">
        <v>1.3312999999999999</v>
      </c>
      <c r="C133" s="171">
        <f t="shared" si="2"/>
        <v>1.0999999999998789E-3</v>
      </c>
      <c r="D133" s="168" t="str">
        <f t="shared" si="3"/>
        <v>/</v>
      </c>
      <c r="E133" s="168">
        <f ca="1">IF(表2_3671626293034522[[#This Row],[累计净值]]/MAX(INDIRECT("B21:B" &amp; ROW()))-1&lt;E132,表2_3671626293034522[[#This Row],[累计净值]]/MAX(INDIRECT("B21:B" &amp; ROW()))-1,E132)</f>
        <v>-2.6888392487796953E-2</v>
      </c>
      <c r="F133" s="172">
        <f>表2_3671626293034522[[#This Row],[累计净值]]</f>
        <v>1.3312999999999999</v>
      </c>
      <c r="G133" s="170">
        <f>表2_3671626293034522[[#This Row],[累计净值]]/$B$21-1</f>
        <v>0.11294097976926931</v>
      </c>
      <c r="J133" s="187"/>
      <c r="K133" s="188"/>
      <c r="L133" s="188"/>
      <c r="M133" s="188"/>
      <c r="N133" s="188"/>
    </row>
    <row r="134" spans="1:14">
      <c r="A134" s="161">
        <v>43950</v>
      </c>
      <c r="B134" s="162">
        <v>1.3340000000000001</v>
      </c>
      <c r="C134" s="171">
        <f t="shared" si="2"/>
        <v>2.7000000000001467E-3</v>
      </c>
      <c r="D134" s="168" t="str">
        <f t="shared" si="3"/>
        <v>/</v>
      </c>
      <c r="E134" s="168">
        <f ca="1">IF(表2_3671626293034522[[#This Row],[累计净值]]/MAX(INDIRECT("B21:B" &amp; ROW()))-1&lt;E133,表2_3671626293034522[[#This Row],[累计净值]]/MAX(INDIRECT("B21:B" &amp; ROW()))-1,E133)</f>
        <v>-2.6888392487796953E-2</v>
      </c>
      <c r="F134" s="172">
        <f>表2_3671626293034522[[#This Row],[累计净值]]</f>
        <v>1.3340000000000001</v>
      </c>
      <c r="G134" s="170">
        <f>表2_3671626293034522[[#This Row],[累计净值]]/$B$21-1</f>
        <v>0.11519812740344437</v>
      </c>
      <c r="J134" s="187"/>
      <c r="K134" s="188"/>
      <c r="L134" s="188"/>
      <c r="M134" s="188"/>
      <c r="N134" s="188"/>
    </row>
    <row r="135" spans="1:14">
      <c r="A135" s="161">
        <v>43951</v>
      </c>
      <c r="B135" s="162">
        <v>1.3362000000000001</v>
      </c>
      <c r="C135" s="171">
        <f t="shared" si="2"/>
        <v>2.1999999999999797E-3</v>
      </c>
      <c r="D135" s="168" t="str">
        <f t="shared" si="3"/>
        <v>/</v>
      </c>
      <c r="E135" s="168">
        <f ca="1">IF(表2_3671626293034522[[#This Row],[累计净值]]/MAX(INDIRECT("B21:B" &amp; ROW()))-1&lt;E134,表2_3671626293034522[[#This Row],[累计净值]]/MAX(INDIRECT("B21:B" &amp; ROW()))-1,E134)</f>
        <v>-2.6888392487796953E-2</v>
      </c>
      <c r="F135" s="172">
        <f>表2_3671626293034522[[#This Row],[累计净值]]</f>
        <v>1.3362000000000001</v>
      </c>
      <c r="G135" s="170">
        <f>表2_3671626293034522[[#This Row],[累计净值]]/$B$21-1</f>
        <v>0.11703728473499431</v>
      </c>
      <c r="J135" s="187"/>
      <c r="K135" s="188"/>
      <c r="L135" s="188"/>
      <c r="M135" s="188"/>
      <c r="N135" s="188"/>
    </row>
    <row r="136" spans="1:14">
      <c r="A136" s="161">
        <v>43957</v>
      </c>
      <c r="B136" s="162">
        <v>1.3363</v>
      </c>
      <c r="C136" s="171">
        <f t="shared" si="2"/>
        <v>9.9999999999988987E-5</v>
      </c>
      <c r="D136" s="168" t="str">
        <f t="shared" si="3"/>
        <v>/</v>
      </c>
      <c r="E136" s="168">
        <f ca="1">IF(表2_3671626293034522[[#This Row],[累计净值]]/MAX(INDIRECT("B21:B" &amp; ROW()))-1&lt;E135,表2_3671626293034522[[#This Row],[累计净值]]/MAX(INDIRECT("B21:B" &amp; ROW()))-1,E135)</f>
        <v>-2.6888392487796953E-2</v>
      </c>
      <c r="F136" s="172">
        <f>表2_3671626293034522[[#This Row],[累计净值]]</f>
        <v>1.3363</v>
      </c>
      <c r="G136" s="170">
        <f>表2_3671626293034522[[#This Row],[累计净值]]/$B$21-1</f>
        <v>0.11712088279551924</v>
      </c>
      <c r="J136" s="187"/>
      <c r="K136" s="188"/>
      <c r="L136" s="188"/>
      <c r="M136" s="188"/>
      <c r="N136" s="188"/>
    </row>
    <row r="137" spans="1:14">
      <c r="A137" s="161">
        <v>43958</v>
      </c>
      <c r="B137" s="162">
        <v>1.3357000000000001</v>
      </c>
      <c r="C137" s="171">
        <f t="shared" si="2"/>
        <v>-5.9999999999993392E-4</v>
      </c>
      <c r="D137" s="168">
        <f t="shared" si="3"/>
        <v>-5.9999999999993392E-4</v>
      </c>
      <c r="E137" s="168">
        <f ca="1">IF(表2_3671626293034522[[#This Row],[累计净值]]/MAX(INDIRECT("B21:B" &amp; ROW()))-1&lt;E136,表2_3671626293034522[[#This Row],[累计净值]]/MAX(INDIRECT("B21:B" &amp; ROW()))-1,E136)</f>
        <v>-2.6888392487796953E-2</v>
      </c>
      <c r="F137" s="172">
        <f>表2_3671626293034522[[#This Row],[累计净值]]</f>
        <v>1.3357000000000001</v>
      </c>
      <c r="G137" s="170">
        <f>表2_3671626293034522[[#This Row],[累计净值]]/$B$21-1</f>
        <v>0.1166192944323694</v>
      </c>
      <c r="J137" s="187"/>
      <c r="K137" s="188"/>
      <c r="L137" s="188"/>
      <c r="M137" s="188"/>
      <c r="N137" s="188"/>
    </row>
    <row r="138" spans="1:14">
      <c r="A138" s="161">
        <v>43959</v>
      </c>
      <c r="B138" s="178">
        <v>1.3396999999999999</v>
      </c>
      <c r="C138" s="171">
        <f t="shared" si="2"/>
        <v>3.9999999999997815E-3</v>
      </c>
      <c r="D138" s="168" t="str">
        <f t="shared" si="3"/>
        <v>/</v>
      </c>
      <c r="E138" s="168">
        <f ca="1">IF(表2_3671626293034522[[#This Row],[累计净值]]/MAX(INDIRECT("B21:B" &amp; ROW()))-1&lt;E137,表2_3671626293034522[[#This Row],[累计净值]]/MAX(INDIRECT("B21:B" &amp; ROW()))-1,E137)</f>
        <v>-2.6888392487796953E-2</v>
      </c>
      <c r="F138" s="172">
        <f>表2_3671626293034522[[#This Row],[累计净值]]</f>
        <v>1.3396999999999999</v>
      </c>
      <c r="G138" s="170">
        <f>表2_3671626293034522[[#This Row],[累计净值]]/$B$21-1</f>
        <v>0.11996321685336908</v>
      </c>
      <c r="J138" s="187"/>
      <c r="K138" s="188"/>
      <c r="L138" s="188"/>
      <c r="M138" s="188"/>
      <c r="N138" s="188"/>
    </row>
    <row r="139" spans="1:14">
      <c r="A139" s="161">
        <v>43962</v>
      </c>
      <c r="B139" s="162">
        <v>1.3367</v>
      </c>
      <c r="C139" s="171">
        <f t="shared" si="2"/>
        <v>-2.9999999999998916E-3</v>
      </c>
      <c r="D139" s="168">
        <f t="shared" si="3"/>
        <v>-2.9999999999998916E-3</v>
      </c>
      <c r="E139" s="168">
        <f ca="1">IF(表2_3671626293034522[[#This Row],[累计净值]]/MAX(INDIRECT("B21:B" &amp; ROW()))-1&lt;E138,表2_3671626293034522[[#This Row],[累计净值]]/MAX(INDIRECT("B21:B" &amp; ROW()))-1,E138)</f>
        <v>-2.6888392487796953E-2</v>
      </c>
      <c r="F139" s="172">
        <f>表2_3671626293034522[[#This Row],[累计净值]]</f>
        <v>1.3367</v>
      </c>
      <c r="G139" s="170">
        <f>表2_3671626293034522[[#This Row],[累计净值]]/$B$21-1</f>
        <v>0.11745527503761921</v>
      </c>
      <c r="J139" s="187"/>
      <c r="K139" s="188"/>
      <c r="L139" s="188"/>
      <c r="M139" s="188"/>
      <c r="N139" s="188"/>
    </row>
    <row r="140" spans="1:14">
      <c r="A140" s="161">
        <v>43963</v>
      </c>
      <c r="B140" s="162">
        <v>1.3374999999999999</v>
      </c>
      <c r="C140" s="171">
        <f t="shared" si="2"/>
        <v>7.9999999999991189E-4</v>
      </c>
      <c r="D140" s="168" t="str">
        <f t="shared" si="3"/>
        <v>/</v>
      </c>
      <c r="E140" s="168">
        <f ca="1">IF(表2_3671626293034522[[#This Row],[累计净值]]/MAX(INDIRECT("B21:B" &amp; ROW()))-1&lt;E139,表2_3671626293034522[[#This Row],[累计净值]]/MAX(INDIRECT("B21:B" &amp; ROW()))-1,E139)</f>
        <v>-2.6888392487796953E-2</v>
      </c>
      <c r="F140" s="172">
        <f>表2_3671626293034522[[#This Row],[累计净值]]</f>
        <v>1.3374999999999999</v>
      </c>
      <c r="G140" s="170">
        <f>表2_3671626293034522[[#This Row],[累计净值]]/$B$21-1</f>
        <v>0.11812405952181915</v>
      </c>
      <c r="J140" s="187"/>
      <c r="K140" s="188"/>
      <c r="L140" s="188"/>
      <c r="M140" s="188"/>
      <c r="N140" s="188"/>
    </row>
    <row r="141" spans="1:14">
      <c r="A141" s="161">
        <v>43964</v>
      </c>
      <c r="B141" s="162">
        <v>1.3387</v>
      </c>
      <c r="C141" s="171">
        <f t="shared" si="2"/>
        <v>1.2000000000000899E-3</v>
      </c>
      <c r="D141" s="168" t="str">
        <f t="shared" si="3"/>
        <v>/</v>
      </c>
      <c r="E141" s="168">
        <f ca="1">IF(表2_3671626293034522[[#This Row],[累计净值]]/MAX(INDIRECT("B21:B" &amp; ROW()))-1&lt;E140,表2_3671626293034522[[#This Row],[累计净值]]/MAX(INDIRECT("B21:B" &amp; ROW()))-1,E140)</f>
        <v>-2.6888392487796953E-2</v>
      </c>
      <c r="F141" s="172">
        <f>表2_3671626293034522[[#This Row],[累计净值]]</f>
        <v>1.3387</v>
      </c>
      <c r="G141" s="170">
        <f>表2_3671626293034522[[#This Row],[累计净值]]/$B$21-1</f>
        <v>0.11912723624811905</v>
      </c>
      <c r="J141" s="187"/>
      <c r="K141" s="188"/>
      <c r="L141" s="188"/>
      <c r="M141" s="188"/>
      <c r="N141" s="188"/>
    </row>
    <row r="142" spans="1:14">
      <c r="A142" s="161">
        <v>43965</v>
      </c>
      <c r="B142" s="162">
        <v>1.3368</v>
      </c>
      <c r="C142" s="171">
        <f t="shared" si="2"/>
        <v>-1.9000000000000128E-3</v>
      </c>
      <c r="D142" s="168">
        <f t="shared" si="3"/>
        <v>-1.9000000000000128E-3</v>
      </c>
      <c r="E142" s="168">
        <f ca="1">IF(表2_3671626293034522[[#This Row],[累计净值]]/MAX(INDIRECT("B21:B" &amp; ROW()))-1&lt;E141,表2_3671626293034522[[#This Row],[累计净值]]/MAX(INDIRECT("B21:B" &amp; ROW()))-1,E141)</f>
        <v>-2.6888392487796953E-2</v>
      </c>
      <c r="F142" s="172">
        <f>表2_3671626293034522[[#This Row],[累计净值]]</f>
        <v>1.3368</v>
      </c>
      <c r="G142" s="170">
        <f>表2_3671626293034522[[#This Row],[累计净值]]/$B$21-1</f>
        <v>0.11753887309814415</v>
      </c>
      <c r="J142" s="187"/>
      <c r="K142" s="188"/>
      <c r="L142" s="188"/>
      <c r="M142" s="188"/>
      <c r="N142" s="188"/>
    </row>
    <row r="143" spans="1:14">
      <c r="A143" s="161">
        <v>43966</v>
      </c>
      <c r="B143" s="162">
        <v>1.3347</v>
      </c>
      <c r="C143" s="171">
        <f t="shared" si="2"/>
        <v>-2.0999999999999908E-3</v>
      </c>
      <c r="D143" s="168">
        <f t="shared" si="3"/>
        <v>-2.0999999999999908E-3</v>
      </c>
      <c r="E143" s="168">
        <f ca="1">IF(表2_3671626293034522[[#This Row],[累计净值]]/MAX(INDIRECT("B21:B" &amp; ROW()))-1&lt;E142,表2_3671626293034522[[#This Row],[累计净值]]/MAX(INDIRECT("B21:B" &amp; ROW()))-1,E142)</f>
        <v>-2.6888392487796953E-2</v>
      </c>
      <c r="F143" s="172">
        <f>表2_3671626293034522[[#This Row],[累计净值]]</f>
        <v>1.3347</v>
      </c>
      <c r="G143" s="170">
        <f>表2_3671626293034522[[#This Row],[累计净值]]/$B$21-1</f>
        <v>0.11578331382711937</v>
      </c>
      <c r="J143" s="187"/>
      <c r="K143" s="188"/>
      <c r="L143" s="188"/>
      <c r="M143" s="188"/>
      <c r="N143" s="188"/>
    </row>
    <row r="144" spans="1:14">
      <c r="A144" s="161">
        <v>43969</v>
      </c>
      <c r="B144" s="162">
        <v>1.3289</v>
      </c>
      <c r="C144" s="171">
        <f t="shared" si="2"/>
        <v>-5.8000000000000274E-3</v>
      </c>
      <c r="D144" s="168">
        <f t="shared" si="3"/>
        <v>-5.8000000000000274E-3</v>
      </c>
      <c r="E144" s="168">
        <f ca="1">IF(表2_3671626293034522[[#This Row],[累计净值]]/MAX(INDIRECT("B21:B" &amp; ROW()))-1&lt;E143,表2_3671626293034522[[#This Row],[累计净值]]/MAX(INDIRECT("B21:B" &amp; ROW()))-1,E143)</f>
        <v>-2.6888392487796953E-2</v>
      </c>
      <c r="F144" s="172">
        <f>表2_3671626293034522[[#This Row],[累计净值]]</f>
        <v>1.3289</v>
      </c>
      <c r="G144" s="170">
        <f>表2_3671626293034522[[#This Row],[累计净值]]/$B$21-1</f>
        <v>0.1109346263166695</v>
      </c>
      <c r="J144" s="187"/>
      <c r="K144" s="188"/>
      <c r="L144" s="188"/>
      <c r="M144" s="188"/>
      <c r="N144" s="188"/>
    </row>
    <row r="145" spans="1:14">
      <c r="A145" s="161">
        <v>43970</v>
      </c>
      <c r="B145" s="162">
        <v>1.3364</v>
      </c>
      <c r="C145" s="171">
        <f t="shared" si="2"/>
        <v>7.5000000000000622E-3</v>
      </c>
      <c r="D145" s="168" t="str">
        <f t="shared" si="3"/>
        <v>/</v>
      </c>
      <c r="E145" s="168">
        <f ca="1">IF(表2_3671626293034522[[#This Row],[累计净值]]/MAX(INDIRECT("B21:B" &amp; ROW()))-1&lt;E144,表2_3671626293034522[[#This Row],[累计净值]]/MAX(INDIRECT("B21:B" &amp; ROW()))-1,E144)</f>
        <v>-2.6888392487796953E-2</v>
      </c>
      <c r="F145" s="172">
        <f>表2_3671626293034522[[#This Row],[累计净值]]</f>
        <v>1.3364</v>
      </c>
      <c r="G145" s="170">
        <f>表2_3671626293034522[[#This Row],[累计净值]]/$B$21-1</f>
        <v>0.11720448085604418</v>
      </c>
      <c r="J145" s="187"/>
      <c r="K145" s="188"/>
      <c r="L145" s="188"/>
      <c r="M145" s="188"/>
      <c r="N145" s="188"/>
    </row>
    <row r="146" spans="1:14">
      <c r="A146" s="161">
        <v>43971</v>
      </c>
      <c r="B146" s="162">
        <v>1.3344</v>
      </c>
      <c r="C146" s="171">
        <f t="shared" si="2"/>
        <v>-2.0000000000000018E-3</v>
      </c>
      <c r="D146" s="168">
        <f t="shared" si="3"/>
        <v>-2.0000000000000018E-3</v>
      </c>
      <c r="E146" s="168">
        <f ca="1">IF(表2_3671626293034522[[#This Row],[累计净值]]/MAX(INDIRECT("B21:B" &amp; ROW()))-1&lt;E145,表2_3671626293034522[[#This Row],[累计净值]]/MAX(INDIRECT("B21:B" &amp; ROW()))-1,E145)</f>
        <v>-2.6888392487796953E-2</v>
      </c>
      <c r="F146" s="172">
        <f>表2_3671626293034522[[#This Row],[累计净值]]</f>
        <v>1.3344</v>
      </c>
      <c r="G146" s="170">
        <f>表2_3671626293034522[[#This Row],[累计净值]]/$B$21-1</f>
        <v>0.11553251964554434</v>
      </c>
      <c r="J146" s="187"/>
      <c r="K146" s="188"/>
      <c r="L146" s="188"/>
      <c r="M146" s="188"/>
      <c r="N146" s="188"/>
    </row>
    <row r="147" spans="1:14">
      <c r="A147" s="161">
        <v>43972</v>
      </c>
      <c r="B147" s="162">
        <v>1.3345</v>
      </c>
      <c r="C147" s="171">
        <f t="shared" si="2"/>
        <v>9.9999999999988987E-5</v>
      </c>
      <c r="D147" s="168" t="str">
        <f t="shared" si="3"/>
        <v>/</v>
      </c>
      <c r="E147" s="168">
        <f ca="1">IF(表2_3671626293034522[[#This Row],[累计净值]]/MAX(INDIRECT("B21:B" &amp; ROW()))-1&lt;E146,表2_3671626293034522[[#This Row],[累计净值]]/MAX(INDIRECT("B21:B" &amp; ROW()))-1,E146)</f>
        <v>-2.6888392487796953E-2</v>
      </c>
      <c r="F147" s="172">
        <f>表2_3671626293034522[[#This Row],[累计净值]]</f>
        <v>1.3345</v>
      </c>
      <c r="G147" s="170">
        <f>表2_3671626293034522[[#This Row],[累计净值]]/$B$21-1</f>
        <v>0.11561611770606928</v>
      </c>
      <c r="J147" s="187"/>
      <c r="K147" s="188"/>
      <c r="L147" s="188"/>
      <c r="M147" s="188"/>
      <c r="N147" s="188"/>
    </row>
    <row r="148" spans="1:14">
      <c r="A148" s="161">
        <v>43973</v>
      </c>
      <c r="B148" s="162">
        <v>1.3340000000000001</v>
      </c>
      <c r="C148" s="171">
        <f t="shared" si="2"/>
        <v>-4.9999999999994493E-4</v>
      </c>
      <c r="D148" s="168">
        <f t="shared" si="3"/>
        <v>-4.9999999999994493E-4</v>
      </c>
      <c r="E148" s="168">
        <f ca="1">IF(表2_3671626293034522[[#This Row],[累计净值]]/MAX(INDIRECT("B21:B" &amp; ROW()))-1&lt;E147,表2_3671626293034522[[#This Row],[累计净值]]/MAX(INDIRECT("B21:B" &amp; ROW()))-1,E147)</f>
        <v>-2.6888392487796953E-2</v>
      </c>
      <c r="F148" s="172">
        <f>表2_3671626293034522[[#This Row],[累计净值]]</f>
        <v>1.3340000000000001</v>
      </c>
      <c r="G148" s="170">
        <f>表2_3671626293034522[[#This Row],[累计净值]]/$B$21-1</f>
        <v>0.11519812740344437</v>
      </c>
      <c r="J148" s="187"/>
      <c r="K148" s="188"/>
      <c r="L148" s="188"/>
      <c r="M148" s="188"/>
      <c r="N148" s="188"/>
    </row>
    <row r="149" spans="1:14">
      <c r="A149" s="161">
        <v>43976</v>
      </c>
      <c r="B149" s="162">
        <v>1.335</v>
      </c>
      <c r="C149" s="171">
        <f t="shared" si="2"/>
        <v>9.9999999999988987E-4</v>
      </c>
      <c r="D149" s="168" t="str">
        <f t="shared" si="3"/>
        <v>/</v>
      </c>
      <c r="E149" s="168">
        <f ca="1">IF(表2_3671626293034522[[#This Row],[累计净值]]/MAX(INDIRECT("B21:B" &amp; ROW()))-1&lt;E148,表2_3671626293034522[[#This Row],[累计净值]]/MAX(INDIRECT("B21:B" &amp; ROW()))-1,E148)</f>
        <v>-2.6888392487796953E-2</v>
      </c>
      <c r="F149" s="172">
        <f>表2_3671626293034522[[#This Row],[累计净值]]</f>
        <v>1.335</v>
      </c>
      <c r="G149" s="170">
        <f>表2_3671626293034522[[#This Row],[累计净值]]/$B$21-1</f>
        <v>0.11603410800869418</v>
      </c>
      <c r="J149" s="187"/>
      <c r="K149" s="188"/>
      <c r="L149" s="188"/>
      <c r="M149" s="188"/>
      <c r="N149" s="188"/>
    </row>
    <row r="150" spans="1:14">
      <c r="A150" s="161">
        <v>43977</v>
      </c>
      <c r="B150" s="162">
        <v>1.3343</v>
      </c>
      <c r="C150" s="171">
        <f t="shared" si="2"/>
        <v>-6.9999999999992291E-4</v>
      </c>
      <c r="D150" s="168">
        <f t="shared" si="3"/>
        <v>-6.9999999999992291E-4</v>
      </c>
      <c r="E150" s="168">
        <f ca="1">IF(表2_3671626293034522[[#This Row],[累计净值]]/MAX(INDIRECT("B21:B" &amp; ROW()))-1&lt;E149,表2_3671626293034522[[#This Row],[累计净值]]/MAX(INDIRECT("B21:B" &amp; ROW()))-1,E149)</f>
        <v>-2.6888392487796953E-2</v>
      </c>
      <c r="F150" s="172">
        <f>表2_3671626293034522[[#This Row],[累计净值]]</f>
        <v>1.3343</v>
      </c>
      <c r="G150" s="170">
        <f>表2_3671626293034522[[#This Row],[累计净值]]/$B$21-1</f>
        <v>0.1154489215850194</v>
      </c>
      <c r="J150" s="187"/>
      <c r="K150" s="188"/>
      <c r="L150" s="188"/>
      <c r="M150" s="188"/>
      <c r="N150" s="188"/>
    </row>
    <row r="151" spans="1:14">
      <c r="A151" s="161">
        <v>43978</v>
      </c>
      <c r="B151" s="162">
        <v>1.3341000000000001</v>
      </c>
      <c r="C151" s="171">
        <f t="shared" si="2"/>
        <v>-1.9999999999997797E-4</v>
      </c>
      <c r="D151" s="168">
        <f t="shared" si="3"/>
        <v>-1.9999999999997797E-4</v>
      </c>
      <c r="E151" s="168">
        <f ca="1">IF(表2_3671626293034522[[#This Row],[累计净值]]/MAX(INDIRECT("B21:B" &amp; ROW()))-1&lt;E150,表2_3671626293034522[[#This Row],[累计净值]]/MAX(INDIRECT("B21:B" &amp; ROW()))-1,E150)</f>
        <v>-2.6888392487796953E-2</v>
      </c>
      <c r="F151" s="172">
        <f>表2_3671626293034522[[#This Row],[累计净值]]</f>
        <v>1.3341000000000001</v>
      </c>
      <c r="G151" s="170">
        <f>表2_3671626293034522[[#This Row],[累计净值]]/$B$21-1</f>
        <v>0.11528172546396931</v>
      </c>
      <c r="J151" s="187"/>
      <c r="K151" s="188"/>
      <c r="L151" s="188"/>
      <c r="M151" s="188"/>
      <c r="N151" s="188"/>
    </row>
    <row r="152" spans="1:14">
      <c r="A152" s="161">
        <v>43979</v>
      </c>
      <c r="B152" s="162">
        <v>1.3331</v>
      </c>
      <c r="C152" s="171">
        <f t="shared" ref="C152:C163" si="4">IFERROR(B152-B151,0)</f>
        <v>-1.0000000000001119E-3</v>
      </c>
      <c r="D152" s="168">
        <f t="shared" si="3"/>
        <v>-1.0000000000001119E-3</v>
      </c>
      <c r="E152" s="168">
        <f ca="1">IF(表2_3671626293034522[[#This Row],[累计净值]]/MAX(INDIRECT("B21:B" &amp; ROW()))-1&lt;E151,表2_3671626293034522[[#This Row],[累计净值]]/MAX(INDIRECT("B21:B" &amp; ROW()))-1,E151)</f>
        <v>-2.6888392487796953E-2</v>
      </c>
      <c r="F152" s="172">
        <f>表2_3671626293034522[[#This Row],[累计净值]]</f>
        <v>1.3331</v>
      </c>
      <c r="G152" s="170">
        <f>表2_3671626293034522[[#This Row],[累计净值]]/$B$21-1</f>
        <v>0.11444574485871928</v>
      </c>
      <c r="J152" s="187"/>
      <c r="K152" s="188"/>
      <c r="L152" s="188"/>
      <c r="M152" s="188"/>
      <c r="N152" s="188"/>
    </row>
    <row r="153" spans="1:14">
      <c r="A153" s="161">
        <v>43980</v>
      </c>
      <c r="B153" s="162">
        <v>1.3321000000000001</v>
      </c>
      <c r="C153" s="171">
        <f t="shared" si="4"/>
        <v>-9.9999999999988987E-4</v>
      </c>
      <c r="D153" s="168">
        <f t="shared" si="3"/>
        <v>-9.9999999999988987E-4</v>
      </c>
      <c r="E153" s="168">
        <f ca="1">IF(表2_3671626293034522[[#This Row],[累计净值]]/MAX(INDIRECT("B21:B" &amp; ROW()))-1&lt;E152,表2_3671626293034522[[#This Row],[累计净值]]/MAX(INDIRECT("B21:B" &amp; ROW()))-1,E152)</f>
        <v>-2.6888392487796953E-2</v>
      </c>
      <c r="F153" s="172">
        <f>表2_3671626293034522[[#This Row],[累计净值]]</f>
        <v>1.3321000000000001</v>
      </c>
      <c r="G153" s="170">
        <f>表2_3671626293034522[[#This Row],[累计净值]]/$B$21-1</f>
        <v>0.11360976425346947</v>
      </c>
      <c r="J153" s="187"/>
      <c r="K153" s="188"/>
      <c r="L153" s="188"/>
      <c r="M153" s="188"/>
      <c r="N153" s="188"/>
    </row>
    <row r="154" spans="1:14">
      <c r="A154" s="161">
        <v>43983</v>
      </c>
      <c r="B154" s="162">
        <v>1.3297000000000001</v>
      </c>
      <c r="C154" s="171">
        <f t="shared" si="4"/>
        <v>-2.3999999999999577E-3</v>
      </c>
      <c r="D154" s="168">
        <f t="shared" ref="D154:D163" si="5">IF(C154&lt;0,C154,"/")</f>
        <v>-2.3999999999999577E-3</v>
      </c>
      <c r="E154" s="168">
        <f ca="1">IF(表2_3671626293034522[[#This Row],[累计净值]]/MAX(INDIRECT("B21:B" &amp; ROW()))-1&lt;E153,表2_3671626293034522[[#This Row],[累计净值]]/MAX(INDIRECT("B21:B" &amp; ROW()))-1,E153)</f>
        <v>-2.6888392487796953E-2</v>
      </c>
      <c r="F154" s="172">
        <f>表2_3671626293034522[[#This Row],[累计净值]]</f>
        <v>1.3297000000000001</v>
      </c>
      <c r="G154" s="170">
        <f>表2_3671626293034522[[#This Row],[累计净值]]/$B$21-1</f>
        <v>0.11160341080086966</v>
      </c>
      <c r="J154" s="187"/>
      <c r="K154" s="188"/>
      <c r="L154" s="188"/>
      <c r="M154" s="188"/>
      <c r="N154" s="188"/>
    </row>
    <row r="155" spans="1:14">
      <c r="A155" s="161">
        <v>43984</v>
      </c>
      <c r="B155" s="162">
        <v>1.3324</v>
      </c>
      <c r="C155" s="171">
        <f t="shared" si="4"/>
        <v>2.6999999999999247E-3</v>
      </c>
      <c r="D155" s="168" t="str">
        <f t="shared" si="5"/>
        <v>/</v>
      </c>
      <c r="E155" s="168">
        <f ca="1">IF(表2_3671626293034522[[#This Row],[累计净值]]/MAX(INDIRECT("B21:B" &amp; ROW()))-1&lt;E154,表2_3671626293034522[[#This Row],[累计净值]]/MAX(INDIRECT("B21:B" &amp; ROW()))-1,E154)</f>
        <v>-2.6888392487796953E-2</v>
      </c>
      <c r="F155" s="172">
        <f>表2_3671626293034522[[#This Row],[累计净值]]</f>
        <v>1.3324</v>
      </c>
      <c r="G155" s="170">
        <f>表2_3671626293034522[[#This Row],[累计净值]]/$B$21-1</f>
        <v>0.1138605584350445</v>
      </c>
      <c r="J155" s="187"/>
      <c r="K155" s="188"/>
      <c r="L155" s="188"/>
      <c r="M155" s="188"/>
      <c r="N155" s="188"/>
    </row>
    <row r="156" spans="1:14">
      <c r="A156" s="161">
        <v>43985</v>
      </c>
      <c r="B156" s="162">
        <v>1.3324</v>
      </c>
      <c r="C156" s="171">
        <f t="shared" si="4"/>
        <v>0</v>
      </c>
      <c r="D156" s="168" t="str">
        <f t="shared" si="5"/>
        <v>/</v>
      </c>
      <c r="E156" s="168">
        <f ca="1">IF(表2_3671626293034522[[#This Row],[累计净值]]/MAX(INDIRECT("B21:B" &amp; ROW()))-1&lt;E155,表2_3671626293034522[[#This Row],[累计净值]]/MAX(INDIRECT("B21:B" &amp; ROW()))-1,E155)</f>
        <v>-2.6888392487796953E-2</v>
      </c>
      <c r="F156" s="172">
        <f>表2_3671626293034522[[#This Row],[累计净值]]</f>
        <v>1.3324</v>
      </c>
      <c r="G156" s="170">
        <f>表2_3671626293034522[[#This Row],[累计净值]]/$B$21-1</f>
        <v>0.1138605584350445</v>
      </c>
      <c r="J156" s="187"/>
      <c r="K156" s="188"/>
      <c r="L156" s="188"/>
      <c r="M156" s="188"/>
      <c r="N156" s="188"/>
    </row>
    <row r="157" spans="1:14">
      <c r="A157" s="161">
        <v>43986</v>
      </c>
      <c r="B157" s="162">
        <v>1.3328</v>
      </c>
      <c r="C157" s="171">
        <f t="shared" si="4"/>
        <v>3.9999999999995595E-4</v>
      </c>
      <c r="D157" s="168" t="str">
        <f t="shared" si="5"/>
        <v>/</v>
      </c>
      <c r="E157" s="168">
        <f ca="1">IF(表2_3671626293034522[[#This Row],[累计净值]]/MAX(INDIRECT("B21:B" &amp; ROW()))-1&lt;E156,表2_3671626293034522[[#This Row],[累计净值]]/MAX(INDIRECT("B21:B" &amp; ROW()))-1,E156)</f>
        <v>-2.6888392487796953E-2</v>
      </c>
      <c r="F157" s="172">
        <f>表2_3671626293034522[[#This Row],[累计净值]]</f>
        <v>1.3328</v>
      </c>
      <c r="G157" s="170">
        <f>表2_3671626293034522[[#This Row],[累计净值]]/$B$21-1</f>
        <v>0.11419495067714425</v>
      </c>
      <c r="J157" s="187"/>
      <c r="K157" s="188"/>
      <c r="L157" s="188"/>
      <c r="M157" s="188"/>
      <c r="N157" s="188"/>
    </row>
    <row r="158" spans="1:14">
      <c r="A158" s="161">
        <v>43987</v>
      </c>
      <c r="B158" s="162">
        <v>1.3332999999999999</v>
      </c>
      <c r="C158" s="171">
        <f t="shared" si="4"/>
        <v>4.9999999999994493E-4</v>
      </c>
      <c r="D158" s="168" t="str">
        <f t="shared" si="5"/>
        <v>/</v>
      </c>
      <c r="E158" s="168">
        <f ca="1">IF(表2_3671626293034522[[#This Row],[累计净值]]/MAX(INDIRECT("B21:B" &amp; ROW()))-1&lt;E157,表2_3671626293034522[[#This Row],[累计净值]]/MAX(INDIRECT("B21:B" &amp; ROW()))-1,E157)</f>
        <v>-2.6888392487796953E-2</v>
      </c>
      <c r="F158" s="172">
        <f>表2_3671626293034522[[#This Row],[累计净值]]</f>
        <v>1.3332999999999999</v>
      </c>
      <c r="G158" s="170">
        <f>表2_3671626293034522[[#This Row],[累计净值]]/$B$21-1</f>
        <v>0.11461294097976937</v>
      </c>
      <c r="J158" s="187"/>
      <c r="K158" s="188"/>
      <c r="L158" s="188"/>
      <c r="M158" s="188"/>
      <c r="N158" s="188"/>
    </row>
    <row r="159" spans="1:14">
      <c r="A159" s="161">
        <v>43990</v>
      </c>
      <c r="B159" s="162">
        <v>1.333</v>
      </c>
      <c r="C159" s="171">
        <f t="shared" si="4"/>
        <v>-2.9999999999996696E-4</v>
      </c>
      <c r="D159" s="168">
        <f t="shared" si="5"/>
        <v>-2.9999999999996696E-4</v>
      </c>
      <c r="E159" s="168">
        <f ca="1">IF(表2_3671626293034522[[#This Row],[累计净值]]/MAX(INDIRECT("B21:B" &amp; ROW()))-1&lt;E158,表2_3671626293034522[[#This Row],[累计净值]]/MAX(INDIRECT("B21:B" &amp; ROW()))-1,E158)</f>
        <v>-2.6888392487796953E-2</v>
      </c>
      <c r="F159" s="172">
        <f>表2_3671626293034522[[#This Row],[累计净值]]</f>
        <v>1.333</v>
      </c>
      <c r="G159" s="170">
        <f>表2_3671626293034522[[#This Row],[累计净值]]/$B$21-1</f>
        <v>0.11436214679819434</v>
      </c>
      <c r="J159" s="187"/>
      <c r="K159" s="188"/>
      <c r="L159" s="188"/>
      <c r="M159" s="188"/>
      <c r="N159" s="188"/>
    </row>
    <row r="160" spans="1:14">
      <c r="A160" s="161">
        <v>43991</v>
      </c>
      <c r="B160" s="162">
        <v>1.3278000000000001</v>
      </c>
      <c r="C160" s="171">
        <f t="shared" si="4"/>
        <v>-5.1999999999998714E-3</v>
      </c>
      <c r="D160" s="168">
        <f t="shared" si="5"/>
        <v>-5.1999999999998714E-3</v>
      </c>
      <c r="E160" s="168">
        <f ca="1">IF(表2_3671626293034522[[#This Row],[累计净值]]/MAX(INDIRECT("B21:B" &amp; ROW()))-1&lt;E159,表2_3671626293034522[[#This Row],[累计净值]]/MAX(INDIRECT("B21:B" &amp; ROW()))-1,E159)</f>
        <v>-2.6888392487796953E-2</v>
      </c>
      <c r="F160" s="172">
        <f>表2_3671626293034522[[#This Row],[累计净值]]</f>
        <v>1.3278000000000001</v>
      </c>
      <c r="G160" s="170">
        <f>表2_3671626293034522[[#This Row],[累计净值]]/$B$21-1</f>
        <v>0.11001504765089454</v>
      </c>
    </row>
    <row r="161" spans="1:7">
      <c r="A161" s="161">
        <v>43992</v>
      </c>
      <c r="B161" s="162">
        <v>1.3255999999999999</v>
      </c>
      <c r="C161" s="171">
        <f t="shared" si="4"/>
        <v>-2.2000000000002018E-3</v>
      </c>
      <c r="D161" s="168">
        <f t="shared" si="5"/>
        <v>-2.2000000000002018E-3</v>
      </c>
      <c r="E161" s="168">
        <f ca="1">IF(表2_3671626293034522[[#This Row],[累计净值]]/MAX(INDIRECT("B21:B" &amp; ROW()))-1&lt;E160,表2_3671626293034522[[#This Row],[累计净值]]/MAX(INDIRECT("B21:B" &amp; ROW()))-1,E160)</f>
        <v>-2.6888392487796953E-2</v>
      </c>
      <c r="F161" s="172">
        <f>表2_3671626293034522[[#This Row],[累计净值]]</f>
        <v>1.3255999999999999</v>
      </c>
      <c r="G161" s="170">
        <f>表2_3671626293034522[[#This Row],[累计净值]]/$B$21-1</f>
        <v>0.1081758903193446</v>
      </c>
    </row>
    <row r="162" spans="1:7">
      <c r="A162" s="161">
        <v>43993</v>
      </c>
      <c r="B162" s="162">
        <v>1.3275999999999999</v>
      </c>
      <c r="C162" s="171">
        <f t="shared" si="4"/>
        <v>2.0000000000000018E-3</v>
      </c>
      <c r="D162" s="168" t="str">
        <f t="shared" si="5"/>
        <v>/</v>
      </c>
      <c r="E162" s="168">
        <f ca="1">IF(表2_3671626293034522[[#This Row],[累计净值]]/MAX(INDIRECT("B21:B" &amp; ROW()))-1&lt;E161,表2_3671626293034522[[#This Row],[累计净值]]/MAX(INDIRECT("B21:B" &amp; ROW()))-1,E161)</f>
        <v>-2.6888392487796953E-2</v>
      </c>
      <c r="F162" s="172">
        <f>表2_3671626293034522[[#This Row],[累计净值]]</f>
        <v>1.3275999999999999</v>
      </c>
      <c r="G162" s="170">
        <f>表2_3671626293034522[[#This Row],[累计净值]]/$B$21-1</f>
        <v>0.10984785152984444</v>
      </c>
    </row>
    <row r="163" spans="1:7">
      <c r="A163" s="161">
        <v>43994</v>
      </c>
      <c r="B163" s="162">
        <v>1.3248</v>
      </c>
      <c r="C163" s="171">
        <f t="shared" si="4"/>
        <v>-2.7999999999999137E-3</v>
      </c>
      <c r="D163" s="168">
        <f t="shared" si="5"/>
        <v>-2.7999999999999137E-3</v>
      </c>
      <c r="E163" s="168">
        <f ca="1">IF(表2_3671626293034522[[#This Row],[累计净值]]/MAX(INDIRECT("B21:B" &amp; ROW()))-1&lt;E162,表2_3671626293034522[[#This Row],[累计净值]]/MAX(INDIRECT("B21:B" &amp; ROW()))-1,E162)</f>
        <v>-2.6888392487796953E-2</v>
      </c>
      <c r="F163" s="172">
        <f>表2_3671626293034522[[#This Row],[累计净值]]</f>
        <v>1.3248</v>
      </c>
      <c r="G163" s="170">
        <f>表2_3671626293034522[[#This Row],[累计净值]]/$B$21-1</f>
        <v>0.10750710583514467</v>
      </c>
    </row>
    <row r="164" spans="1:7">
      <c r="A164" s="161">
        <v>43997</v>
      </c>
      <c r="B164" s="162">
        <v>1.3198000000000001</v>
      </c>
      <c r="C164" s="171">
        <f t="shared" ref="C164:C169" si="6">IFERROR(B164-B163,0)</f>
        <v>-4.9999999999998934E-3</v>
      </c>
      <c r="D164" s="168">
        <f t="shared" ref="D164:D169" si="7">IF(C164&lt;0,C164,"/")</f>
        <v>-4.9999999999998934E-3</v>
      </c>
      <c r="E164" s="168">
        <f ca="1">IF(表2_3671626293034522[[#This Row],[累计净值]]/MAX(INDIRECT("B21:B" &amp; ROW()))-1&lt;E163,表2_3671626293034522[[#This Row],[累计净值]]/MAX(INDIRECT("B21:B" &amp; ROW()))-1,E163)</f>
        <v>-2.6888392487796953E-2</v>
      </c>
      <c r="F164" s="172">
        <f>表2_3671626293034522[[#This Row],[累计净值]]</f>
        <v>1.3198000000000001</v>
      </c>
      <c r="G164" s="170">
        <f>表2_3671626293034522[[#This Row],[累计净值]]/$B$21-1</f>
        <v>0.10332720280889496</v>
      </c>
    </row>
    <row r="165" spans="1:7">
      <c r="A165" s="161">
        <v>43998</v>
      </c>
      <c r="B165" s="162">
        <v>1.3242</v>
      </c>
      <c r="C165" s="171">
        <f t="shared" si="6"/>
        <v>4.3999999999999595E-3</v>
      </c>
      <c r="D165" s="168" t="str">
        <f t="shared" si="7"/>
        <v>/</v>
      </c>
      <c r="E165" s="168">
        <f ca="1">IF(表2_3671626293034522[[#This Row],[累计净值]]/MAX(INDIRECT("B21:B" &amp; ROW()))-1&lt;E164,表2_3671626293034522[[#This Row],[累计净值]]/MAX(INDIRECT("B21:B" &amp; ROW()))-1,E164)</f>
        <v>-2.6888392487796953E-2</v>
      </c>
      <c r="F165" s="172">
        <f>表2_3671626293034522[[#This Row],[累计净值]]</f>
        <v>1.3242</v>
      </c>
      <c r="G165" s="170">
        <f>表2_3671626293034522[[#This Row],[累计净值]]/$B$21-1</f>
        <v>0.10700551747199483</v>
      </c>
    </row>
    <row r="166" spans="1:7">
      <c r="A166" s="161">
        <v>43999</v>
      </c>
      <c r="B166" s="162">
        <v>1.3282</v>
      </c>
      <c r="C166" s="171">
        <f t="shared" si="6"/>
        <v>4.0000000000000036E-3</v>
      </c>
      <c r="D166" s="168" t="str">
        <f t="shared" si="7"/>
        <v>/</v>
      </c>
      <c r="E166" s="168">
        <f ca="1">IF(表2_3671626293034522[[#This Row],[累计净值]]/MAX(INDIRECT("B21:B" &amp; ROW()))-1&lt;E165,表2_3671626293034522[[#This Row],[累计净值]]/MAX(INDIRECT("B21:B" &amp; ROW()))-1,E165)</f>
        <v>-2.6888392487796953E-2</v>
      </c>
      <c r="F166" s="110">
        <f>表2_3671626293034522[[#This Row],[累计净值]]</f>
        <v>1.3282</v>
      </c>
      <c r="G166" s="170">
        <f>表2_3671626293034522[[#This Row],[累计净值]]/$B$21-1</f>
        <v>0.11034943989299451</v>
      </c>
    </row>
    <row r="167" spans="1:7">
      <c r="A167" s="161">
        <v>44000</v>
      </c>
      <c r="B167" s="162">
        <v>1.3279000000000001</v>
      </c>
      <c r="C167" s="171">
        <f t="shared" si="6"/>
        <v>-2.9999999999996696E-4</v>
      </c>
      <c r="D167" s="168">
        <f t="shared" si="7"/>
        <v>-2.9999999999996696E-4</v>
      </c>
      <c r="E167" s="168">
        <f ca="1">IF(表2_3671626293034522[[#This Row],[累计净值]]/MAX(INDIRECT("B21:B" &amp; ROW()))-1&lt;E166,表2_3671626293034522[[#This Row],[累计净值]]/MAX(INDIRECT("B21:B" &amp; ROW()))-1,E166)</f>
        <v>-2.6888392487796953E-2</v>
      </c>
      <c r="F167" s="110">
        <f>表2_3671626293034522[[#This Row],[累计净值]]</f>
        <v>1.3279000000000001</v>
      </c>
      <c r="G167" s="170">
        <f>表2_3671626293034522[[#This Row],[累计净值]]/$B$21-1</f>
        <v>0.1100986457114197</v>
      </c>
    </row>
    <row r="168" spans="1:7">
      <c r="A168" s="161">
        <v>44001</v>
      </c>
      <c r="B168" s="162">
        <v>1.3301000000000001</v>
      </c>
      <c r="C168" s="171">
        <f t="shared" si="6"/>
        <v>2.1999999999999797E-3</v>
      </c>
      <c r="D168" s="168" t="str">
        <f t="shared" si="7"/>
        <v>/</v>
      </c>
      <c r="E168" s="168">
        <f ca="1">IF(表2_3671626293034522[[#This Row],[累计净值]]/MAX(INDIRECT("B21:B" &amp; ROW()))-1&lt;E167,表2_3671626293034522[[#This Row],[累计净值]]/MAX(INDIRECT("B21:B" &amp; ROW()))-1,E167)</f>
        <v>-2.6888392487796953E-2</v>
      </c>
      <c r="F168" s="110">
        <f>表2_3671626293034522[[#This Row],[累计净值]]</f>
        <v>1.3301000000000001</v>
      </c>
      <c r="G168" s="170">
        <f>表2_3671626293034522[[#This Row],[累计净值]]/$B$21-1</f>
        <v>0.11193780304296941</v>
      </c>
    </row>
    <row r="169" spans="1:7">
      <c r="A169" s="161">
        <v>44004</v>
      </c>
      <c r="B169" s="162">
        <v>1.3283</v>
      </c>
      <c r="C169" s="171">
        <f t="shared" si="6"/>
        <v>-1.8000000000000238E-3</v>
      </c>
      <c r="D169" s="168">
        <f t="shared" si="7"/>
        <v>-1.8000000000000238E-3</v>
      </c>
      <c r="E169" s="168">
        <f ca="1">IF(表2_3671626293034522[[#This Row],[累计净值]]/MAX(INDIRECT("B21:B" &amp; ROW()))-1&lt;E168,表2_3671626293034522[[#This Row],[累计净值]]/MAX(INDIRECT("B21:B" &amp; ROW()))-1,E168)</f>
        <v>-2.6888392487796953E-2</v>
      </c>
      <c r="F169" s="110">
        <f>表2_3671626293034522[[#This Row],[累计净值]]</f>
        <v>1.3283</v>
      </c>
      <c r="G169" s="170">
        <f>表2_3671626293034522[[#This Row],[累计净值]]/$B$21-1</f>
        <v>0.11043303795351966</v>
      </c>
    </row>
    <row r="170" spans="1:7">
      <c r="A170" s="161">
        <v>44005</v>
      </c>
      <c r="B170" s="162">
        <v>1.3262</v>
      </c>
      <c r="C170" s="171">
        <f>IFERROR(B170-B169,0)</f>
        <v>-2.0999999999999908E-3</v>
      </c>
      <c r="D170" s="168">
        <f>IF(C170&lt;0,C170,"/")</f>
        <v>-2.0999999999999908E-3</v>
      </c>
      <c r="E170" s="168">
        <f ca="1">IF(表2_3671626293034522[[#This Row],[累计净值]]/MAX(INDIRECT("B21:B" &amp; ROW()))-1&lt;E169,表2_3671626293034522[[#This Row],[累计净值]]/MAX(INDIRECT("B21:B" &amp; ROW()))-1,E169)</f>
        <v>-2.6888392487796953E-2</v>
      </c>
      <c r="F170" s="110">
        <f>表2_3671626293034522[[#This Row],[累计净值]]</f>
        <v>1.3262</v>
      </c>
      <c r="G170" s="170">
        <f>表2_3671626293034522[[#This Row],[累计净值]]/$B$21-1</f>
        <v>0.10867747868249467</v>
      </c>
    </row>
    <row r="171" spans="1:7">
      <c r="A171" s="161">
        <v>44006</v>
      </c>
      <c r="B171" s="162">
        <v>1.3295999999999999</v>
      </c>
      <c r="C171" s="171">
        <f>IFERROR(B171-B170,0)</f>
        <v>3.3999999999998476E-3</v>
      </c>
      <c r="D171" s="168" t="str">
        <f>IF(C171&lt;0,C171,"/")</f>
        <v>/</v>
      </c>
      <c r="E171" s="168">
        <f ca="1">IF(表2_3671626293034522[[#This Row],[累计净值]]/MAX(INDIRECT("B21:B" &amp; ROW()))-1&lt;E170,表2_3671626293034522[[#This Row],[累计净值]]/MAX(INDIRECT("B21:B" &amp; ROW()))-1,E170)</f>
        <v>-2.6888392487796953E-2</v>
      </c>
      <c r="F171" s="110">
        <f>表2_3671626293034522[[#This Row],[累计净值]]</f>
        <v>1.3295999999999999</v>
      </c>
      <c r="G171" s="170">
        <f>表2_3671626293034522[[#This Row],[累计净值]]/$B$21-1</f>
        <v>0.1115198127403445</v>
      </c>
    </row>
    <row r="172" spans="1:7">
      <c r="A172" s="161">
        <v>44011</v>
      </c>
      <c r="B172" s="162">
        <v>1.3259000000000001</v>
      </c>
      <c r="C172" s="171">
        <f>IFERROR(B172-B171,0)</f>
        <v>-3.6999999999998145E-3</v>
      </c>
      <c r="D172" s="168">
        <f>IF(C172&lt;0,C172,"/")</f>
        <v>-3.6999999999998145E-3</v>
      </c>
      <c r="E172" s="168">
        <f ca="1">IF(表2_3671626293034522[[#This Row],[累计净值]]/MAX(INDIRECT("B21:B" &amp; ROW()))-1&lt;E171,表2_3671626293034522[[#This Row],[累计净值]]/MAX(INDIRECT("B21:B" &amp; ROW()))-1,E171)</f>
        <v>-2.6888392487796953E-2</v>
      </c>
      <c r="F172" s="110">
        <f>表2_3671626293034522[[#This Row],[累计净值]]</f>
        <v>1.3259000000000001</v>
      </c>
      <c r="G172" s="170">
        <f>表2_3671626293034522[[#This Row],[累计净值]]/$B$21-1</f>
        <v>0.10842668450091963</v>
      </c>
    </row>
    <row r="173" spans="1:7">
      <c r="A173" s="161">
        <v>44012</v>
      </c>
      <c r="B173" s="162">
        <v>1.3238000000000001</v>
      </c>
      <c r="C173" s="171">
        <f>IFERROR(B173-B172,0)</f>
        <v>-2.0999999999999908E-3</v>
      </c>
      <c r="D173" s="168">
        <f>IF(C173&lt;0,C173,"/")</f>
        <v>-2.0999999999999908E-3</v>
      </c>
      <c r="E173" s="168">
        <f ca="1">IF(表2_3671626293034522[[#This Row],[累计净值]]/MAX(INDIRECT("B21:B" &amp; ROW()))-1&lt;E172,表2_3671626293034522[[#This Row],[累计净值]]/MAX(INDIRECT("B21:B" &amp; ROW()))-1,E172)</f>
        <v>-2.6888392487796953E-2</v>
      </c>
      <c r="F173" s="110">
        <f>表2_3671626293034522[[#This Row],[累计净值]]</f>
        <v>1.3238000000000001</v>
      </c>
      <c r="G173" s="170">
        <f>表2_3671626293034522[[#This Row],[累计净值]]/$B$21-1</f>
        <v>0.10667112522989486</v>
      </c>
    </row>
    <row r="174" spans="1:7">
      <c r="A174" s="161">
        <v>44013</v>
      </c>
      <c r="B174" s="162">
        <v>1.3221000000000001</v>
      </c>
      <c r="C174" s="171">
        <f>IFERROR(B174-B173,0)</f>
        <v>-1.7000000000000348E-3</v>
      </c>
      <c r="D174" s="168">
        <f>IF(C174&lt;0,C174,"/")</f>
        <v>-1.7000000000000348E-3</v>
      </c>
      <c r="E174" s="168">
        <f ca="1">IF(表2_3671626293034522[[#This Row],[累计净值]]/MAX(INDIRECT("B21:B" &amp; ROW()))-1&lt;E173,表2_3671626293034522[[#This Row],[累计净值]]/MAX(INDIRECT("B21:B" &amp; ROW()))-1,E173)</f>
        <v>-2.6888392487796953E-2</v>
      </c>
      <c r="F174" s="110">
        <f>表2_3671626293034522[[#This Row],[累计净值]]</f>
        <v>1.3221000000000001</v>
      </c>
      <c r="G174" s="170">
        <f>表2_3671626293034522[[#This Row],[累计净值]]/$B$21-1</f>
        <v>0.10524995820096983</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7">
    <tabColor theme="1"/>
  </sheetPr>
  <dimension ref="A1:G194"/>
  <sheetViews>
    <sheetView workbookViewId="0">
      <pane xSplit="1" ySplit="20" topLeftCell="B186" activePane="bottomRight" state="frozen"/>
      <selection pane="topRight" activeCell="B1" sqref="B1"/>
      <selection pane="bottomLeft" activeCell="A21" sqref="A21"/>
      <selection pane="bottomRight" activeCell="N192" sqref="N192"/>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COUNT(表2_36716262930389[每日盈亏])</f>
        <v>174</v>
      </c>
      <c r="C2" s="27"/>
      <c r="D2" s="3" t="s">
        <v>1</v>
      </c>
      <c r="E2" s="28"/>
      <c r="F2" s="1" t="s">
        <v>2</v>
      </c>
      <c r="G2" s="400" t="s">
        <v>3</v>
      </c>
    </row>
    <row r="3" spans="1:7">
      <c r="A3" s="25" t="s">
        <v>4</v>
      </c>
      <c r="B3" s="26">
        <f>COUNTIF(表2_36716262930389[每日盈亏],"&gt;0")</f>
        <v>96</v>
      </c>
      <c r="C3" s="29"/>
      <c r="D3" s="30" t="s">
        <v>5</v>
      </c>
      <c r="E3" s="31">
        <f>245^0.5*(B10-0.025/365)/E10</f>
        <v>3.5448598163351686</v>
      </c>
      <c r="G3" s="400"/>
    </row>
    <row r="4" spans="1:7">
      <c r="A4" s="25" t="s">
        <v>6</v>
      </c>
      <c r="B4" s="26">
        <f>COUNTIF(表2_36716262930389[每日盈亏],"&lt;0")</f>
        <v>68</v>
      </c>
      <c r="C4" s="29"/>
      <c r="D4" s="32" t="s">
        <v>7</v>
      </c>
      <c r="E4" s="31">
        <f ca="1">-B9/E8</f>
        <v>15.194881559417675</v>
      </c>
      <c r="G4" s="2">
        <f>LOOKUP(999^10,表2_36716262930389[累计净值])</f>
        <v>1.1046</v>
      </c>
    </row>
    <row r="5" spans="1:7">
      <c r="A5" s="25" t="s">
        <v>8</v>
      </c>
      <c r="B5" s="26">
        <f>B2-B3-B4</f>
        <v>10</v>
      </c>
      <c r="C5" s="29"/>
      <c r="D5" s="33" t="s">
        <v>9</v>
      </c>
      <c r="E5" s="4">
        <f>245^0.5*(B10-0.025/365)/E9</f>
        <v>9.4186338109737058</v>
      </c>
    </row>
    <row r="6" spans="1:7" ht="16" thickBot="1">
      <c r="A6" s="34"/>
      <c r="B6" s="35"/>
      <c r="C6" s="35"/>
      <c r="D6" s="35"/>
      <c r="E6" s="36"/>
    </row>
    <row r="7" spans="1:7" ht="16" thickBot="1">
      <c r="A7" s="5" t="s">
        <v>10</v>
      </c>
      <c r="B7" s="35"/>
      <c r="C7" s="35"/>
      <c r="D7" s="3" t="s">
        <v>11</v>
      </c>
      <c r="E7" s="37"/>
    </row>
    <row r="8" spans="1:7">
      <c r="A8" s="38" t="s">
        <v>12</v>
      </c>
      <c r="B8" s="39">
        <f>LOOKUP(999^10,表2_36716262930389[累计净值])/$B$21-1</f>
        <v>8.9671500443918362E-2</v>
      </c>
      <c r="C8" s="40"/>
      <c r="D8" s="30" t="s">
        <v>13</v>
      </c>
      <c r="E8" s="41">
        <f ca="1">MIN(表2_36716262930389[最大回撤])</f>
        <v>-8.3094820422859872E-3</v>
      </c>
    </row>
    <row r="9" spans="1:7">
      <c r="A9" s="25" t="s">
        <v>14</v>
      </c>
      <c r="B9" s="32">
        <f>B8*245/B2</f>
        <v>0.12626159545264368</v>
      </c>
      <c r="C9" s="40"/>
      <c r="D9" s="33" t="s">
        <v>15</v>
      </c>
      <c r="E9" s="6">
        <f>STDEV(表2_36716262930389[下跌幅度])</f>
        <v>7.5435376642302284E-4</v>
      </c>
    </row>
    <row r="10" spans="1:7">
      <c r="A10" s="42" t="s">
        <v>16</v>
      </c>
      <c r="B10" s="43">
        <f>AVERAGE(表2_36716262930389[每日盈亏])</f>
        <v>5.2241379310344815E-4</v>
      </c>
      <c r="C10" s="44"/>
      <c r="D10" s="33" t="s">
        <v>17</v>
      </c>
      <c r="E10" s="6">
        <f>STDEV(表2_36716262930389[每日盈亏])</f>
        <v>2.0043054614251815E-3</v>
      </c>
    </row>
    <row r="11" spans="1:7">
      <c r="A11" s="7" t="s">
        <v>18</v>
      </c>
      <c r="B11" s="32">
        <f>B3/B2</f>
        <v>0.55172413793103448</v>
      </c>
      <c r="C11" s="40"/>
      <c r="D11" s="32" t="s">
        <v>19</v>
      </c>
      <c r="E11" s="41">
        <f>245^0.5*E10</f>
        <v>3.1372342815945524E-2</v>
      </c>
    </row>
    <row r="12" spans="1:7" ht="16" thickBot="1">
      <c r="A12" s="45" t="s">
        <v>20</v>
      </c>
      <c r="B12" s="46">
        <f>-(SUMIF(表2_36716262930389[每日盈亏],"&gt;=0")/B3)/(SUMIF(表2_36716262930389[每日盈亏],"&lt;0")/B4)</f>
        <v>1.9029066171923346</v>
      </c>
      <c r="C12" s="47"/>
      <c r="D12" s="48"/>
      <c r="E12" s="49"/>
    </row>
    <row r="14" spans="1:7" ht="32">
      <c r="A14" s="50" t="s">
        <v>21</v>
      </c>
      <c r="B14" s="50" t="s">
        <v>14</v>
      </c>
      <c r="C14" s="51" t="s">
        <v>19</v>
      </c>
      <c r="D14" s="51" t="s">
        <v>13</v>
      </c>
      <c r="E14" s="51" t="s">
        <v>5</v>
      </c>
      <c r="F14" s="51" t="s">
        <v>7</v>
      </c>
    </row>
    <row r="15" spans="1:7">
      <c r="A15" s="52">
        <f>B2</f>
        <v>174</v>
      </c>
      <c r="B15" s="53">
        <f>B9</f>
        <v>0.12626159545264368</v>
      </c>
      <c r="C15" s="53">
        <f>E11</f>
        <v>3.1372342815945524E-2</v>
      </c>
      <c r="D15" s="53">
        <f ca="1">E8</f>
        <v>-8.3094820422859872E-3</v>
      </c>
      <c r="E15" s="54">
        <f>E3</f>
        <v>3.5448598163351686</v>
      </c>
      <c r="F15" s="54">
        <f ca="1">E4</f>
        <v>15.194881559417675</v>
      </c>
    </row>
    <row r="19" spans="1:7">
      <c r="A19" s="8"/>
      <c r="B19" s="1" t="s">
        <v>22</v>
      </c>
    </row>
    <row r="20" spans="1:7" ht="16">
      <c r="A20" s="22" t="s">
        <v>23</v>
      </c>
      <c r="B20" s="22" t="s">
        <v>24</v>
      </c>
      <c r="C20" s="22" t="s">
        <v>25</v>
      </c>
      <c r="D20" s="22" t="s">
        <v>26</v>
      </c>
      <c r="E20" s="22" t="s">
        <v>27</v>
      </c>
      <c r="F20" s="22" t="s">
        <v>28</v>
      </c>
      <c r="G20" s="22" t="s">
        <v>29</v>
      </c>
    </row>
    <row r="21" spans="1:7">
      <c r="A21" s="15">
        <v>43710</v>
      </c>
      <c r="B21" s="10">
        <v>1.0137</v>
      </c>
      <c r="C21" s="11">
        <f>IFERROR(B21-B20,0)</f>
        <v>0</v>
      </c>
      <c r="D21" s="12" t="str">
        <f>IF(C21&lt;0,C21,"/")</f>
        <v>/</v>
      </c>
      <c r="E21" s="12">
        <f ca="1">IF(表2_36716262930389[[#This Row],[累计净值]]/MAX(INDIRECT("B21:B" &amp; ROW()))-1&lt;E20,表2_36716262930389[[#This Row],[累计净值]]/MAX(INDIRECT("B21:B" &amp; ROW()))-1,E20)</f>
        <v>0</v>
      </c>
      <c r="F21" s="13">
        <f>表2_36716262930389[[#This Row],[累计净值]]</f>
        <v>1.0137</v>
      </c>
      <c r="G21" s="14" t="s">
        <v>30</v>
      </c>
    </row>
    <row r="22" spans="1:7">
      <c r="A22" s="15">
        <v>43711</v>
      </c>
      <c r="B22" s="16">
        <v>1.0125</v>
      </c>
      <c r="C22" s="17">
        <f>IFERROR(B22-B21,0)</f>
        <v>-1.2000000000000899E-3</v>
      </c>
      <c r="D22" s="18">
        <f>IF(C22&lt;0,C22,"/")</f>
        <v>-1.2000000000000899E-3</v>
      </c>
      <c r="E22" s="18">
        <f ca="1">IF(表2_36716262930389[[#This Row],[累计净值]]/MAX(INDIRECT("B21:B" &amp; ROW()))-1&lt;E21,表2_36716262930389[[#This Row],[累计净值]]/MAX(INDIRECT("B21:B" &amp; ROW()))-1,E21)</f>
        <v>-1.1837821840782192E-3</v>
      </c>
      <c r="F22" s="19">
        <f>表2_36716262930389[[#This Row],[累计净值]]</f>
        <v>1.0125</v>
      </c>
      <c r="G22" s="20">
        <f>表2_36716262930389[[#This Row],[累计净值]]/$B$21-1</f>
        <v>-1.1837821840782192E-3</v>
      </c>
    </row>
    <row r="23" spans="1:7">
      <c r="A23" s="15">
        <v>43712</v>
      </c>
      <c r="B23" s="16">
        <v>1.0132000000000001</v>
      </c>
      <c r="C23" s="17">
        <f>IFERROR(B23-B22,0)</f>
        <v>7.0000000000014495E-4</v>
      </c>
      <c r="D23" s="18" t="str">
        <f>IF(C23&lt;0,C23,"/")</f>
        <v>/</v>
      </c>
      <c r="E23" s="18">
        <f ca="1">IF(表2_36716262930389[[#This Row],[累计净值]]/MAX(INDIRECT("B21:B" &amp; ROW()))-1&lt;E22,表2_36716262930389[[#This Row],[累计净值]]/MAX(INDIRECT("B21:B" &amp; ROW()))-1,E22)</f>
        <v>-1.1837821840782192E-3</v>
      </c>
      <c r="F23" s="19">
        <f>表2_36716262930389[[#This Row],[累计净值]]</f>
        <v>1.0132000000000001</v>
      </c>
      <c r="G23" s="20">
        <f>表2_36716262930389[[#This Row],[累计净值]]/$B$21-1</f>
        <v>-4.9324257669913774E-4</v>
      </c>
    </row>
    <row r="24" spans="1:7">
      <c r="A24" s="15">
        <v>43713</v>
      </c>
      <c r="B24" s="16">
        <v>1.0130999999999999</v>
      </c>
      <c r="C24" s="61">
        <f>IFERROR(B24-B23,0)</f>
        <v>-1.0000000000021103E-4</v>
      </c>
      <c r="D24" s="18">
        <f>IF(C24&lt;0,C24,"/")</f>
        <v>-1.0000000000021103E-4</v>
      </c>
      <c r="E24" s="18">
        <f ca="1">IF(表2_36716262930389[[#This Row],[累计净值]]/MAX(INDIRECT("B21:B" &amp; ROW()))-1&lt;E23,表2_36716262930389[[#This Row],[累计净值]]/MAX(INDIRECT("B21:B" &amp; ROW()))-1,E23)</f>
        <v>-1.1837821840782192E-3</v>
      </c>
      <c r="F24" s="62">
        <f>表2_36716262930389[[#This Row],[累计净值]]</f>
        <v>1.0130999999999999</v>
      </c>
      <c r="G24" s="20">
        <f>表2_36716262930389[[#This Row],[累计净值]]/$B$21-1</f>
        <v>-5.9189109203916512E-4</v>
      </c>
    </row>
    <row r="25" spans="1:7">
      <c r="A25" s="15">
        <v>43714</v>
      </c>
      <c r="B25" s="16">
        <v>1.0133000000000001</v>
      </c>
      <c r="C25" s="61">
        <f>IFERROR(B25-B24,0)</f>
        <v>2.0000000000020002E-4</v>
      </c>
      <c r="D25" s="18" t="str">
        <f>IF(C25&lt;0,C25,"/")</f>
        <v>/</v>
      </c>
      <c r="E25" s="18">
        <f ca="1">IF(表2_36716262930389[[#This Row],[累计净值]]/MAX(INDIRECT("B21:B" &amp; ROW()))-1&lt;E24,表2_36716262930389[[#This Row],[累计净值]]/MAX(INDIRECT("B21:B" &amp; ROW()))-1,E24)</f>
        <v>-1.1837821840782192E-3</v>
      </c>
      <c r="F25" s="62">
        <f>表2_36716262930389[[#This Row],[累计净值]]</f>
        <v>1.0133000000000001</v>
      </c>
      <c r="G25" s="20">
        <f>表2_36716262930389[[#This Row],[累计净值]]/$B$21-1</f>
        <v>-3.9459406135933239E-4</v>
      </c>
    </row>
    <row r="26" spans="1:7">
      <c r="A26" s="15">
        <v>43717</v>
      </c>
      <c r="B26" s="16">
        <v>1.0138</v>
      </c>
      <c r="C26" s="61">
        <f t="shared" ref="C26:C31" si="0">IFERROR(B26-B25,0)</f>
        <v>4.9999999999994493E-4</v>
      </c>
      <c r="D26" s="18" t="str">
        <f t="shared" ref="D26:D31" si="1">IF(C26&lt;0,C26,"/")</f>
        <v>/</v>
      </c>
      <c r="E26" s="18">
        <f ca="1">IF(表2_36716262930389[[#This Row],[累计净值]]/MAX(INDIRECT("B21:B" &amp; ROW()))-1&lt;E25,表2_36716262930389[[#This Row],[累计净值]]/MAX(INDIRECT("B21:B" &amp; ROW()))-1,E25)</f>
        <v>-1.1837821840782192E-3</v>
      </c>
      <c r="F26" s="62">
        <f>表2_36716262930389[[#This Row],[累计净值]]</f>
        <v>1.0138</v>
      </c>
      <c r="G26" s="20">
        <f>表2_36716262930389[[#This Row],[累计净值]]/$B$21-1</f>
        <v>9.8648515339805343E-5</v>
      </c>
    </row>
    <row r="27" spans="1:7">
      <c r="A27" s="15">
        <v>43718</v>
      </c>
      <c r="B27" s="16">
        <v>1.0145999999999999</v>
      </c>
      <c r="C27" s="61">
        <f t="shared" si="0"/>
        <v>7.9999999999991189E-4</v>
      </c>
      <c r="D27" s="18" t="str">
        <f t="shared" si="1"/>
        <v>/</v>
      </c>
      <c r="E27" s="18">
        <f ca="1">IF(表2_36716262930389[[#This Row],[累计净值]]/MAX(INDIRECT("B21:B" &amp; ROW()))-1&lt;E26,表2_36716262930389[[#This Row],[累计净值]]/MAX(INDIRECT("B21:B" &amp; ROW()))-1,E26)</f>
        <v>-1.1837821840782192E-3</v>
      </c>
      <c r="F27" s="62">
        <f>表2_36716262930389[[#This Row],[累计净值]]</f>
        <v>1.0145999999999999</v>
      </c>
      <c r="G27" s="20">
        <f>表2_36716262930389[[#This Row],[累计净值]]/$B$21-1</f>
        <v>8.8783663805847013E-4</v>
      </c>
    </row>
    <row r="28" spans="1:7">
      <c r="A28" s="15">
        <v>43719</v>
      </c>
      <c r="B28" s="16">
        <v>1.0152000000000001</v>
      </c>
      <c r="C28" s="61">
        <f t="shared" si="0"/>
        <v>6.0000000000015596E-4</v>
      </c>
      <c r="D28" s="18" t="str">
        <f t="shared" si="1"/>
        <v>/</v>
      </c>
      <c r="E28" s="18">
        <f ca="1">IF(表2_36716262930389[[#This Row],[累计净值]]/MAX(INDIRECT("B21:B" &amp; ROW()))-1&lt;E27,表2_36716262930389[[#This Row],[累计净值]]/MAX(INDIRECT("B21:B" &amp; ROW()))-1,E27)</f>
        <v>-1.1837821840782192E-3</v>
      </c>
      <c r="F28" s="62">
        <f>表2_36716262930389[[#This Row],[累计净值]]</f>
        <v>1.0152000000000001</v>
      </c>
      <c r="G28" s="20">
        <f>表2_36716262930389[[#This Row],[累计净值]]/$B$21-1</f>
        <v>1.4797277300977463E-3</v>
      </c>
    </row>
    <row r="29" spans="1:7">
      <c r="A29" s="15">
        <v>43720</v>
      </c>
      <c r="B29" s="16">
        <v>1.0141</v>
      </c>
      <c r="C29" s="61">
        <f t="shared" si="0"/>
        <v>-1.1000000000001009E-3</v>
      </c>
      <c r="D29" s="18">
        <f t="shared" si="1"/>
        <v>-1.1000000000001009E-3</v>
      </c>
      <c r="E29" s="18">
        <f ca="1">IF(表2_36716262930389[[#This Row],[累计净值]]/MAX(INDIRECT("B21:B" &amp; ROW()))-1&lt;E28,表2_36716262930389[[#This Row],[累计净值]]/MAX(INDIRECT("B21:B" &amp; ROW()))-1,E28)</f>
        <v>-1.1837821840782192E-3</v>
      </c>
      <c r="F29" s="62">
        <f>表2_36716262930389[[#This Row],[累计净值]]</f>
        <v>1.0141</v>
      </c>
      <c r="G29" s="20">
        <f>表2_36716262930389[[#This Row],[累计净值]]/$B$21-1</f>
        <v>3.9459406135944342E-4</v>
      </c>
    </row>
    <row r="30" spans="1:7">
      <c r="A30" s="15">
        <v>43724</v>
      </c>
      <c r="B30" s="16">
        <v>1.0137</v>
      </c>
      <c r="C30" s="61">
        <f t="shared" si="0"/>
        <v>-3.9999999999995595E-4</v>
      </c>
      <c r="D30" s="18">
        <f t="shared" si="1"/>
        <v>-3.9999999999995595E-4</v>
      </c>
      <c r="E30" s="18">
        <f ca="1">IF(表2_36716262930389[[#This Row],[累计净值]]/MAX(INDIRECT("B21:B" &amp; ROW()))-1&lt;E29,表2_36716262930389[[#This Row],[累计净值]]/MAX(INDIRECT("B21:B" &amp; ROW()))-1,E29)</f>
        <v>-1.4775413711584084E-3</v>
      </c>
      <c r="F30" s="62">
        <f>表2_36716262930389[[#This Row],[累计净值]]</f>
        <v>1.0137</v>
      </c>
      <c r="G30" s="20">
        <f>表2_36716262930389[[#This Row],[累计净值]]/$B$21-1</f>
        <v>0</v>
      </c>
    </row>
    <row r="31" spans="1:7">
      <c r="A31" s="15">
        <v>43725</v>
      </c>
      <c r="B31" s="16">
        <v>1.0126999999999999</v>
      </c>
      <c r="C31" s="61">
        <f t="shared" si="0"/>
        <v>-1.0000000000001119E-3</v>
      </c>
      <c r="D31" s="18">
        <f t="shared" si="1"/>
        <v>-1.0000000000001119E-3</v>
      </c>
      <c r="E31" s="18">
        <f ca="1">IF(表2_36716262930389[[#This Row],[累计净值]]/MAX(INDIRECT("B21:B" &amp; ROW()))-1&lt;E30,表2_36716262930389[[#This Row],[累计净值]]/MAX(INDIRECT("B21:B" &amp; ROW()))-1,E30)</f>
        <v>-2.4625689519308658E-3</v>
      </c>
      <c r="F31" s="62">
        <f>表2_36716262930389[[#This Row],[累计净值]]</f>
        <v>1.0126999999999999</v>
      </c>
      <c r="G31" s="20">
        <f>表2_36716262930389[[#This Row],[累计净值]]/$B$21-1</f>
        <v>-9.8648515339849752E-4</v>
      </c>
    </row>
    <row r="32" spans="1:7">
      <c r="A32" s="15">
        <v>43726</v>
      </c>
      <c r="B32" s="16">
        <v>1.0122</v>
      </c>
      <c r="C32" s="61">
        <f>IFERROR(B32-B31,0)</f>
        <v>-4.9999999999994493E-4</v>
      </c>
      <c r="D32" s="18">
        <f>IF(C32&lt;0,C32,"/")</f>
        <v>-4.9999999999994493E-4</v>
      </c>
      <c r="E32" s="18">
        <f ca="1">IF(表2_36716262930389[[#This Row],[累计净值]]/MAX(INDIRECT("B21:B" &amp; ROW()))-1&lt;E31,表2_36716262930389[[#This Row],[累计净值]]/MAX(INDIRECT("B21:B" &amp; ROW()))-1,E31)</f>
        <v>-2.9550827423169279E-3</v>
      </c>
      <c r="F32" s="62">
        <f>表2_36716262930389[[#This Row],[累计净值]]</f>
        <v>1.0122</v>
      </c>
      <c r="G32" s="20">
        <f>表2_36716262930389[[#This Row],[累计净值]]/$B$21-1</f>
        <v>-1.4797277300977463E-3</v>
      </c>
    </row>
    <row r="33" spans="1:7">
      <c r="A33" s="15">
        <v>43727</v>
      </c>
      <c r="B33" s="16">
        <v>1.0109999999999999</v>
      </c>
      <c r="C33" s="61">
        <f>IFERROR(B33-B32,0)</f>
        <v>-1.2000000000000899E-3</v>
      </c>
      <c r="D33" s="18">
        <f>IF(C33&lt;0,C33,"/")</f>
        <v>-1.2000000000000899E-3</v>
      </c>
      <c r="E33" s="18">
        <f ca="1">IF(表2_36716262930389[[#This Row],[累计净值]]/MAX(INDIRECT("B21:B" &amp; ROW()))-1&lt;E32,表2_36716262930389[[#This Row],[累计净值]]/MAX(INDIRECT("B21:B" &amp; ROW()))-1,E32)</f>
        <v>-4.1371158392436991E-3</v>
      </c>
      <c r="F33" s="62">
        <f>表2_36716262930389[[#This Row],[累计净值]]</f>
        <v>1.0109999999999999</v>
      </c>
      <c r="G33" s="20">
        <f>表2_36716262930389[[#This Row],[累计净值]]/$B$21-1</f>
        <v>-2.6635099141759655E-3</v>
      </c>
    </row>
    <row r="34" spans="1:7">
      <c r="A34" s="15">
        <v>43728</v>
      </c>
      <c r="B34" s="16">
        <v>1.0113000000000001</v>
      </c>
      <c r="C34" s="61">
        <f>IFERROR(B34-B33,0)</f>
        <v>3.00000000000189E-4</v>
      </c>
      <c r="D34" s="18" t="str">
        <f>IF(C34&lt;0,C34,"/")</f>
        <v>/</v>
      </c>
      <c r="E34" s="18">
        <f ca="1">IF(表2_36716262930389[[#This Row],[累计净值]]/MAX(INDIRECT("B21:B" &amp; ROW()))-1&lt;E33,表2_36716262930389[[#This Row],[累计净值]]/MAX(INDIRECT("B21:B" &amp; ROW()))-1,E33)</f>
        <v>-4.1371158392436991E-3</v>
      </c>
      <c r="F34" s="62">
        <f>表2_36716262930389[[#This Row],[累计净值]]</f>
        <v>1.0113000000000001</v>
      </c>
      <c r="G34" s="20">
        <f>表2_36716262930389[[#This Row],[累计净值]]/$B$21-1</f>
        <v>-2.3675643681562164E-3</v>
      </c>
    </row>
    <row r="35" spans="1:7">
      <c r="A35" s="15">
        <v>43731</v>
      </c>
      <c r="B35" s="16">
        <v>1.0111000000000001</v>
      </c>
      <c r="C35" s="61">
        <f t="shared" ref="C35:C40" si="2">IFERROR(B35-B34,0)</f>
        <v>-1.9999999999997797E-4</v>
      </c>
      <c r="D35" s="18">
        <f t="shared" ref="D35:D40" si="3">IF(C35&lt;0,C35,"/")</f>
        <v>-1.9999999999997797E-4</v>
      </c>
      <c r="E35" s="18">
        <f ca="1">IF(表2_36716262930389[[#This Row],[累计净值]]/MAX(INDIRECT("B21:B" &amp; ROW()))-1&lt;E34,表2_36716262930389[[#This Row],[累计净值]]/MAX(INDIRECT("B21:B" &amp; ROW()))-1,E34)</f>
        <v>-4.1371158392436991E-3</v>
      </c>
      <c r="F35" s="62">
        <f>表2_36716262930389[[#This Row],[累计净值]]</f>
        <v>1.0111000000000001</v>
      </c>
      <c r="G35" s="20">
        <f>表2_36716262930389[[#This Row],[累计净值]]/$B$21-1</f>
        <v>-2.5648613988359381E-3</v>
      </c>
    </row>
    <row r="36" spans="1:7">
      <c r="A36" s="15">
        <v>43732</v>
      </c>
      <c r="B36" s="16">
        <v>1.0096000000000001</v>
      </c>
      <c r="C36" s="61">
        <f t="shared" si="2"/>
        <v>-1.5000000000000568E-3</v>
      </c>
      <c r="D36" s="18">
        <f t="shared" si="3"/>
        <v>-1.5000000000000568E-3</v>
      </c>
      <c r="E36" s="18">
        <f ca="1">IF(表2_36716262930389[[#This Row],[累计净值]]/MAX(INDIRECT("B21:B" &amp; ROW()))-1&lt;E35,表2_36716262930389[[#This Row],[累计净值]]/MAX(INDIRECT("B21:B" &amp; ROW()))-1,E35)</f>
        <v>-5.5161544523246731E-3</v>
      </c>
      <c r="F36" s="62">
        <f>表2_36716262930389[[#This Row],[累计净值]]</f>
        <v>1.0096000000000001</v>
      </c>
      <c r="G36" s="20">
        <f>表2_36716262930389[[#This Row],[累计净值]]/$B$21-1</f>
        <v>-4.0445891289335734E-3</v>
      </c>
    </row>
    <row r="37" spans="1:7">
      <c r="A37" s="15">
        <v>43733</v>
      </c>
      <c r="B37" s="16">
        <v>1.0098</v>
      </c>
      <c r="C37" s="61">
        <f t="shared" si="2"/>
        <v>1.9999999999997797E-4</v>
      </c>
      <c r="D37" s="18" t="str">
        <f t="shared" si="3"/>
        <v>/</v>
      </c>
      <c r="E37" s="18">
        <f ca="1">IF(表2_36716262930389[[#This Row],[累计净值]]/MAX(INDIRECT("B21:B" &amp; ROW()))-1&lt;E36,表2_36716262930389[[#This Row],[累计净值]]/MAX(INDIRECT("B21:B" &amp; ROW()))-1,E36)</f>
        <v>-5.5161544523246731E-3</v>
      </c>
      <c r="F37" s="62">
        <f>表2_36716262930389[[#This Row],[累计净值]]</f>
        <v>1.0098</v>
      </c>
      <c r="G37" s="20">
        <f>表2_36716262930389[[#This Row],[累计净值]]/$B$21-1</f>
        <v>-3.8472920982539627E-3</v>
      </c>
    </row>
    <row r="38" spans="1:7">
      <c r="A38" s="15">
        <v>43734</v>
      </c>
      <c r="B38" s="16">
        <v>1.0097</v>
      </c>
      <c r="C38" s="61">
        <f t="shared" si="2"/>
        <v>-9.9999999999988987E-5</v>
      </c>
      <c r="D38" s="18">
        <f t="shared" si="3"/>
        <v>-9.9999999999988987E-5</v>
      </c>
      <c r="E38" s="18">
        <f ca="1">IF(表2_36716262930389[[#This Row],[累计净值]]/MAX(INDIRECT("B21:B" &amp; ROW()))-1&lt;E37,表2_36716262930389[[#This Row],[累计净值]]/MAX(INDIRECT("B21:B" &amp; ROW()))-1,E37)</f>
        <v>-5.5161544523246731E-3</v>
      </c>
      <c r="F38" s="62">
        <f>表2_36716262930389[[#This Row],[累计净值]]</f>
        <v>1.0097</v>
      </c>
      <c r="G38" s="20">
        <f>表2_36716262930389[[#This Row],[累计净值]]/$B$21-1</f>
        <v>-3.945940613593768E-3</v>
      </c>
    </row>
    <row r="39" spans="1:7">
      <c r="A39" s="77">
        <v>43735</v>
      </c>
      <c r="B39" s="76">
        <v>1.0234000000000001</v>
      </c>
      <c r="C39" s="61">
        <f t="shared" si="2"/>
        <v>1.3700000000000045E-2</v>
      </c>
      <c r="D39" s="18" t="str">
        <f t="shared" si="3"/>
        <v>/</v>
      </c>
      <c r="E39" s="18">
        <f ca="1">IF(表2_36716262930389[[#This Row],[累计净值]]/MAX(INDIRECT("B21:B" &amp; ROW()))-1&lt;E38,表2_36716262930389[[#This Row],[累计净值]]/MAX(INDIRECT("B21:B" &amp; ROW()))-1,E38)</f>
        <v>-5.5161544523246731E-3</v>
      </c>
      <c r="F39" s="62">
        <f>表2_36716262930389[[#This Row],[累计净值]]</f>
        <v>1.0234000000000001</v>
      </c>
      <c r="G39" s="20">
        <f>表2_36716262930389[[#This Row],[累计净值]]/$B$21-1</f>
        <v>9.568905987964893E-3</v>
      </c>
    </row>
    <row r="40" spans="1:7">
      <c r="A40" s="15">
        <v>43738</v>
      </c>
      <c r="B40" s="16">
        <v>1.0224</v>
      </c>
      <c r="C40" s="61">
        <f t="shared" si="2"/>
        <v>-1.0000000000001119E-3</v>
      </c>
      <c r="D40" s="18">
        <f t="shared" si="3"/>
        <v>-1.0000000000001119E-3</v>
      </c>
      <c r="E40" s="18">
        <f ca="1">IF(表2_36716262930389[[#This Row],[累计净值]]/MAX(INDIRECT("B21:B" &amp; ROW()))-1&lt;E39,表2_36716262930389[[#This Row],[累计净值]]/MAX(INDIRECT("B21:B" &amp; ROW()))-1,E39)</f>
        <v>-5.5161544523246731E-3</v>
      </c>
      <c r="F40" s="62">
        <f>表2_36716262930389[[#This Row],[累计净值]]</f>
        <v>1.0224</v>
      </c>
      <c r="G40" s="20">
        <f>表2_36716262930389[[#This Row],[累计净值]]/$B$21-1</f>
        <v>8.5824208345663955E-3</v>
      </c>
    </row>
    <row r="41" spans="1:7">
      <c r="A41" s="15">
        <v>43746</v>
      </c>
      <c r="B41" s="16">
        <v>1.0221</v>
      </c>
      <c r="C41" s="61">
        <f t="shared" ref="C41:C46" si="4">IFERROR(B41-B40,0)</f>
        <v>-2.9999999999996696E-4</v>
      </c>
      <c r="D41" s="18">
        <f t="shared" ref="D41:D46" si="5">IF(C41&lt;0,C41,"/")</f>
        <v>-2.9999999999996696E-4</v>
      </c>
      <c r="E41" s="18">
        <f ca="1">IF(表2_36716262930389[[#This Row],[累计净值]]/MAX(INDIRECT("B21:B" &amp; ROW()))-1&lt;E40,表2_36716262930389[[#This Row],[累计净值]]/MAX(INDIRECT("B21:B" &amp; ROW()))-1,E40)</f>
        <v>-5.5161544523246731E-3</v>
      </c>
      <c r="F41" s="62">
        <f>表2_36716262930389[[#This Row],[累计净值]]</f>
        <v>1.0221</v>
      </c>
      <c r="G41" s="20">
        <f>表2_36716262930389[[#This Row],[累计净值]]/$B$21-1</f>
        <v>8.2864752885469795E-3</v>
      </c>
    </row>
    <row r="42" spans="1:7">
      <c r="A42" s="15">
        <v>43747</v>
      </c>
      <c r="B42" s="16">
        <v>1.0226999999999999</v>
      </c>
      <c r="C42" s="61">
        <f t="shared" si="4"/>
        <v>5.9999999999993392E-4</v>
      </c>
      <c r="D42" s="18" t="str">
        <f t="shared" si="5"/>
        <v>/</v>
      </c>
      <c r="E42" s="18">
        <f ca="1">IF(表2_36716262930389[[#This Row],[累计净值]]/MAX(INDIRECT("B21:B" &amp; ROW()))-1&lt;E41,表2_36716262930389[[#This Row],[累计净值]]/MAX(INDIRECT("B21:B" &amp; ROW()))-1,E41)</f>
        <v>-5.5161544523246731E-3</v>
      </c>
      <c r="F42" s="62">
        <f>表2_36716262930389[[#This Row],[累计净值]]</f>
        <v>1.0226999999999999</v>
      </c>
      <c r="G42" s="20">
        <f>表2_36716262930389[[#This Row],[累计净值]]/$B$21-1</f>
        <v>8.8783663805858115E-3</v>
      </c>
    </row>
    <row r="43" spans="1:7">
      <c r="A43" s="15">
        <v>43748</v>
      </c>
      <c r="B43" s="16">
        <v>1.0228999999999999</v>
      </c>
      <c r="C43" s="61">
        <f t="shared" si="4"/>
        <v>1.9999999999997797E-4</v>
      </c>
      <c r="D43" s="18" t="str">
        <f t="shared" si="5"/>
        <v>/</v>
      </c>
      <c r="E43" s="18">
        <f ca="1">IF(表2_36716262930389[[#This Row],[累计净值]]/MAX(INDIRECT("B21:B" &amp; ROW()))-1&lt;E42,表2_36716262930389[[#This Row],[累计净值]]/MAX(INDIRECT("B21:B" &amp; ROW()))-1,E42)</f>
        <v>-5.5161544523246731E-3</v>
      </c>
      <c r="F43" s="62">
        <f>表2_36716262930389[[#This Row],[累计净值]]</f>
        <v>1.0228999999999999</v>
      </c>
      <c r="G43" s="20">
        <f>表2_36716262930389[[#This Row],[累计净值]]/$B$21-1</f>
        <v>9.0756634112656442E-3</v>
      </c>
    </row>
    <row r="44" spans="1:7">
      <c r="A44" s="15">
        <v>43749</v>
      </c>
      <c r="B44" s="16">
        <v>1.0226999999999999</v>
      </c>
      <c r="C44" s="61">
        <f t="shared" si="4"/>
        <v>-1.9999999999997797E-4</v>
      </c>
      <c r="D44" s="18">
        <f t="shared" si="5"/>
        <v>-1.9999999999997797E-4</v>
      </c>
      <c r="E44" s="18">
        <f ca="1">IF(表2_36716262930389[[#This Row],[累计净值]]/MAX(INDIRECT("B21:B" &amp; ROW()))-1&lt;E43,表2_36716262930389[[#This Row],[累计净值]]/MAX(INDIRECT("B21:B" &amp; ROW()))-1,E43)</f>
        <v>-5.5161544523246731E-3</v>
      </c>
      <c r="F44" s="62">
        <f>表2_36716262930389[[#This Row],[累计净值]]</f>
        <v>1.0226999999999999</v>
      </c>
      <c r="G44" s="20">
        <f>表2_36716262930389[[#This Row],[累计净值]]/$B$21-1</f>
        <v>8.8783663805858115E-3</v>
      </c>
    </row>
    <row r="45" spans="1:7">
      <c r="A45" s="15">
        <v>43752</v>
      </c>
      <c r="B45" s="16">
        <v>1.0226</v>
      </c>
      <c r="C45" s="61">
        <f t="shared" si="4"/>
        <v>-9.9999999999988987E-5</v>
      </c>
      <c r="D45" s="18">
        <f t="shared" si="5"/>
        <v>-9.9999999999988987E-5</v>
      </c>
      <c r="E45" s="18">
        <f ca="1">IF(表2_36716262930389[[#This Row],[累计净值]]/MAX(INDIRECT("B21:B" &amp; ROW()))-1&lt;E44,表2_36716262930389[[#This Row],[累计净值]]/MAX(INDIRECT("B21:B" &amp; ROW()))-1,E44)</f>
        <v>-5.5161544523246731E-3</v>
      </c>
      <c r="F45" s="62">
        <f>表2_36716262930389[[#This Row],[累计净值]]</f>
        <v>1.0226</v>
      </c>
      <c r="G45" s="20">
        <f>表2_36716262930389[[#This Row],[累计净值]]/$B$21-1</f>
        <v>8.7797178652460062E-3</v>
      </c>
    </row>
    <row r="46" spans="1:7">
      <c r="A46" s="15">
        <v>43753</v>
      </c>
      <c r="B46" s="16">
        <v>1.0221</v>
      </c>
      <c r="C46" s="61">
        <f t="shared" si="4"/>
        <v>-4.9999999999994493E-4</v>
      </c>
      <c r="D46" s="18">
        <f t="shared" si="5"/>
        <v>-4.9999999999994493E-4</v>
      </c>
      <c r="E46" s="18">
        <f ca="1">IF(表2_36716262930389[[#This Row],[累计净值]]/MAX(INDIRECT("B21:B" &amp; ROW()))-1&lt;E45,表2_36716262930389[[#This Row],[累计净值]]/MAX(INDIRECT("B21:B" &amp; ROW()))-1,E45)</f>
        <v>-5.5161544523246731E-3</v>
      </c>
      <c r="F46" s="62">
        <f>表2_36716262930389[[#This Row],[累计净值]]</f>
        <v>1.0221</v>
      </c>
      <c r="G46" s="20">
        <f>表2_36716262930389[[#This Row],[累计净值]]/$B$21-1</f>
        <v>8.2864752885469795E-3</v>
      </c>
    </row>
    <row r="47" spans="1:7">
      <c r="A47" s="15">
        <v>43754</v>
      </c>
      <c r="B47" s="16">
        <v>1.0221</v>
      </c>
      <c r="C47" s="61">
        <f t="shared" ref="C47:C52" si="6">IFERROR(B47-B46,0)</f>
        <v>0</v>
      </c>
      <c r="D47" s="18" t="str">
        <f t="shared" ref="D47:D52" si="7">IF(C47&lt;0,C47,"/")</f>
        <v>/</v>
      </c>
      <c r="E47" s="18">
        <f ca="1">IF(表2_36716262930389[[#This Row],[累计净值]]/MAX(INDIRECT("B21:B" &amp; ROW()))-1&lt;E46,表2_36716262930389[[#This Row],[累计净值]]/MAX(INDIRECT("B21:B" &amp; ROW()))-1,E46)</f>
        <v>-5.5161544523246731E-3</v>
      </c>
      <c r="F47" s="62">
        <f>表2_36716262930389[[#This Row],[累计净值]]</f>
        <v>1.0221</v>
      </c>
      <c r="G47" s="20">
        <f>表2_36716262930389[[#This Row],[累计净值]]/$B$21-1</f>
        <v>8.2864752885469795E-3</v>
      </c>
    </row>
    <row r="48" spans="1:7">
      <c r="A48" s="15">
        <v>43755</v>
      </c>
      <c r="B48" s="16">
        <v>1.0219</v>
      </c>
      <c r="C48" s="61">
        <f t="shared" si="6"/>
        <v>-1.9999999999997797E-4</v>
      </c>
      <c r="D48" s="18">
        <f t="shared" si="7"/>
        <v>-1.9999999999997797E-4</v>
      </c>
      <c r="E48" s="18">
        <f ca="1">IF(表2_36716262930389[[#This Row],[累计净值]]/MAX(INDIRECT("B21:B" &amp; ROW()))-1&lt;E47,表2_36716262930389[[#This Row],[累计净值]]/MAX(INDIRECT("B21:B" &amp; ROW()))-1,E47)</f>
        <v>-5.5161544523246731E-3</v>
      </c>
      <c r="F48" s="62">
        <f>表2_36716262930389[[#This Row],[累计净值]]</f>
        <v>1.0219</v>
      </c>
      <c r="G48" s="20">
        <f>表2_36716262930389[[#This Row],[累计净值]]/$B$21-1</f>
        <v>8.0891782578671467E-3</v>
      </c>
    </row>
    <row r="49" spans="1:7">
      <c r="A49" s="15">
        <v>43756</v>
      </c>
      <c r="B49" s="16">
        <v>1.0210999999999999</v>
      </c>
      <c r="C49" s="61">
        <f t="shared" si="6"/>
        <v>-8.0000000000013394E-4</v>
      </c>
      <c r="D49" s="18">
        <f t="shared" si="7"/>
        <v>-8.0000000000013394E-4</v>
      </c>
      <c r="E49" s="18">
        <f ca="1">IF(表2_36716262930389[[#This Row],[累计净值]]/MAX(INDIRECT("B21:B" &amp; ROW()))-1&lt;E48,表2_36716262930389[[#This Row],[累计净值]]/MAX(INDIRECT("B21:B" &amp; ROW()))-1,E48)</f>
        <v>-5.5161544523246731E-3</v>
      </c>
      <c r="F49" s="62">
        <f>表2_36716262930389[[#This Row],[累计净值]]</f>
        <v>1.0210999999999999</v>
      </c>
      <c r="G49" s="20">
        <f>表2_36716262930389[[#This Row],[累计净值]]/$B$21-1</f>
        <v>7.2999901351482599E-3</v>
      </c>
    </row>
    <row r="50" spans="1:7">
      <c r="A50" s="15">
        <v>43759</v>
      </c>
      <c r="B50" s="16">
        <v>1.0198</v>
      </c>
      <c r="C50" s="61">
        <f t="shared" si="6"/>
        <v>-1.2999999999998568E-3</v>
      </c>
      <c r="D50" s="18">
        <f t="shared" si="7"/>
        <v>-1.2999999999998568E-3</v>
      </c>
      <c r="E50" s="18">
        <f ca="1">IF(表2_36716262930389[[#This Row],[累计净值]]/MAX(INDIRECT("B21:B" &amp; ROW()))-1&lt;E49,表2_36716262930389[[#This Row],[累计净值]]/MAX(INDIRECT("B21:B" &amp; ROW()))-1,E49)</f>
        <v>-5.5161544523246731E-3</v>
      </c>
      <c r="F50" s="62">
        <f>表2_36716262930389[[#This Row],[累计净值]]</f>
        <v>1.0198</v>
      </c>
      <c r="G50" s="20">
        <f>表2_36716262930389[[#This Row],[累计净值]]/$B$21-1</f>
        <v>6.0175594357305684E-3</v>
      </c>
    </row>
    <row r="51" spans="1:7">
      <c r="A51" s="15">
        <v>43760</v>
      </c>
      <c r="B51" s="16">
        <v>1.0197000000000001</v>
      </c>
      <c r="C51" s="61">
        <f t="shared" si="6"/>
        <v>-9.9999999999988987E-5</v>
      </c>
      <c r="D51" s="18">
        <f t="shared" si="7"/>
        <v>-9.9999999999988987E-5</v>
      </c>
      <c r="E51" s="18">
        <f ca="1">IF(表2_36716262930389[[#This Row],[累计净值]]/MAX(INDIRECT("B21:B" &amp; ROW()))-1&lt;E50,表2_36716262930389[[#This Row],[累计净值]]/MAX(INDIRECT("B21:B" &amp; ROW()))-1,E50)</f>
        <v>-5.5161544523246731E-3</v>
      </c>
      <c r="F51" s="62">
        <f>表2_36716262930389[[#This Row],[累计净值]]</f>
        <v>1.0197000000000001</v>
      </c>
      <c r="G51" s="20">
        <f>表2_36716262930389[[#This Row],[累计净值]]/$B$21-1</f>
        <v>5.9189109203907631E-3</v>
      </c>
    </row>
    <row r="52" spans="1:7">
      <c r="A52" s="15">
        <v>43761</v>
      </c>
      <c r="B52" s="16">
        <v>1.0197000000000001</v>
      </c>
      <c r="C52" s="73">
        <f t="shared" si="6"/>
        <v>0</v>
      </c>
      <c r="D52" s="18" t="str">
        <f t="shared" si="7"/>
        <v>/</v>
      </c>
      <c r="E52" s="18">
        <f ca="1">IF(表2_36716262930389[[#This Row],[累计净值]]/MAX(INDIRECT("B21:B" &amp; ROW()))-1&lt;E51,表2_36716262930389[[#This Row],[累计净值]]/MAX(INDIRECT("B21:B" &amp; ROW()))-1,E51)</f>
        <v>-5.5161544523246731E-3</v>
      </c>
      <c r="F52" s="62">
        <f>表2_36716262930389[[#This Row],[累计净值]]</f>
        <v>1.0197000000000001</v>
      </c>
      <c r="G52" s="20">
        <f>表2_36716262930389[[#This Row],[累计净值]]/$B$21-1</f>
        <v>5.9189109203907631E-3</v>
      </c>
    </row>
    <row r="53" spans="1:7">
      <c r="A53" s="15">
        <v>43762</v>
      </c>
      <c r="B53" s="16">
        <v>1.0193000000000001</v>
      </c>
      <c r="C53" s="73">
        <f t="shared" ref="C53:C58" si="8">IFERROR(B53-B52,0)</f>
        <v>-3.9999999999995595E-4</v>
      </c>
      <c r="D53" s="18">
        <f t="shared" ref="D53:D58" si="9">IF(C53&lt;0,C53,"/")</f>
        <v>-3.9999999999995595E-4</v>
      </c>
      <c r="E53" s="18">
        <f ca="1">IF(表2_36716262930389[[#This Row],[累计净值]]/MAX(INDIRECT("B21:B" &amp; ROW()))-1&lt;E52,表2_36716262930389[[#This Row],[累计净值]]/MAX(INDIRECT("B21:B" &amp; ROW()))-1,E52)</f>
        <v>-5.5161544523246731E-3</v>
      </c>
      <c r="F53" s="62">
        <f>表2_36716262930389[[#This Row],[累计净值]]</f>
        <v>1.0193000000000001</v>
      </c>
      <c r="G53" s="20">
        <f>表2_36716262930389[[#This Row],[累计净值]]/$B$21-1</f>
        <v>5.5243168590313196E-3</v>
      </c>
    </row>
    <row r="54" spans="1:7">
      <c r="A54" s="15">
        <v>43763</v>
      </c>
      <c r="B54" s="16">
        <v>1.0197000000000001</v>
      </c>
      <c r="C54" s="73">
        <f t="shared" si="8"/>
        <v>3.9999999999995595E-4</v>
      </c>
      <c r="D54" s="18" t="str">
        <f t="shared" si="9"/>
        <v>/</v>
      </c>
      <c r="E54" s="18">
        <f ca="1">IF(表2_36716262930389[[#This Row],[累计净值]]/MAX(INDIRECT("B21:B" &amp; ROW()))-1&lt;E53,表2_36716262930389[[#This Row],[累计净值]]/MAX(INDIRECT("B21:B" &amp; ROW()))-1,E53)</f>
        <v>-5.5161544523246731E-3</v>
      </c>
      <c r="F54" s="62">
        <f>表2_36716262930389[[#This Row],[累计净值]]</f>
        <v>1.0197000000000001</v>
      </c>
      <c r="G54" s="20">
        <f>表2_36716262930389[[#This Row],[累计净值]]/$B$21-1</f>
        <v>5.9189109203907631E-3</v>
      </c>
    </row>
    <row r="55" spans="1:7">
      <c r="A55" s="15">
        <v>43766</v>
      </c>
      <c r="B55" s="16">
        <v>1.0193000000000001</v>
      </c>
      <c r="C55" s="73">
        <f t="shared" si="8"/>
        <v>-3.9999999999995595E-4</v>
      </c>
      <c r="D55" s="18">
        <f t="shared" si="9"/>
        <v>-3.9999999999995595E-4</v>
      </c>
      <c r="E55" s="18">
        <f ca="1">IF(表2_36716262930389[[#This Row],[累计净值]]/MAX(INDIRECT("B21:B" &amp; ROW()))-1&lt;E54,表2_36716262930389[[#This Row],[累计净值]]/MAX(INDIRECT("B21:B" &amp; ROW()))-1,E54)</f>
        <v>-5.5161544523246731E-3</v>
      </c>
      <c r="F55" s="62">
        <f>表2_36716262930389[[#This Row],[累计净值]]</f>
        <v>1.0193000000000001</v>
      </c>
      <c r="G55" s="20">
        <f>表2_36716262930389[[#This Row],[累计净值]]/$B$21-1</f>
        <v>5.5243168590313196E-3</v>
      </c>
    </row>
    <row r="56" spans="1:7">
      <c r="A56" s="15">
        <v>43767</v>
      </c>
      <c r="B56" s="16">
        <v>1.0242</v>
      </c>
      <c r="C56" s="73">
        <f t="shared" si="8"/>
        <v>4.8999999999999044E-3</v>
      </c>
      <c r="D56" s="18" t="str">
        <f t="shared" si="9"/>
        <v>/</v>
      </c>
      <c r="E56" s="18">
        <f ca="1">IF(表2_36716262930389[[#This Row],[累计净值]]/MAX(INDIRECT("B21:B" &amp; ROW()))-1&lt;E55,表2_36716262930389[[#This Row],[累计净值]]/MAX(INDIRECT("B21:B" &amp; ROW()))-1,E55)</f>
        <v>-5.5161544523246731E-3</v>
      </c>
      <c r="F56" s="62">
        <f>表2_36716262930389[[#This Row],[累计净值]]</f>
        <v>1.0242</v>
      </c>
      <c r="G56" s="20">
        <f>表2_36716262930389[[#This Row],[累计净值]]/$B$21-1</f>
        <v>1.0358094110683558E-2</v>
      </c>
    </row>
    <row r="57" spans="1:7">
      <c r="A57" s="15">
        <v>43768</v>
      </c>
      <c r="B57" s="16">
        <v>1.024</v>
      </c>
      <c r="C57" s="73">
        <f t="shared" si="8"/>
        <v>-1.9999999999997797E-4</v>
      </c>
      <c r="D57" s="18">
        <f t="shared" si="9"/>
        <v>-1.9999999999997797E-4</v>
      </c>
      <c r="E57" s="18">
        <f ca="1">IF(表2_36716262930389[[#This Row],[累计净值]]/MAX(INDIRECT("B21:B" &amp; ROW()))-1&lt;E56,表2_36716262930389[[#This Row],[累计净值]]/MAX(INDIRECT("B21:B" &amp; ROW()))-1,E56)</f>
        <v>-5.5161544523246731E-3</v>
      </c>
      <c r="F57" s="62">
        <f>表2_36716262930389[[#This Row],[累计净值]]</f>
        <v>1.024</v>
      </c>
      <c r="G57" s="20">
        <f>表2_36716262930389[[#This Row],[累计净值]]/$B$21-1</f>
        <v>1.0160797080003947E-2</v>
      </c>
    </row>
    <row r="58" spans="1:7">
      <c r="A58" s="15">
        <v>43769</v>
      </c>
      <c r="B58" s="16">
        <v>1.0245</v>
      </c>
      <c r="C58" s="73">
        <f t="shared" si="8"/>
        <v>4.9999999999994493E-4</v>
      </c>
      <c r="D58" s="18" t="str">
        <f t="shared" si="9"/>
        <v>/</v>
      </c>
      <c r="E58" s="18">
        <f ca="1">IF(表2_36716262930389[[#This Row],[累计净值]]/MAX(INDIRECT("B21:B" &amp; ROW()))-1&lt;E57,表2_36716262930389[[#This Row],[累计净值]]/MAX(INDIRECT("B21:B" &amp; ROW()))-1,E57)</f>
        <v>-5.5161544523246731E-3</v>
      </c>
      <c r="F58" s="62">
        <f>表2_36716262930389[[#This Row],[累计净值]]</f>
        <v>1.0245</v>
      </c>
      <c r="G58" s="20">
        <f>表2_36716262930389[[#This Row],[累计净值]]/$B$21-1</f>
        <v>1.0654039656703196E-2</v>
      </c>
    </row>
    <row r="59" spans="1:7">
      <c r="A59" s="15">
        <v>43770</v>
      </c>
      <c r="B59" s="16">
        <v>1.0257000000000001</v>
      </c>
      <c r="C59" s="73">
        <f t="shared" ref="C59:C66" si="10">IFERROR(B59-B58,0)</f>
        <v>1.2000000000000899E-3</v>
      </c>
      <c r="D59" s="18" t="str">
        <f t="shared" ref="D59:D66" si="11">IF(C59&lt;0,C59,"/")</f>
        <v>/</v>
      </c>
      <c r="E59" s="18">
        <f ca="1">IF(表2_36716262930389[[#This Row],[累计净值]]/MAX(INDIRECT("B21:B" &amp; ROW()))-1&lt;E58,表2_36716262930389[[#This Row],[累计净值]]/MAX(INDIRECT("B21:B" &amp; ROW()))-1,E58)</f>
        <v>-5.5161544523246731E-3</v>
      </c>
      <c r="F59" s="62">
        <f>表2_36716262930389[[#This Row],[累计净值]]</f>
        <v>1.0257000000000001</v>
      </c>
      <c r="G59" s="20">
        <f>表2_36716262930389[[#This Row],[累计净值]]/$B$21-1</f>
        <v>1.1837821840781304E-2</v>
      </c>
    </row>
    <row r="60" spans="1:7">
      <c r="A60" s="15">
        <v>43773</v>
      </c>
      <c r="B60" s="16">
        <v>1.0271999999999999</v>
      </c>
      <c r="C60" s="73">
        <f t="shared" si="10"/>
        <v>1.4999999999998348E-3</v>
      </c>
      <c r="D60" s="18" t="str">
        <f t="shared" si="11"/>
        <v>/</v>
      </c>
      <c r="E60" s="18">
        <f ca="1">IF(表2_36716262930389[[#This Row],[累计净值]]/MAX(INDIRECT("B21:B" &amp; ROW()))-1&lt;E59,表2_36716262930389[[#This Row],[累计净值]]/MAX(INDIRECT("B21:B" &amp; ROW()))-1,E59)</f>
        <v>-5.5161544523246731E-3</v>
      </c>
      <c r="F60" s="62">
        <f>表2_36716262930389[[#This Row],[累计净值]]</f>
        <v>1.0271999999999999</v>
      </c>
      <c r="G60" s="20">
        <f>表2_36716262930389[[#This Row],[累计净值]]/$B$21-1</f>
        <v>1.3317549570878828E-2</v>
      </c>
    </row>
    <row r="61" spans="1:7">
      <c r="A61" s="15">
        <v>43774</v>
      </c>
      <c r="B61" s="16">
        <v>1.0265</v>
      </c>
      <c r="C61" s="73">
        <f t="shared" si="10"/>
        <v>-6.9999999999992291E-4</v>
      </c>
      <c r="D61" s="18">
        <f t="shared" si="11"/>
        <v>-6.9999999999992291E-4</v>
      </c>
      <c r="E61" s="18">
        <f ca="1">IF(表2_36716262930389[[#This Row],[累计净值]]/MAX(INDIRECT("B21:B" &amp; ROW()))-1&lt;E60,表2_36716262930389[[#This Row],[累计净值]]/MAX(INDIRECT("B21:B" &amp; ROW()))-1,E60)</f>
        <v>-5.5161544523246731E-3</v>
      </c>
      <c r="F61" s="62">
        <f>表2_36716262930389[[#This Row],[累计净值]]</f>
        <v>1.0265</v>
      </c>
      <c r="G61" s="20">
        <f>表2_36716262930389[[#This Row],[累计净值]]/$B$21-1</f>
        <v>1.2627009963499969E-2</v>
      </c>
    </row>
    <row r="62" spans="1:7">
      <c r="A62" s="15">
        <v>43775</v>
      </c>
      <c r="B62" s="16">
        <v>1.0407</v>
      </c>
      <c r="C62" s="73">
        <f t="shared" si="10"/>
        <v>1.419999999999999E-2</v>
      </c>
      <c r="D62" s="18" t="str">
        <f t="shared" si="11"/>
        <v>/</v>
      </c>
      <c r="E62" s="18">
        <f ca="1">IF(表2_36716262930389[[#This Row],[累计净值]]/MAX(INDIRECT("B21:B" &amp; ROW()))-1&lt;E61,表2_36716262930389[[#This Row],[累计净值]]/MAX(INDIRECT("B21:B" &amp; ROW()))-1,E61)</f>
        <v>-5.5161544523246731E-3</v>
      </c>
      <c r="F62" s="62">
        <f>表2_36716262930389[[#This Row],[累计净值]]</f>
        <v>1.0407</v>
      </c>
      <c r="G62" s="20">
        <f>表2_36716262930389[[#This Row],[累计净值]]/$B$21-1</f>
        <v>2.6635099141757879E-2</v>
      </c>
    </row>
    <row r="63" spans="1:7">
      <c r="A63" s="15">
        <v>43776</v>
      </c>
      <c r="B63" s="16">
        <v>1.044</v>
      </c>
      <c r="C63" s="73">
        <f t="shared" si="10"/>
        <v>3.3000000000000806E-3</v>
      </c>
      <c r="D63" s="18" t="str">
        <f t="shared" si="11"/>
        <v>/</v>
      </c>
      <c r="E63" s="18">
        <f ca="1">IF(表2_36716262930389[[#This Row],[累计净值]]/MAX(INDIRECT("B21:B" &amp; ROW()))-1&lt;E62,表2_36716262930389[[#This Row],[累计净值]]/MAX(INDIRECT("B21:B" &amp; ROW()))-1,E62)</f>
        <v>-5.5161544523246731E-3</v>
      </c>
      <c r="F63" s="62">
        <f>表2_36716262930389[[#This Row],[累计净值]]</f>
        <v>1.044</v>
      </c>
      <c r="G63" s="20">
        <f>表2_36716262930389[[#This Row],[累计净值]]/$B$21-1</f>
        <v>2.9890500147972787E-2</v>
      </c>
    </row>
    <row r="64" spans="1:7">
      <c r="A64" s="15">
        <v>43777</v>
      </c>
      <c r="B64" s="16">
        <v>1.0468</v>
      </c>
      <c r="C64" s="73">
        <f t="shared" si="10"/>
        <v>2.7999999999999137E-3</v>
      </c>
      <c r="D64" s="18" t="str">
        <f t="shared" si="11"/>
        <v>/</v>
      </c>
      <c r="E64" s="18">
        <f ca="1">IF(表2_36716262930389[[#This Row],[累计净值]]/MAX(INDIRECT("B21:B" &amp; ROW()))-1&lt;E63,表2_36716262930389[[#This Row],[累计净值]]/MAX(INDIRECT("B21:B" &amp; ROW()))-1,E63)</f>
        <v>-5.5161544523246731E-3</v>
      </c>
      <c r="F64" s="62">
        <f>表2_36716262930389[[#This Row],[累计净值]]</f>
        <v>1.0468</v>
      </c>
      <c r="G64" s="20">
        <f>表2_36716262930389[[#This Row],[累计净值]]/$B$21-1</f>
        <v>3.2652658577488225E-2</v>
      </c>
    </row>
    <row r="65" spans="1:7">
      <c r="A65" s="15">
        <v>43780</v>
      </c>
      <c r="B65" s="16">
        <v>1.0498000000000001</v>
      </c>
      <c r="C65" s="73">
        <f t="shared" si="10"/>
        <v>3.0000000000001137E-3</v>
      </c>
      <c r="D65" s="18" t="str">
        <f t="shared" si="11"/>
        <v>/</v>
      </c>
      <c r="E65" s="18">
        <f ca="1">IF(表2_36716262930389[[#This Row],[累计净值]]/MAX(INDIRECT("B21:B" &amp; ROW()))-1&lt;E64,表2_36716262930389[[#This Row],[累计净值]]/MAX(INDIRECT("B21:B" &amp; ROW()))-1,E64)</f>
        <v>-5.5161544523246731E-3</v>
      </c>
      <c r="F65" s="62">
        <f>表2_36716262930389[[#This Row],[累计净值]]</f>
        <v>1.0498000000000001</v>
      </c>
      <c r="G65" s="20">
        <f>表2_36716262930389[[#This Row],[累计净值]]/$B$21-1</f>
        <v>3.5612114037683718E-2</v>
      </c>
    </row>
    <row r="66" spans="1:7">
      <c r="A66" s="15">
        <v>43781</v>
      </c>
      <c r="B66" s="16">
        <v>1.0548</v>
      </c>
      <c r="C66" s="73">
        <f t="shared" si="10"/>
        <v>4.9999999999998934E-3</v>
      </c>
      <c r="D66" s="18" t="str">
        <f t="shared" si="11"/>
        <v>/</v>
      </c>
      <c r="E66" s="18">
        <f ca="1">IF(表2_36716262930389[[#This Row],[累计净值]]/MAX(INDIRECT("B21:B" &amp; ROW()))-1&lt;E65,表2_36716262930389[[#This Row],[累计净值]]/MAX(INDIRECT("B21:B" &amp; ROW()))-1,E65)</f>
        <v>-5.5161544523246731E-3</v>
      </c>
      <c r="F66" s="62">
        <f>表2_36716262930389[[#This Row],[累计净值]]</f>
        <v>1.0548</v>
      </c>
      <c r="G66" s="20">
        <f>表2_36716262930389[[#This Row],[累计净值]]/$B$21-1</f>
        <v>4.0544539804675761E-2</v>
      </c>
    </row>
    <row r="67" spans="1:7">
      <c r="A67" s="15">
        <v>43782</v>
      </c>
      <c r="B67" s="16">
        <v>1.0577000000000001</v>
      </c>
      <c r="C67" s="73">
        <f t="shared" ref="C67:C72" si="12">IFERROR(B67-B66,0)</f>
        <v>2.9000000000001247E-3</v>
      </c>
      <c r="D67" s="18" t="str">
        <f t="shared" ref="D67:D72" si="13">IF(C67&lt;0,C67,"/")</f>
        <v>/</v>
      </c>
      <c r="E67" s="18">
        <f ca="1">IF(表2_36716262930389[[#This Row],[累计净值]]/MAX(INDIRECT("B21:B" &amp; ROW()))-1&lt;E66,表2_36716262930389[[#This Row],[累计净值]]/MAX(INDIRECT("B21:B" &amp; ROW()))-1,E66)</f>
        <v>-5.5161544523246731E-3</v>
      </c>
      <c r="F67" s="62">
        <f>表2_36716262930389[[#This Row],[累计净值]]</f>
        <v>1.0577000000000001</v>
      </c>
      <c r="G67" s="20">
        <f>表2_36716262930389[[#This Row],[累计净值]]/$B$21-1</f>
        <v>4.3405346749531448E-2</v>
      </c>
    </row>
    <row r="68" spans="1:7">
      <c r="A68" s="15">
        <v>43783</v>
      </c>
      <c r="B68" s="16">
        <v>1.0593999999999999</v>
      </c>
      <c r="C68" s="73">
        <f t="shared" si="12"/>
        <v>1.6999999999998128E-3</v>
      </c>
      <c r="D68" s="18" t="str">
        <f t="shared" si="13"/>
        <v>/</v>
      </c>
      <c r="E68" s="18">
        <f ca="1">IF(表2_36716262930389[[#This Row],[累计净值]]/MAX(INDIRECT("B21:B" &amp; ROW()))-1&lt;E67,表2_36716262930389[[#This Row],[累计净值]]/MAX(INDIRECT("B21:B" &amp; ROW()))-1,E67)</f>
        <v>-5.5161544523246731E-3</v>
      </c>
      <c r="F68" s="62">
        <f>表2_36716262930389[[#This Row],[累计净值]]</f>
        <v>1.0593999999999999</v>
      </c>
      <c r="G68" s="20">
        <f>表2_36716262930389[[#This Row],[累计净值]]/$B$21-1</f>
        <v>4.5082371510308583E-2</v>
      </c>
    </row>
    <row r="69" spans="1:7">
      <c r="A69" s="15">
        <v>43784</v>
      </c>
      <c r="B69" s="16">
        <v>1.0615000000000001</v>
      </c>
      <c r="C69" s="73">
        <f t="shared" si="12"/>
        <v>2.1000000000002128E-3</v>
      </c>
      <c r="D69" s="18" t="str">
        <f t="shared" si="13"/>
        <v>/</v>
      </c>
      <c r="E69" s="18">
        <f ca="1">IF(表2_36716262930389[[#This Row],[累计净值]]/MAX(INDIRECT("B21:B" &amp; ROW()))-1&lt;E68,表2_36716262930389[[#This Row],[累计净值]]/MAX(INDIRECT("B21:B" &amp; ROW()))-1,E68)</f>
        <v>-5.5161544523246731E-3</v>
      </c>
      <c r="F69" s="62">
        <f>表2_36716262930389[[#This Row],[累计净值]]</f>
        <v>1.0615000000000001</v>
      </c>
      <c r="G69" s="20">
        <f>表2_36716262930389[[#This Row],[累计净值]]/$B$21-1</f>
        <v>4.7153990332445606E-2</v>
      </c>
    </row>
    <row r="70" spans="1:7">
      <c r="A70" s="15">
        <v>43787</v>
      </c>
      <c r="B70" s="16">
        <v>1.0630999999999999</v>
      </c>
      <c r="C70" s="73">
        <f t="shared" si="12"/>
        <v>1.5999999999998238E-3</v>
      </c>
      <c r="D70" s="18" t="str">
        <f t="shared" si="13"/>
        <v>/</v>
      </c>
      <c r="E70" s="18">
        <f ca="1">IF(表2_36716262930389[[#This Row],[累计净值]]/MAX(INDIRECT("B21:B" &amp; ROW()))-1&lt;E69,表2_36716262930389[[#This Row],[累计净值]]/MAX(INDIRECT("B21:B" &amp; ROW()))-1,E69)</f>
        <v>-5.5161544523246731E-3</v>
      </c>
      <c r="F70" s="62">
        <f>表2_36716262930389[[#This Row],[累计净值]]</f>
        <v>1.0630999999999999</v>
      </c>
      <c r="G70" s="20">
        <f>表2_36716262930389[[#This Row],[累计净值]]/$B$21-1</f>
        <v>4.8732366577882935E-2</v>
      </c>
    </row>
    <row r="71" spans="1:7">
      <c r="A71" s="15">
        <v>43788</v>
      </c>
      <c r="B71" s="16">
        <v>1.0642</v>
      </c>
      <c r="C71" s="73">
        <f t="shared" si="12"/>
        <v>1.1000000000001009E-3</v>
      </c>
      <c r="D71" s="18" t="str">
        <f t="shared" si="13"/>
        <v>/</v>
      </c>
      <c r="E71" s="18">
        <f ca="1">IF(表2_36716262930389[[#This Row],[累计净值]]/MAX(INDIRECT("B21:B" &amp; ROW()))-1&lt;E70,表2_36716262930389[[#This Row],[累计净值]]/MAX(INDIRECT("B21:B" &amp; ROW()))-1,E70)</f>
        <v>-5.5161544523246731E-3</v>
      </c>
      <c r="F71" s="62">
        <f>表2_36716262930389[[#This Row],[累计净值]]</f>
        <v>1.0642</v>
      </c>
      <c r="G71" s="20">
        <f>表2_36716262930389[[#This Row],[累计净值]]/$B$21-1</f>
        <v>4.9817500246621238E-2</v>
      </c>
    </row>
    <row r="72" spans="1:7">
      <c r="A72" s="15">
        <v>43789</v>
      </c>
      <c r="B72" s="16">
        <v>1.0654999999999999</v>
      </c>
      <c r="C72" s="73">
        <f t="shared" si="12"/>
        <v>1.2999999999998568E-3</v>
      </c>
      <c r="D72" s="18" t="str">
        <f t="shared" si="13"/>
        <v>/</v>
      </c>
      <c r="E72" s="18">
        <f ca="1">IF(表2_36716262930389[[#This Row],[累计净值]]/MAX(INDIRECT("B21:B" &amp; ROW()))-1&lt;E71,表2_36716262930389[[#This Row],[累计净值]]/MAX(INDIRECT("B21:B" &amp; ROW()))-1,E71)</f>
        <v>-5.5161544523246731E-3</v>
      </c>
      <c r="F72" s="62">
        <f>表2_36716262930389[[#This Row],[累计净值]]</f>
        <v>1.0654999999999999</v>
      </c>
      <c r="G72" s="20">
        <f>表2_36716262930389[[#This Row],[累计净值]]/$B$21-1</f>
        <v>5.1099930946039152E-2</v>
      </c>
    </row>
    <row r="73" spans="1:7">
      <c r="A73" s="15">
        <v>43790</v>
      </c>
      <c r="B73" s="16">
        <v>1.0657000000000001</v>
      </c>
      <c r="C73" s="73">
        <f t="shared" ref="C73:C82" si="14">IFERROR(B73-B72,0)</f>
        <v>2.0000000000020002E-4</v>
      </c>
      <c r="D73" s="18" t="str">
        <f t="shared" ref="D73:D82" si="15">IF(C73&lt;0,C73,"/")</f>
        <v>/</v>
      </c>
      <c r="E73" s="18">
        <f ca="1">IF(表2_36716262930389[[#This Row],[累计净值]]/MAX(INDIRECT("B21:B" &amp; ROW()))-1&lt;E72,表2_36716262930389[[#This Row],[累计净值]]/MAX(INDIRECT("B21:B" &amp; ROW()))-1,E72)</f>
        <v>-5.5161544523246731E-3</v>
      </c>
      <c r="F73" s="62">
        <f>表2_36716262930389[[#This Row],[累计净值]]</f>
        <v>1.0657000000000001</v>
      </c>
      <c r="G73" s="20">
        <f>表2_36716262930389[[#This Row],[累计净值]]/$B$21-1</f>
        <v>5.1297227976718984E-2</v>
      </c>
    </row>
    <row r="74" spans="1:7">
      <c r="A74" s="15">
        <v>43791</v>
      </c>
      <c r="B74" s="16">
        <v>1.0669999999999999</v>
      </c>
      <c r="C74" s="73">
        <f t="shared" si="14"/>
        <v>1.2999999999998568E-3</v>
      </c>
      <c r="D74" s="18" t="str">
        <f t="shared" si="15"/>
        <v>/</v>
      </c>
      <c r="E74" s="18">
        <f ca="1">IF(表2_36716262930389[[#This Row],[累计净值]]/MAX(INDIRECT("B21:B" &amp; ROW()))-1&lt;E73,表2_36716262930389[[#This Row],[累计净值]]/MAX(INDIRECT("B21:B" &amp; ROW()))-1,E73)</f>
        <v>-5.5161544523246731E-3</v>
      </c>
      <c r="F74" s="62">
        <f>表2_36716262930389[[#This Row],[累计净值]]</f>
        <v>1.0669999999999999</v>
      </c>
      <c r="G74" s="20">
        <f>表2_36716262930389[[#This Row],[累计净值]]/$B$21-1</f>
        <v>5.2579658676136898E-2</v>
      </c>
    </row>
    <row r="75" spans="1:7">
      <c r="A75" s="15">
        <v>43794</v>
      </c>
      <c r="B75" s="16">
        <v>1.0668</v>
      </c>
      <c r="C75" s="73">
        <f t="shared" si="14"/>
        <v>-1.9999999999997797E-4</v>
      </c>
      <c r="D75" s="18">
        <f t="shared" si="15"/>
        <v>-1.9999999999997797E-4</v>
      </c>
      <c r="E75" s="18">
        <f ca="1">IF(表2_36716262930389[[#This Row],[累计净值]]/MAX(INDIRECT("B21:B" &amp; ROW()))-1&lt;E74,表2_36716262930389[[#This Row],[累计净值]]/MAX(INDIRECT("B21:B" &amp; ROW()))-1,E74)</f>
        <v>-5.5161544523246731E-3</v>
      </c>
      <c r="F75" s="62">
        <f>表2_36716262930389[[#This Row],[累计净值]]</f>
        <v>1.0668</v>
      </c>
      <c r="G75" s="20">
        <f>表2_36716262930389[[#This Row],[累计净值]]/$B$21-1</f>
        <v>5.2382361645457065E-2</v>
      </c>
    </row>
    <row r="76" spans="1:7">
      <c r="A76" s="15">
        <v>43795</v>
      </c>
      <c r="B76" s="16">
        <v>1.0672999999999999</v>
      </c>
      <c r="C76" s="73">
        <f t="shared" si="14"/>
        <v>4.9999999999994493E-4</v>
      </c>
      <c r="D76" s="18" t="str">
        <f t="shared" si="15"/>
        <v>/</v>
      </c>
      <c r="E76" s="18">
        <f ca="1">IF(表2_36716262930389[[#This Row],[累计净值]]/MAX(INDIRECT("B21:B" &amp; ROW()))-1&lt;E75,表2_36716262930389[[#This Row],[累计净值]]/MAX(INDIRECT("B21:B" &amp; ROW()))-1,E75)</f>
        <v>-5.5161544523246731E-3</v>
      </c>
      <c r="F76" s="62">
        <f>表2_36716262930389[[#This Row],[累计净值]]</f>
        <v>1.0672999999999999</v>
      </c>
      <c r="G76" s="20">
        <f>表2_36716262930389[[#This Row],[累计净值]]/$B$21-1</f>
        <v>5.2875604222156314E-2</v>
      </c>
    </row>
    <row r="77" spans="1:7">
      <c r="A77" s="15">
        <v>43796</v>
      </c>
      <c r="B77" s="16">
        <v>1.07</v>
      </c>
      <c r="C77" s="73">
        <f t="shared" si="14"/>
        <v>2.7000000000001467E-3</v>
      </c>
      <c r="D77" s="18" t="str">
        <f t="shared" si="15"/>
        <v>/</v>
      </c>
      <c r="E77" s="18">
        <f ca="1">IF(表2_36716262930389[[#This Row],[累计净值]]/MAX(INDIRECT("B21:B" &amp; ROW()))-1&lt;E76,表2_36716262930389[[#This Row],[累计净值]]/MAX(INDIRECT("B21:B" &amp; ROW()))-1,E76)</f>
        <v>-5.5161544523246731E-3</v>
      </c>
      <c r="F77" s="62">
        <f>表2_36716262930389[[#This Row],[累计净值]]</f>
        <v>1.07</v>
      </c>
      <c r="G77" s="20">
        <f>表2_36716262930389[[#This Row],[累计净值]]/$B$21-1</f>
        <v>5.5539114136332168E-2</v>
      </c>
    </row>
    <row r="78" spans="1:7">
      <c r="A78" s="15">
        <v>43797</v>
      </c>
      <c r="B78" s="16">
        <v>1.0696000000000001</v>
      </c>
      <c r="C78" s="73">
        <f t="shared" si="14"/>
        <v>-3.9999999999995595E-4</v>
      </c>
      <c r="D78" s="18">
        <f t="shared" si="15"/>
        <v>-3.9999999999995595E-4</v>
      </c>
      <c r="E78" s="18">
        <f ca="1">IF(表2_36716262930389[[#This Row],[累计净值]]/MAX(INDIRECT("B21:B" &amp; ROW()))-1&lt;E77,表2_36716262930389[[#This Row],[累计净值]]/MAX(INDIRECT("B21:B" &amp; ROW()))-1,E77)</f>
        <v>-5.5161544523246731E-3</v>
      </c>
      <c r="F78" s="62">
        <f>表2_36716262930389[[#This Row],[累计净值]]</f>
        <v>1.0696000000000001</v>
      </c>
      <c r="G78" s="20">
        <f>表2_36716262930389[[#This Row],[累计净值]]/$B$21-1</f>
        <v>5.5144520074972947E-2</v>
      </c>
    </row>
    <row r="79" spans="1:7">
      <c r="A79" s="15">
        <v>43798</v>
      </c>
      <c r="B79" s="16">
        <v>1.069</v>
      </c>
      <c r="C79" s="73">
        <f t="shared" si="14"/>
        <v>-6.0000000000015596E-4</v>
      </c>
      <c r="D79" s="18">
        <f t="shared" si="15"/>
        <v>-6.0000000000015596E-4</v>
      </c>
      <c r="E79" s="18">
        <f ca="1">IF(表2_36716262930389[[#This Row],[累计净值]]/MAX(INDIRECT("B21:B" &amp; ROW()))-1&lt;E78,表2_36716262930389[[#This Row],[累计净值]]/MAX(INDIRECT("B21:B" &amp; ROW()))-1,E78)</f>
        <v>-5.5161544523246731E-3</v>
      </c>
      <c r="F79" s="62">
        <f>表2_36716262930389[[#This Row],[累计净值]]</f>
        <v>1.069</v>
      </c>
      <c r="G79" s="20">
        <f>表2_36716262930389[[#This Row],[累计净值]]/$B$21-1</f>
        <v>5.4552628982933671E-2</v>
      </c>
    </row>
    <row r="80" spans="1:7">
      <c r="A80" s="15">
        <v>43801</v>
      </c>
      <c r="B80" s="16">
        <v>1.0704</v>
      </c>
      <c r="C80" s="73">
        <f t="shared" si="14"/>
        <v>1.4000000000000679E-3</v>
      </c>
      <c r="D80" s="18" t="str">
        <f t="shared" si="15"/>
        <v>/</v>
      </c>
      <c r="E80" s="18">
        <f ca="1">IF(表2_36716262930389[[#This Row],[累计净值]]/MAX(INDIRECT("B21:B" &amp; ROW()))-1&lt;E79,表2_36716262930389[[#This Row],[累计净值]]/MAX(INDIRECT("B21:B" &amp; ROW()))-1,E79)</f>
        <v>-5.5161544523246731E-3</v>
      </c>
      <c r="F80" s="62">
        <f>表2_36716262930389[[#This Row],[累计净值]]</f>
        <v>1.0704</v>
      </c>
      <c r="G80" s="20">
        <f>表2_36716262930389[[#This Row],[累计净值]]/$B$21-1</f>
        <v>5.5933708197691612E-2</v>
      </c>
    </row>
    <row r="81" spans="1:7">
      <c r="A81" s="15">
        <v>43802</v>
      </c>
      <c r="B81" s="16">
        <v>1.073</v>
      </c>
      <c r="C81" s="73">
        <f t="shared" si="14"/>
        <v>2.5999999999999357E-3</v>
      </c>
      <c r="D81" s="18" t="str">
        <f t="shared" si="15"/>
        <v>/</v>
      </c>
      <c r="E81" s="18">
        <f ca="1">IF(表2_36716262930389[[#This Row],[累计净值]]/MAX(INDIRECT("B21:B" &amp; ROW()))-1&lt;E80,表2_36716262930389[[#This Row],[累计净值]]/MAX(INDIRECT("B21:B" &amp; ROW()))-1,E80)</f>
        <v>-5.5161544523246731E-3</v>
      </c>
      <c r="F81" s="62">
        <f>表2_36716262930389[[#This Row],[累计净值]]</f>
        <v>1.073</v>
      </c>
      <c r="G81" s="20">
        <f>表2_36716262930389[[#This Row],[累计净值]]/$B$21-1</f>
        <v>5.8498569596527439E-2</v>
      </c>
    </row>
    <row r="82" spans="1:7">
      <c r="A82" s="15">
        <v>43803</v>
      </c>
      <c r="B82" s="16">
        <v>1.0748</v>
      </c>
      <c r="C82" s="73">
        <f t="shared" si="14"/>
        <v>1.8000000000000238E-3</v>
      </c>
      <c r="D82" s="18" t="str">
        <f t="shared" si="15"/>
        <v>/</v>
      </c>
      <c r="E82" s="18">
        <f ca="1">IF(表2_36716262930389[[#This Row],[累计净值]]/MAX(INDIRECT("B21:B" &amp; ROW()))-1&lt;E81,表2_36716262930389[[#This Row],[累计净值]]/MAX(INDIRECT("B21:B" &amp; ROW()))-1,E81)</f>
        <v>-5.5161544523246731E-3</v>
      </c>
      <c r="F82" s="62">
        <f>表2_36716262930389[[#This Row],[累计净值]]</f>
        <v>1.0748</v>
      </c>
      <c r="G82" s="20">
        <f>表2_36716262930389[[#This Row],[累计净值]]/$B$21-1</f>
        <v>6.0274242872644601E-2</v>
      </c>
    </row>
    <row r="83" spans="1:7">
      <c r="A83" s="15">
        <v>43804</v>
      </c>
      <c r="B83" s="16">
        <v>1.0774999999999999</v>
      </c>
      <c r="C83" s="73">
        <f t="shared" ref="C83:C88" si="16">IFERROR(B83-B82,0)</f>
        <v>2.6999999999999247E-3</v>
      </c>
      <c r="D83" s="18" t="str">
        <f t="shared" ref="D83:D88" si="17">IF(C83&lt;0,C83,"/")</f>
        <v>/</v>
      </c>
      <c r="E83" s="18">
        <f ca="1">IF(表2_36716262930389[[#This Row],[累计净值]]/MAX(INDIRECT("B21:B" &amp; ROW()))-1&lt;E82,表2_36716262930389[[#This Row],[累计净值]]/MAX(INDIRECT("B21:B" &amp; ROW()))-1,E82)</f>
        <v>-5.5161544523246731E-3</v>
      </c>
      <c r="F83" s="62">
        <f>表2_36716262930389[[#This Row],[累计净值]]</f>
        <v>1.0774999999999999</v>
      </c>
      <c r="G83" s="20">
        <f>表2_36716262930389[[#This Row],[累计净值]]/$B$21-1</f>
        <v>6.2937752786820456E-2</v>
      </c>
    </row>
    <row r="84" spans="1:7">
      <c r="A84" s="15">
        <v>43805</v>
      </c>
      <c r="B84" s="79">
        <v>1.0779000000000001</v>
      </c>
      <c r="C84" s="73">
        <f t="shared" si="16"/>
        <v>4.0000000000017799E-4</v>
      </c>
      <c r="D84" s="18" t="str">
        <f t="shared" si="17"/>
        <v>/</v>
      </c>
      <c r="E84" s="18">
        <f ca="1">IF(表2_36716262930389[[#This Row],[累计净值]]/MAX(INDIRECT("B21:B" &amp; ROW()))-1&lt;E83,表2_36716262930389[[#This Row],[累计净值]]/MAX(INDIRECT("B21:B" &amp; ROW()))-1,E83)</f>
        <v>-5.5161544523246731E-3</v>
      </c>
      <c r="F84" s="62">
        <f>表2_36716262930389[[#This Row],[累计净值]]</f>
        <v>1.0779000000000001</v>
      </c>
      <c r="G84" s="20">
        <f>表2_36716262930389[[#This Row],[累计净值]]/$B$21-1</f>
        <v>6.3332346848179899E-2</v>
      </c>
    </row>
    <row r="85" spans="1:7">
      <c r="A85" s="15">
        <v>43808</v>
      </c>
      <c r="B85" s="16">
        <v>1.0771999999999999</v>
      </c>
      <c r="C85" s="73">
        <f t="shared" si="16"/>
        <v>-7.0000000000014495E-4</v>
      </c>
      <c r="D85" s="18">
        <f t="shared" si="17"/>
        <v>-7.0000000000014495E-4</v>
      </c>
      <c r="E85" s="18">
        <f ca="1">IF(表2_36716262930389[[#This Row],[累计净值]]/MAX(INDIRECT("B21:B" &amp; ROW()))-1&lt;E84,表2_36716262930389[[#This Row],[累计净值]]/MAX(INDIRECT("B21:B" &amp; ROW()))-1,E84)</f>
        <v>-5.5161544523246731E-3</v>
      </c>
      <c r="F85" s="62">
        <f>表2_36716262930389[[#This Row],[累计净值]]</f>
        <v>1.0771999999999999</v>
      </c>
      <c r="G85" s="20">
        <f>表2_36716262930389[[#This Row],[累计净值]]/$B$21-1</f>
        <v>6.2641807240800818E-2</v>
      </c>
    </row>
    <row r="86" spans="1:7">
      <c r="A86" s="15">
        <v>43809</v>
      </c>
      <c r="B86" s="16">
        <v>1.0777000000000001</v>
      </c>
      <c r="C86" s="73">
        <f t="shared" si="16"/>
        <v>5.0000000000016698E-4</v>
      </c>
      <c r="D86" s="18" t="str">
        <f t="shared" si="17"/>
        <v>/</v>
      </c>
      <c r="E86" s="18">
        <f ca="1">IF(表2_36716262930389[[#This Row],[累计净值]]/MAX(INDIRECT("B21:B" &amp; ROW()))-1&lt;E85,表2_36716262930389[[#This Row],[累计净值]]/MAX(INDIRECT("B21:B" &amp; ROW()))-1,E85)</f>
        <v>-5.5161544523246731E-3</v>
      </c>
      <c r="F86" s="62">
        <f>表2_36716262930389[[#This Row],[累计净值]]</f>
        <v>1.0777000000000001</v>
      </c>
      <c r="G86" s="20">
        <f>表2_36716262930389[[#This Row],[累计净值]]/$B$21-1</f>
        <v>6.3135049817500288E-2</v>
      </c>
    </row>
    <row r="87" spans="1:7">
      <c r="A87" s="15">
        <v>43810</v>
      </c>
      <c r="B87" s="16">
        <v>1.0777000000000001</v>
      </c>
      <c r="C87" s="73">
        <f t="shared" si="16"/>
        <v>0</v>
      </c>
      <c r="D87" s="18" t="str">
        <f t="shared" si="17"/>
        <v>/</v>
      </c>
      <c r="E87" s="18">
        <f ca="1">IF(表2_36716262930389[[#This Row],[累计净值]]/MAX(INDIRECT("B21:B" &amp; ROW()))-1&lt;E86,表2_36716262930389[[#This Row],[累计净值]]/MAX(INDIRECT("B21:B" &amp; ROW()))-1,E86)</f>
        <v>-5.5161544523246731E-3</v>
      </c>
      <c r="F87" s="62">
        <f>表2_36716262930389[[#This Row],[累计净值]]</f>
        <v>1.0777000000000001</v>
      </c>
      <c r="G87" s="20">
        <f>表2_36716262930389[[#This Row],[累计净值]]/$B$21-1</f>
        <v>6.3135049817500288E-2</v>
      </c>
    </row>
    <row r="88" spans="1:7">
      <c r="A88" s="15">
        <v>43811</v>
      </c>
      <c r="B88" s="16">
        <v>1.0775999999999999</v>
      </c>
      <c r="C88" s="73">
        <f t="shared" si="16"/>
        <v>-1.0000000000021103E-4</v>
      </c>
      <c r="D88" s="18">
        <f t="shared" si="17"/>
        <v>-1.0000000000021103E-4</v>
      </c>
      <c r="E88" s="18">
        <f ca="1">IF(表2_36716262930389[[#This Row],[累计净值]]/MAX(INDIRECT("B21:B" &amp; ROW()))-1&lt;E87,表2_36716262930389[[#This Row],[累计净值]]/MAX(INDIRECT("B21:B" &amp; ROW()))-1,E87)</f>
        <v>-5.5161544523246731E-3</v>
      </c>
      <c r="F88" s="62">
        <f>表2_36716262930389[[#This Row],[累计净值]]</f>
        <v>1.0775999999999999</v>
      </c>
      <c r="G88" s="20">
        <f>表2_36716262930389[[#This Row],[累计净值]]/$B$21-1</f>
        <v>6.3036401302160261E-2</v>
      </c>
    </row>
    <row r="89" spans="1:7">
      <c r="A89" s="15">
        <v>43812</v>
      </c>
      <c r="B89" s="16">
        <v>1.0779000000000001</v>
      </c>
      <c r="C89" s="73">
        <f t="shared" ref="C89:C98" si="18">IFERROR(B89-B88,0)</f>
        <v>3.00000000000189E-4</v>
      </c>
      <c r="D89" s="18" t="str">
        <f t="shared" ref="D89:D98" si="19">IF(C89&lt;0,C89,"/")</f>
        <v>/</v>
      </c>
      <c r="E89" s="18">
        <f ca="1">IF(表2_36716262930389[[#This Row],[累计净值]]/MAX(INDIRECT("B21:B" &amp; ROW()))-1&lt;E88,表2_36716262930389[[#This Row],[累计净值]]/MAX(INDIRECT("B21:B" &amp; ROW()))-1,E88)</f>
        <v>-5.5161544523246731E-3</v>
      </c>
      <c r="F89" s="62">
        <f>表2_36716262930389[[#This Row],[累计净值]]</f>
        <v>1.0779000000000001</v>
      </c>
      <c r="G89" s="20">
        <f>表2_36716262930389[[#This Row],[累计净值]]/$B$21-1</f>
        <v>6.3332346848179899E-2</v>
      </c>
    </row>
    <row r="90" spans="1:7">
      <c r="A90" s="15">
        <v>43815</v>
      </c>
      <c r="B90" s="16">
        <v>1.0769</v>
      </c>
      <c r="C90" s="73">
        <f t="shared" si="18"/>
        <v>-1.0000000000001119E-3</v>
      </c>
      <c r="D90" s="18">
        <f t="shared" si="19"/>
        <v>-1.0000000000001119E-3</v>
      </c>
      <c r="E90" s="18">
        <f ca="1">IF(表2_36716262930389[[#This Row],[累计净值]]/MAX(INDIRECT("B21:B" &amp; ROW()))-1&lt;E89,表2_36716262930389[[#This Row],[累计净值]]/MAX(INDIRECT("B21:B" &amp; ROW()))-1,E89)</f>
        <v>-5.5161544523246731E-3</v>
      </c>
      <c r="F90" s="62">
        <f>表2_36716262930389[[#This Row],[累计净值]]</f>
        <v>1.0769</v>
      </c>
      <c r="G90" s="20">
        <f>表2_36716262930389[[#This Row],[累计净值]]/$B$21-1</f>
        <v>6.2345861694781401E-2</v>
      </c>
    </row>
    <row r="91" spans="1:7">
      <c r="A91" s="15">
        <v>43816</v>
      </c>
      <c r="B91" s="16">
        <v>1.0771999999999999</v>
      </c>
      <c r="C91" s="73">
        <f t="shared" si="18"/>
        <v>2.9999999999996696E-4</v>
      </c>
      <c r="D91" s="18" t="str">
        <f t="shared" si="19"/>
        <v>/</v>
      </c>
      <c r="E91" s="18">
        <f ca="1">IF(表2_36716262930389[[#This Row],[累计净值]]/MAX(INDIRECT("B21:B" &amp; ROW()))-1&lt;E90,表2_36716262930389[[#This Row],[累计净值]]/MAX(INDIRECT("B21:B" &amp; ROW()))-1,E90)</f>
        <v>-5.5161544523246731E-3</v>
      </c>
      <c r="F91" s="62">
        <f>表2_36716262930389[[#This Row],[累计净值]]</f>
        <v>1.0771999999999999</v>
      </c>
      <c r="G91" s="20">
        <f>表2_36716262930389[[#This Row],[累计净值]]/$B$21-1</f>
        <v>6.2641807240800818E-2</v>
      </c>
    </row>
    <row r="92" spans="1:7">
      <c r="A92" s="15">
        <v>43817</v>
      </c>
      <c r="B92" s="16">
        <v>1.0781000000000001</v>
      </c>
      <c r="C92" s="73">
        <f t="shared" si="18"/>
        <v>9.0000000000012292E-4</v>
      </c>
      <c r="D92" s="18" t="str">
        <f t="shared" si="19"/>
        <v>/</v>
      </c>
      <c r="E92" s="18">
        <f ca="1">IF(表2_36716262930389[[#This Row],[累计净值]]/MAX(INDIRECT("B21:B" &amp; ROW()))-1&lt;E91,表2_36716262930389[[#This Row],[累计净值]]/MAX(INDIRECT("B21:B" &amp; ROW()))-1,E91)</f>
        <v>-5.5161544523246731E-3</v>
      </c>
      <c r="F92" s="62">
        <f>表2_36716262930389[[#This Row],[累计净值]]</f>
        <v>1.0781000000000001</v>
      </c>
      <c r="G92" s="20">
        <f>表2_36716262930389[[#This Row],[累计净值]]/$B$21-1</f>
        <v>6.3529643878859732E-2</v>
      </c>
    </row>
    <row r="93" spans="1:7">
      <c r="A93" s="15">
        <v>43818</v>
      </c>
      <c r="B93" s="16">
        <v>1.0763</v>
      </c>
      <c r="C93" s="73">
        <f t="shared" si="18"/>
        <v>-1.8000000000000238E-3</v>
      </c>
      <c r="D93" s="18">
        <f t="shared" si="19"/>
        <v>-1.8000000000000238E-3</v>
      </c>
      <c r="E93" s="18">
        <f ca="1">IF(表2_36716262930389[[#This Row],[累计净值]]/MAX(INDIRECT("B21:B" &amp; ROW()))-1&lt;E92,表2_36716262930389[[#This Row],[累计净值]]/MAX(INDIRECT("B21:B" &amp; ROW()))-1,E92)</f>
        <v>-5.5161544523246731E-3</v>
      </c>
      <c r="F93" s="62">
        <f>表2_36716262930389[[#This Row],[累计净值]]</f>
        <v>1.0763</v>
      </c>
      <c r="G93" s="20">
        <f>表2_36716262930389[[#This Row],[累计净值]]/$B$21-1</f>
        <v>6.1753970602742347E-2</v>
      </c>
    </row>
    <row r="94" spans="1:7">
      <c r="A94" s="15">
        <v>43819</v>
      </c>
      <c r="B94" s="79">
        <v>1.0790999999999999</v>
      </c>
      <c r="C94" s="73">
        <f t="shared" si="18"/>
        <v>2.7999999999999137E-3</v>
      </c>
      <c r="D94" s="18" t="str">
        <f t="shared" si="19"/>
        <v>/</v>
      </c>
      <c r="E94" s="18">
        <f ca="1">IF(表2_36716262930389[[#This Row],[累计净值]]/MAX(INDIRECT("B21:B" &amp; ROW()))-1&lt;E93,表2_36716262930389[[#This Row],[累计净值]]/MAX(INDIRECT("B21:B" &amp; ROW()))-1,E93)</f>
        <v>-5.5161544523246731E-3</v>
      </c>
      <c r="F94" s="62">
        <f>表2_36716262930389[[#This Row],[累计净值]]</f>
        <v>1.0790999999999999</v>
      </c>
      <c r="G94" s="20">
        <f>表2_36716262930389[[#This Row],[累计净值]]/$B$21-1</f>
        <v>6.4516129032258007E-2</v>
      </c>
    </row>
    <row r="95" spans="1:7">
      <c r="A95" s="15">
        <v>43822</v>
      </c>
      <c r="B95" s="16">
        <v>1.0783</v>
      </c>
      <c r="C95" s="73">
        <f t="shared" si="18"/>
        <v>-7.9999999999991189E-4</v>
      </c>
      <c r="D95" s="18">
        <f t="shared" si="19"/>
        <v>-7.9999999999991189E-4</v>
      </c>
      <c r="E95" s="18">
        <f ca="1">IF(表2_36716262930389[[#This Row],[累计净值]]/MAX(INDIRECT("B21:B" &amp; ROW()))-1&lt;E94,表2_36716262930389[[#This Row],[累计净值]]/MAX(INDIRECT("B21:B" &amp; ROW()))-1,E94)</f>
        <v>-5.5161544523246731E-3</v>
      </c>
      <c r="F95" s="62">
        <f>表2_36716262930389[[#This Row],[累计净值]]</f>
        <v>1.0783</v>
      </c>
      <c r="G95" s="20">
        <f>表2_36716262930389[[#This Row],[累计净值]]/$B$21-1</f>
        <v>6.3726940909539342E-2</v>
      </c>
    </row>
    <row r="96" spans="1:7">
      <c r="A96" s="15">
        <v>43823</v>
      </c>
      <c r="B96" s="16">
        <v>1.0788</v>
      </c>
      <c r="C96" s="73">
        <f t="shared" si="18"/>
        <v>4.9999999999994493E-4</v>
      </c>
      <c r="D96" s="18" t="str">
        <f t="shared" si="19"/>
        <v>/</v>
      </c>
      <c r="E96" s="18">
        <f ca="1">IF(表2_36716262930389[[#This Row],[累计净值]]/MAX(INDIRECT("B21:B" &amp; ROW()))-1&lt;E95,表2_36716262930389[[#This Row],[累计净值]]/MAX(INDIRECT("B21:B" &amp; ROW()))-1,E95)</f>
        <v>-5.5161544523246731E-3</v>
      </c>
      <c r="F96" s="62">
        <f>表2_36716262930389[[#This Row],[累计净值]]</f>
        <v>1.0788</v>
      </c>
      <c r="G96" s="20">
        <f>表2_36716262930389[[#This Row],[累计净值]]/$B$21-1</f>
        <v>6.4220183486238369E-2</v>
      </c>
    </row>
    <row r="97" spans="1:7">
      <c r="A97" s="15">
        <v>43824</v>
      </c>
      <c r="B97" s="79">
        <v>1.0795999999999999</v>
      </c>
      <c r="C97" s="73">
        <f t="shared" si="18"/>
        <v>7.9999999999991189E-4</v>
      </c>
      <c r="D97" s="18" t="str">
        <f t="shared" si="19"/>
        <v>/</v>
      </c>
      <c r="E97" s="18">
        <f ca="1">IF(表2_36716262930389[[#This Row],[累计净值]]/MAX(INDIRECT("B21:B" &amp; ROW()))-1&lt;E96,表2_36716262930389[[#This Row],[累计净值]]/MAX(INDIRECT("B21:B" &amp; ROW()))-1,E96)</f>
        <v>-5.5161544523246731E-3</v>
      </c>
      <c r="F97" s="62">
        <f>表2_36716262930389[[#This Row],[累计净值]]</f>
        <v>1.0795999999999999</v>
      </c>
      <c r="G97" s="20">
        <f>表2_36716262930389[[#This Row],[累计净值]]/$B$21-1</f>
        <v>6.5009371608957034E-2</v>
      </c>
    </row>
    <row r="98" spans="1:7">
      <c r="A98" s="15">
        <v>43825</v>
      </c>
      <c r="B98" s="16">
        <v>1.0784</v>
      </c>
      <c r="C98" s="73">
        <f t="shared" si="18"/>
        <v>-1.1999999999998678E-3</v>
      </c>
      <c r="D98" s="18">
        <f t="shared" si="19"/>
        <v>-1.1999999999998678E-3</v>
      </c>
      <c r="E98" s="18">
        <f ca="1">IF(表2_36716262930389[[#This Row],[累计净值]]/MAX(INDIRECT("B21:B" &amp; ROW()))-1&lt;E97,表2_36716262930389[[#This Row],[累计净值]]/MAX(INDIRECT("B21:B" &amp; ROW()))-1,E97)</f>
        <v>-5.5161544523246731E-3</v>
      </c>
      <c r="F98" s="62">
        <f>表2_36716262930389[[#This Row],[累计净值]]</f>
        <v>1.0784</v>
      </c>
      <c r="G98" s="20">
        <f>表2_36716262930389[[#This Row],[累计净值]]/$B$21-1</f>
        <v>6.3825589424879148E-2</v>
      </c>
    </row>
    <row r="99" spans="1:7">
      <c r="A99" s="15">
        <v>43826</v>
      </c>
      <c r="B99" s="16">
        <v>1.0784</v>
      </c>
      <c r="C99" s="73">
        <f t="shared" ref="C99:C104" si="20">IFERROR(B99-B98,0)</f>
        <v>0</v>
      </c>
      <c r="D99" s="18" t="str">
        <f t="shared" ref="D99:D104" si="21">IF(C99&lt;0,C99,"/")</f>
        <v>/</v>
      </c>
      <c r="E99" s="18">
        <f ca="1">IF(表2_36716262930389[[#This Row],[累计净值]]/MAX(INDIRECT("B21:B" &amp; ROW()))-1&lt;E98,表2_36716262930389[[#This Row],[累计净值]]/MAX(INDIRECT("B21:B" &amp; ROW()))-1,E98)</f>
        <v>-5.5161544523246731E-3</v>
      </c>
      <c r="F99" s="62">
        <f>表2_36716262930389[[#This Row],[累计净值]]</f>
        <v>1.0784</v>
      </c>
      <c r="G99" s="20">
        <f>表2_36716262930389[[#This Row],[累计净值]]/$B$21-1</f>
        <v>6.3825589424879148E-2</v>
      </c>
    </row>
    <row r="100" spans="1:7">
      <c r="A100" s="15">
        <v>43829</v>
      </c>
      <c r="B100" s="16">
        <v>1.0793999999999999</v>
      </c>
      <c r="C100" s="73">
        <f t="shared" si="20"/>
        <v>9.9999999999988987E-4</v>
      </c>
      <c r="D100" s="18" t="str">
        <f t="shared" si="21"/>
        <v>/</v>
      </c>
      <c r="E100" s="18">
        <f ca="1">IF(表2_36716262930389[[#This Row],[累计净值]]/MAX(INDIRECT("B21:B" &amp; ROW()))-1&lt;E99,表2_36716262930389[[#This Row],[累计净值]]/MAX(INDIRECT("B21:B" &amp; ROW()))-1,E99)</f>
        <v>-5.5161544523246731E-3</v>
      </c>
      <c r="F100" s="62">
        <f>表2_36716262930389[[#This Row],[累计净值]]</f>
        <v>1.0793999999999999</v>
      </c>
      <c r="G100" s="20">
        <f>表2_36716262930389[[#This Row],[累计净值]]/$B$21-1</f>
        <v>6.4812074578277423E-2</v>
      </c>
    </row>
    <row r="101" spans="1:7">
      <c r="A101" s="15">
        <v>43830</v>
      </c>
      <c r="B101" s="16">
        <v>1.08</v>
      </c>
      <c r="C101" s="73">
        <f t="shared" si="20"/>
        <v>6.0000000000015596E-4</v>
      </c>
      <c r="D101" s="18" t="str">
        <f t="shared" si="21"/>
        <v>/</v>
      </c>
      <c r="E101" s="18">
        <f ca="1">IF(表2_36716262930389[[#This Row],[累计净值]]/MAX(INDIRECT("B21:B" &amp; ROW()))-1&lt;E100,表2_36716262930389[[#This Row],[累计净值]]/MAX(INDIRECT("B21:B" &amp; ROW()))-1,E100)</f>
        <v>-5.5161544523246731E-3</v>
      </c>
      <c r="F101" s="62">
        <f>表2_36716262930389[[#This Row],[累计净值]]</f>
        <v>1.08</v>
      </c>
      <c r="G101" s="20">
        <f>表2_36716262930389[[#This Row],[累计净值]]/$B$21-1</f>
        <v>6.5403965670316699E-2</v>
      </c>
    </row>
    <row r="102" spans="1:7">
      <c r="A102" s="15">
        <v>43832</v>
      </c>
      <c r="B102" s="79">
        <v>1.0814999999999999</v>
      </c>
      <c r="C102" s="73">
        <f t="shared" si="20"/>
        <v>1.4999999999998348E-3</v>
      </c>
      <c r="D102" s="18" t="str">
        <f t="shared" si="21"/>
        <v>/</v>
      </c>
      <c r="E102" s="18">
        <f ca="1">IF(表2_36716262930389[[#This Row],[累计净值]]/MAX(INDIRECT("B21:B" &amp; ROW()))-1&lt;E101,表2_36716262930389[[#This Row],[累计净值]]/MAX(INDIRECT("B21:B" &amp; ROW()))-1,E101)</f>
        <v>-5.5161544523246731E-3</v>
      </c>
      <c r="F102" s="62">
        <f>表2_36716262930389[[#This Row],[累计净值]]</f>
        <v>1.0814999999999999</v>
      </c>
      <c r="G102" s="20">
        <f>表2_36716262930389[[#This Row],[累计净值]]/$B$21-1</f>
        <v>6.6883693400414224E-2</v>
      </c>
    </row>
    <row r="103" spans="1:7">
      <c r="A103" s="15">
        <v>43833</v>
      </c>
      <c r="B103" s="16">
        <v>1.0811999999999999</v>
      </c>
      <c r="C103" s="73">
        <f t="shared" si="20"/>
        <v>-2.9999999999996696E-4</v>
      </c>
      <c r="D103" s="18">
        <f t="shared" si="21"/>
        <v>-2.9999999999996696E-4</v>
      </c>
      <c r="E103" s="18">
        <f ca="1">IF(表2_36716262930389[[#This Row],[累计净值]]/MAX(INDIRECT("B21:B" &amp; ROW()))-1&lt;E102,表2_36716262930389[[#This Row],[累计净值]]/MAX(INDIRECT("B21:B" &amp; ROW()))-1,E102)</f>
        <v>-5.5161544523246731E-3</v>
      </c>
      <c r="F103" s="62">
        <f>表2_36716262930389[[#This Row],[累计净值]]</f>
        <v>1.0811999999999999</v>
      </c>
      <c r="G103" s="20">
        <f>表2_36716262930389[[#This Row],[累计净值]]/$B$21-1</f>
        <v>6.6587747854394586E-2</v>
      </c>
    </row>
    <row r="104" spans="1:7">
      <c r="A104" s="15">
        <v>43836</v>
      </c>
      <c r="B104" s="16">
        <v>1.0806</v>
      </c>
      <c r="C104" s="73">
        <f t="shared" si="20"/>
        <v>-5.9999999999993392E-4</v>
      </c>
      <c r="D104" s="18">
        <f t="shared" si="21"/>
        <v>-5.9999999999993392E-4</v>
      </c>
      <c r="E104" s="18">
        <f ca="1">IF(表2_36716262930389[[#This Row],[累计净值]]/MAX(INDIRECT("B21:B" &amp; ROW()))-1&lt;E103,表2_36716262930389[[#This Row],[累计净值]]/MAX(INDIRECT("B21:B" &amp; ROW()))-1,E103)</f>
        <v>-5.5161544523246731E-3</v>
      </c>
      <c r="F104" s="62">
        <f>表2_36716262930389[[#This Row],[累计净值]]</f>
        <v>1.0806</v>
      </c>
      <c r="G104" s="20">
        <f>表2_36716262930389[[#This Row],[累计净值]]/$B$21-1</f>
        <v>6.5995856762355753E-2</v>
      </c>
    </row>
    <row r="105" spans="1:7">
      <c r="A105" s="15">
        <v>43837</v>
      </c>
      <c r="B105" s="16">
        <v>1.0810999999999999</v>
      </c>
      <c r="C105" s="73">
        <f t="shared" ref="C105:C120" si="22">IFERROR(B105-B104,0)</f>
        <v>4.9999999999994493E-4</v>
      </c>
      <c r="D105" s="18" t="str">
        <f t="shared" ref="D105:D120" si="23">IF(C105&lt;0,C105,"/")</f>
        <v>/</v>
      </c>
      <c r="E105" s="18">
        <f ca="1">IF(表2_36716262930389[[#This Row],[累计净值]]/MAX(INDIRECT("B21:B" &amp; ROW()))-1&lt;E104,表2_36716262930389[[#This Row],[累计净值]]/MAX(INDIRECT("B21:B" &amp; ROW()))-1,E104)</f>
        <v>-5.5161544523246731E-3</v>
      </c>
      <c r="F105" s="62">
        <f>表2_36716262930389[[#This Row],[累计净值]]</f>
        <v>1.0810999999999999</v>
      </c>
      <c r="G105" s="20">
        <f>表2_36716262930389[[#This Row],[累计净值]]/$B$21-1</f>
        <v>6.648909933905478E-2</v>
      </c>
    </row>
    <row r="106" spans="1:7">
      <c r="A106" s="15">
        <v>43838</v>
      </c>
      <c r="B106" s="16">
        <v>1.0812999999999999</v>
      </c>
      <c r="C106" s="73">
        <f t="shared" si="22"/>
        <v>1.9999999999997797E-4</v>
      </c>
      <c r="D106" s="18" t="str">
        <f t="shared" si="23"/>
        <v>/</v>
      </c>
      <c r="E106" s="18">
        <f ca="1">IF(表2_36716262930389[[#This Row],[累计净值]]/MAX(INDIRECT("B21:B" &amp; ROW()))-1&lt;E105,表2_36716262930389[[#This Row],[累计净值]]/MAX(INDIRECT("B21:B" &amp; ROW()))-1,E105)</f>
        <v>-5.5161544523246731E-3</v>
      </c>
      <c r="F106" s="62">
        <f>表2_36716262930389[[#This Row],[累计净值]]</f>
        <v>1.0812999999999999</v>
      </c>
      <c r="G106" s="20">
        <f>表2_36716262930389[[#This Row],[累计净值]]/$B$21-1</f>
        <v>6.6686396369734613E-2</v>
      </c>
    </row>
    <row r="107" spans="1:7">
      <c r="A107" s="15">
        <v>43839</v>
      </c>
      <c r="B107" s="16">
        <v>1.0811999999999999</v>
      </c>
      <c r="C107" s="73">
        <f t="shared" si="22"/>
        <v>-9.9999999999988987E-5</v>
      </c>
      <c r="D107" s="18">
        <f t="shared" si="23"/>
        <v>-9.9999999999988987E-5</v>
      </c>
      <c r="E107" s="18">
        <f ca="1">IF(表2_36716262930389[[#This Row],[累计净值]]/MAX(INDIRECT("B21:B" &amp; ROW()))-1&lt;E106,表2_36716262930389[[#This Row],[累计净值]]/MAX(INDIRECT("B21:B" &amp; ROW()))-1,E106)</f>
        <v>-5.5161544523246731E-3</v>
      </c>
      <c r="F107" s="62">
        <f>表2_36716262930389[[#This Row],[累计净值]]</f>
        <v>1.0811999999999999</v>
      </c>
      <c r="G107" s="20">
        <f>表2_36716262930389[[#This Row],[累计净值]]/$B$21-1</f>
        <v>6.6587747854394586E-2</v>
      </c>
    </row>
    <row r="108" spans="1:7">
      <c r="A108" s="15">
        <v>43840</v>
      </c>
      <c r="B108" s="16">
        <v>1.0809</v>
      </c>
      <c r="C108" s="73">
        <f t="shared" si="22"/>
        <v>-2.9999999999996696E-4</v>
      </c>
      <c r="D108" s="18">
        <f t="shared" si="23"/>
        <v>-2.9999999999996696E-4</v>
      </c>
      <c r="E108" s="18">
        <f ca="1">IF(表2_36716262930389[[#This Row],[累计净值]]/MAX(INDIRECT("B21:B" &amp; ROW()))-1&lt;E107,表2_36716262930389[[#This Row],[累计净值]]/MAX(INDIRECT("B21:B" &amp; ROW()))-1,E107)</f>
        <v>-5.5161544523246731E-3</v>
      </c>
      <c r="F108" s="62">
        <f>表2_36716262930389[[#This Row],[累计净值]]</f>
        <v>1.0809</v>
      </c>
      <c r="G108" s="20">
        <f>表2_36716262930389[[#This Row],[累计净值]]/$B$21-1</f>
        <v>6.629180230837517E-2</v>
      </c>
    </row>
    <row r="109" spans="1:7">
      <c r="A109" s="15">
        <v>43843</v>
      </c>
      <c r="B109" s="16">
        <v>1.0807</v>
      </c>
      <c r="C109" s="73">
        <f t="shared" si="22"/>
        <v>-1.9999999999997797E-4</v>
      </c>
      <c r="D109" s="18">
        <f t="shared" si="23"/>
        <v>-1.9999999999997797E-4</v>
      </c>
      <c r="E109" s="18">
        <f ca="1">IF(表2_36716262930389[[#This Row],[累计净值]]/MAX(INDIRECT("B21:B" &amp; ROW()))-1&lt;E108,表2_36716262930389[[#This Row],[累计净值]]/MAX(INDIRECT("B21:B" &amp; ROW()))-1,E108)</f>
        <v>-5.5161544523246731E-3</v>
      </c>
      <c r="F109" s="62">
        <f>表2_36716262930389[[#This Row],[累计净值]]</f>
        <v>1.0807</v>
      </c>
      <c r="G109" s="20">
        <f>表2_36716262930389[[#This Row],[累计净值]]/$B$21-1</f>
        <v>6.6094505277695559E-2</v>
      </c>
    </row>
    <row r="110" spans="1:7">
      <c r="A110" s="15">
        <v>43844</v>
      </c>
      <c r="B110" s="16">
        <v>1.081</v>
      </c>
      <c r="C110" s="73">
        <f t="shared" si="22"/>
        <v>2.9999999999996696E-4</v>
      </c>
      <c r="D110" s="18" t="str">
        <f t="shared" si="23"/>
        <v>/</v>
      </c>
      <c r="E110" s="18">
        <f ca="1">IF(表2_36716262930389[[#This Row],[累计净值]]/MAX(INDIRECT("B21:B" &amp; ROW()))-1&lt;E109,表2_36716262930389[[#This Row],[累计净值]]/MAX(INDIRECT("B21:B" &amp; ROW()))-1,E109)</f>
        <v>-5.5161544523246731E-3</v>
      </c>
      <c r="F110" s="62">
        <f>表2_36716262930389[[#This Row],[累计净值]]</f>
        <v>1.081</v>
      </c>
      <c r="G110" s="20">
        <f>表2_36716262930389[[#This Row],[累计净值]]/$B$21-1</f>
        <v>6.6390450823714975E-2</v>
      </c>
    </row>
    <row r="111" spans="1:7">
      <c r="A111" s="15">
        <v>43845</v>
      </c>
      <c r="B111" s="16">
        <v>1.0813999999999999</v>
      </c>
      <c r="C111" s="73">
        <f t="shared" si="22"/>
        <v>3.9999999999995595E-4</v>
      </c>
      <c r="D111" s="18" t="str">
        <f t="shared" si="23"/>
        <v>/</v>
      </c>
      <c r="E111" s="18">
        <f ca="1">IF(表2_36716262930389[[#This Row],[累计净值]]/MAX(INDIRECT("B21:B" &amp; ROW()))-1&lt;E110,表2_36716262930389[[#This Row],[累计净值]]/MAX(INDIRECT("B21:B" &amp; ROW()))-1,E110)</f>
        <v>-5.5161544523246731E-3</v>
      </c>
      <c r="F111" s="62">
        <f>表2_36716262930389[[#This Row],[累计净值]]</f>
        <v>1.0813999999999999</v>
      </c>
      <c r="G111" s="20">
        <f>表2_36716262930389[[#This Row],[累计净值]]/$B$21-1</f>
        <v>6.6785044885074418E-2</v>
      </c>
    </row>
    <row r="112" spans="1:7">
      <c r="A112" s="15">
        <v>43846</v>
      </c>
      <c r="B112" s="16">
        <v>1.0815999999999999</v>
      </c>
      <c r="C112" s="73">
        <f t="shared" si="22"/>
        <v>1.9999999999997797E-4</v>
      </c>
      <c r="D112" s="18" t="str">
        <f t="shared" si="23"/>
        <v>/</v>
      </c>
      <c r="E112" s="18">
        <f ca="1">IF(表2_36716262930389[[#This Row],[累计净值]]/MAX(INDIRECT("B21:B" &amp; ROW()))-1&lt;E111,表2_36716262930389[[#This Row],[累计净值]]/MAX(INDIRECT("B21:B" &amp; ROW()))-1,E111)</f>
        <v>-5.5161544523246731E-3</v>
      </c>
      <c r="F112" s="62">
        <f>表2_36716262930389[[#This Row],[累计净值]]</f>
        <v>1.0815999999999999</v>
      </c>
      <c r="G112" s="20">
        <f>表2_36716262930389[[#This Row],[累计净值]]/$B$21-1</f>
        <v>6.6982341915754029E-2</v>
      </c>
    </row>
    <row r="113" spans="1:7">
      <c r="A113" s="15">
        <v>43847</v>
      </c>
      <c r="B113" s="16">
        <v>1.0809</v>
      </c>
      <c r="C113" s="73">
        <f t="shared" si="22"/>
        <v>-6.9999999999992291E-4</v>
      </c>
      <c r="D113" s="18">
        <f t="shared" si="23"/>
        <v>-6.9999999999992291E-4</v>
      </c>
      <c r="E113" s="18">
        <f ca="1">IF(表2_36716262930389[[#This Row],[累计净值]]/MAX(INDIRECT("B21:B" &amp; ROW()))-1&lt;E112,表2_36716262930389[[#This Row],[累计净值]]/MAX(INDIRECT("B21:B" &amp; ROW()))-1,E112)</f>
        <v>-5.5161544523246731E-3</v>
      </c>
      <c r="F113" s="62">
        <f>表2_36716262930389[[#This Row],[累计净值]]</f>
        <v>1.0809</v>
      </c>
      <c r="G113" s="20">
        <f>表2_36716262930389[[#This Row],[累计净值]]/$B$21-1</f>
        <v>6.629180230837517E-2</v>
      </c>
    </row>
    <row r="114" spans="1:7">
      <c r="A114" s="15">
        <v>43850</v>
      </c>
      <c r="B114" s="79">
        <v>1.0831</v>
      </c>
      <c r="C114" s="73">
        <f t="shared" si="22"/>
        <v>2.1999999999999797E-3</v>
      </c>
      <c r="D114" s="18" t="str">
        <f t="shared" si="23"/>
        <v>/</v>
      </c>
      <c r="E114" s="18">
        <f ca="1">IF(表2_36716262930389[[#This Row],[累计净值]]/MAX(INDIRECT("B21:B" &amp; ROW()))-1&lt;E113,表2_36716262930389[[#This Row],[累计净值]]/MAX(INDIRECT("B21:B" &amp; ROW()))-1,E113)</f>
        <v>-5.5161544523246731E-3</v>
      </c>
      <c r="F114" s="62">
        <f>表2_36716262930389[[#This Row],[累计净值]]</f>
        <v>1.0831</v>
      </c>
      <c r="G114" s="20">
        <f>表2_36716262930389[[#This Row],[累计净值]]/$B$21-1</f>
        <v>6.8462069645851775E-2</v>
      </c>
    </row>
    <row r="115" spans="1:7">
      <c r="A115" s="15">
        <v>43851</v>
      </c>
      <c r="B115" s="16">
        <v>1.0828</v>
      </c>
      <c r="C115" s="73">
        <f t="shared" si="22"/>
        <v>-2.9999999999996696E-4</v>
      </c>
      <c r="D115" s="18">
        <f t="shared" si="23"/>
        <v>-2.9999999999996696E-4</v>
      </c>
      <c r="E115" s="18">
        <f ca="1">IF(表2_36716262930389[[#This Row],[累计净值]]/MAX(INDIRECT("B21:B" &amp; ROW()))-1&lt;E114,表2_36716262930389[[#This Row],[累计净值]]/MAX(INDIRECT("B21:B" &amp; ROW()))-1,E114)</f>
        <v>-5.5161544523246731E-3</v>
      </c>
      <c r="F115" s="62">
        <f>表2_36716262930389[[#This Row],[累计净值]]</f>
        <v>1.0828</v>
      </c>
      <c r="G115" s="20">
        <f>表2_36716262930389[[#This Row],[累计净值]]/$B$21-1</f>
        <v>6.8166124099832137E-2</v>
      </c>
    </row>
    <row r="116" spans="1:7">
      <c r="A116" s="15">
        <v>43852</v>
      </c>
      <c r="B116" s="16">
        <v>1.0825</v>
      </c>
      <c r="C116" s="73">
        <f t="shared" si="22"/>
        <v>-2.9999999999996696E-4</v>
      </c>
      <c r="D116" s="18">
        <f t="shared" si="23"/>
        <v>-2.9999999999996696E-4</v>
      </c>
      <c r="E116" s="18">
        <f ca="1">IF(表2_36716262930389[[#This Row],[累计净值]]/MAX(INDIRECT("B21:B" &amp; ROW()))-1&lt;E115,表2_36716262930389[[#This Row],[累计净值]]/MAX(INDIRECT("B21:B" &amp; ROW()))-1,E115)</f>
        <v>-5.5161544523246731E-3</v>
      </c>
      <c r="F116" s="62">
        <f>表2_36716262930389[[#This Row],[累计净值]]</f>
        <v>1.0825</v>
      </c>
      <c r="G116" s="20">
        <f>表2_36716262930389[[#This Row],[累计净值]]/$B$21-1</f>
        <v>6.7870178553812721E-2</v>
      </c>
    </row>
    <row r="117" spans="1:7">
      <c r="A117" s="15">
        <v>43853</v>
      </c>
      <c r="B117" s="16">
        <v>1.0811999999999999</v>
      </c>
      <c r="C117" s="73">
        <f t="shared" si="22"/>
        <v>-1.3000000000000789E-3</v>
      </c>
      <c r="D117" s="18">
        <f t="shared" si="23"/>
        <v>-1.3000000000000789E-3</v>
      </c>
      <c r="E117" s="18">
        <f ca="1">IF(表2_36716262930389[[#This Row],[累计净值]]/MAX(INDIRECT("B21:B" &amp; ROW()))-1&lt;E116,表2_36716262930389[[#This Row],[累计净值]]/MAX(INDIRECT("B21:B" &amp; ROW()))-1,E116)</f>
        <v>-5.5161544523246731E-3</v>
      </c>
      <c r="F117" s="62">
        <f>表2_36716262930389[[#This Row],[累计净值]]</f>
        <v>1.0811999999999999</v>
      </c>
      <c r="G117" s="20">
        <f>表2_36716262930389[[#This Row],[累计净值]]/$B$21-1</f>
        <v>6.6587747854394586E-2</v>
      </c>
    </row>
    <row r="118" spans="1:7">
      <c r="A118" s="15">
        <v>43864</v>
      </c>
      <c r="B118" s="16">
        <v>1.0807</v>
      </c>
      <c r="C118" s="73">
        <f t="shared" si="22"/>
        <v>-4.9999999999994493E-4</v>
      </c>
      <c r="D118" s="18">
        <f t="shared" si="23"/>
        <v>-4.9999999999994493E-4</v>
      </c>
      <c r="E118" s="18">
        <f ca="1">IF(表2_36716262930389[[#This Row],[累计净值]]/MAX(INDIRECT("B21:B" &amp; ROW()))-1&lt;E117,表2_36716262930389[[#This Row],[累计净值]]/MAX(INDIRECT("B21:B" &amp; ROW()))-1,E117)</f>
        <v>-5.5161544523246731E-3</v>
      </c>
      <c r="F118" s="62">
        <f>表2_36716262930389[[#This Row],[累计净值]]</f>
        <v>1.0807</v>
      </c>
      <c r="G118" s="20">
        <f>表2_36716262930389[[#This Row],[累计净值]]/$B$21-1</f>
        <v>6.6094505277695559E-2</v>
      </c>
    </row>
    <row r="119" spans="1:7">
      <c r="A119" s="15">
        <v>43865</v>
      </c>
      <c r="B119" s="16">
        <v>1.0806</v>
      </c>
      <c r="C119" s="73">
        <f t="shared" si="22"/>
        <v>-9.9999999999988987E-5</v>
      </c>
      <c r="D119" s="18">
        <f t="shared" si="23"/>
        <v>-9.9999999999988987E-5</v>
      </c>
      <c r="E119" s="18">
        <f ca="1">IF(表2_36716262930389[[#This Row],[累计净值]]/MAX(INDIRECT("B21:B" &amp; ROW()))-1&lt;E118,表2_36716262930389[[#This Row],[累计净值]]/MAX(INDIRECT("B21:B" &amp; ROW()))-1,E118)</f>
        <v>-5.5161544523246731E-3</v>
      </c>
      <c r="F119" s="62">
        <f>表2_36716262930389[[#This Row],[累计净值]]</f>
        <v>1.0806</v>
      </c>
      <c r="G119" s="20">
        <f>表2_36716262930389[[#This Row],[累计净值]]/$B$21-1</f>
        <v>6.5995856762355753E-2</v>
      </c>
    </row>
    <row r="120" spans="1:7">
      <c r="A120" s="15">
        <v>43866</v>
      </c>
      <c r="B120" s="16">
        <v>1.0804</v>
      </c>
      <c r="C120" s="73">
        <f t="shared" si="22"/>
        <v>-1.9999999999997797E-4</v>
      </c>
      <c r="D120" s="18">
        <f t="shared" si="23"/>
        <v>-1.9999999999997797E-4</v>
      </c>
      <c r="E120" s="18">
        <f ca="1">IF(表2_36716262930389[[#This Row],[累计净值]]/MAX(INDIRECT("B21:B" &amp; ROW()))-1&lt;E119,表2_36716262930389[[#This Row],[累计净值]]/MAX(INDIRECT("B21:B" &amp; ROW()))-1,E119)</f>
        <v>-5.5161544523246731E-3</v>
      </c>
      <c r="F120" s="62">
        <f>表2_36716262930389[[#This Row],[累计净值]]</f>
        <v>1.0804</v>
      </c>
      <c r="G120" s="20">
        <f>表2_36716262930389[[#This Row],[累计净值]]/$B$21-1</f>
        <v>6.5798559731675921E-2</v>
      </c>
    </row>
    <row r="121" spans="1:7">
      <c r="A121" s="15">
        <v>43867</v>
      </c>
      <c r="B121" s="16">
        <v>1.0804</v>
      </c>
      <c r="C121" s="73">
        <f t="shared" ref="C121:C126" si="24">IFERROR(B121-B120,0)</f>
        <v>0</v>
      </c>
      <c r="D121" s="18" t="str">
        <f t="shared" ref="D121:D126" si="25">IF(C121&lt;0,C121,"/")</f>
        <v>/</v>
      </c>
      <c r="E121" s="18">
        <f ca="1">IF(表2_36716262930389[[#This Row],[累计净值]]/MAX(INDIRECT("B21:B" &amp; ROW()))-1&lt;E120,表2_36716262930389[[#This Row],[累计净值]]/MAX(INDIRECT("B21:B" &amp; ROW()))-1,E120)</f>
        <v>-5.5161544523246731E-3</v>
      </c>
      <c r="F121" s="62">
        <f>表2_36716262930389[[#This Row],[累计净值]]</f>
        <v>1.0804</v>
      </c>
      <c r="G121" s="20">
        <f>表2_36716262930389[[#This Row],[累计净值]]/$B$21-1</f>
        <v>6.5798559731675921E-2</v>
      </c>
    </row>
    <row r="122" spans="1:7">
      <c r="A122" s="15">
        <v>43868</v>
      </c>
      <c r="B122" s="16">
        <v>1.0804</v>
      </c>
      <c r="C122" s="73">
        <f t="shared" si="24"/>
        <v>0</v>
      </c>
      <c r="D122" s="18" t="str">
        <f t="shared" si="25"/>
        <v>/</v>
      </c>
      <c r="E122" s="18">
        <f ca="1">IF(表2_36716262930389[[#This Row],[累计净值]]/MAX(INDIRECT("B21:B" &amp; ROW()))-1&lt;E121,表2_36716262930389[[#This Row],[累计净值]]/MAX(INDIRECT("B21:B" &amp; ROW()))-1,E121)</f>
        <v>-5.5161544523246731E-3</v>
      </c>
      <c r="F122" s="62">
        <f>表2_36716262930389[[#This Row],[累计净值]]</f>
        <v>1.0804</v>
      </c>
      <c r="G122" s="20">
        <f>表2_36716262930389[[#This Row],[累计净值]]/$B$21-1</f>
        <v>6.5798559731675921E-2</v>
      </c>
    </row>
    <row r="123" spans="1:7">
      <c r="A123" s="15">
        <v>43871</v>
      </c>
      <c r="B123" s="16">
        <v>1.0801000000000001</v>
      </c>
      <c r="C123" s="73">
        <f t="shared" si="24"/>
        <v>-2.9999999999996696E-4</v>
      </c>
      <c r="D123" s="18">
        <f t="shared" si="25"/>
        <v>-2.9999999999996696E-4</v>
      </c>
      <c r="E123" s="18">
        <f ca="1">IF(表2_36716262930389[[#This Row],[累计净值]]/MAX(INDIRECT("B21:B" &amp; ROW()))-1&lt;E122,表2_36716262930389[[#This Row],[累计净值]]/MAX(INDIRECT("B21:B" &amp; ROW()))-1,E122)</f>
        <v>-5.5161544523246731E-3</v>
      </c>
      <c r="F123" s="62">
        <f>表2_36716262930389[[#This Row],[累计净值]]</f>
        <v>1.0801000000000001</v>
      </c>
      <c r="G123" s="20">
        <f>表2_36716262930389[[#This Row],[累计净值]]/$B$21-1</f>
        <v>6.5502614185656505E-2</v>
      </c>
    </row>
    <row r="124" spans="1:7">
      <c r="A124" s="15">
        <v>43872</v>
      </c>
      <c r="B124" s="16">
        <v>1.0794999999999999</v>
      </c>
      <c r="C124" s="73">
        <f t="shared" si="24"/>
        <v>-6.0000000000015596E-4</v>
      </c>
      <c r="D124" s="18">
        <f t="shared" si="25"/>
        <v>-6.0000000000015596E-4</v>
      </c>
      <c r="E124" s="18">
        <f ca="1">IF(表2_36716262930389[[#This Row],[累计净值]]/MAX(INDIRECT("B21:B" &amp; ROW()))-1&lt;E123,表2_36716262930389[[#This Row],[累计净值]]/MAX(INDIRECT("B21:B" &amp; ROW()))-1,E123)</f>
        <v>-5.5161544523246731E-3</v>
      </c>
      <c r="F124" s="62">
        <f>表2_36716262930389[[#This Row],[累计净值]]</f>
        <v>1.0794999999999999</v>
      </c>
      <c r="G124" s="20">
        <f>表2_36716262930389[[#This Row],[累计净值]]/$B$21-1</f>
        <v>6.4910723093617229E-2</v>
      </c>
    </row>
    <row r="125" spans="1:7">
      <c r="A125" s="15">
        <v>43873</v>
      </c>
      <c r="B125" s="16">
        <v>1.0803</v>
      </c>
      <c r="C125" s="73">
        <f t="shared" si="24"/>
        <v>8.0000000000013394E-4</v>
      </c>
      <c r="D125" s="18" t="str">
        <f t="shared" si="25"/>
        <v>/</v>
      </c>
      <c r="E125" s="18">
        <f ca="1">IF(表2_36716262930389[[#This Row],[累计净值]]/MAX(INDIRECT("B21:B" &amp; ROW()))-1&lt;E124,表2_36716262930389[[#This Row],[累计净值]]/MAX(INDIRECT("B21:B" &amp; ROW()))-1,E124)</f>
        <v>-5.5161544523246731E-3</v>
      </c>
      <c r="F125" s="62">
        <f>表2_36716262930389[[#This Row],[累计净值]]</f>
        <v>1.0803</v>
      </c>
      <c r="G125" s="20">
        <f>表2_36716262930389[[#This Row],[累计净值]]/$B$21-1</f>
        <v>6.5699911216336115E-2</v>
      </c>
    </row>
    <row r="126" spans="1:7">
      <c r="A126" s="15">
        <v>43874</v>
      </c>
      <c r="B126" s="16">
        <v>1.0807</v>
      </c>
      <c r="C126" s="73">
        <f t="shared" si="24"/>
        <v>3.9999999999995595E-4</v>
      </c>
      <c r="D126" s="18" t="str">
        <f t="shared" si="25"/>
        <v>/</v>
      </c>
      <c r="E126" s="18">
        <f ca="1">IF(表2_36716262930389[[#This Row],[累计净值]]/MAX(INDIRECT("B21:B" &amp; ROW()))-1&lt;E125,表2_36716262930389[[#This Row],[累计净值]]/MAX(INDIRECT("B21:B" &amp; ROW()))-1,E125)</f>
        <v>-5.5161544523246731E-3</v>
      </c>
      <c r="F126" s="62">
        <f>表2_36716262930389[[#This Row],[累计净值]]</f>
        <v>1.0807</v>
      </c>
      <c r="G126" s="20">
        <f>表2_36716262930389[[#This Row],[累计净值]]/$B$21-1</f>
        <v>6.6094505277695559E-2</v>
      </c>
    </row>
    <row r="127" spans="1:7">
      <c r="A127" s="15">
        <v>43875</v>
      </c>
      <c r="B127" s="16">
        <v>1.0809</v>
      </c>
      <c r="C127" s="73">
        <f t="shared" ref="C127:C132" si="26">IFERROR(B127-B126,0)</f>
        <v>1.9999999999997797E-4</v>
      </c>
      <c r="D127" s="18" t="str">
        <f t="shared" ref="D127:D132" si="27">IF(C127&lt;0,C127,"/")</f>
        <v>/</v>
      </c>
      <c r="E127" s="18">
        <f ca="1">IF(表2_36716262930389[[#This Row],[累计净值]]/MAX(INDIRECT("B21:B" &amp; ROW()))-1&lt;E126,表2_36716262930389[[#This Row],[累计净值]]/MAX(INDIRECT("B21:B" &amp; ROW()))-1,E126)</f>
        <v>-5.5161544523246731E-3</v>
      </c>
      <c r="F127" s="62">
        <f>表2_36716262930389[[#This Row],[累计净值]]</f>
        <v>1.0809</v>
      </c>
      <c r="G127" s="20">
        <f>表2_36716262930389[[#This Row],[累计净值]]/$B$21-1</f>
        <v>6.629180230837517E-2</v>
      </c>
    </row>
    <row r="128" spans="1:7">
      <c r="A128" s="15">
        <v>43878</v>
      </c>
      <c r="B128" s="16">
        <v>1.0814999999999999</v>
      </c>
      <c r="C128" s="73">
        <f t="shared" si="26"/>
        <v>5.9999999999993392E-4</v>
      </c>
      <c r="D128" s="18" t="str">
        <f t="shared" si="27"/>
        <v>/</v>
      </c>
      <c r="E128" s="18">
        <f ca="1">IF(表2_36716262930389[[#This Row],[累计净值]]/MAX(INDIRECT("B21:B" &amp; ROW()))-1&lt;E127,表2_36716262930389[[#This Row],[累计净值]]/MAX(INDIRECT("B21:B" &amp; ROW()))-1,E127)</f>
        <v>-5.5161544523246731E-3</v>
      </c>
      <c r="F128" s="62">
        <f>表2_36716262930389[[#This Row],[累计净值]]</f>
        <v>1.0814999999999999</v>
      </c>
      <c r="G128" s="20">
        <f>表2_36716262930389[[#This Row],[累计净值]]/$B$21-1</f>
        <v>6.6883693400414224E-2</v>
      </c>
    </row>
    <row r="129" spans="1:7">
      <c r="A129" s="15">
        <v>43879</v>
      </c>
      <c r="B129" s="16">
        <v>1.0810999999999999</v>
      </c>
      <c r="C129" s="73">
        <f t="shared" si="26"/>
        <v>-3.9999999999995595E-4</v>
      </c>
      <c r="D129" s="18">
        <f t="shared" si="27"/>
        <v>-3.9999999999995595E-4</v>
      </c>
      <c r="E129" s="18">
        <f ca="1">IF(表2_36716262930389[[#This Row],[累计净值]]/MAX(INDIRECT("B21:B" &amp; ROW()))-1&lt;E128,表2_36716262930389[[#This Row],[累计净值]]/MAX(INDIRECT("B21:B" &amp; ROW()))-1,E128)</f>
        <v>-5.5161544523246731E-3</v>
      </c>
      <c r="F129" s="62">
        <f>表2_36716262930389[[#This Row],[累计净值]]</f>
        <v>1.0810999999999999</v>
      </c>
      <c r="G129" s="20">
        <f>表2_36716262930389[[#This Row],[累计净值]]/$B$21-1</f>
        <v>6.648909933905478E-2</v>
      </c>
    </row>
    <row r="130" spans="1:7">
      <c r="A130" s="15">
        <v>43880</v>
      </c>
      <c r="B130" s="16">
        <v>1.0812999999999999</v>
      </c>
      <c r="C130" s="73">
        <f t="shared" si="26"/>
        <v>1.9999999999997797E-4</v>
      </c>
      <c r="D130" s="18" t="str">
        <f t="shared" si="27"/>
        <v>/</v>
      </c>
      <c r="E130" s="18">
        <f ca="1">IF(表2_36716262930389[[#This Row],[累计净值]]/MAX(INDIRECT("B21:B" &amp; ROW()))-1&lt;E129,表2_36716262930389[[#This Row],[累计净值]]/MAX(INDIRECT("B21:B" &amp; ROW()))-1,E129)</f>
        <v>-5.5161544523246731E-3</v>
      </c>
      <c r="F130" s="62">
        <f>表2_36716262930389[[#This Row],[累计净值]]</f>
        <v>1.0812999999999999</v>
      </c>
      <c r="G130" s="20">
        <f>表2_36716262930389[[#This Row],[累计净值]]/$B$21-1</f>
        <v>6.6686396369734613E-2</v>
      </c>
    </row>
    <row r="131" spans="1:7">
      <c r="A131" s="15">
        <v>43881</v>
      </c>
      <c r="B131" s="16">
        <v>1.0792999999999999</v>
      </c>
      <c r="C131" s="73">
        <f t="shared" si="26"/>
        <v>-2.0000000000000018E-3</v>
      </c>
      <c r="D131" s="18">
        <f t="shared" si="27"/>
        <v>-2.0000000000000018E-3</v>
      </c>
      <c r="E131" s="18">
        <f ca="1">IF(表2_36716262930389[[#This Row],[累计净值]]/MAX(INDIRECT("B21:B" &amp; ROW()))-1&lt;E130,表2_36716262930389[[#This Row],[累计净值]]/MAX(INDIRECT("B21:B" &amp; ROW()))-1,E130)</f>
        <v>-5.5161544523246731E-3</v>
      </c>
      <c r="F131" s="62">
        <f>表2_36716262930389[[#This Row],[累计净值]]</f>
        <v>1.0792999999999999</v>
      </c>
      <c r="G131" s="20">
        <f>表2_36716262930389[[#This Row],[累计净值]]/$B$21-1</f>
        <v>6.4713426062937618E-2</v>
      </c>
    </row>
    <row r="132" spans="1:7">
      <c r="A132" s="15">
        <v>43882</v>
      </c>
      <c r="B132" s="16">
        <v>1.0801000000000001</v>
      </c>
      <c r="C132" s="73">
        <f t="shared" si="26"/>
        <v>8.0000000000013394E-4</v>
      </c>
      <c r="D132" s="18" t="str">
        <f t="shared" si="27"/>
        <v>/</v>
      </c>
      <c r="E132" s="18">
        <f ca="1">IF(表2_36716262930389[[#This Row],[累计净值]]/MAX(INDIRECT("B21:B" &amp; ROW()))-1&lt;E131,表2_36716262930389[[#This Row],[累计净值]]/MAX(INDIRECT("B21:B" &amp; ROW()))-1,E131)</f>
        <v>-5.5161544523246731E-3</v>
      </c>
      <c r="F132" s="62">
        <f>表2_36716262930389[[#This Row],[累计净值]]</f>
        <v>1.0801000000000001</v>
      </c>
      <c r="G132" s="20">
        <f>表2_36716262930389[[#This Row],[累计净值]]/$B$21-1</f>
        <v>6.5502614185656505E-2</v>
      </c>
    </row>
    <row r="133" spans="1:7">
      <c r="A133" s="15">
        <v>43885</v>
      </c>
      <c r="B133" s="16">
        <v>1.0784</v>
      </c>
      <c r="C133" s="73">
        <f t="shared" ref="C133:C141" si="28">IFERROR(B133-B132,0)</f>
        <v>-1.7000000000000348E-3</v>
      </c>
      <c r="D133" s="18">
        <f t="shared" ref="D133:D141" si="29">IF(C133&lt;0,C133,"/")</f>
        <v>-1.7000000000000348E-3</v>
      </c>
      <c r="E133" s="18">
        <f ca="1">IF(表2_36716262930389[[#This Row],[累计净值]]/MAX(INDIRECT("B21:B" &amp; ROW()))-1&lt;E132,表2_36716262930389[[#This Row],[累计净值]]/MAX(INDIRECT("B21:B" &amp; ROW()))-1,E132)</f>
        <v>-5.5161544523246731E-3</v>
      </c>
      <c r="F133" s="62">
        <f>表2_36716262930389[[#This Row],[累计净值]]</f>
        <v>1.0784</v>
      </c>
      <c r="G133" s="20">
        <f>表2_36716262930389[[#This Row],[累计净值]]/$B$21-1</f>
        <v>6.3825589424879148E-2</v>
      </c>
    </row>
    <row r="134" spans="1:7">
      <c r="A134" s="15">
        <v>43886</v>
      </c>
      <c r="B134" s="16">
        <v>1.0784</v>
      </c>
      <c r="C134" s="73">
        <f t="shared" si="28"/>
        <v>0</v>
      </c>
      <c r="D134" s="18" t="str">
        <f t="shared" si="29"/>
        <v>/</v>
      </c>
      <c r="E134" s="18">
        <f ca="1">IF(表2_36716262930389[[#This Row],[累计净值]]/MAX(INDIRECT("B21:B" &amp; ROW()))-1&lt;E133,表2_36716262930389[[#This Row],[累计净值]]/MAX(INDIRECT("B21:B" &amp; ROW()))-1,E133)</f>
        <v>-5.5161544523246731E-3</v>
      </c>
      <c r="F134" s="62">
        <f>表2_36716262930389[[#This Row],[累计净值]]</f>
        <v>1.0784</v>
      </c>
      <c r="G134" s="20">
        <f>表2_36716262930389[[#This Row],[累计净值]]/$B$21-1</f>
        <v>6.3825589424879148E-2</v>
      </c>
    </row>
    <row r="135" spans="1:7">
      <c r="A135" s="15">
        <v>43887</v>
      </c>
      <c r="B135" s="16">
        <v>1.0778000000000001</v>
      </c>
      <c r="C135" s="73">
        <f t="shared" si="28"/>
        <v>-5.9999999999993392E-4</v>
      </c>
      <c r="D135" s="18">
        <f t="shared" si="29"/>
        <v>-5.9999999999993392E-4</v>
      </c>
      <c r="E135" s="18">
        <f ca="1">IF(表2_36716262930389[[#This Row],[累计净值]]/MAX(INDIRECT("B21:B" &amp; ROW()))-1&lt;E134,表2_36716262930389[[#This Row],[累计净值]]/MAX(INDIRECT("B21:B" &amp; ROW()))-1,E134)</f>
        <v>-5.5161544523246731E-3</v>
      </c>
      <c r="F135" s="62">
        <f>表2_36716262930389[[#This Row],[累计净值]]</f>
        <v>1.0778000000000001</v>
      </c>
      <c r="G135" s="20">
        <f>表2_36716262930389[[#This Row],[累计净值]]/$B$21-1</f>
        <v>6.3233698332840094E-2</v>
      </c>
    </row>
    <row r="136" spans="1:7">
      <c r="A136" s="15">
        <v>43888</v>
      </c>
      <c r="B136" s="16">
        <v>1.0780000000000001</v>
      </c>
      <c r="C136" s="73">
        <f t="shared" si="28"/>
        <v>1.9999999999997797E-4</v>
      </c>
      <c r="D136" s="18" t="str">
        <f t="shared" si="29"/>
        <v>/</v>
      </c>
      <c r="E136" s="18">
        <f ca="1">IF(表2_36716262930389[[#This Row],[累计净值]]/MAX(INDIRECT("B21:B" &amp; ROW()))-1&lt;E135,表2_36716262930389[[#This Row],[累计净值]]/MAX(INDIRECT("B21:B" &amp; ROW()))-1,E135)</f>
        <v>-5.5161544523246731E-3</v>
      </c>
      <c r="F136" s="62">
        <f>表2_36716262930389[[#This Row],[累计净值]]</f>
        <v>1.0780000000000001</v>
      </c>
      <c r="G136" s="20">
        <f>表2_36716262930389[[#This Row],[累计净值]]/$B$21-1</f>
        <v>6.3430995363519704E-2</v>
      </c>
    </row>
    <row r="137" spans="1:7">
      <c r="A137" s="15">
        <v>43889</v>
      </c>
      <c r="B137" s="16">
        <v>1.0768</v>
      </c>
      <c r="C137" s="73">
        <f t="shared" si="28"/>
        <v>-1.2000000000000899E-3</v>
      </c>
      <c r="D137" s="18">
        <f t="shared" si="29"/>
        <v>-1.2000000000000899E-3</v>
      </c>
      <c r="E137" s="18">
        <f ca="1">IF(表2_36716262930389[[#This Row],[累计净值]]/MAX(INDIRECT("B21:B" &amp; ROW()))-1&lt;E136,表2_36716262930389[[#This Row],[累计净值]]/MAX(INDIRECT("B21:B" &amp; ROW()))-1,E136)</f>
        <v>-5.8166374296001466E-3</v>
      </c>
      <c r="F137" s="62">
        <f>表2_36716262930389[[#This Row],[累计净值]]</f>
        <v>1.0768</v>
      </c>
      <c r="G137" s="20">
        <f>表2_36716262930389[[#This Row],[累计净值]]/$B$21-1</f>
        <v>6.2247213179441596E-2</v>
      </c>
    </row>
    <row r="138" spans="1:7">
      <c r="A138" s="15">
        <v>43892</v>
      </c>
      <c r="B138" s="16">
        <v>1.0762</v>
      </c>
      <c r="C138" s="73">
        <f t="shared" si="28"/>
        <v>-5.9999999999993392E-4</v>
      </c>
      <c r="D138" s="18">
        <f t="shared" si="29"/>
        <v>-5.9999999999993392E-4</v>
      </c>
      <c r="E138" s="18">
        <f ca="1">IF(表2_36716262930389[[#This Row],[累计净值]]/MAX(INDIRECT("B21:B" &amp; ROW()))-1&lt;E137,表2_36716262930389[[#This Row],[累计净值]]/MAX(INDIRECT("B21:B" &amp; ROW()))-1,E137)</f>
        <v>-6.3706028990858643E-3</v>
      </c>
      <c r="F138" s="62">
        <f>表2_36716262930389[[#This Row],[累计净值]]</f>
        <v>1.0762</v>
      </c>
      <c r="G138" s="20">
        <f>表2_36716262930389[[#This Row],[累计净值]]/$B$21-1</f>
        <v>6.1655322087402542E-2</v>
      </c>
    </row>
    <row r="139" spans="1:7">
      <c r="A139" s="15">
        <v>43893</v>
      </c>
      <c r="B139" s="16">
        <v>1.0771999999999999</v>
      </c>
      <c r="C139" s="73">
        <f t="shared" si="28"/>
        <v>9.9999999999988987E-4</v>
      </c>
      <c r="D139" s="18" t="str">
        <f t="shared" si="29"/>
        <v>/</v>
      </c>
      <c r="E139" s="18">
        <f ca="1">IF(表2_36716262930389[[#This Row],[累计净值]]/MAX(INDIRECT("B21:B" &amp; ROW()))-1&lt;E138,表2_36716262930389[[#This Row],[累计净值]]/MAX(INDIRECT("B21:B" &amp; ROW()))-1,E138)</f>
        <v>-6.3706028990858643E-3</v>
      </c>
      <c r="F139" s="62">
        <f>表2_36716262930389[[#This Row],[累计净值]]</f>
        <v>1.0771999999999999</v>
      </c>
      <c r="G139" s="20">
        <f>表2_36716262930389[[#This Row],[累计净值]]/$B$21-1</f>
        <v>6.2641807240800818E-2</v>
      </c>
    </row>
    <row r="140" spans="1:7">
      <c r="A140" s="15">
        <v>43894</v>
      </c>
      <c r="B140" s="16">
        <v>1.0795999999999999</v>
      </c>
      <c r="C140" s="73">
        <f t="shared" si="28"/>
        <v>2.3999999999999577E-3</v>
      </c>
      <c r="D140" s="18" t="str">
        <f t="shared" si="29"/>
        <v>/</v>
      </c>
      <c r="E140" s="18">
        <f ca="1">IF(表2_36716262930389[[#This Row],[累计净值]]/MAX(INDIRECT("B21:B" &amp; ROW()))-1&lt;E139,表2_36716262930389[[#This Row],[累计净值]]/MAX(INDIRECT("B21:B" &amp; ROW()))-1,E139)</f>
        <v>-6.3706028990858643E-3</v>
      </c>
      <c r="F140" s="62">
        <f>表2_36716262930389[[#This Row],[累计净值]]</f>
        <v>1.0795999999999999</v>
      </c>
      <c r="G140" s="20">
        <f>表2_36716262930389[[#This Row],[累计净值]]/$B$21-1</f>
        <v>6.5009371608957034E-2</v>
      </c>
    </row>
    <row r="141" spans="1:7">
      <c r="A141" s="15">
        <v>43895</v>
      </c>
      <c r="B141" s="16">
        <v>1.0778000000000001</v>
      </c>
      <c r="C141" s="73">
        <f t="shared" si="28"/>
        <v>-1.7999999999998018E-3</v>
      </c>
      <c r="D141" s="18">
        <f t="shared" si="29"/>
        <v>-1.7999999999998018E-3</v>
      </c>
      <c r="E141" s="18">
        <f ca="1">IF(表2_36716262930389[[#This Row],[累计净值]]/MAX(INDIRECT("B21:B" &amp; ROW()))-1&lt;E140,表2_36716262930389[[#This Row],[累计净值]]/MAX(INDIRECT("B21:B" &amp; ROW()))-1,E140)</f>
        <v>-6.3706028990858643E-3</v>
      </c>
      <c r="F141" s="62">
        <f>表2_36716262930389[[#This Row],[累计净值]]</f>
        <v>1.0778000000000001</v>
      </c>
      <c r="G141" s="20">
        <f>表2_36716262930389[[#This Row],[累计净值]]/$B$21-1</f>
        <v>6.3233698332840094E-2</v>
      </c>
    </row>
    <row r="142" spans="1:7">
      <c r="A142" s="15">
        <v>43896</v>
      </c>
      <c r="B142" s="16">
        <v>1.0788</v>
      </c>
      <c r="C142" s="73">
        <f t="shared" ref="C142:C147" si="30">IFERROR(B142-B141,0)</f>
        <v>9.9999999999988987E-4</v>
      </c>
      <c r="D142" s="18" t="str">
        <f t="shared" ref="D142:D147" si="31">IF(C142&lt;0,C142,"/")</f>
        <v>/</v>
      </c>
      <c r="E142" s="18">
        <f ca="1">IF(表2_36716262930389[[#This Row],[累计净值]]/MAX(INDIRECT("B21:B" &amp; ROW()))-1&lt;E141,表2_36716262930389[[#This Row],[累计净值]]/MAX(INDIRECT("B21:B" &amp; ROW()))-1,E141)</f>
        <v>-6.3706028990858643E-3</v>
      </c>
      <c r="F142" s="62">
        <f>表2_36716262930389[[#This Row],[累计净值]]</f>
        <v>1.0788</v>
      </c>
      <c r="G142" s="20">
        <f>表2_36716262930389[[#This Row],[累计净值]]/$B$21-1</f>
        <v>6.4220183486238369E-2</v>
      </c>
    </row>
    <row r="143" spans="1:7">
      <c r="A143" s="15">
        <v>43899</v>
      </c>
      <c r="B143" s="16">
        <v>1.0789</v>
      </c>
      <c r="C143" s="73">
        <f t="shared" si="30"/>
        <v>9.9999999999988987E-5</v>
      </c>
      <c r="D143" s="18" t="str">
        <f t="shared" si="31"/>
        <v>/</v>
      </c>
      <c r="E143" s="18">
        <f ca="1">IF(表2_36716262930389[[#This Row],[累计净值]]/MAX(INDIRECT("B21:B" &amp; ROW()))-1&lt;E142,表2_36716262930389[[#This Row],[累计净值]]/MAX(INDIRECT("B21:B" &amp; ROW()))-1,E142)</f>
        <v>-6.3706028990858643E-3</v>
      </c>
      <c r="F143" s="62">
        <f>表2_36716262930389[[#This Row],[累计净值]]</f>
        <v>1.0789</v>
      </c>
      <c r="G143" s="20">
        <f>表2_36716262930389[[#This Row],[累计净值]]/$B$21-1</f>
        <v>6.4318832001578397E-2</v>
      </c>
    </row>
    <row r="144" spans="1:7">
      <c r="A144" s="15">
        <v>43900</v>
      </c>
      <c r="B144" s="16">
        <v>1.0782</v>
      </c>
      <c r="C144" s="73">
        <f t="shared" si="30"/>
        <v>-6.9999999999992291E-4</v>
      </c>
      <c r="D144" s="18">
        <f t="shared" si="31"/>
        <v>-6.9999999999992291E-4</v>
      </c>
      <c r="E144" s="18">
        <f ca="1">IF(表2_36716262930389[[#This Row],[累计净值]]/MAX(INDIRECT("B21:B" &amp; ROW()))-1&lt;E143,表2_36716262930389[[#This Row],[累计净值]]/MAX(INDIRECT("B21:B" &amp; ROW()))-1,E143)</f>
        <v>-6.3706028990858643E-3</v>
      </c>
      <c r="F144" s="62">
        <f>表2_36716262930389[[#This Row],[累计净值]]</f>
        <v>1.0782</v>
      </c>
      <c r="G144" s="20">
        <f>表2_36716262930389[[#This Row],[累计净值]]/$B$21-1</f>
        <v>6.3628292394199537E-2</v>
      </c>
    </row>
    <row r="145" spans="1:7">
      <c r="A145" s="15">
        <v>43901</v>
      </c>
      <c r="B145" s="16">
        <v>1.0792999999999999</v>
      </c>
      <c r="C145" s="73">
        <f t="shared" si="30"/>
        <v>1.0999999999998789E-3</v>
      </c>
      <c r="D145" s="18" t="str">
        <f t="shared" si="31"/>
        <v>/</v>
      </c>
      <c r="E145" s="18">
        <f ca="1">IF(表2_36716262930389[[#This Row],[累计净值]]/MAX(INDIRECT("B21:B" &amp; ROW()))-1&lt;E144,表2_36716262930389[[#This Row],[累计净值]]/MAX(INDIRECT("B21:B" &amp; ROW()))-1,E144)</f>
        <v>-6.3706028990858643E-3</v>
      </c>
      <c r="F145" s="62">
        <f>表2_36716262930389[[#This Row],[累计净值]]</f>
        <v>1.0792999999999999</v>
      </c>
      <c r="G145" s="20">
        <f>表2_36716262930389[[#This Row],[累计净值]]/$B$21-1</f>
        <v>6.4713426062937618E-2</v>
      </c>
    </row>
    <row r="146" spans="1:7">
      <c r="A146" s="15">
        <v>43902</v>
      </c>
      <c r="B146" s="16">
        <v>1.0786</v>
      </c>
      <c r="C146" s="73">
        <f t="shared" si="30"/>
        <v>-6.9999999999992291E-4</v>
      </c>
      <c r="D146" s="18">
        <f t="shared" si="31"/>
        <v>-6.9999999999992291E-4</v>
      </c>
      <c r="E146" s="18">
        <f ca="1">IF(表2_36716262930389[[#This Row],[累计净值]]/MAX(INDIRECT("B21:B" &amp; ROW()))-1&lt;E145,表2_36716262930389[[#This Row],[累计净值]]/MAX(INDIRECT("B21:B" &amp; ROW()))-1,E145)</f>
        <v>-6.3706028990858643E-3</v>
      </c>
      <c r="F146" s="62">
        <f>表2_36716262930389[[#This Row],[累计净值]]</f>
        <v>1.0786</v>
      </c>
      <c r="G146" s="20">
        <f>表2_36716262930389[[#This Row],[累计净值]]/$B$21-1</f>
        <v>6.4022886455558758E-2</v>
      </c>
    </row>
    <row r="147" spans="1:7">
      <c r="A147" s="15">
        <v>43903</v>
      </c>
      <c r="B147" s="16">
        <v>1.0745</v>
      </c>
      <c r="C147" s="73">
        <f t="shared" si="30"/>
        <v>-4.0999999999999925E-3</v>
      </c>
      <c r="D147" s="18">
        <f t="shared" si="31"/>
        <v>-4.0999999999999925E-3</v>
      </c>
      <c r="E147" s="18">
        <f ca="1">IF(表2_36716262930389[[#This Row],[累计净值]]/MAX(INDIRECT("B21:B" &amp; ROW()))-1&lt;E146,表2_36716262930389[[#This Row],[累计净值]]/MAX(INDIRECT("B21:B" &amp; ROW()))-1,E146)</f>
        <v>-7.9401717292955087E-3</v>
      </c>
      <c r="F147" s="62">
        <f>表2_36716262930389[[#This Row],[累计净值]]</f>
        <v>1.0745</v>
      </c>
      <c r="G147" s="20">
        <f>表2_36716262930389[[#This Row],[累计净值]]/$B$21-1</f>
        <v>5.9978297326625185E-2</v>
      </c>
    </row>
    <row r="148" spans="1:7">
      <c r="A148" s="15">
        <v>43906</v>
      </c>
      <c r="B148" s="16">
        <v>1.0765</v>
      </c>
      <c r="C148" s="73">
        <f>IFERROR(B148-B147,0)</f>
        <v>2.0000000000000018E-3</v>
      </c>
      <c r="D148" s="18" t="str">
        <f>IF(C148&lt;0,C148,"/")</f>
        <v>/</v>
      </c>
      <c r="E148" s="18">
        <f ca="1">IF(表2_36716262930389[[#This Row],[累计净值]]/MAX(INDIRECT("B21:B" &amp; ROW()))-1&lt;E147,表2_36716262930389[[#This Row],[累计净值]]/MAX(INDIRECT("B21:B" &amp; ROW()))-1,E147)</f>
        <v>-7.9401717292955087E-3</v>
      </c>
      <c r="F148" s="62">
        <f>表2_36716262930389[[#This Row],[累计净值]]</f>
        <v>1.0765</v>
      </c>
      <c r="G148" s="20">
        <f>表2_36716262930389[[#This Row],[累计净值]]/$B$21-1</f>
        <v>6.195126763342218E-2</v>
      </c>
    </row>
    <row r="149" spans="1:7">
      <c r="A149" s="15">
        <v>43907</v>
      </c>
      <c r="B149" s="16">
        <v>1.0777000000000001</v>
      </c>
      <c r="C149" s="73">
        <f>IFERROR(B149-B148,0)</f>
        <v>1.2000000000000899E-3</v>
      </c>
      <c r="D149" s="18" t="str">
        <f>IF(C149&lt;0,C149,"/")</f>
        <v>/</v>
      </c>
      <c r="E149" s="18">
        <f ca="1">IF(表2_36716262930389[[#This Row],[累计净值]]/MAX(INDIRECT("B21:B" &amp; ROW()))-1&lt;E148,表2_36716262930389[[#This Row],[累计净值]]/MAX(INDIRECT("B21:B" &amp; ROW()))-1,E148)</f>
        <v>-7.9401717292955087E-3</v>
      </c>
      <c r="F149" s="62">
        <f>表2_36716262930389[[#This Row],[累计净值]]</f>
        <v>1.0777000000000001</v>
      </c>
      <c r="G149" s="20">
        <f>表2_36716262930389[[#This Row],[累计净值]]/$B$21-1</f>
        <v>6.3135049817500288E-2</v>
      </c>
    </row>
    <row r="150" spans="1:7">
      <c r="A150" s="15">
        <v>43908</v>
      </c>
      <c r="B150" s="16">
        <v>1.075</v>
      </c>
      <c r="C150" s="73">
        <f>IFERROR(B150-B149,0)</f>
        <v>-2.7000000000001467E-3</v>
      </c>
      <c r="D150" s="18">
        <f>IF(C150&lt;0,C150,"/")</f>
        <v>-2.7000000000001467E-3</v>
      </c>
      <c r="E150" s="18">
        <f ca="1">IF(表2_36716262930389[[#This Row],[累计净值]]/MAX(INDIRECT("B21:B" &amp; ROW()))-1&lt;E149,表2_36716262930389[[#This Row],[累计净值]]/MAX(INDIRECT("B21:B" &amp; ROW()))-1,E149)</f>
        <v>-7.9401717292955087E-3</v>
      </c>
      <c r="F150" s="62">
        <f>表2_36716262930389[[#This Row],[累计净值]]</f>
        <v>1.075</v>
      </c>
      <c r="G150" s="20">
        <f>表2_36716262930389[[#This Row],[累计净值]]/$B$21-1</f>
        <v>6.0471539903324434E-2</v>
      </c>
    </row>
    <row r="151" spans="1:7">
      <c r="A151" s="15">
        <v>43909</v>
      </c>
      <c r="B151" s="16">
        <v>1.0741000000000001</v>
      </c>
      <c r="C151" s="73">
        <f>IFERROR(B151-B150,0)</f>
        <v>-8.9999999999990088E-4</v>
      </c>
      <c r="D151" s="18">
        <f>IF(C151&lt;0,C151,"/")</f>
        <v>-8.9999999999990088E-4</v>
      </c>
      <c r="E151" s="18">
        <f ca="1">IF(表2_36716262930389[[#This Row],[累计净值]]/MAX(INDIRECT("B21:B" &amp; ROW()))-1&lt;E150,表2_36716262930389[[#This Row],[累计净值]]/MAX(INDIRECT("B21:B" &amp; ROW()))-1,E150)</f>
        <v>-8.3094820422859872E-3</v>
      </c>
      <c r="F151" s="62">
        <f>表2_36716262930389[[#This Row],[累计净值]]</f>
        <v>1.0741000000000001</v>
      </c>
      <c r="G151" s="20">
        <f>表2_36716262930389[[#This Row],[累计净值]]/$B$21-1</f>
        <v>5.9583703265265964E-2</v>
      </c>
    </row>
    <row r="152" spans="1:7">
      <c r="A152" s="15">
        <v>43910</v>
      </c>
      <c r="B152" s="16">
        <v>1.0744</v>
      </c>
      <c r="C152" s="73">
        <f t="shared" ref="C152:C157" si="32">IFERROR(B152-B151,0)</f>
        <v>2.9999999999996696E-4</v>
      </c>
      <c r="D152" s="18" t="str">
        <f t="shared" ref="D152:D157" si="33">IF(C152&lt;0,C152,"/")</f>
        <v>/</v>
      </c>
      <c r="E152" s="18">
        <f ca="1">IF(表2_36716262930389[[#This Row],[累计净值]]/MAX(INDIRECT("B21:B" &amp; ROW()))-1&lt;E151,表2_36716262930389[[#This Row],[累计净值]]/MAX(INDIRECT("B21:B" &amp; ROW()))-1,E151)</f>
        <v>-8.3094820422859872E-3</v>
      </c>
      <c r="F152" s="62">
        <f>表2_36716262930389[[#This Row],[累计净值]]</f>
        <v>1.0744</v>
      </c>
      <c r="G152" s="20">
        <f>表2_36716262930389[[#This Row],[累计净值]]/$B$21-1</f>
        <v>5.987964881128538E-2</v>
      </c>
    </row>
    <row r="153" spans="1:7">
      <c r="A153" s="15">
        <v>43913</v>
      </c>
      <c r="B153" s="16">
        <v>1.08</v>
      </c>
      <c r="C153" s="73">
        <f t="shared" si="32"/>
        <v>5.6000000000000494E-3</v>
      </c>
      <c r="D153" s="18" t="str">
        <f t="shared" si="33"/>
        <v>/</v>
      </c>
      <c r="E153" s="18">
        <f ca="1">IF(表2_36716262930389[[#This Row],[累计净值]]/MAX(INDIRECT("B21:B" &amp; ROW()))-1&lt;E152,表2_36716262930389[[#This Row],[累计净值]]/MAX(INDIRECT("B21:B" &amp; ROW()))-1,E152)</f>
        <v>-8.3094820422859872E-3</v>
      </c>
      <c r="F153" s="62">
        <f>表2_36716262930389[[#This Row],[累计净值]]</f>
        <v>1.08</v>
      </c>
      <c r="G153" s="20">
        <f>表2_36716262930389[[#This Row],[累计净值]]/$B$21-1</f>
        <v>6.5403965670316699E-2</v>
      </c>
    </row>
    <row r="154" spans="1:7">
      <c r="A154" s="15">
        <v>43914</v>
      </c>
      <c r="B154" s="16">
        <v>1.0780000000000001</v>
      </c>
      <c r="C154" s="73">
        <f t="shared" si="32"/>
        <v>-2.0000000000000018E-3</v>
      </c>
      <c r="D154" s="18">
        <f t="shared" si="33"/>
        <v>-2.0000000000000018E-3</v>
      </c>
      <c r="E154" s="18">
        <f ca="1">IF(表2_36716262930389[[#This Row],[累计净值]]/MAX(INDIRECT("B21:B" &amp; ROW()))-1&lt;E153,表2_36716262930389[[#This Row],[累计净值]]/MAX(INDIRECT("B21:B" &amp; ROW()))-1,E153)</f>
        <v>-8.3094820422859872E-3</v>
      </c>
      <c r="F154" s="62">
        <f>表2_36716262930389[[#This Row],[累计净值]]</f>
        <v>1.0780000000000001</v>
      </c>
      <c r="G154" s="20">
        <f>表2_36716262930389[[#This Row],[累计净值]]/$B$21-1</f>
        <v>6.3430995363519704E-2</v>
      </c>
    </row>
    <row r="155" spans="1:7">
      <c r="A155" s="15">
        <v>43915</v>
      </c>
      <c r="B155" s="16">
        <v>1.0808</v>
      </c>
      <c r="C155" s="73">
        <f t="shared" si="32"/>
        <v>2.7999999999999137E-3</v>
      </c>
      <c r="D155" s="18" t="str">
        <f t="shared" si="33"/>
        <v>/</v>
      </c>
      <c r="E155" s="18">
        <f ca="1">IF(表2_36716262930389[[#This Row],[累计净值]]/MAX(INDIRECT("B21:B" &amp; ROW()))-1&lt;E154,表2_36716262930389[[#This Row],[累计净值]]/MAX(INDIRECT("B21:B" &amp; ROW()))-1,E154)</f>
        <v>-8.3094820422859872E-3</v>
      </c>
      <c r="F155" s="62">
        <f>表2_36716262930389[[#This Row],[累计净值]]</f>
        <v>1.0808</v>
      </c>
      <c r="G155" s="20">
        <f>表2_36716262930389[[#This Row],[累计净值]]/$B$21-1</f>
        <v>6.6193153793035364E-2</v>
      </c>
    </row>
    <row r="156" spans="1:7">
      <c r="A156" s="15">
        <v>43916</v>
      </c>
      <c r="B156" s="16">
        <v>1.0848</v>
      </c>
      <c r="C156" s="73">
        <f t="shared" si="32"/>
        <v>4.0000000000000036E-3</v>
      </c>
      <c r="D156" s="18" t="str">
        <f t="shared" si="33"/>
        <v>/</v>
      </c>
      <c r="E156" s="18">
        <f ca="1">IF(表2_36716262930389[[#This Row],[累计净值]]/MAX(INDIRECT("B21:B" &amp; ROW()))-1&lt;E155,表2_36716262930389[[#This Row],[累计净值]]/MAX(INDIRECT("B21:B" &amp; ROW()))-1,E155)</f>
        <v>-8.3094820422859872E-3</v>
      </c>
      <c r="F156" s="62">
        <f>表2_36716262930389[[#This Row],[累计净值]]</f>
        <v>1.0848</v>
      </c>
      <c r="G156" s="20">
        <f>表2_36716262930389[[#This Row],[累计净值]]/$B$21-1</f>
        <v>7.0139094406629132E-2</v>
      </c>
    </row>
    <row r="157" spans="1:7">
      <c r="A157" s="15">
        <v>43917</v>
      </c>
      <c r="B157" s="16">
        <v>1.0868</v>
      </c>
      <c r="C157" s="73">
        <f t="shared" si="32"/>
        <v>2.0000000000000018E-3</v>
      </c>
      <c r="D157" s="18" t="str">
        <f t="shared" si="33"/>
        <v>/</v>
      </c>
      <c r="E157" s="18">
        <f ca="1">IF(表2_36716262930389[[#This Row],[累计净值]]/MAX(INDIRECT("B21:B" &amp; ROW()))-1&lt;E156,表2_36716262930389[[#This Row],[累计净值]]/MAX(INDIRECT("B21:B" &amp; ROW()))-1,E156)</f>
        <v>-8.3094820422859872E-3</v>
      </c>
      <c r="F157" s="62">
        <f>表2_36716262930389[[#This Row],[累计净值]]</f>
        <v>1.0868</v>
      </c>
      <c r="G157" s="20">
        <f>表2_36716262930389[[#This Row],[累计净值]]/$B$21-1</f>
        <v>7.2112064713425905E-2</v>
      </c>
    </row>
    <row r="158" spans="1:7">
      <c r="A158" s="15">
        <v>43920</v>
      </c>
      <c r="B158" s="16">
        <v>1.0866</v>
      </c>
      <c r="C158" s="73">
        <f t="shared" ref="C158:C163" si="34">IFERROR(B158-B157,0)</f>
        <v>-1.9999999999997797E-4</v>
      </c>
      <c r="D158" s="18">
        <f t="shared" ref="D158:D163" si="35">IF(C158&lt;0,C158,"/")</f>
        <v>-1.9999999999997797E-4</v>
      </c>
      <c r="E158" s="18">
        <f ca="1">IF(表2_36716262930389[[#This Row],[累计净值]]/MAX(INDIRECT("B21:B" &amp; ROW()))-1&lt;E157,表2_36716262930389[[#This Row],[累计净值]]/MAX(INDIRECT("B21:B" &amp; ROW()))-1,E157)</f>
        <v>-8.3094820422859872E-3</v>
      </c>
      <c r="F158" s="62">
        <f>表2_36716262930389[[#This Row],[累计净值]]</f>
        <v>1.0866</v>
      </c>
      <c r="G158" s="20">
        <f>表2_36716262930389[[#This Row],[累计净值]]/$B$21-1</f>
        <v>7.1914767682746294E-2</v>
      </c>
    </row>
    <row r="159" spans="1:7">
      <c r="A159" s="15">
        <v>43921</v>
      </c>
      <c r="B159" s="16">
        <v>1.0889</v>
      </c>
      <c r="C159" s="73">
        <f t="shared" si="34"/>
        <v>2.2999999999999687E-3</v>
      </c>
      <c r="D159" s="18" t="str">
        <f t="shared" si="35"/>
        <v>/</v>
      </c>
      <c r="E159" s="18">
        <f ca="1">IF(表2_36716262930389[[#This Row],[累计净值]]/MAX(INDIRECT("B21:B" &amp; ROW()))-1&lt;E158,表2_36716262930389[[#This Row],[累计净值]]/MAX(INDIRECT("B21:B" &amp; ROW()))-1,E158)</f>
        <v>-8.3094820422859872E-3</v>
      </c>
      <c r="F159" s="62">
        <f>表2_36716262930389[[#This Row],[累计净值]]</f>
        <v>1.0889</v>
      </c>
      <c r="G159" s="20">
        <f>表2_36716262930389[[#This Row],[累计净值]]/$B$21-1</f>
        <v>7.4183683535562706E-2</v>
      </c>
    </row>
    <row r="160" spans="1:7">
      <c r="A160" s="15">
        <v>43922</v>
      </c>
      <c r="B160" s="16">
        <v>1.0898000000000001</v>
      </c>
      <c r="C160" s="73">
        <f t="shared" si="34"/>
        <v>9.0000000000012292E-4</v>
      </c>
      <c r="D160" s="18" t="str">
        <f t="shared" si="35"/>
        <v>/</v>
      </c>
      <c r="E160" s="18">
        <f ca="1">IF(表2_36716262930389[[#This Row],[累计净值]]/MAX(INDIRECT("B21:B" &amp; ROW()))-1&lt;E159,表2_36716262930389[[#This Row],[累计净值]]/MAX(INDIRECT("B21:B" &amp; ROW()))-1,E159)</f>
        <v>-8.3094820422859872E-3</v>
      </c>
      <c r="F160" s="62">
        <f>表2_36716262930389[[#This Row],[累计净值]]</f>
        <v>1.0898000000000001</v>
      </c>
      <c r="G160" s="20">
        <f>表2_36716262930389[[#This Row],[累计净值]]/$B$21-1</f>
        <v>7.5071520173621398E-2</v>
      </c>
    </row>
    <row r="161" spans="1:7">
      <c r="A161" s="15">
        <v>43923</v>
      </c>
      <c r="B161" s="16">
        <v>1.0935999999999999</v>
      </c>
      <c r="C161" s="73">
        <f t="shared" si="34"/>
        <v>3.7999999999998035E-3</v>
      </c>
      <c r="D161" s="18" t="str">
        <f t="shared" si="35"/>
        <v>/</v>
      </c>
      <c r="E161" s="18">
        <f ca="1">IF(表2_36716262930389[[#This Row],[累计净值]]/MAX(INDIRECT("B21:B" &amp; ROW()))-1&lt;E160,表2_36716262930389[[#This Row],[累计净值]]/MAX(INDIRECT("B21:B" &amp; ROW()))-1,E160)</f>
        <v>-8.3094820422859872E-3</v>
      </c>
      <c r="F161" s="62">
        <f>表2_36716262930389[[#This Row],[累计净值]]</f>
        <v>1.0935999999999999</v>
      </c>
      <c r="G161" s="20">
        <f>表2_36716262930389[[#This Row],[累计净值]]/$B$21-1</f>
        <v>7.8820163756535333E-2</v>
      </c>
    </row>
    <row r="162" spans="1:7">
      <c r="A162" s="15">
        <v>43924</v>
      </c>
      <c r="B162" s="16">
        <v>1.0935999999999999</v>
      </c>
      <c r="C162" s="73">
        <f t="shared" si="34"/>
        <v>0</v>
      </c>
      <c r="D162" s="18" t="str">
        <f t="shared" si="35"/>
        <v>/</v>
      </c>
      <c r="E162" s="18">
        <f ca="1">IF(表2_36716262930389[[#This Row],[累计净值]]/MAX(INDIRECT("B21:B" &amp; ROW()))-1&lt;E161,表2_36716262930389[[#This Row],[累计净值]]/MAX(INDIRECT("B21:B" &amp; ROW()))-1,E161)</f>
        <v>-8.3094820422859872E-3</v>
      </c>
      <c r="F162" s="62">
        <f>表2_36716262930389[[#This Row],[累计净值]]</f>
        <v>1.0935999999999999</v>
      </c>
      <c r="G162" s="20">
        <f>表2_36716262930389[[#This Row],[累计净值]]/$B$21-1</f>
        <v>7.8820163756535333E-2</v>
      </c>
    </row>
    <row r="163" spans="1:7">
      <c r="A163" s="15">
        <v>43928</v>
      </c>
      <c r="B163" s="16">
        <v>1.0946</v>
      </c>
      <c r="C163" s="73">
        <f t="shared" si="34"/>
        <v>1.0000000000001119E-3</v>
      </c>
      <c r="D163" s="18" t="str">
        <f t="shared" si="35"/>
        <v>/</v>
      </c>
      <c r="E163" s="18">
        <f ca="1">IF(表2_36716262930389[[#This Row],[累计净值]]/MAX(INDIRECT("B21:B" &amp; ROW()))-1&lt;E162,表2_36716262930389[[#This Row],[累计净值]]/MAX(INDIRECT("B21:B" &amp; ROW()))-1,E162)</f>
        <v>-8.3094820422859872E-3</v>
      </c>
      <c r="F163" s="62">
        <f>表2_36716262930389[[#This Row],[累计净值]]</f>
        <v>1.0946</v>
      </c>
      <c r="G163" s="20">
        <f>表2_36716262930389[[#This Row],[累计净值]]/$B$21-1</f>
        <v>7.9806648909933831E-2</v>
      </c>
    </row>
    <row r="164" spans="1:7">
      <c r="A164" s="15">
        <v>43929</v>
      </c>
      <c r="B164" s="16">
        <v>1.0966</v>
      </c>
      <c r="C164" s="73">
        <f t="shared" ref="C164:C176" si="36">IFERROR(B164-B163,0)</f>
        <v>2.0000000000000018E-3</v>
      </c>
      <c r="D164" s="18" t="str">
        <f t="shared" ref="D164:D176" si="37">IF(C164&lt;0,C164,"/")</f>
        <v>/</v>
      </c>
      <c r="E164" s="18">
        <f ca="1">IF(表2_36716262930389[[#This Row],[累计净值]]/MAX(INDIRECT("B21:B" &amp; ROW()))-1&lt;E163,表2_36716262930389[[#This Row],[累计净值]]/MAX(INDIRECT("B21:B" &amp; ROW()))-1,E163)</f>
        <v>-8.3094820422859872E-3</v>
      </c>
      <c r="F164" s="62">
        <f>表2_36716262930389[[#This Row],[累计净值]]</f>
        <v>1.0966</v>
      </c>
      <c r="G164" s="20">
        <f>表2_36716262930389[[#This Row],[累计净值]]/$B$21-1</f>
        <v>8.1779619216730826E-2</v>
      </c>
    </row>
    <row r="165" spans="1:7">
      <c r="A165" s="15">
        <v>43930</v>
      </c>
      <c r="B165" s="16">
        <v>1.0979000000000001</v>
      </c>
      <c r="C165" s="73">
        <f t="shared" si="36"/>
        <v>1.3000000000000789E-3</v>
      </c>
      <c r="D165" s="18" t="str">
        <f t="shared" si="37"/>
        <v>/</v>
      </c>
      <c r="E165" s="18">
        <f ca="1">IF(表2_36716262930389[[#This Row],[累计净值]]/MAX(INDIRECT("B21:B" &amp; ROW()))-1&lt;E164,表2_36716262930389[[#This Row],[累计净值]]/MAX(INDIRECT("B21:B" &amp; ROW()))-1,E164)</f>
        <v>-8.3094820422859872E-3</v>
      </c>
      <c r="F165" s="62">
        <f>表2_36716262930389[[#This Row],[累计净值]]</f>
        <v>1.0979000000000001</v>
      </c>
      <c r="G165" s="20">
        <f>表2_36716262930389[[#This Row],[累计净值]]/$B$21-1</f>
        <v>8.3062049916148739E-2</v>
      </c>
    </row>
    <row r="166" spans="1:7">
      <c r="A166" s="15">
        <v>43931</v>
      </c>
      <c r="B166" s="16">
        <v>1.0986</v>
      </c>
      <c r="C166" s="73">
        <f t="shared" si="36"/>
        <v>6.9999999999992291E-4</v>
      </c>
      <c r="D166" s="18" t="str">
        <f t="shared" si="37"/>
        <v>/</v>
      </c>
      <c r="E166" s="18">
        <f ca="1">IF(表2_36716262930389[[#This Row],[累计净值]]/MAX(INDIRECT("B21:B" &amp; ROW()))-1&lt;E165,表2_36716262930389[[#This Row],[累计净值]]/MAX(INDIRECT("B21:B" &amp; ROW()))-1,E165)</f>
        <v>-8.3094820422859872E-3</v>
      </c>
      <c r="F166" s="62">
        <f>表2_36716262930389[[#This Row],[累计净值]]</f>
        <v>1.0986</v>
      </c>
      <c r="G166" s="20">
        <f>表2_36716262930389[[#This Row],[累计净值]]/$B$21-1</f>
        <v>8.3752589523527599E-2</v>
      </c>
    </row>
    <row r="167" spans="1:7">
      <c r="A167" s="15">
        <v>43934</v>
      </c>
      <c r="B167" s="16">
        <v>1.0999000000000001</v>
      </c>
      <c r="C167" s="73">
        <f t="shared" si="36"/>
        <v>1.3000000000000789E-3</v>
      </c>
      <c r="D167" s="18" t="str">
        <f t="shared" si="37"/>
        <v>/</v>
      </c>
      <c r="E167" s="18">
        <f ca="1">IF(表2_36716262930389[[#This Row],[累计净值]]/MAX(INDIRECT("B21:B" &amp; ROW()))-1&lt;E166,表2_36716262930389[[#This Row],[累计净值]]/MAX(INDIRECT("B21:B" &amp; ROW()))-1,E166)</f>
        <v>-8.3094820422859872E-3</v>
      </c>
      <c r="F167" s="62">
        <f>表2_36716262930389[[#This Row],[累计净值]]</f>
        <v>1.0999000000000001</v>
      </c>
      <c r="G167" s="20">
        <f>表2_36716262930389[[#This Row],[累计净值]]/$B$21-1</f>
        <v>8.5035020222945734E-2</v>
      </c>
    </row>
    <row r="168" spans="1:7">
      <c r="A168" s="15">
        <v>43935</v>
      </c>
      <c r="B168" s="16">
        <v>1.1005</v>
      </c>
      <c r="C168" s="94">
        <f t="shared" si="36"/>
        <v>5.9999999999993392E-4</v>
      </c>
      <c r="D168" s="95" t="str">
        <f t="shared" si="37"/>
        <v>/</v>
      </c>
      <c r="E168" s="95">
        <f ca="1">IF(表2_36716262930389[[#This Row],[累计净值]]/MAX(INDIRECT("B21:B" &amp; ROW()))-1&lt;E167,表2_36716262930389[[#This Row],[累计净值]]/MAX(INDIRECT("B21:B" &amp; ROW()))-1,E167)</f>
        <v>-8.3094820422859872E-3</v>
      </c>
      <c r="F168" s="62">
        <f>表2_36716262930389[[#This Row],[累计净值]]</f>
        <v>1.1005</v>
      </c>
      <c r="G168" s="20">
        <f>表2_36716262930389[[#This Row],[累计净值]]/$B$21-1</f>
        <v>8.5626911314984788E-2</v>
      </c>
    </row>
    <row r="169" spans="1:7">
      <c r="A169" s="15">
        <v>43936</v>
      </c>
      <c r="B169" s="16">
        <v>1.1016999999999999</v>
      </c>
      <c r="C169" s="64">
        <f t="shared" si="36"/>
        <v>1.1999999999998678E-3</v>
      </c>
      <c r="D169" s="65" t="str">
        <f t="shared" si="37"/>
        <v>/</v>
      </c>
      <c r="E169" s="65">
        <f ca="1">IF(表2_36716262930389[[#This Row],[累计净值]]/MAX(INDIRECT("B21:B" &amp; ROW()))-1&lt;E168,表2_36716262930389[[#This Row],[累计净值]]/MAX(INDIRECT("B21:B" &amp; ROW()))-1,E168)</f>
        <v>-8.3094820422859872E-3</v>
      </c>
      <c r="F169" s="66">
        <f>表2_36716262930389[[#This Row],[累计净值]]</f>
        <v>1.1016999999999999</v>
      </c>
      <c r="G169" s="20">
        <f>表2_36716262930389[[#This Row],[累计净值]]/$B$21-1</f>
        <v>8.6810693499062674E-2</v>
      </c>
    </row>
    <row r="170" spans="1:7">
      <c r="A170" s="15">
        <v>43937</v>
      </c>
      <c r="B170" s="96">
        <v>1.1022000000000001</v>
      </c>
      <c r="C170" s="94">
        <f t="shared" si="36"/>
        <v>5.0000000000016698E-4</v>
      </c>
      <c r="D170" s="95" t="str">
        <f t="shared" si="37"/>
        <v>/</v>
      </c>
      <c r="E170" s="95">
        <f ca="1">IF(表2_36716262930389[[#This Row],[累计净值]]/MAX(INDIRECT("B21:B" &amp; ROW()))-1&lt;E169,表2_36716262930389[[#This Row],[累计净值]]/MAX(INDIRECT("B21:B" &amp; ROW()))-1,E169)</f>
        <v>-8.3094820422859872E-3</v>
      </c>
      <c r="F170" s="97">
        <f>表2_36716262930389[[#This Row],[累计净值]]</f>
        <v>1.1022000000000001</v>
      </c>
      <c r="G170" s="20">
        <f>表2_36716262930389[[#This Row],[累计净值]]/$B$21-1</f>
        <v>8.7303936075762145E-2</v>
      </c>
    </row>
    <row r="171" spans="1:7">
      <c r="A171" s="15">
        <v>43938</v>
      </c>
      <c r="B171" s="96">
        <v>1.1028</v>
      </c>
      <c r="C171" s="94">
        <f t="shared" si="36"/>
        <v>5.9999999999993392E-4</v>
      </c>
      <c r="D171" s="95" t="str">
        <f t="shared" si="37"/>
        <v>/</v>
      </c>
      <c r="E171" s="95">
        <f ca="1">IF(表2_36716262930389[[#This Row],[累计净值]]/MAX(INDIRECT("B21:B" &amp; ROW()))-1&lt;E170,表2_36716262930389[[#This Row],[累计净值]]/MAX(INDIRECT("B21:B" &amp; ROW()))-1,E170)</f>
        <v>-8.3094820422859872E-3</v>
      </c>
      <c r="F171" s="97">
        <f>表2_36716262930389[[#This Row],[累计净值]]</f>
        <v>1.1028</v>
      </c>
      <c r="G171" s="20">
        <f>表2_36716262930389[[#This Row],[累计净值]]/$B$21-1</f>
        <v>8.7895827167800977E-2</v>
      </c>
    </row>
    <row r="172" spans="1:7">
      <c r="A172" s="15">
        <v>43941</v>
      </c>
      <c r="B172" s="96">
        <v>1.1032</v>
      </c>
      <c r="C172" s="94">
        <f t="shared" si="36"/>
        <v>3.9999999999995595E-4</v>
      </c>
      <c r="D172" s="95" t="str">
        <f t="shared" si="37"/>
        <v>/</v>
      </c>
      <c r="E172" s="95">
        <f ca="1">IF(表2_36716262930389[[#This Row],[累计净值]]/MAX(INDIRECT("B21:B" &amp; ROW()))-1&lt;E171,表2_36716262930389[[#This Row],[累计净值]]/MAX(INDIRECT("B21:B" &amp; ROW()))-1,E171)</f>
        <v>-8.3094820422859872E-3</v>
      </c>
      <c r="F172" s="97">
        <f>表2_36716262930389[[#This Row],[累计净值]]</f>
        <v>1.1032</v>
      </c>
      <c r="G172" s="20">
        <f>表2_36716262930389[[#This Row],[累计净值]]/$B$21-1</f>
        <v>8.8290421229160421E-2</v>
      </c>
    </row>
    <row r="173" spans="1:7">
      <c r="A173" s="15">
        <v>43942</v>
      </c>
      <c r="B173" s="96">
        <v>1.1036999999999999</v>
      </c>
      <c r="C173" s="94">
        <f t="shared" si="36"/>
        <v>4.9999999999994493E-4</v>
      </c>
      <c r="D173" s="95" t="str">
        <f t="shared" si="37"/>
        <v>/</v>
      </c>
      <c r="E173" s="95">
        <f ca="1">IF(表2_36716262930389[[#This Row],[累计净值]]/MAX(INDIRECT("B21:B" &amp; ROW()))-1&lt;E172,表2_36716262930389[[#This Row],[累计净值]]/MAX(INDIRECT("B21:B" &amp; ROW()))-1,E172)</f>
        <v>-8.3094820422859872E-3</v>
      </c>
      <c r="F173" s="97">
        <f>表2_36716262930389[[#This Row],[累计净值]]</f>
        <v>1.1036999999999999</v>
      </c>
      <c r="G173" s="20">
        <f>表2_36716262930389[[#This Row],[累计净值]]/$B$21-1</f>
        <v>8.8783663805859669E-2</v>
      </c>
    </row>
    <row r="174" spans="1:7">
      <c r="A174" s="15">
        <v>43943</v>
      </c>
      <c r="B174" s="107">
        <v>1.1045</v>
      </c>
      <c r="C174" s="94">
        <f t="shared" si="36"/>
        <v>8.0000000000013394E-4</v>
      </c>
      <c r="D174" s="95" t="str">
        <f t="shared" si="37"/>
        <v>/</v>
      </c>
      <c r="E174" s="95">
        <f ca="1">IF(表2_36716262930389[[#This Row],[累计净值]]/MAX(INDIRECT("B21:B" &amp; ROW()))-1&lt;E173,表2_36716262930389[[#This Row],[累计净值]]/MAX(INDIRECT("B21:B" &amp; ROW()))-1,E173)</f>
        <v>-8.3094820422859872E-3</v>
      </c>
      <c r="F174" s="97">
        <f>表2_36716262930389[[#This Row],[累计净值]]</f>
        <v>1.1045</v>
      </c>
      <c r="G174" s="20">
        <f>表2_36716262930389[[#This Row],[累计净值]]/$B$21-1</f>
        <v>8.9572851928578556E-2</v>
      </c>
    </row>
    <row r="175" spans="1:7">
      <c r="A175" s="15">
        <v>43944</v>
      </c>
      <c r="B175" s="96">
        <v>1.1032999999999999</v>
      </c>
      <c r="C175" s="94">
        <f t="shared" si="36"/>
        <v>-1.2000000000000899E-3</v>
      </c>
      <c r="D175" s="95">
        <f t="shared" si="37"/>
        <v>-1.2000000000000899E-3</v>
      </c>
      <c r="E175" s="95">
        <f ca="1">IF(表2_36716262930389[[#This Row],[累计净值]]/MAX(INDIRECT("B21:B" &amp; ROW()))-1&lt;E174,表2_36716262930389[[#This Row],[累计净值]]/MAX(INDIRECT("B21:B" &amp; ROW()))-1,E174)</f>
        <v>-8.3094820422859872E-3</v>
      </c>
      <c r="F175" s="97">
        <f>表2_36716262930389[[#This Row],[累计净值]]</f>
        <v>1.1032999999999999</v>
      </c>
      <c r="G175" s="20">
        <f>表2_36716262930389[[#This Row],[累计净值]]/$B$21-1</f>
        <v>8.8389069744500226E-2</v>
      </c>
    </row>
    <row r="176" spans="1:7">
      <c r="A176" s="15">
        <v>43945</v>
      </c>
      <c r="B176" s="96">
        <v>1.1028</v>
      </c>
      <c r="C176" s="94">
        <f t="shared" si="36"/>
        <v>-4.9999999999994493E-4</v>
      </c>
      <c r="D176" s="95">
        <f t="shared" si="37"/>
        <v>-4.9999999999994493E-4</v>
      </c>
      <c r="E176" s="95">
        <f ca="1">IF(表2_36716262930389[[#This Row],[累计净值]]/MAX(INDIRECT("B21:B" &amp; ROW()))-1&lt;E175,表2_36716262930389[[#This Row],[累计净值]]/MAX(INDIRECT("B21:B" &amp; ROW()))-1,E175)</f>
        <v>-8.3094820422859872E-3</v>
      </c>
      <c r="F176" s="97">
        <f>表2_36716262930389[[#This Row],[累计净值]]</f>
        <v>1.1028</v>
      </c>
      <c r="G176" s="20">
        <f>表2_36716262930389[[#This Row],[累计净值]]/$B$21-1</f>
        <v>8.7895827167800977E-2</v>
      </c>
    </row>
    <row r="177" spans="1:7">
      <c r="A177" s="15">
        <v>43948</v>
      </c>
      <c r="B177" s="96">
        <v>1.1022000000000001</v>
      </c>
      <c r="C177" s="94">
        <f t="shared" ref="C177:C182" si="38">IFERROR(B177-B176,0)</f>
        <v>-5.9999999999993392E-4</v>
      </c>
      <c r="D177" s="95">
        <f t="shared" ref="D177:D182" si="39">IF(C177&lt;0,C177,"/")</f>
        <v>-5.9999999999993392E-4</v>
      </c>
      <c r="E177" s="95">
        <f ca="1">IF(表2_36716262930389[[#This Row],[累计净值]]/MAX(INDIRECT("B21:B" &amp; ROW()))-1&lt;E176,表2_36716262930389[[#This Row],[累计净值]]/MAX(INDIRECT("B21:B" &amp; ROW()))-1,E176)</f>
        <v>-8.3094820422859872E-3</v>
      </c>
      <c r="F177" s="97">
        <f>表2_36716262930389[[#This Row],[累计净值]]</f>
        <v>1.1022000000000001</v>
      </c>
      <c r="G177" s="20">
        <f>表2_36716262930389[[#This Row],[累计净值]]/$B$21-1</f>
        <v>8.7303936075762145E-2</v>
      </c>
    </row>
    <row r="178" spans="1:7">
      <c r="A178" s="15">
        <v>43949</v>
      </c>
      <c r="B178" s="96">
        <v>1.1021000000000001</v>
      </c>
      <c r="C178" s="94">
        <f t="shared" si="38"/>
        <v>-9.9999999999988987E-5</v>
      </c>
      <c r="D178" s="95">
        <f t="shared" si="39"/>
        <v>-9.9999999999988987E-5</v>
      </c>
      <c r="E178" s="95">
        <f ca="1">IF(表2_36716262930389[[#This Row],[累计净值]]/MAX(INDIRECT("B21:B" &amp; ROW()))-1&lt;E177,表2_36716262930389[[#This Row],[累计净值]]/MAX(INDIRECT("B21:B" &amp; ROW()))-1,E177)</f>
        <v>-8.3094820422859872E-3</v>
      </c>
      <c r="F178" s="97">
        <f>表2_36716262930389[[#This Row],[累计净值]]</f>
        <v>1.1021000000000001</v>
      </c>
      <c r="G178" s="20">
        <f>表2_36716262930389[[#This Row],[累计净值]]/$B$21-1</f>
        <v>8.720528756042234E-2</v>
      </c>
    </row>
    <row r="179" spans="1:7">
      <c r="A179" s="15">
        <v>43950</v>
      </c>
      <c r="B179" s="96">
        <v>1.1027</v>
      </c>
      <c r="C179" s="94">
        <f t="shared" si="38"/>
        <v>5.9999999999993392E-4</v>
      </c>
      <c r="D179" s="95" t="str">
        <f t="shared" si="39"/>
        <v>/</v>
      </c>
      <c r="E179" s="95">
        <f ca="1">IF(表2_36716262930389[[#This Row],[累计净值]]/MAX(INDIRECT("B21:B" &amp; ROW()))-1&lt;E178,表2_36716262930389[[#This Row],[累计净值]]/MAX(INDIRECT("B21:B" &amp; ROW()))-1,E178)</f>
        <v>-8.3094820422859872E-3</v>
      </c>
      <c r="F179" s="97">
        <f>表2_36716262930389[[#This Row],[累计净值]]</f>
        <v>1.1027</v>
      </c>
      <c r="G179" s="20">
        <f>表2_36716262930389[[#This Row],[累计净值]]/$B$21-1</f>
        <v>8.7797178652461172E-2</v>
      </c>
    </row>
    <row r="180" spans="1:7">
      <c r="A180" s="15">
        <v>43951</v>
      </c>
      <c r="B180" s="96">
        <v>1.0999000000000001</v>
      </c>
      <c r="C180" s="94">
        <f t="shared" si="38"/>
        <v>-2.7999999999999137E-3</v>
      </c>
      <c r="D180" s="95">
        <f t="shared" si="39"/>
        <v>-2.7999999999999137E-3</v>
      </c>
      <c r="E180" s="95">
        <f ca="1">IF(表2_36716262930389[[#This Row],[累计净值]]/MAX(INDIRECT("B21:B" &amp; ROW()))-1&lt;E179,表2_36716262930389[[#This Row],[累计净值]]/MAX(INDIRECT("B21:B" &amp; ROW()))-1,E179)</f>
        <v>-8.3094820422859872E-3</v>
      </c>
      <c r="F180" s="97">
        <f>表2_36716262930389[[#This Row],[累计净值]]</f>
        <v>1.0999000000000001</v>
      </c>
      <c r="G180" s="20">
        <f>表2_36716262930389[[#This Row],[累计净值]]/$B$21-1</f>
        <v>8.5035020222945734E-2</v>
      </c>
    </row>
    <row r="181" spans="1:7">
      <c r="A181" s="15">
        <v>43957</v>
      </c>
      <c r="B181" s="96">
        <v>1.1021000000000001</v>
      </c>
      <c r="C181" s="94">
        <f t="shared" si="38"/>
        <v>2.1999999999999797E-3</v>
      </c>
      <c r="D181" s="95" t="str">
        <f t="shared" si="39"/>
        <v>/</v>
      </c>
      <c r="E181" s="95">
        <f ca="1">IF(表2_36716262930389[[#This Row],[累计净值]]/MAX(INDIRECT("B21:B" &amp; ROW()))-1&lt;E180,表2_36716262930389[[#This Row],[累计净值]]/MAX(INDIRECT("B21:B" &amp; ROW()))-1,E180)</f>
        <v>-8.3094820422859872E-3</v>
      </c>
      <c r="F181" s="97">
        <f>表2_36716262930389[[#This Row],[累计净值]]</f>
        <v>1.1021000000000001</v>
      </c>
      <c r="G181" s="20">
        <f>表2_36716262930389[[#This Row],[累计净值]]/$B$21-1</f>
        <v>8.720528756042234E-2</v>
      </c>
    </row>
    <row r="182" spans="1:7">
      <c r="A182" s="15">
        <v>43958</v>
      </c>
      <c r="B182" s="96">
        <v>1.1026</v>
      </c>
      <c r="C182" s="94">
        <f t="shared" si="38"/>
        <v>4.9999999999994493E-4</v>
      </c>
      <c r="D182" s="95" t="str">
        <f t="shared" si="39"/>
        <v>/</v>
      </c>
      <c r="E182" s="95">
        <f ca="1">IF(表2_36716262930389[[#This Row],[累计净值]]/MAX(INDIRECT("B21:B" &amp; ROW()))-1&lt;E181,表2_36716262930389[[#This Row],[累计净值]]/MAX(INDIRECT("B21:B" &amp; ROW()))-1,E181)</f>
        <v>-8.3094820422859872E-3</v>
      </c>
      <c r="F182" s="97">
        <f>表2_36716262930389[[#This Row],[累计净值]]</f>
        <v>1.1026</v>
      </c>
      <c r="G182" s="20">
        <f>表2_36716262930389[[#This Row],[累计净值]]/$B$21-1</f>
        <v>8.7698530137121367E-2</v>
      </c>
    </row>
    <row r="183" spans="1:7">
      <c r="A183" s="15">
        <v>43959</v>
      </c>
      <c r="B183" s="104">
        <v>1.103</v>
      </c>
      <c r="C183" s="101">
        <f t="shared" ref="C183:C188" si="40">IFERROR(B183-B182,0)</f>
        <v>3.9999999999995595E-4</v>
      </c>
      <c r="D183" s="102" t="str">
        <f t="shared" ref="D183:D188" si="41">IF(C183&lt;0,C183,"/")</f>
        <v>/</v>
      </c>
      <c r="E183" s="102">
        <f ca="1">IF(表2_36716262930389[[#This Row],[累计净值]]/MAX(INDIRECT("B21:B" &amp; ROW()))-1&lt;E182,表2_36716262930389[[#This Row],[累计净值]]/MAX(INDIRECT("B21:B" &amp; ROW()))-1,E182)</f>
        <v>-8.3094820422859872E-3</v>
      </c>
      <c r="F183" s="103">
        <f>表2_36716262930389[[#This Row],[累计净值]]</f>
        <v>1.103</v>
      </c>
      <c r="G183" s="20">
        <f>表2_36716262930389[[#This Row],[累计净值]]/$B$21-1</f>
        <v>8.809312419848081E-2</v>
      </c>
    </row>
    <row r="184" spans="1:7">
      <c r="A184" s="15">
        <v>43962</v>
      </c>
      <c r="B184" s="104">
        <v>1.1036999999999999</v>
      </c>
      <c r="C184" s="101">
        <f t="shared" si="40"/>
        <v>6.9999999999992291E-4</v>
      </c>
      <c r="D184" s="102" t="str">
        <f t="shared" si="41"/>
        <v>/</v>
      </c>
      <c r="E184" s="102">
        <f ca="1">IF(表2_36716262930389[[#This Row],[累计净值]]/MAX(INDIRECT("B21:B" &amp; ROW()))-1&lt;E183,表2_36716262930389[[#This Row],[累计净值]]/MAX(INDIRECT("B21:B" &amp; ROW()))-1,E183)</f>
        <v>-8.3094820422859872E-3</v>
      </c>
      <c r="F184" s="103">
        <f>表2_36716262930389[[#This Row],[累计净值]]</f>
        <v>1.1036999999999999</v>
      </c>
      <c r="G184" s="20">
        <f>表2_36716262930389[[#This Row],[累计净值]]/$B$21-1</f>
        <v>8.8783663805859669E-2</v>
      </c>
    </row>
    <row r="185" spans="1:7">
      <c r="A185" s="15">
        <v>43963</v>
      </c>
      <c r="B185" s="104">
        <v>1.1037999999999999</v>
      </c>
      <c r="C185" s="101">
        <f t="shared" si="40"/>
        <v>9.9999999999988987E-5</v>
      </c>
      <c r="D185" s="102" t="str">
        <f t="shared" si="41"/>
        <v>/</v>
      </c>
      <c r="E185" s="102">
        <f ca="1">IF(表2_36716262930389[[#This Row],[累计净值]]/MAX(INDIRECT("B21:B" &amp; ROW()))-1&lt;E184,表2_36716262930389[[#This Row],[累计净值]]/MAX(INDIRECT("B21:B" &amp; ROW()))-1,E184)</f>
        <v>-8.3094820422859872E-3</v>
      </c>
      <c r="F185" s="103">
        <f>表2_36716262930389[[#This Row],[累计净值]]</f>
        <v>1.1037999999999999</v>
      </c>
      <c r="G185" s="20">
        <f>表2_36716262930389[[#This Row],[累计净值]]/$B$21-1</f>
        <v>8.8882312321199475E-2</v>
      </c>
    </row>
    <row r="186" spans="1:7">
      <c r="A186" s="15">
        <v>43964</v>
      </c>
      <c r="B186" s="104">
        <v>1.1048</v>
      </c>
      <c r="C186" s="101">
        <f t="shared" si="40"/>
        <v>1.0000000000001119E-3</v>
      </c>
      <c r="D186" s="102" t="str">
        <f t="shared" si="41"/>
        <v>/</v>
      </c>
      <c r="E186" s="102">
        <f ca="1">IF(表2_36716262930389[[#This Row],[累计净值]]/MAX(INDIRECT("B21:B" &amp; ROW()))-1&lt;E185,表2_36716262930389[[#This Row],[累计净值]]/MAX(INDIRECT("B21:B" &amp; ROW()))-1,E185)</f>
        <v>-8.3094820422859872E-3</v>
      </c>
      <c r="F186" s="103">
        <f>表2_36716262930389[[#This Row],[累计净值]]</f>
        <v>1.1048</v>
      </c>
      <c r="G186" s="20">
        <f>表2_36716262930389[[#This Row],[累计净值]]/$B$21-1</f>
        <v>8.9868797474597972E-2</v>
      </c>
    </row>
    <row r="187" spans="1:7">
      <c r="A187" s="15">
        <v>43965</v>
      </c>
      <c r="B187" s="104">
        <v>1.1047</v>
      </c>
      <c r="C187" s="101">
        <f t="shared" si="40"/>
        <v>-9.9999999999988987E-5</v>
      </c>
      <c r="D187" s="102">
        <f t="shared" si="41"/>
        <v>-9.9999999999988987E-5</v>
      </c>
      <c r="E187" s="102">
        <f ca="1">IF(表2_36716262930389[[#This Row],[累计净值]]/MAX(INDIRECT("B21:B" &amp; ROW()))-1&lt;E186,表2_36716262930389[[#This Row],[累计净值]]/MAX(INDIRECT("B21:B" &amp; ROW()))-1,E186)</f>
        <v>-8.3094820422859872E-3</v>
      </c>
      <c r="F187" s="103">
        <f>表2_36716262930389[[#This Row],[累计净值]]</f>
        <v>1.1047</v>
      </c>
      <c r="G187" s="20">
        <f>表2_36716262930389[[#This Row],[累计净值]]/$B$21-1</f>
        <v>8.9770148959258167E-2</v>
      </c>
    </row>
    <row r="188" spans="1:7">
      <c r="A188" s="15">
        <v>43966</v>
      </c>
      <c r="B188" s="104">
        <v>1.1048</v>
      </c>
      <c r="C188" s="101">
        <f t="shared" si="40"/>
        <v>9.9999999999988987E-5</v>
      </c>
      <c r="D188" s="102" t="str">
        <f t="shared" si="41"/>
        <v>/</v>
      </c>
      <c r="E188" s="102">
        <f ca="1">IF(表2_36716262930389[[#This Row],[累计净值]]/MAX(INDIRECT("B21:B" &amp; ROW()))-1&lt;E187,表2_36716262930389[[#This Row],[累计净值]]/MAX(INDIRECT("B21:B" &amp; ROW()))-1,E187)</f>
        <v>-8.3094820422859872E-3</v>
      </c>
      <c r="F188" s="103">
        <f>表2_36716262930389[[#This Row],[累计净值]]</f>
        <v>1.1048</v>
      </c>
      <c r="G188" s="20">
        <f>表2_36716262930389[[#This Row],[累计净值]]/$B$21-1</f>
        <v>8.9868797474597972E-2</v>
      </c>
    </row>
    <row r="189" spans="1:7">
      <c r="A189" s="15">
        <v>43969</v>
      </c>
      <c r="B189" s="104">
        <v>1.1049</v>
      </c>
      <c r="C189" s="101">
        <f t="shared" ref="C189:C194" si="42">IFERROR(B189-B188,0)</f>
        <v>9.9999999999988987E-5</v>
      </c>
      <c r="D189" s="102" t="str">
        <f t="shared" ref="D189:D194" si="43">IF(C189&lt;0,C189,"/")</f>
        <v>/</v>
      </c>
      <c r="E189" s="102">
        <f ca="1">IF(表2_36716262930389[[#This Row],[累计净值]]/MAX(INDIRECT("B21:B" &amp; ROW()))-1&lt;E188,表2_36716262930389[[#This Row],[累计净值]]/MAX(INDIRECT("B21:B" &amp; ROW()))-1,E188)</f>
        <v>-8.3094820422859872E-3</v>
      </c>
      <c r="F189" s="103">
        <f>表2_36716262930389[[#This Row],[累计净值]]</f>
        <v>1.1049</v>
      </c>
      <c r="G189" s="20">
        <f>表2_36716262930389[[#This Row],[累计净值]]/$B$21-1</f>
        <v>8.9967445989937778E-2</v>
      </c>
    </row>
    <row r="190" spans="1:7">
      <c r="A190" s="15">
        <v>43970</v>
      </c>
      <c r="B190" s="104">
        <v>1.1041000000000001</v>
      </c>
      <c r="C190" s="101">
        <f t="shared" si="42"/>
        <v>-7.9999999999991189E-4</v>
      </c>
      <c r="D190" s="102">
        <f t="shared" si="43"/>
        <v>-7.9999999999991189E-4</v>
      </c>
      <c r="E190" s="102">
        <f ca="1">IF(表2_36716262930389[[#This Row],[累计净值]]/MAX(INDIRECT("B21:B" &amp; ROW()))-1&lt;E189,表2_36716262930389[[#This Row],[累计净值]]/MAX(INDIRECT("B21:B" &amp; ROW()))-1,E189)</f>
        <v>-8.3094820422859872E-3</v>
      </c>
      <c r="F190" s="103">
        <f>表2_36716262930389[[#This Row],[累计净值]]</f>
        <v>1.1041000000000001</v>
      </c>
      <c r="G190" s="20">
        <f>表2_36716262930389[[#This Row],[累计净值]]/$B$21-1</f>
        <v>8.9178257867219113E-2</v>
      </c>
    </row>
    <row r="191" spans="1:7">
      <c r="A191" s="15">
        <v>43971</v>
      </c>
      <c r="B191" s="104">
        <v>1.1041000000000001</v>
      </c>
      <c r="C191" s="108">
        <f t="shared" si="42"/>
        <v>0</v>
      </c>
      <c r="D191" s="109" t="str">
        <f t="shared" si="43"/>
        <v>/</v>
      </c>
      <c r="E191" s="109">
        <f ca="1">IF(表2_36716262930389[[#This Row],[累计净值]]/MAX(INDIRECT("B21:B" &amp; ROW()))-1&lt;E190,表2_36716262930389[[#This Row],[累计净值]]/MAX(INDIRECT("B21:B" &amp; ROW()))-1,E190)</f>
        <v>-8.3094820422859872E-3</v>
      </c>
      <c r="F191" s="110">
        <f>表2_36716262930389[[#This Row],[累计净值]]</f>
        <v>1.1041000000000001</v>
      </c>
      <c r="G191" s="20">
        <f>表2_36716262930389[[#This Row],[累计净值]]/$B$21-1</f>
        <v>8.9178257867219113E-2</v>
      </c>
    </row>
    <row r="192" spans="1:7">
      <c r="A192" s="15">
        <v>43972</v>
      </c>
      <c r="B192" s="104">
        <v>1.1046</v>
      </c>
      <c r="C192" s="64">
        <f t="shared" si="42"/>
        <v>4.9999999999994493E-4</v>
      </c>
      <c r="D192" s="65" t="str">
        <f t="shared" si="43"/>
        <v>/</v>
      </c>
      <c r="E192" s="65">
        <f ca="1">IF(表2_36716262930389[[#This Row],[累计净值]]/MAX(INDIRECT("B21:B" &amp; ROW()))-1&lt;E191,表2_36716262930389[[#This Row],[累计净值]]/MAX(INDIRECT("B21:B" &amp; ROW()))-1,E191)</f>
        <v>-8.3094820422859872E-3</v>
      </c>
      <c r="F192" s="66">
        <f>表2_36716262930389[[#This Row],[累计净值]]</f>
        <v>1.1046</v>
      </c>
      <c r="G192" s="20">
        <f>表2_36716262930389[[#This Row],[累计净值]]/$B$21-1</f>
        <v>8.9671500443918362E-2</v>
      </c>
    </row>
    <row r="193" spans="1:7">
      <c r="A193" s="15">
        <v>43973</v>
      </c>
      <c r="B193" s="112">
        <v>1.1067</v>
      </c>
      <c r="C193" s="108">
        <f t="shared" si="42"/>
        <v>2.0999999999999908E-3</v>
      </c>
      <c r="D193" s="109" t="str">
        <f t="shared" si="43"/>
        <v>/</v>
      </c>
      <c r="E193" s="109">
        <f ca="1">IF(表2_36716262930389[[#This Row],[累计净值]]/MAX(INDIRECT("B21:B" &amp; ROW()))-1&lt;E192,表2_36716262930389[[#This Row],[累计净值]]/MAX(INDIRECT("B21:B" &amp; ROW()))-1,E192)</f>
        <v>-8.3094820422859872E-3</v>
      </c>
      <c r="F193" s="110">
        <f>表2_36716262930389[[#This Row],[累计净值]]</f>
        <v>1.1067</v>
      </c>
      <c r="G193" s="20">
        <f>表2_36716262930389[[#This Row],[累计净值]]/$B$21-1</f>
        <v>9.174311926605494E-2</v>
      </c>
    </row>
    <row r="194" spans="1:7">
      <c r="A194" s="15">
        <v>43976</v>
      </c>
      <c r="B194" s="112">
        <v>1.1046</v>
      </c>
      <c r="C194" s="108">
        <f t="shared" si="42"/>
        <v>-2.0999999999999908E-3</v>
      </c>
      <c r="D194" s="109">
        <f t="shared" si="43"/>
        <v>-2.0999999999999908E-3</v>
      </c>
      <c r="E194" s="109">
        <f ca="1">IF(表2_36716262930389[[#This Row],[累计净值]]/MAX(INDIRECT("B21:B" &amp; ROW()))-1&lt;E193,表2_36716262930389[[#This Row],[累计净值]]/MAX(INDIRECT("B21:B" &amp; ROW()))-1,E193)</f>
        <v>-8.3094820422859872E-3</v>
      </c>
      <c r="F194" s="110">
        <f>表2_36716262930389[[#This Row],[累计净值]]</f>
        <v>1.1046</v>
      </c>
      <c r="G194" s="20">
        <f>表2_36716262930389[[#This Row],[累计净值]]/$B$21-1</f>
        <v>8.9671500443918362E-2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8">
    <tabColor theme="1"/>
  </sheetPr>
  <dimension ref="A1:J142"/>
  <sheetViews>
    <sheetView workbookViewId="0">
      <pane xSplit="1" ySplit="20" topLeftCell="B136" activePane="bottomRight" state="frozen"/>
      <selection pane="topRight" activeCell="B1" sqref="B1"/>
      <selection pane="bottomLeft" activeCell="A21" sqref="A21"/>
      <selection pane="bottomRight" activeCell="K139" sqref="K13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COUNT(表2_367162629303810[每日盈亏])</f>
        <v>122</v>
      </c>
      <c r="C2" s="27"/>
      <c r="D2" s="3" t="s">
        <v>1</v>
      </c>
      <c r="E2" s="28"/>
      <c r="F2" s="1" t="s">
        <v>2</v>
      </c>
      <c r="G2" s="400" t="s">
        <v>3</v>
      </c>
    </row>
    <row r="3" spans="1:7">
      <c r="A3" s="25" t="s">
        <v>4</v>
      </c>
      <c r="B3" s="26">
        <f>COUNTIF(表2_367162629303810[每日盈亏],"&gt;0")</f>
        <v>64</v>
      </c>
      <c r="C3" s="29"/>
      <c r="D3" s="30" t="s">
        <v>5</v>
      </c>
      <c r="E3" s="31">
        <f>245^0.5*(B10-0.025/365)/E10</f>
        <v>1.31878181767817</v>
      </c>
      <c r="G3" s="400"/>
    </row>
    <row r="4" spans="1:7">
      <c r="A4" s="25" t="s">
        <v>6</v>
      </c>
      <c r="B4" s="26">
        <f>COUNTIF(表2_367162629303810[每日盈亏],"&lt;0")</f>
        <v>56</v>
      </c>
      <c r="C4" s="29"/>
      <c r="D4" s="32" t="s">
        <v>7</v>
      </c>
      <c r="E4" s="31">
        <f ca="1">-B9/E8</f>
        <v>5.3944053403993273</v>
      </c>
      <c r="G4" s="2">
        <f>LOOKUP(999^10,表2_367162629303810[累计净值])</f>
        <v>1.1151</v>
      </c>
    </row>
    <row r="5" spans="1:7">
      <c r="A5" s="25" t="s">
        <v>8</v>
      </c>
      <c r="B5" s="26">
        <f>B2-B3-B4</f>
        <v>2</v>
      </c>
      <c r="C5" s="29"/>
      <c r="D5" s="33" t="s">
        <v>9</v>
      </c>
      <c r="E5" s="4">
        <f>245^0.5*(B10-0.025/365)/E9</f>
        <v>1.6944104854996038</v>
      </c>
    </row>
    <row r="6" spans="1:7" ht="16" thickBot="1">
      <c r="A6" s="34"/>
      <c r="B6" s="35"/>
      <c r="C6" s="35"/>
      <c r="D6" s="35"/>
      <c r="E6" s="36"/>
    </row>
    <row r="7" spans="1:7" ht="16" thickBot="1">
      <c r="A7" s="5" t="s">
        <v>10</v>
      </c>
      <c r="B7" s="35"/>
      <c r="C7" s="35"/>
      <c r="D7" s="3" t="s">
        <v>11</v>
      </c>
      <c r="E7" s="37"/>
    </row>
    <row r="8" spans="1:7">
      <c r="A8" s="38" t="s">
        <v>12</v>
      </c>
      <c r="B8" s="39">
        <f>LOOKUP(999^10,表2_367162629303810[累计净值])/$B$21-1</f>
        <v>3.3744321868916183E-2</v>
      </c>
      <c r="C8" s="40"/>
      <c r="D8" s="30" t="s">
        <v>13</v>
      </c>
      <c r="E8" s="41">
        <f ca="1">MIN(表2_367162629303810[最大回撤])</f>
        <v>-1.2562132851333008E-2</v>
      </c>
    </row>
    <row r="9" spans="1:7">
      <c r="A9" s="25" t="s">
        <v>14</v>
      </c>
      <c r="B9" s="32">
        <f>B8*245/B2</f>
        <v>6.7765236540036605E-2</v>
      </c>
      <c r="C9" s="40"/>
      <c r="D9" s="33" t="s">
        <v>15</v>
      </c>
      <c r="E9" s="6">
        <f>STDEV(表2_367162629303810[下跌幅度])</f>
        <v>2.123449778318067E-3</v>
      </c>
    </row>
    <row r="10" spans="1:7">
      <c r="A10" s="42" t="s">
        <v>16</v>
      </c>
      <c r="B10" s="43">
        <f>AVERAGE(表2_367162629303810[每日盈亏])</f>
        <v>2.9836065573770481E-4</v>
      </c>
      <c r="C10" s="44"/>
      <c r="D10" s="33" t="s">
        <v>17</v>
      </c>
      <c r="E10" s="6">
        <f>STDEV(表2_367162629303810[每日盈亏])</f>
        <v>2.7282720474176131E-3</v>
      </c>
    </row>
    <row r="11" spans="1:7">
      <c r="A11" s="7" t="s">
        <v>18</v>
      </c>
      <c r="B11" s="32">
        <f>B3/B2</f>
        <v>0.52459016393442626</v>
      </c>
      <c r="C11" s="40"/>
      <c r="D11" s="32" t="s">
        <v>19</v>
      </c>
      <c r="E11" s="41">
        <f>245^0.5*E10</f>
        <v>4.270421231396819E-2</v>
      </c>
    </row>
    <row r="12" spans="1:7" ht="16" thickBot="1">
      <c r="A12" s="45" t="s">
        <v>20</v>
      </c>
      <c r="B12" s="46">
        <f>-(SUMIF(表2_367162629303810[每日盈亏],"&gt;=0")/B3)/(SUMIF(表2_367162629303810[每日盈亏],"&lt;0")/B4)</f>
        <v>1.2013319672131142</v>
      </c>
      <c r="C12" s="47"/>
      <c r="D12" s="48"/>
      <c r="E12" s="49"/>
    </row>
    <row r="14" spans="1:7" ht="32">
      <c r="A14" s="50" t="s">
        <v>21</v>
      </c>
      <c r="B14" s="50" t="s">
        <v>14</v>
      </c>
      <c r="C14" s="51" t="s">
        <v>19</v>
      </c>
      <c r="D14" s="51" t="s">
        <v>13</v>
      </c>
      <c r="E14" s="51" t="s">
        <v>5</v>
      </c>
      <c r="F14" s="51" t="s">
        <v>7</v>
      </c>
    </row>
    <row r="15" spans="1:7">
      <c r="A15" s="52">
        <f>B2</f>
        <v>122</v>
      </c>
      <c r="B15" s="53">
        <f>B9</f>
        <v>6.7765236540036605E-2</v>
      </c>
      <c r="C15" s="53">
        <f>E11</f>
        <v>4.270421231396819E-2</v>
      </c>
      <c r="D15" s="53">
        <f ca="1">E8</f>
        <v>-1.2562132851333008E-2</v>
      </c>
      <c r="E15" s="54">
        <f>E3</f>
        <v>1.31878181767817</v>
      </c>
      <c r="F15" s="54">
        <f ca="1">E4</f>
        <v>5.3944053403993273</v>
      </c>
    </row>
    <row r="19" spans="1:7">
      <c r="A19" s="8"/>
      <c r="B19" s="1" t="s">
        <v>22</v>
      </c>
    </row>
    <row r="20" spans="1:7" ht="16">
      <c r="A20" s="22" t="s">
        <v>23</v>
      </c>
      <c r="B20" s="22" t="s">
        <v>24</v>
      </c>
      <c r="C20" s="22" t="s">
        <v>25</v>
      </c>
      <c r="D20" s="22" t="s">
        <v>26</v>
      </c>
      <c r="E20" s="22" t="s">
        <v>27</v>
      </c>
      <c r="F20" s="22" t="s">
        <v>28</v>
      </c>
      <c r="G20" s="22" t="s">
        <v>29</v>
      </c>
    </row>
    <row r="21" spans="1:7">
      <c r="A21" s="15">
        <v>43718</v>
      </c>
      <c r="B21" s="10">
        <v>1.0787</v>
      </c>
      <c r="C21" s="11">
        <f t="shared" ref="C21:C28" si="0">IFERROR(B21-B20,0)</f>
        <v>0</v>
      </c>
      <c r="D21" s="12" t="str">
        <f t="shared" ref="D21:D47" si="1">IF(C21&lt;0,C21,"/")</f>
        <v>/</v>
      </c>
      <c r="E21" s="12">
        <f ca="1">IF(表2_367162629303810[[#This Row],[累计净值]]/MAX(INDIRECT("B21:B" &amp; ROW()))-1&lt;E20,表2_367162629303810[[#This Row],[累计净值]]/MAX(INDIRECT("B21:B" &amp; ROW()))-1,E20)</f>
        <v>0</v>
      </c>
      <c r="F21" s="13">
        <f>表2_367162629303810[[#This Row],[累计净值]]</f>
        <v>1.0787</v>
      </c>
      <c r="G21" s="14" t="s">
        <v>30</v>
      </c>
    </row>
    <row r="22" spans="1:7">
      <c r="A22" s="15">
        <v>43719</v>
      </c>
      <c r="B22" s="16">
        <v>1.0762</v>
      </c>
      <c r="C22" s="17">
        <f t="shared" si="0"/>
        <v>-2.4999999999999467E-3</v>
      </c>
      <c r="D22" s="18">
        <f t="shared" si="1"/>
        <v>-2.4999999999999467E-3</v>
      </c>
      <c r="E22" s="18">
        <f ca="1">IF(表2_367162629303810[[#This Row],[累计净值]]/MAX(INDIRECT("B21:B" &amp; ROW()))-1&lt;E21,表2_367162629303810[[#This Row],[累计净值]]/MAX(INDIRECT("B21:B" &amp; ROW()))-1,E21)</f>
        <v>-2.317604523964012E-3</v>
      </c>
      <c r="F22" s="21">
        <f>表2_367162629303810[[#This Row],[累计净值]]</f>
        <v>1.0762</v>
      </c>
      <c r="G22" s="20">
        <f>表2_367162629303810[[#This Row],[累计净值]]/$B$21-1</f>
        <v>-2.317604523964012E-3</v>
      </c>
    </row>
    <row r="23" spans="1:7">
      <c r="A23" s="15">
        <v>43720</v>
      </c>
      <c r="B23" s="16">
        <v>1.0759000000000001</v>
      </c>
      <c r="C23" s="17">
        <f t="shared" si="0"/>
        <v>-2.9999999999996696E-4</v>
      </c>
      <c r="D23" s="18">
        <f t="shared" si="1"/>
        <v>-2.9999999999996696E-4</v>
      </c>
      <c r="E23" s="18">
        <f ca="1">IF(表2_367162629303810[[#This Row],[累计净值]]/MAX(INDIRECT("B21:B" &amp; ROW()))-1&lt;E22,表2_367162629303810[[#This Row],[累计净值]]/MAX(INDIRECT("B21:B" &amp; ROW()))-1,E22)</f>
        <v>-2.5957170668395868E-3</v>
      </c>
      <c r="F23" s="21">
        <f>表2_367162629303810[[#This Row],[累计净值]]</f>
        <v>1.0759000000000001</v>
      </c>
      <c r="G23" s="20">
        <f>表2_367162629303810[[#This Row],[累计净值]]/$B$21-1</f>
        <v>-2.5957170668395868E-3</v>
      </c>
    </row>
    <row r="24" spans="1:7">
      <c r="A24" s="15">
        <v>43724</v>
      </c>
      <c r="B24" s="16">
        <v>1.0802</v>
      </c>
      <c r="C24" s="17">
        <f t="shared" si="0"/>
        <v>4.2999999999999705E-3</v>
      </c>
      <c r="D24" s="18" t="str">
        <f t="shared" si="1"/>
        <v>/</v>
      </c>
      <c r="E24" s="18">
        <f ca="1">IF(表2_367162629303810[[#This Row],[累计净值]]/MAX(INDIRECT("B21:B" &amp; ROW()))-1&lt;E23,表2_367162629303810[[#This Row],[累计净值]]/MAX(INDIRECT("B21:B" &amp; ROW()))-1,E23)</f>
        <v>-2.5957170668395868E-3</v>
      </c>
      <c r="F24" s="21">
        <f>表2_367162629303810[[#This Row],[累计净值]]</f>
        <v>1.0802</v>
      </c>
      <c r="G24" s="20">
        <f>表2_367162629303810[[#This Row],[累计净值]]/$B$21-1</f>
        <v>1.3905627143784294E-3</v>
      </c>
    </row>
    <row r="25" spans="1:7">
      <c r="A25" s="15">
        <v>43725</v>
      </c>
      <c r="B25" s="16">
        <v>1.0778000000000001</v>
      </c>
      <c r="C25" s="17">
        <f t="shared" si="0"/>
        <v>-2.3999999999999577E-3</v>
      </c>
      <c r="D25" s="18">
        <f t="shared" si="1"/>
        <v>-2.3999999999999577E-3</v>
      </c>
      <c r="E25" s="18">
        <f ca="1">IF(表2_367162629303810[[#This Row],[累计净值]]/MAX(INDIRECT("B21:B" &amp; ROW()))-1&lt;E24,表2_367162629303810[[#This Row],[累计净值]]/MAX(INDIRECT("B21:B" &amp; ROW()))-1,E24)</f>
        <v>-2.5957170668395868E-3</v>
      </c>
      <c r="F25" s="21">
        <f>表2_367162629303810[[#This Row],[累计净值]]</f>
        <v>1.0778000000000001</v>
      </c>
      <c r="G25" s="20">
        <f>表2_367162629303810[[#This Row],[累计净值]]/$B$21-1</f>
        <v>-8.343376286269466E-4</v>
      </c>
    </row>
    <row r="26" spans="1:7">
      <c r="A26" s="15">
        <v>43726</v>
      </c>
      <c r="B26" s="16">
        <v>1.0787</v>
      </c>
      <c r="C26" s="17">
        <f t="shared" si="0"/>
        <v>8.9999999999990088E-4</v>
      </c>
      <c r="D26" s="18" t="str">
        <f t="shared" si="1"/>
        <v>/</v>
      </c>
      <c r="E26" s="18">
        <f ca="1">IF(表2_367162629303810[[#This Row],[累计净值]]/MAX(INDIRECT("B21:B" &amp; ROW()))-1&lt;E25,表2_367162629303810[[#This Row],[累计净值]]/MAX(INDIRECT("B21:B" &amp; ROW()))-1,E25)</f>
        <v>-2.5957170668395868E-3</v>
      </c>
      <c r="F26" s="21">
        <f>表2_367162629303810[[#This Row],[累计净值]]</f>
        <v>1.0787</v>
      </c>
      <c r="G26" s="20">
        <f>表2_367162629303810[[#This Row],[累计净值]]/$B$21-1</f>
        <v>0</v>
      </c>
    </row>
    <row r="27" spans="1:7">
      <c r="A27" s="15">
        <v>43727</v>
      </c>
      <c r="B27" s="16">
        <v>1.0812999999999999</v>
      </c>
      <c r="C27" s="17">
        <f t="shared" si="0"/>
        <v>2.5999999999999357E-3</v>
      </c>
      <c r="D27" s="18" t="str">
        <f t="shared" si="1"/>
        <v>/</v>
      </c>
      <c r="E27" s="18">
        <f ca="1">IF(表2_367162629303810[[#This Row],[累计净值]]/MAX(INDIRECT("B21:B" &amp; ROW()))-1&lt;E26,表2_367162629303810[[#This Row],[累计净值]]/MAX(INDIRECT("B21:B" &amp; ROW()))-1,E26)</f>
        <v>-2.5957170668395868E-3</v>
      </c>
      <c r="F27" s="21">
        <f>表2_367162629303810[[#This Row],[累计净值]]</f>
        <v>1.0812999999999999</v>
      </c>
      <c r="G27" s="20">
        <f>表2_367162629303810[[#This Row],[累计净值]]/$B$21-1</f>
        <v>2.4103087049225369E-3</v>
      </c>
    </row>
    <row r="28" spans="1:7">
      <c r="A28" s="15">
        <v>43728</v>
      </c>
      <c r="B28" s="16">
        <v>1.0807</v>
      </c>
      <c r="C28" s="17">
        <f t="shared" si="0"/>
        <v>-5.9999999999993392E-4</v>
      </c>
      <c r="D28" s="18">
        <f t="shared" si="1"/>
        <v>-5.9999999999993392E-4</v>
      </c>
      <c r="E28" s="18">
        <f ca="1">IF(表2_367162629303810[[#This Row],[累计净值]]/MAX(INDIRECT("B21:B" &amp; ROW()))-1&lt;E27,表2_367162629303810[[#This Row],[累计净值]]/MAX(INDIRECT("B21:B" &amp; ROW()))-1,E27)</f>
        <v>-2.5957170668395868E-3</v>
      </c>
      <c r="F28" s="21">
        <f>表2_367162629303810[[#This Row],[累计净值]]</f>
        <v>1.0807</v>
      </c>
      <c r="G28" s="20">
        <f>表2_367162629303810[[#This Row],[累计净值]]/$B$21-1</f>
        <v>1.8540836191711652E-3</v>
      </c>
    </row>
    <row r="29" spans="1:7">
      <c r="A29" s="15">
        <v>43731</v>
      </c>
      <c r="B29" s="16">
        <v>1.0808</v>
      </c>
      <c r="C29" s="61">
        <f t="shared" ref="C29:C47" si="2">IFERROR(B29-B28,0)</f>
        <v>9.9999999999988987E-5</v>
      </c>
      <c r="D29" s="18" t="str">
        <f t="shared" si="1"/>
        <v>/</v>
      </c>
      <c r="E29" s="18">
        <f ca="1">IF(表2_367162629303810[[#This Row],[累计净值]]/MAX(INDIRECT("B21:B" &amp; ROW()))-1&lt;E28,表2_367162629303810[[#This Row],[累计净值]]/MAX(INDIRECT("B21:B" &amp; ROW()))-1,E28)</f>
        <v>-2.5957170668395868E-3</v>
      </c>
      <c r="F29" s="21">
        <f>表2_367162629303810[[#This Row],[累计净值]]</f>
        <v>1.0808</v>
      </c>
      <c r="G29" s="20">
        <f>表2_367162629303810[[#This Row],[累计净值]]/$B$21-1</f>
        <v>1.9467878001298011E-3</v>
      </c>
    </row>
    <row r="30" spans="1:7">
      <c r="A30" s="15">
        <v>43732</v>
      </c>
      <c r="B30" s="16">
        <v>1.0806</v>
      </c>
      <c r="C30" s="61">
        <f t="shared" si="2"/>
        <v>-1.9999999999997797E-4</v>
      </c>
      <c r="D30" s="18">
        <f t="shared" si="1"/>
        <v>-1.9999999999997797E-4</v>
      </c>
      <c r="E30" s="18">
        <f ca="1">IF(表2_367162629303810[[#This Row],[累计净值]]/MAX(INDIRECT("B21:B" &amp; ROW()))-1&lt;E29,表2_367162629303810[[#This Row],[累计净值]]/MAX(INDIRECT("B21:B" &amp; ROW()))-1,E29)</f>
        <v>-2.5957170668395868E-3</v>
      </c>
      <c r="F30" s="21">
        <f>表2_367162629303810[[#This Row],[累计净值]]</f>
        <v>1.0806</v>
      </c>
      <c r="G30" s="20">
        <f>表2_367162629303810[[#This Row],[累计净值]]/$B$21-1</f>
        <v>1.7613794382127512E-3</v>
      </c>
    </row>
    <row r="31" spans="1:7">
      <c r="A31" s="15">
        <v>43733</v>
      </c>
      <c r="B31" s="16">
        <v>1.0799000000000001</v>
      </c>
      <c r="C31" s="61">
        <f t="shared" si="2"/>
        <v>-6.9999999999992291E-4</v>
      </c>
      <c r="D31" s="18">
        <f t="shared" si="1"/>
        <v>-6.9999999999992291E-4</v>
      </c>
      <c r="E31" s="18">
        <f ca="1">IF(表2_367162629303810[[#This Row],[累计净值]]/MAX(INDIRECT("B21:B" &amp; ROW()))-1&lt;E30,表2_367162629303810[[#This Row],[累计净值]]/MAX(INDIRECT("B21:B" &amp; ROW()))-1,E30)</f>
        <v>-2.5957170668395868E-3</v>
      </c>
      <c r="F31" s="21">
        <f>表2_367162629303810[[#This Row],[累计净值]]</f>
        <v>1.0799000000000001</v>
      </c>
      <c r="G31" s="20">
        <f>表2_367162629303810[[#This Row],[累计净值]]/$B$21-1</f>
        <v>1.1124501715027435E-3</v>
      </c>
    </row>
    <row r="32" spans="1:7">
      <c r="A32" s="15">
        <v>43734</v>
      </c>
      <c r="B32" s="16">
        <v>1.0775999999999999</v>
      </c>
      <c r="C32" s="61">
        <f t="shared" si="2"/>
        <v>-2.3000000000001908E-3</v>
      </c>
      <c r="D32" s="18">
        <f t="shared" si="1"/>
        <v>-2.3000000000001908E-3</v>
      </c>
      <c r="E32" s="18">
        <f ca="1">IF(表2_367162629303810[[#This Row],[累计净值]]/MAX(INDIRECT("B21:B" &amp; ROW()))-1&lt;E31,表2_367162629303810[[#This Row],[累计净值]]/MAX(INDIRECT("B21:B" &amp; ROW()))-1,E31)</f>
        <v>-3.4218070840654757E-3</v>
      </c>
      <c r="F32" s="21">
        <f>表2_367162629303810[[#This Row],[累计净值]]</f>
        <v>1.0775999999999999</v>
      </c>
      <c r="G32" s="20">
        <f>表2_367162629303810[[#This Row],[累计净值]]/$B$21-1</f>
        <v>-1.0197459905442186E-3</v>
      </c>
    </row>
    <row r="33" spans="1:7">
      <c r="A33" s="15">
        <v>43735</v>
      </c>
      <c r="B33" s="16">
        <v>1.0806</v>
      </c>
      <c r="C33" s="61">
        <f t="shared" si="2"/>
        <v>3.0000000000001137E-3</v>
      </c>
      <c r="D33" s="18" t="str">
        <f t="shared" si="1"/>
        <v>/</v>
      </c>
      <c r="E33" s="18">
        <f ca="1">IF(表2_367162629303810[[#This Row],[累计净值]]/MAX(INDIRECT("B21:B" &amp; ROW()))-1&lt;E32,表2_367162629303810[[#This Row],[累计净值]]/MAX(INDIRECT("B21:B" &amp; ROW()))-1,E32)</f>
        <v>-3.4218070840654757E-3</v>
      </c>
      <c r="F33" s="21">
        <f>表2_367162629303810[[#This Row],[累计净值]]</f>
        <v>1.0806</v>
      </c>
      <c r="G33" s="20">
        <f>表2_367162629303810[[#This Row],[累计净值]]/$B$21-1</f>
        <v>1.7613794382127512E-3</v>
      </c>
    </row>
    <row r="34" spans="1:7">
      <c r="A34" s="15">
        <v>43738</v>
      </c>
      <c r="B34" s="16">
        <v>1.0792999999999999</v>
      </c>
      <c r="C34" s="61">
        <f t="shared" si="2"/>
        <v>-1.3000000000000789E-3</v>
      </c>
      <c r="D34" s="18">
        <f t="shared" si="1"/>
        <v>-1.3000000000000789E-3</v>
      </c>
      <c r="E34" s="18">
        <f ca="1">IF(表2_367162629303810[[#This Row],[累计净值]]/MAX(INDIRECT("B21:B" &amp; ROW()))-1&lt;E33,表2_367162629303810[[#This Row],[累计净值]]/MAX(INDIRECT("B21:B" &amp; ROW()))-1,E33)</f>
        <v>-3.4218070840654757E-3</v>
      </c>
      <c r="F34" s="21">
        <f>表2_367162629303810[[#This Row],[累计净值]]</f>
        <v>1.0792999999999999</v>
      </c>
      <c r="G34" s="20">
        <f>表2_367162629303810[[#This Row],[累计净值]]/$B$21-1</f>
        <v>5.5622508575137175E-4</v>
      </c>
    </row>
    <row r="35" spans="1:7">
      <c r="A35" s="15">
        <v>43746</v>
      </c>
      <c r="B35" s="16">
        <v>1.0808</v>
      </c>
      <c r="C35" s="61">
        <f t="shared" si="2"/>
        <v>1.5000000000000568E-3</v>
      </c>
      <c r="D35" s="18" t="str">
        <f t="shared" si="1"/>
        <v>/</v>
      </c>
      <c r="E35" s="18">
        <f ca="1">IF(表2_367162629303810[[#This Row],[累计净值]]/MAX(INDIRECT("B21:B" &amp; ROW()))-1&lt;E34,表2_367162629303810[[#This Row],[累计净值]]/MAX(INDIRECT("B21:B" &amp; ROW()))-1,E34)</f>
        <v>-3.4218070840654757E-3</v>
      </c>
      <c r="F35" s="21">
        <f>表2_367162629303810[[#This Row],[累计净值]]</f>
        <v>1.0808</v>
      </c>
      <c r="G35" s="20">
        <f>表2_367162629303810[[#This Row],[累计净值]]/$B$21-1</f>
        <v>1.9467878001298011E-3</v>
      </c>
    </row>
    <row r="36" spans="1:7">
      <c r="A36" s="15">
        <v>43747</v>
      </c>
      <c r="B36" s="16">
        <v>1.0823</v>
      </c>
      <c r="C36" s="61">
        <f t="shared" si="2"/>
        <v>1.5000000000000568E-3</v>
      </c>
      <c r="D36" s="18" t="str">
        <f t="shared" si="1"/>
        <v>/</v>
      </c>
      <c r="E36" s="18">
        <f ca="1">IF(表2_367162629303810[[#This Row],[累计净值]]/MAX(INDIRECT("B21:B" &amp; ROW()))-1&lt;E35,表2_367162629303810[[#This Row],[累计净值]]/MAX(INDIRECT("B21:B" &amp; ROW()))-1,E35)</f>
        <v>-3.4218070840654757E-3</v>
      </c>
      <c r="F36" s="21">
        <f>表2_367162629303810[[#This Row],[累计净值]]</f>
        <v>1.0823</v>
      </c>
      <c r="G36" s="20">
        <f>表2_367162629303810[[#This Row],[累计净值]]/$B$21-1</f>
        <v>3.3373505145082305E-3</v>
      </c>
    </row>
    <row r="37" spans="1:7">
      <c r="A37" s="15">
        <v>43748</v>
      </c>
      <c r="B37" s="16">
        <v>1.0840000000000001</v>
      </c>
      <c r="C37" s="61">
        <f t="shared" si="2"/>
        <v>1.7000000000000348E-3</v>
      </c>
      <c r="D37" s="18" t="str">
        <f t="shared" si="1"/>
        <v>/</v>
      </c>
      <c r="E37" s="18">
        <f ca="1">IF(表2_367162629303810[[#This Row],[累计净值]]/MAX(INDIRECT("B21:B" &amp; ROW()))-1&lt;E36,表2_367162629303810[[#This Row],[累计净值]]/MAX(INDIRECT("B21:B" &amp; ROW()))-1,E36)</f>
        <v>-3.4218070840654757E-3</v>
      </c>
      <c r="F37" s="21">
        <f>表2_367162629303810[[#This Row],[累计净值]]</f>
        <v>1.0840000000000001</v>
      </c>
      <c r="G37" s="20">
        <f>表2_367162629303810[[#This Row],[累计净值]]/$B$21-1</f>
        <v>4.9133215908039318E-3</v>
      </c>
    </row>
    <row r="38" spans="1:7">
      <c r="A38" s="15">
        <v>43749</v>
      </c>
      <c r="B38" s="16">
        <v>1.0829</v>
      </c>
      <c r="C38" s="61">
        <f t="shared" si="2"/>
        <v>-1.1000000000001009E-3</v>
      </c>
      <c r="D38" s="18">
        <f t="shared" si="1"/>
        <v>-1.1000000000001009E-3</v>
      </c>
      <c r="E38" s="18">
        <f ca="1">IF(表2_367162629303810[[#This Row],[累计净值]]/MAX(INDIRECT("B21:B" &amp; ROW()))-1&lt;E37,表2_367162629303810[[#This Row],[累计净值]]/MAX(INDIRECT("B21:B" &amp; ROW()))-1,E37)</f>
        <v>-3.4218070840654757E-3</v>
      </c>
      <c r="F38" s="21">
        <f>表2_367162629303810[[#This Row],[累计净值]]</f>
        <v>1.0829</v>
      </c>
      <c r="G38" s="20">
        <f>表2_367162629303810[[#This Row],[累计净值]]/$B$21-1</f>
        <v>3.8935756002596023E-3</v>
      </c>
    </row>
    <row r="39" spans="1:7">
      <c r="A39" s="15">
        <v>43752</v>
      </c>
      <c r="B39" s="16">
        <v>1.0849</v>
      </c>
      <c r="C39" s="61">
        <f t="shared" si="2"/>
        <v>2.0000000000000018E-3</v>
      </c>
      <c r="D39" s="18" t="str">
        <f t="shared" si="1"/>
        <v>/</v>
      </c>
      <c r="E39" s="18">
        <f ca="1">IF(表2_367162629303810[[#This Row],[累计净值]]/MAX(INDIRECT("B21:B" &amp; ROW()))-1&lt;E38,表2_367162629303810[[#This Row],[累计净值]]/MAX(INDIRECT("B21:B" &amp; ROW()))-1,E38)</f>
        <v>-3.4218070840654757E-3</v>
      </c>
      <c r="F39" s="21">
        <f>表2_367162629303810[[#This Row],[累计净值]]</f>
        <v>1.0849</v>
      </c>
      <c r="G39" s="20">
        <f>表2_367162629303810[[#This Row],[累计净值]]/$B$21-1</f>
        <v>5.7476592194307674E-3</v>
      </c>
    </row>
    <row r="40" spans="1:7">
      <c r="A40" s="15">
        <v>43753</v>
      </c>
      <c r="B40" s="16">
        <v>1.0837000000000001</v>
      </c>
      <c r="C40" s="61">
        <f t="shared" si="2"/>
        <v>-1.1999999999998678E-3</v>
      </c>
      <c r="D40" s="18">
        <f t="shared" si="1"/>
        <v>-1.1999999999998678E-3</v>
      </c>
      <c r="E40" s="18">
        <f ca="1">IF(表2_367162629303810[[#This Row],[累计净值]]/MAX(INDIRECT("B21:B" &amp; ROW()))-1&lt;E39,表2_367162629303810[[#This Row],[累计净值]]/MAX(INDIRECT("B21:B" &amp; ROW()))-1,E39)</f>
        <v>-3.4218070840654757E-3</v>
      </c>
      <c r="F40" s="21">
        <f>表2_367162629303810[[#This Row],[累计净值]]</f>
        <v>1.0837000000000001</v>
      </c>
      <c r="G40" s="20">
        <f>表2_367162629303810[[#This Row],[累计净值]]/$B$21-1</f>
        <v>4.635209047928246E-3</v>
      </c>
    </row>
    <row r="41" spans="1:7">
      <c r="A41" s="15">
        <v>43754</v>
      </c>
      <c r="B41" s="16">
        <v>1.0845</v>
      </c>
      <c r="C41" s="61">
        <f t="shared" si="2"/>
        <v>7.9999999999991189E-4</v>
      </c>
      <c r="D41" s="18" t="str">
        <f t="shared" si="1"/>
        <v>/</v>
      </c>
      <c r="E41" s="18">
        <f ca="1">IF(表2_367162629303810[[#This Row],[累计净值]]/MAX(INDIRECT("B21:B" &amp; ROW()))-1&lt;E40,表2_367162629303810[[#This Row],[累计净值]]/MAX(INDIRECT("B21:B" &amp; ROW()))-1,E40)</f>
        <v>-3.4218070840654757E-3</v>
      </c>
      <c r="F41" s="21">
        <f>表2_367162629303810[[#This Row],[累计净值]]</f>
        <v>1.0845</v>
      </c>
      <c r="G41" s="20">
        <f>表2_367162629303810[[#This Row],[累计净值]]/$B$21-1</f>
        <v>5.3768424955966676E-3</v>
      </c>
    </row>
    <row r="42" spans="1:7">
      <c r="A42" s="15">
        <v>43755</v>
      </c>
      <c r="B42" s="16">
        <v>1.085</v>
      </c>
      <c r="C42" s="61">
        <f t="shared" si="2"/>
        <v>4.9999999999994493E-4</v>
      </c>
      <c r="D42" s="18" t="str">
        <f t="shared" si="1"/>
        <v>/</v>
      </c>
      <c r="E42" s="18">
        <f ca="1">IF(表2_367162629303810[[#This Row],[累计净值]]/MAX(INDIRECT("B21:B" &amp; ROW()))-1&lt;E41,表2_367162629303810[[#This Row],[累计净值]]/MAX(INDIRECT("B21:B" &amp; ROW()))-1,E41)</f>
        <v>-3.4218070840654757E-3</v>
      </c>
      <c r="F42" s="21">
        <f>表2_367162629303810[[#This Row],[累计净值]]</f>
        <v>1.085</v>
      </c>
      <c r="G42" s="20">
        <f>表2_367162629303810[[#This Row],[累计净值]]/$B$21-1</f>
        <v>5.8403634003894034E-3</v>
      </c>
    </row>
    <row r="43" spans="1:7">
      <c r="A43" s="77">
        <v>43756</v>
      </c>
      <c r="B43" s="76">
        <v>1.0853999999999999</v>
      </c>
      <c r="C43" s="61">
        <f t="shared" si="2"/>
        <v>3.9999999999995595E-4</v>
      </c>
      <c r="D43" s="18" t="str">
        <f t="shared" si="1"/>
        <v>/</v>
      </c>
      <c r="E43" s="18">
        <f ca="1">IF(表2_367162629303810[[#This Row],[累计净值]]/MAX(INDIRECT("B21:B" &amp; ROW()))-1&lt;E42,表2_367162629303810[[#This Row],[累计净值]]/MAX(INDIRECT("B21:B" &amp; ROW()))-1,E42)</f>
        <v>-3.4218070840654757E-3</v>
      </c>
      <c r="F43" s="21">
        <f>表2_367162629303810[[#This Row],[累计净值]]</f>
        <v>1.0853999999999999</v>
      </c>
      <c r="G43" s="20">
        <f>表2_367162629303810[[#This Row],[累计净值]]/$B$21-1</f>
        <v>6.2111801242235032E-3</v>
      </c>
    </row>
    <row r="44" spans="1:7">
      <c r="A44" s="15">
        <v>43759</v>
      </c>
      <c r="B44" s="16">
        <v>1.0849</v>
      </c>
      <c r="C44" s="61">
        <f t="shared" si="2"/>
        <v>-4.9999999999994493E-4</v>
      </c>
      <c r="D44" s="18">
        <f t="shared" si="1"/>
        <v>-4.9999999999994493E-4</v>
      </c>
      <c r="E44" s="18">
        <f ca="1">IF(表2_367162629303810[[#This Row],[累计净值]]/MAX(INDIRECT("B21:B" &amp; ROW()))-1&lt;E43,表2_367162629303810[[#This Row],[累计净值]]/MAX(INDIRECT("B21:B" &amp; ROW()))-1,E43)</f>
        <v>-3.4218070840654757E-3</v>
      </c>
      <c r="F44" s="21">
        <f>表2_367162629303810[[#This Row],[累计净值]]</f>
        <v>1.0849</v>
      </c>
      <c r="G44" s="20">
        <f>表2_367162629303810[[#This Row],[累计净值]]/$B$21-1</f>
        <v>5.7476592194307674E-3</v>
      </c>
    </row>
    <row r="45" spans="1:7">
      <c r="A45" s="15">
        <v>43760</v>
      </c>
      <c r="B45" s="16">
        <v>1.0851999999999999</v>
      </c>
      <c r="C45" s="61">
        <f t="shared" si="2"/>
        <v>2.9999999999996696E-4</v>
      </c>
      <c r="D45" s="18" t="str">
        <f t="shared" si="1"/>
        <v>/</v>
      </c>
      <c r="E45" s="18">
        <f ca="1">IF(表2_367162629303810[[#This Row],[累计净值]]/MAX(INDIRECT("B21:B" &amp; ROW()))-1&lt;E44,表2_367162629303810[[#This Row],[累计净值]]/MAX(INDIRECT("B21:B" &amp; ROW()))-1,E44)</f>
        <v>-3.4218070840654757E-3</v>
      </c>
      <c r="F45" s="21">
        <f>表2_367162629303810[[#This Row],[累计净值]]</f>
        <v>1.0851999999999999</v>
      </c>
      <c r="G45" s="20">
        <f>表2_367162629303810[[#This Row],[累计净值]]/$B$21-1</f>
        <v>6.0257717623064533E-3</v>
      </c>
    </row>
    <row r="46" spans="1:7">
      <c r="A46" s="15">
        <v>43761</v>
      </c>
      <c r="B46" s="16">
        <v>1.085</v>
      </c>
      <c r="C46" s="61">
        <f t="shared" si="2"/>
        <v>-1.9999999999997797E-4</v>
      </c>
      <c r="D46" s="18">
        <f t="shared" si="1"/>
        <v>-1.9999999999997797E-4</v>
      </c>
      <c r="E46" s="18">
        <f ca="1">IF(表2_367162629303810[[#This Row],[累计净值]]/MAX(INDIRECT("B21:B" &amp; ROW()))-1&lt;E45,表2_367162629303810[[#This Row],[累计净值]]/MAX(INDIRECT("B21:B" &amp; ROW()))-1,E45)</f>
        <v>-3.4218070840654757E-3</v>
      </c>
      <c r="F46" s="21">
        <f>表2_367162629303810[[#This Row],[累计净值]]</f>
        <v>1.085</v>
      </c>
      <c r="G46" s="20">
        <f>表2_367162629303810[[#This Row],[累计净值]]/$B$21-1</f>
        <v>5.8403634003894034E-3</v>
      </c>
    </row>
    <row r="47" spans="1:7">
      <c r="A47" s="15">
        <v>43762</v>
      </c>
      <c r="B47" s="16">
        <v>1.0849</v>
      </c>
      <c r="C47" s="61">
        <f t="shared" si="2"/>
        <v>-9.9999999999988987E-5</v>
      </c>
      <c r="D47" s="18">
        <f t="shared" si="1"/>
        <v>-9.9999999999988987E-5</v>
      </c>
      <c r="E47" s="18">
        <f ca="1">IF(表2_367162629303810[[#This Row],[累计净值]]/MAX(INDIRECT("B21:B" &amp; ROW()))-1&lt;E46,表2_367162629303810[[#This Row],[累计净值]]/MAX(INDIRECT("B21:B" &amp; ROW()))-1,E46)</f>
        <v>-3.4218070840654757E-3</v>
      </c>
      <c r="F47" s="21">
        <f>表2_367162629303810[[#This Row],[累计净值]]</f>
        <v>1.0849</v>
      </c>
      <c r="G47" s="20">
        <f>表2_367162629303810[[#This Row],[累计净值]]/$B$21-1</f>
        <v>5.7476592194307674E-3</v>
      </c>
    </row>
    <row r="48" spans="1:7">
      <c r="A48" s="15">
        <v>43763</v>
      </c>
      <c r="B48" s="16">
        <v>1.0854999999999999</v>
      </c>
      <c r="C48" s="61">
        <f t="shared" ref="C48:C53" si="3">IFERROR(B48-B47,0)</f>
        <v>5.9999999999993392E-4</v>
      </c>
      <c r="D48" s="18" t="str">
        <f t="shared" ref="D48:D53" si="4">IF(C48&lt;0,C48,"/")</f>
        <v>/</v>
      </c>
      <c r="E48" s="18">
        <f ca="1">IF(表2_367162629303810[[#This Row],[累计净值]]/MAX(INDIRECT("B21:B" &amp; ROW()))-1&lt;E47,表2_367162629303810[[#This Row],[累计净值]]/MAX(INDIRECT("B21:B" &amp; ROW()))-1,E47)</f>
        <v>-3.4218070840654757E-3</v>
      </c>
      <c r="F48" s="21">
        <f>表2_367162629303810[[#This Row],[累计净值]]</f>
        <v>1.0854999999999999</v>
      </c>
      <c r="G48" s="20">
        <f>表2_367162629303810[[#This Row],[累计净值]]/$B$21-1</f>
        <v>6.3038843051821392E-3</v>
      </c>
    </row>
    <row r="49" spans="1:7">
      <c r="A49" s="15">
        <v>43766</v>
      </c>
      <c r="B49" s="16">
        <v>1.0885</v>
      </c>
      <c r="C49" s="73">
        <f t="shared" si="3"/>
        <v>3.0000000000001137E-3</v>
      </c>
      <c r="D49" s="18" t="str">
        <f t="shared" si="4"/>
        <v>/</v>
      </c>
      <c r="E49" s="18">
        <f ca="1">IF(表2_367162629303810[[#This Row],[累计净值]]/MAX(INDIRECT("B21:B" &amp; ROW()))-1&lt;E48,表2_367162629303810[[#This Row],[累计净值]]/MAX(INDIRECT("B21:B" &amp; ROW()))-1,E48)</f>
        <v>-3.4218070840654757E-3</v>
      </c>
      <c r="F49" s="21">
        <f>表2_367162629303810[[#This Row],[累计净值]]</f>
        <v>1.0885</v>
      </c>
      <c r="G49" s="20">
        <f>表2_367162629303810[[#This Row],[累计净值]]/$B$21-1</f>
        <v>9.0850097339389979E-3</v>
      </c>
    </row>
    <row r="50" spans="1:7">
      <c r="A50" s="15">
        <v>43767</v>
      </c>
      <c r="B50" s="16">
        <v>1.0873999999999999</v>
      </c>
      <c r="C50" s="73">
        <f t="shared" si="3"/>
        <v>-1.1000000000001009E-3</v>
      </c>
      <c r="D50" s="18">
        <f t="shared" si="4"/>
        <v>-1.1000000000001009E-3</v>
      </c>
      <c r="E50" s="18">
        <f ca="1">IF(表2_367162629303810[[#This Row],[累计净值]]/MAX(INDIRECT("B21:B" &amp; ROW()))-1&lt;E49,表2_367162629303810[[#This Row],[累计净值]]/MAX(INDIRECT("B21:B" &amp; ROW()))-1,E49)</f>
        <v>-3.4218070840654757E-3</v>
      </c>
      <c r="F50" s="21">
        <f>表2_367162629303810[[#This Row],[累计净值]]</f>
        <v>1.0873999999999999</v>
      </c>
      <c r="G50" s="20">
        <f>表2_367162629303810[[#This Row],[累计净值]]/$B$21-1</f>
        <v>8.0652637433946683E-3</v>
      </c>
    </row>
    <row r="51" spans="1:7">
      <c r="A51" s="15">
        <v>43768</v>
      </c>
      <c r="B51" s="16">
        <v>1.0886</v>
      </c>
      <c r="C51" s="73">
        <f t="shared" si="3"/>
        <v>1.2000000000000899E-3</v>
      </c>
      <c r="D51" s="18" t="str">
        <f t="shared" si="4"/>
        <v>/</v>
      </c>
      <c r="E51" s="18">
        <f ca="1">IF(表2_367162629303810[[#This Row],[累计净值]]/MAX(INDIRECT("B21:B" &amp; ROW()))-1&lt;E50,表2_367162629303810[[#This Row],[累计净值]]/MAX(INDIRECT("B21:B" &amp; ROW()))-1,E50)</f>
        <v>-3.4218070840654757E-3</v>
      </c>
      <c r="F51" s="21">
        <f>表2_367162629303810[[#This Row],[累计净值]]</f>
        <v>1.0886</v>
      </c>
      <c r="G51" s="20">
        <f>表2_367162629303810[[#This Row],[累计净值]]/$B$21-1</f>
        <v>9.1777139148976339E-3</v>
      </c>
    </row>
    <row r="52" spans="1:7">
      <c r="A52" s="15">
        <v>43769</v>
      </c>
      <c r="B52" s="16">
        <v>1.0878000000000001</v>
      </c>
      <c r="C52" s="73">
        <f t="shared" si="3"/>
        <v>-7.9999999999991189E-4</v>
      </c>
      <c r="D52" s="18">
        <f t="shared" si="4"/>
        <v>-7.9999999999991189E-4</v>
      </c>
      <c r="E52" s="18">
        <f ca="1">IF(表2_367162629303810[[#This Row],[累计净值]]/MAX(INDIRECT("B21:B" &amp; ROW()))-1&lt;E51,表2_367162629303810[[#This Row],[累计净值]]/MAX(INDIRECT("B21:B" &amp; ROW()))-1,E51)</f>
        <v>-3.4218070840654757E-3</v>
      </c>
      <c r="F52" s="21">
        <f>表2_367162629303810[[#This Row],[累计净值]]</f>
        <v>1.0878000000000001</v>
      </c>
      <c r="G52" s="20">
        <f>表2_367162629303810[[#This Row],[累计净值]]/$B$21-1</f>
        <v>8.4360804672292122E-3</v>
      </c>
    </row>
    <row r="53" spans="1:7">
      <c r="A53" s="15">
        <v>43770</v>
      </c>
      <c r="B53" s="16">
        <v>1.0898000000000001</v>
      </c>
      <c r="C53" s="73">
        <f t="shared" si="3"/>
        <v>2.0000000000000018E-3</v>
      </c>
      <c r="D53" s="18" t="str">
        <f t="shared" si="4"/>
        <v>/</v>
      </c>
      <c r="E53" s="18">
        <f ca="1">IF(表2_367162629303810[[#This Row],[累计净值]]/MAX(INDIRECT("B21:B" &amp; ROW()))-1&lt;E52,表2_367162629303810[[#This Row],[累计净值]]/MAX(INDIRECT("B21:B" &amp; ROW()))-1,E52)</f>
        <v>-3.4218070840654757E-3</v>
      </c>
      <c r="F53" s="21">
        <f>表2_367162629303810[[#This Row],[累计净值]]</f>
        <v>1.0898000000000001</v>
      </c>
      <c r="G53" s="20">
        <f>表2_367162629303810[[#This Row],[累计净值]]/$B$21-1</f>
        <v>1.0290164086400377E-2</v>
      </c>
    </row>
    <row r="54" spans="1:7">
      <c r="A54" s="15">
        <v>43773</v>
      </c>
      <c r="B54" s="76">
        <v>1.0915999999999999</v>
      </c>
      <c r="C54" s="73">
        <f t="shared" ref="C54:C59" si="5">IFERROR(B54-B53,0)</f>
        <v>1.7999999999998018E-3</v>
      </c>
      <c r="D54" s="18" t="str">
        <f t="shared" ref="D54:D59" si="6">IF(C54&lt;0,C54,"/")</f>
        <v>/</v>
      </c>
      <c r="E54" s="18">
        <f ca="1">IF(表2_367162629303810[[#This Row],[累计净值]]/MAX(INDIRECT("B21:B" &amp; ROW()))-1&lt;E53,表2_367162629303810[[#This Row],[累计净值]]/MAX(INDIRECT("B21:B" &amp; ROW()))-1,E53)</f>
        <v>-3.4218070840654757E-3</v>
      </c>
      <c r="F54" s="21">
        <f>表2_367162629303810[[#This Row],[累计净值]]</f>
        <v>1.0915999999999999</v>
      </c>
      <c r="G54" s="20">
        <f>表2_367162629303810[[#This Row],[累计净值]]/$B$21-1</f>
        <v>1.1958839343654271E-2</v>
      </c>
    </row>
    <row r="55" spans="1:7">
      <c r="A55" s="15">
        <v>43774</v>
      </c>
      <c r="B55" s="16">
        <v>1.0884</v>
      </c>
      <c r="C55" s="73">
        <f t="shared" si="5"/>
        <v>-3.1999999999998696E-3</v>
      </c>
      <c r="D55" s="18">
        <f t="shared" si="6"/>
        <v>-3.1999999999998696E-3</v>
      </c>
      <c r="E55" s="18">
        <f ca="1">IF(表2_367162629303810[[#This Row],[累计净值]]/MAX(INDIRECT("B21:B" &amp; ROW()))-1&lt;E54,表2_367162629303810[[#This Row],[累计净值]]/MAX(INDIRECT("B21:B" &amp; ROW()))-1,E54)</f>
        <v>-3.4218070840654757E-3</v>
      </c>
      <c r="F55" s="21">
        <f>表2_367162629303810[[#This Row],[累计净值]]</f>
        <v>1.0884</v>
      </c>
      <c r="G55" s="20">
        <f>表2_367162629303810[[#This Row],[累计净值]]/$B$21-1</f>
        <v>8.992305552980584E-3</v>
      </c>
    </row>
    <row r="56" spans="1:7">
      <c r="A56" s="15">
        <v>43775</v>
      </c>
      <c r="B56" s="16">
        <v>1.0904</v>
      </c>
      <c r="C56" s="73">
        <f t="shared" si="5"/>
        <v>2.0000000000000018E-3</v>
      </c>
      <c r="D56" s="18" t="str">
        <f t="shared" si="6"/>
        <v>/</v>
      </c>
      <c r="E56" s="18">
        <f ca="1">IF(表2_367162629303810[[#This Row],[累计净值]]/MAX(INDIRECT("B21:B" &amp; ROW()))-1&lt;E55,表2_367162629303810[[#This Row],[累计净值]]/MAX(INDIRECT("B21:B" &amp; ROW()))-1,E55)</f>
        <v>-3.4218070840654757E-3</v>
      </c>
      <c r="F56" s="21">
        <f>表2_367162629303810[[#This Row],[累计净值]]</f>
        <v>1.0904</v>
      </c>
      <c r="G56" s="20">
        <f>表2_367162629303810[[#This Row],[累计净值]]/$B$21-1</f>
        <v>1.0846389172151749E-2</v>
      </c>
    </row>
    <row r="57" spans="1:7">
      <c r="A57" s="15">
        <v>43776</v>
      </c>
      <c r="B57" s="16">
        <v>1.0907</v>
      </c>
      <c r="C57" s="73">
        <f t="shared" si="5"/>
        <v>2.9999999999996696E-4</v>
      </c>
      <c r="D57" s="18" t="str">
        <f t="shared" si="6"/>
        <v>/</v>
      </c>
      <c r="E57" s="18">
        <f ca="1">IF(表2_367162629303810[[#This Row],[累计净值]]/MAX(INDIRECT("B21:B" &amp; ROW()))-1&lt;E56,表2_367162629303810[[#This Row],[累计净值]]/MAX(INDIRECT("B21:B" &amp; ROW()))-1,E56)</f>
        <v>-3.4218070840654757E-3</v>
      </c>
      <c r="F57" s="21">
        <f>表2_367162629303810[[#This Row],[累计净值]]</f>
        <v>1.0907</v>
      </c>
      <c r="G57" s="20">
        <f>表2_367162629303810[[#This Row],[累计净值]]/$B$21-1</f>
        <v>1.1124501715027435E-2</v>
      </c>
    </row>
    <row r="58" spans="1:7">
      <c r="A58" s="15">
        <v>43777</v>
      </c>
      <c r="B58" s="16">
        <v>1.0911</v>
      </c>
      <c r="C58" s="73">
        <f t="shared" si="5"/>
        <v>3.9999999999995595E-4</v>
      </c>
      <c r="D58" s="18" t="str">
        <f t="shared" si="6"/>
        <v>/</v>
      </c>
      <c r="E58" s="18">
        <f ca="1">IF(表2_367162629303810[[#This Row],[累计净值]]/MAX(INDIRECT("B21:B" &amp; ROW()))-1&lt;E57,表2_367162629303810[[#This Row],[累计净值]]/MAX(INDIRECT("B21:B" &amp; ROW()))-1,E57)</f>
        <v>-3.4218070840654757E-3</v>
      </c>
      <c r="F58" s="21">
        <f>表2_367162629303810[[#This Row],[累计净值]]</f>
        <v>1.0911</v>
      </c>
      <c r="G58" s="20">
        <f>表2_367162629303810[[#This Row],[累计净值]]/$B$21-1</f>
        <v>1.1495318438861535E-2</v>
      </c>
    </row>
    <row r="59" spans="1:7">
      <c r="A59" s="15">
        <v>43780</v>
      </c>
      <c r="B59" s="16">
        <v>1.0888</v>
      </c>
      <c r="C59" s="73">
        <f t="shared" si="5"/>
        <v>-2.2999999999999687E-3</v>
      </c>
      <c r="D59" s="18">
        <f t="shared" si="6"/>
        <v>-2.2999999999999687E-3</v>
      </c>
      <c r="E59" s="18">
        <f ca="1">IF(表2_367162629303810[[#This Row],[累计净值]]/MAX(INDIRECT("B21:B" &amp; ROW()))-1&lt;E58,表2_367162629303810[[#This Row],[累计净值]]/MAX(INDIRECT("B21:B" &amp; ROW()))-1,E58)</f>
        <v>-3.4218070840654757E-3</v>
      </c>
      <c r="F59" s="21">
        <f>表2_367162629303810[[#This Row],[累计净值]]</f>
        <v>1.0888</v>
      </c>
      <c r="G59" s="20">
        <f>表2_367162629303810[[#This Row],[累计净值]]/$B$21-1</f>
        <v>9.3631222768146838E-3</v>
      </c>
    </row>
    <row r="60" spans="1:7">
      <c r="A60" s="15">
        <v>43781</v>
      </c>
      <c r="B60" s="16">
        <v>1.0902000000000001</v>
      </c>
      <c r="C60" s="73">
        <f t="shared" ref="C60:C68" si="7">IFERROR(B60-B59,0)</f>
        <v>1.4000000000000679E-3</v>
      </c>
      <c r="D60" s="18" t="str">
        <f t="shared" ref="D60:D68" si="8">IF(C60&lt;0,C60,"/")</f>
        <v>/</v>
      </c>
      <c r="E60" s="18">
        <f ca="1">IF(表2_367162629303810[[#This Row],[累计净值]]/MAX(INDIRECT("B21:B" &amp; ROW()))-1&lt;E59,表2_367162629303810[[#This Row],[累计净值]]/MAX(INDIRECT("B21:B" &amp; ROW()))-1,E59)</f>
        <v>-3.4218070840654757E-3</v>
      </c>
      <c r="F60" s="21">
        <f>表2_367162629303810[[#This Row],[累计净值]]</f>
        <v>1.0902000000000001</v>
      </c>
      <c r="G60" s="20">
        <f>表2_367162629303810[[#This Row],[累计净值]]/$B$21-1</f>
        <v>1.0660980810234699E-2</v>
      </c>
    </row>
    <row r="61" spans="1:7">
      <c r="A61" s="15">
        <v>43782</v>
      </c>
      <c r="B61" s="16">
        <v>1.0891999999999999</v>
      </c>
      <c r="C61" s="73">
        <f t="shared" si="7"/>
        <v>-1.0000000000001119E-3</v>
      </c>
      <c r="D61" s="18">
        <f t="shared" si="8"/>
        <v>-1.0000000000001119E-3</v>
      </c>
      <c r="E61" s="18">
        <f ca="1">IF(表2_367162629303810[[#This Row],[累计净值]]/MAX(INDIRECT("B21:B" &amp; ROW()))-1&lt;E60,表2_367162629303810[[#This Row],[累计净值]]/MAX(INDIRECT("B21:B" &amp; ROW()))-1,E60)</f>
        <v>-3.4218070840654757E-3</v>
      </c>
      <c r="F61" s="21">
        <f>表2_367162629303810[[#This Row],[累计净值]]</f>
        <v>1.0891999999999999</v>
      </c>
      <c r="G61" s="20">
        <f>表2_367162629303810[[#This Row],[累计净值]]/$B$21-1</f>
        <v>9.7339390006487836E-3</v>
      </c>
    </row>
    <row r="62" spans="1:7">
      <c r="A62" s="15">
        <v>43783</v>
      </c>
      <c r="B62" s="16">
        <v>1.0889</v>
      </c>
      <c r="C62" s="73">
        <f t="shared" si="7"/>
        <v>-2.9999999999996696E-4</v>
      </c>
      <c r="D62" s="18">
        <f t="shared" si="8"/>
        <v>-2.9999999999996696E-4</v>
      </c>
      <c r="E62" s="18">
        <f ca="1">IF(表2_367162629303810[[#This Row],[累计净值]]/MAX(INDIRECT("B21:B" &amp; ROW()))-1&lt;E61,表2_367162629303810[[#This Row],[累计净值]]/MAX(INDIRECT("B21:B" &amp; ROW()))-1,E61)</f>
        <v>-3.4218070840654757E-3</v>
      </c>
      <c r="F62" s="21">
        <f>表2_367162629303810[[#This Row],[累计净值]]</f>
        <v>1.0889</v>
      </c>
      <c r="G62" s="20">
        <f>表2_367162629303810[[#This Row],[累计净值]]/$B$21-1</f>
        <v>9.4558264577733198E-3</v>
      </c>
    </row>
    <row r="63" spans="1:7">
      <c r="A63" s="15">
        <v>43784</v>
      </c>
      <c r="B63" s="16">
        <v>1.0880000000000001</v>
      </c>
      <c r="C63" s="73">
        <f t="shared" si="7"/>
        <v>-8.9999999999990088E-4</v>
      </c>
      <c r="D63" s="18">
        <f t="shared" si="8"/>
        <v>-8.9999999999990088E-4</v>
      </c>
      <c r="E63" s="18">
        <f ca="1">IF(表2_367162629303810[[#This Row],[累计净值]]/MAX(INDIRECT("B21:B" &amp; ROW()))-1&lt;E62,表2_367162629303810[[#This Row],[累计净值]]/MAX(INDIRECT("B21:B" &amp; ROW()))-1,E62)</f>
        <v>-3.4218070840654757E-3</v>
      </c>
      <c r="F63" s="21">
        <f>表2_367162629303810[[#This Row],[累计净值]]</f>
        <v>1.0880000000000001</v>
      </c>
      <c r="G63" s="20">
        <f>表2_367162629303810[[#This Row],[累计净值]]/$B$21-1</f>
        <v>8.6214888291462621E-3</v>
      </c>
    </row>
    <row r="64" spans="1:7">
      <c r="A64" s="15">
        <v>43787</v>
      </c>
      <c r="B64" s="16">
        <v>1.0891999999999999</v>
      </c>
      <c r="C64" s="73">
        <f t="shared" si="7"/>
        <v>1.1999999999998678E-3</v>
      </c>
      <c r="D64" s="18" t="str">
        <f t="shared" si="8"/>
        <v>/</v>
      </c>
      <c r="E64" s="18">
        <f ca="1">IF(表2_367162629303810[[#This Row],[累计净值]]/MAX(INDIRECT("B21:B" &amp; ROW()))-1&lt;E63,表2_367162629303810[[#This Row],[累计净值]]/MAX(INDIRECT("B21:B" &amp; ROW()))-1,E63)</f>
        <v>-3.4218070840654757E-3</v>
      </c>
      <c r="F64" s="21">
        <f>表2_367162629303810[[#This Row],[累计净值]]</f>
        <v>1.0891999999999999</v>
      </c>
      <c r="G64" s="20">
        <f>表2_367162629303810[[#This Row],[累计净值]]/$B$21-1</f>
        <v>9.7339390006487836E-3</v>
      </c>
    </row>
    <row r="65" spans="1:9">
      <c r="A65" s="15">
        <v>43788</v>
      </c>
      <c r="B65" s="16">
        <v>1.0906</v>
      </c>
      <c r="C65" s="73">
        <f t="shared" si="7"/>
        <v>1.4000000000000679E-3</v>
      </c>
      <c r="D65" s="18" t="str">
        <f t="shared" si="8"/>
        <v>/</v>
      </c>
      <c r="E65" s="18">
        <f ca="1">IF(表2_367162629303810[[#This Row],[累计净值]]/MAX(INDIRECT("B21:B" &amp; ROW()))-1&lt;E64,表2_367162629303810[[#This Row],[累计净值]]/MAX(INDIRECT("B21:B" &amp; ROW()))-1,E64)</f>
        <v>-3.4218070840654757E-3</v>
      </c>
      <c r="F65" s="21">
        <f>表2_367162629303810[[#This Row],[累计净值]]</f>
        <v>1.0906</v>
      </c>
      <c r="G65" s="20">
        <f>表2_367162629303810[[#This Row],[累计净值]]/$B$21-1</f>
        <v>1.1031797534068799E-2</v>
      </c>
    </row>
    <row r="66" spans="1:9">
      <c r="A66" s="15">
        <v>43789</v>
      </c>
      <c r="B66" s="16">
        <v>1.0887</v>
      </c>
      <c r="C66" s="73">
        <f t="shared" si="7"/>
        <v>-1.9000000000000128E-3</v>
      </c>
      <c r="D66" s="18">
        <f t="shared" si="8"/>
        <v>-1.9000000000000128E-3</v>
      </c>
      <c r="E66" s="18">
        <f ca="1">IF(表2_367162629303810[[#This Row],[累计净值]]/MAX(INDIRECT("B21:B" &amp; ROW()))-1&lt;E65,表2_367162629303810[[#This Row],[累计净值]]/MAX(INDIRECT("B21:B" &amp; ROW()))-1,E65)</f>
        <v>-3.4218070840654757E-3</v>
      </c>
      <c r="F66" s="21">
        <f>表2_367162629303810[[#This Row],[累计净值]]</f>
        <v>1.0887</v>
      </c>
      <c r="G66" s="20">
        <f>表2_367162629303810[[#This Row],[累计净值]]/$B$21-1</f>
        <v>9.2704180958560478E-3</v>
      </c>
    </row>
    <row r="67" spans="1:9">
      <c r="A67" s="15">
        <v>43790</v>
      </c>
      <c r="B67" s="16">
        <v>1.0884</v>
      </c>
      <c r="C67" s="73">
        <f t="shared" si="7"/>
        <v>-2.9999999999996696E-4</v>
      </c>
      <c r="D67" s="18">
        <f t="shared" si="8"/>
        <v>-2.9999999999996696E-4</v>
      </c>
      <c r="E67" s="18">
        <f ca="1">IF(表2_367162629303810[[#This Row],[累计净值]]/MAX(INDIRECT("B21:B" &amp; ROW()))-1&lt;E66,表2_367162629303810[[#This Row],[累计净值]]/MAX(INDIRECT("B21:B" &amp; ROW()))-1,E66)</f>
        <v>-3.4218070840654757E-3</v>
      </c>
      <c r="F67" s="21">
        <f>表2_367162629303810[[#This Row],[累计净值]]</f>
        <v>1.0884</v>
      </c>
      <c r="G67" s="20">
        <f>表2_367162629303810[[#This Row],[累计净值]]/$B$21-1</f>
        <v>8.992305552980584E-3</v>
      </c>
    </row>
    <row r="68" spans="1:9">
      <c r="A68" s="15">
        <v>43791</v>
      </c>
      <c r="B68" s="16">
        <v>1.0884</v>
      </c>
      <c r="C68" s="73">
        <f t="shared" si="7"/>
        <v>0</v>
      </c>
      <c r="D68" s="18" t="str">
        <f t="shared" si="8"/>
        <v>/</v>
      </c>
      <c r="E68" s="18">
        <f ca="1">IF(表2_367162629303810[[#This Row],[累计净值]]/MAX(INDIRECT("B21:B" &amp; ROW()))-1&lt;E67,表2_367162629303810[[#This Row],[累计净值]]/MAX(INDIRECT("B21:B" &amp; ROW()))-1,E67)</f>
        <v>-3.4218070840654757E-3</v>
      </c>
      <c r="F68" s="21">
        <f>表2_367162629303810[[#This Row],[累计净值]]</f>
        <v>1.0884</v>
      </c>
      <c r="G68" s="20">
        <f>表2_367162629303810[[#This Row],[累计净值]]/$B$21-1</f>
        <v>8.992305552980584E-3</v>
      </c>
    </row>
    <row r="69" spans="1:9">
      <c r="A69" s="15">
        <v>43794</v>
      </c>
      <c r="B69" s="16">
        <v>1.0840000000000001</v>
      </c>
      <c r="C69" s="73">
        <f t="shared" ref="C69:C74" si="9">IFERROR(B69-B68,0)</f>
        <v>-4.3999999999999595E-3</v>
      </c>
      <c r="D69" s="18">
        <f t="shared" ref="D69:D74" si="10">IF(C69&lt;0,C69,"/")</f>
        <v>-4.3999999999999595E-3</v>
      </c>
      <c r="E69" s="18">
        <f ca="1">IF(表2_367162629303810[[#This Row],[累计净值]]/MAX(INDIRECT("B21:B" &amp; ROW()))-1&lt;E68,表2_367162629303810[[#This Row],[累计净值]]/MAX(INDIRECT("B21:B" &amp; ROW()))-1,E68)</f>
        <v>-6.9622572370829916E-3</v>
      </c>
      <c r="F69" s="21">
        <f>表2_367162629303810[[#This Row],[累计净值]]</f>
        <v>1.0840000000000001</v>
      </c>
      <c r="G69" s="20">
        <f>表2_367162629303810[[#This Row],[累计净值]]/$B$21-1</f>
        <v>4.9133215908039318E-3</v>
      </c>
    </row>
    <row r="70" spans="1:9">
      <c r="A70" s="15">
        <v>43795</v>
      </c>
      <c r="B70" s="16">
        <v>1.0831999999999999</v>
      </c>
      <c r="C70" s="73">
        <f t="shared" si="9"/>
        <v>-8.0000000000013394E-4</v>
      </c>
      <c r="D70" s="18">
        <f t="shared" si="10"/>
        <v>-8.0000000000013394E-4</v>
      </c>
      <c r="E70" s="18">
        <f ca="1">IF(表2_367162629303810[[#This Row],[累计净值]]/MAX(INDIRECT("B21:B" &amp; ROW()))-1&lt;E69,表2_367162629303810[[#This Row],[累计净值]]/MAX(INDIRECT("B21:B" &amp; ROW()))-1,E69)</f>
        <v>-7.6951264199339731E-3</v>
      </c>
      <c r="F70" s="21">
        <f>表2_367162629303810[[#This Row],[累计净值]]</f>
        <v>1.0831999999999999</v>
      </c>
      <c r="G70" s="20">
        <f>表2_367162629303810[[#This Row],[累计净值]]/$B$21-1</f>
        <v>4.1716881431352881E-3</v>
      </c>
    </row>
    <row r="71" spans="1:9">
      <c r="A71" s="15">
        <v>43796</v>
      </c>
      <c r="B71" s="16">
        <v>1.0840000000000001</v>
      </c>
      <c r="C71" s="73">
        <f t="shared" si="9"/>
        <v>8.0000000000013394E-4</v>
      </c>
      <c r="D71" s="18" t="str">
        <f t="shared" si="10"/>
        <v>/</v>
      </c>
      <c r="E71" s="18">
        <f ca="1">IF(表2_367162629303810[[#This Row],[累计净值]]/MAX(INDIRECT("B21:B" &amp; ROW()))-1&lt;E70,表2_367162629303810[[#This Row],[累计净值]]/MAX(INDIRECT("B21:B" &amp; ROW()))-1,E70)</f>
        <v>-7.6951264199339731E-3</v>
      </c>
      <c r="F71" s="21">
        <f>表2_367162629303810[[#This Row],[累计净值]]</f>
        <v>1.0840000000000001</v>
      </c>
      <c r="G71" s="20">
        <f>表2_367162629303810[[#This Row],[累计净值]]/$B$21-1</f>
        <v>4.9133215908039318E-3</v>
      </c>
      <c r="I71" s="1" t="s">
        <v>32</v>
      </c>
    </row>
    <row r="72" spans="1:9">
      <c r="A72" s="15">
        <v>43797</v>
      </c>
      <c r="B72" s="16">
        <v>1.0821000000000001</v>
      </c>
      <c r="C72" s="73">
        <f t="shared" si="9"/>
        <v>-1.9000000000000128E-3</v>
      </c>
      <c r="D72" s="18">
        <f t="shared" si="10"/>
        <v>-1.9000000000000128E-3</v>
      </c>
      <c r="E72" s="18">
        <f ca="1">IF(表2_367162629303810[[#This Row],[累计净值]]/MAX(INDIRECT("B21:B" &amp; ROW()))-1&lt;E71,表2_367162629303810[[#This Row],[累计净值]]/MAX(INDIRECT("B21:B" &amp; ROW()))-1,E71)</f>
        <v>-8.7028215463538228E-3</v>
      </c>
      <c r="F72" s="21">
        <f>表2_367162629303810[[#This Row],[累计净值]]</f>
        <v>1.0821000000000001</v>
      </c>
      <c r="G72" s="20">
        <f>表2_367162629303810[[#This Row],[累计净值]]/$B$21-1</f>
        <v>3.1519421525911806E-3</v>
      </c>
    </row>
    <row r="73" spans="1:9">
      <c r="A73" s="15">
        <v>43798</v>
      </c>
      <c r="B73" s="16">
        <v>1.0819000000000001</v>
      </c>
      <c r="C73" s="73">
        <f t="shared" si="9"/>
        <v>-1.9999999999997797E-4</v>
      </c>
      <c r="D73" s="18">
        <f t="shared" si="10"/>
        <v>-1.9999999999997797E-4</v>
      </c>
      <c r="E73" s="18">
        <f ca="1">IF(表2_367162629303810[[#This Row],[累计净值]]/MAX(INDIRECT("B21:B" &amp; ROW()))-1&lt;E72,表2_367162629303810[[#This Row],[累计净值]]/MAX(INDIRECT("B21:B" &amp; ROW()))-1,E72)</f>
        <v>-8.8860388420665126E-3</v>
      </c>
      <c r="F73" s="21">
        <f>表2_367162629303810[[#This Row],[累计净值]]</f>
        <v>1.0819000000000001</v>
      </c>
      <c r="G73" s="20">
        <f>表2_367162629303810[[#This Row],[累计净值]]/$B$21-1</f>
        <v>2.9665337906741307E-3</v>
      </c>
    </row>
    <row r="74" spans="1:9">
      <c r="A74" s="15">
        <v>43801</v>
      </c>
      <c r="B74" s="16">
        <v>1.0823</v>
      </c>
      <c r="C74" s="73">
        <f t="shared" si="9"/>
        <v>3.9999999999995595E-4</v>
      </c>
      <c r="D74" s="18" t="str">
        <f t="shared" si="10"/>
        <v>/</v>
      </c>
      <c r="E74" s="18">
        <f ca="1">IF(表2_367162629303810[[#This Row],[累计净值]]/MAX(INDIRECT("B21:B" &amp; ROW()))-1&lt;E73,表2_367162629303810[[#This Row],[累计净值]]/MAX(INDIRECT("B21:B" &amp; ROW()))-1,E73)</f>
        <v>-8.8860388420665126E-3</v>
      </c>
      <c r="F74" s="21">
        <f>表2_367162629303810[[#This Row],[累计净值]]</f>
        <v>1.0823</v>
      </c>
      <c r="G74" s="20">
        <f>表2_367162629303810[[#This Row],[累计净值]]/$B$21-1</f>
        <v>3.3373505145082305E-3</v>
      </c>
    </row>
    <row r="75" spans="1:9">
      <c r="A75" s="15">
        <v>43802</v>
      </c>
      <c r="B75" s="16">
        <v>1.0835999999999999</v>
      </c>
      <c r="C75" s="73">
        <f t="shared" ref="C75:C81" si="11">IFERROR(B75-B74,0)</f>
        <v>1.2999999999998568E-3</v>
      </c>
      <c r="D75" s="18" t="str">
        <f t="shared" ref="D75:D81" si="12">IF(C75&lt;0,C75,"/")</f>
        <v>/</v>
      </c>
      <c r="E75" s="18">
        <f ca="1">IF(表2_367162629303810[[#This Row],[累计净值]]/MAX(INDIRECT("B21:B" &amp; ROW()))-1&lt;E74,表2_367162629303810[[#This Row],[累计净值]]/MAX(INDIRECT("B21:B" &amp; ROW()))-1,E74)</f>
        <v>-8.8860388420665126E-3</v>
      </c>
      <c r="F75" s="21">
        <f>表2_367162629303810[[#This Row],[累计净值]]</f>
        <v>1.0835999999999999</v>
      </c>
      <c r="G75" s="20">
        <f>表2_367162629303810[[#This Row],[累计净值]]/$B$21-1</f>
        <v>4.5425048669693879E-3</v>
      </c>
    </row>
    <row r="76" spans="1:9">
      <c r="A76" s="15">
        <v>43803</v>
      </c>
      <c r="B76" s="16">
        <v>1.0841000000000001</v>
      </c>
      <c r="C76" s="73">
        <f t="shared" si="11"/>
        <v>5.0000000000016698E-4</v>
      </c>
      <c r="D76" s="18" t="str">
        <f t="shared" si="12"/>
        <v>/</v>
      </c>
      <c r="E76" s="18">
        <f ca="1">IF(表2_367162629303810[[#This Row],[累计净值]]/MAX(INDIRECT("B21:B" &amp; ROW()))-1&lt;E75,表2_367162629303810[[#This Row],[累计净值]]/MAX(INDIRECT("B21:B" &amp; ROW()))-1,E75)</f>
        <v>-8.8860388420665126E-3</v>
      </c>
      <c r="F76" s="21">
        <f>表2_367162629303810[[#This Row],[累计净值]]</f>
        <v>1.0841000000000001</v>
      </c>
      <c r="G76" s="20">
        <f>表2_367162629303810[[#This Row],[累计净值]]/$B$21-1</f>
        <v>5.0060257717623458E-3</v>
      </c>
    </row>
    <row r="77" spans="1:9">
      <c r="A77" s="15">
        <v>43804</v>
      </c>
      <c r="B77" s="16">
        <v>1.0844</v>
      </c>
      <c r="C77" s="73">
        <f t="shared" si="11"/>
        <v>2.9999999999996696E-4</v>
      </c>
      <c r="D77" s="18" t="str">
        <f t="shared" si="12"/>
        <v>/</v>
      </c>
      <c r="E77" s="18">
        <f ca="1">IF(表2_367162629303810[[#This Row],[累计净值]]/MAX(INDIRECT("B21:B" &amp; ROW()))-1&lt;E76,表2_367162629303810[[#This Row],[累计净值]]/MAX(INDIRECT("B21:B" &amp; ROW()))-1,E76)</f>
        <v>-8.8860388420665126E-3</v>
      </c>
      <c r="F77" s="21">
        <f>表2_367162629303810[[#This Row],[累计净值]]</f>
        <v>1.0844</v>
      </c>
      <c r="G77" s="20">
        <f>表2_367162629303810[[#This Row],[累计净值]]/$B$21-1</f>
        <v>5.2841383146380316E-3</v>
      </c>
    </row>
    <row r="78" spans="1:9">
      <c r="A78" s="15">
        <v>43805</v>
      </c>
      <c r="B78" s="16">
        <v>1.0865</v>
      </c>
      <c r="C78" s="73">
        <f t="shared" si="11"/>
        <v>2.0999999999999908E-3</v>
      </c>
      <c r="D78" s="18" t="str">
        <f t="shared" si="12"/>
        <v>/</v>
      </c>
      <c r="E78" s="18">
        <f ca="1">IF(表2_367162629303810[[#This Row],[累计净值]]/MAX(INDIRECT("B21:B" &amp; ROW()))-1&lt;E77,表2_367162629303810[[#This Row],[累计净值]]/MAX(INDIRECT("B21:B" &amp; ROW()))-1,E77)</f>
        <v>-8.8860388420665126E-3</v>
      </c>
      <c r="F78" s="21">
        <f>表2_367162629303810[[#This Row],[累计净值]]</f>
        <v>1.0865</v>
      </c>
      <c r="G78" s="20">
        <f>表2_367162629303810[[#This Row],[累计净值]]/$B$21-1</f>
        <v>7.2309261147678328E-3</v>
      </c>
    </row>
    <row r="79" spans="1:9">
      <c r="A79" s="15">
        <v>43808</v>
      </c>
      <c r="B79" s="16">
        <v>1.0849</v>
      </c>
      <c r="C79" s="73">
        <f t="shared" si="11"/>
        <v>-1.6000000000000458E-3</v>
      </c>
      <c r="D79" s="18">
        <f t="shared" si="12"/>
        <v>-1.6000000000000458E-3</v>
      </c>
      <c r="E79" s="18">
        <f ca="1">IF(表2_367162629303810[[#This Row],[累计净值]]/MAX(INDIRECT("B21:B" &amp; ROW()))-1&lt;E78,表2_367162629303810[[#This Row],[累计净值]]/MAX(INDIRECT("B21:B" &amp; ROW()))-1,E78)</f>
        <v>-8.8860388420665126E-3</v>
      </c>
      <c r="F79" s="21">
        <f>表2_367162629303810[[#This Row],[累计净值]]</f>
        <v>1.0849</v>
      </c>
      <c r="G79" s="20">
        <f>表2_367162629303810[[#This Row],[累计净值]]/$B$21-1</f>
        <v>5.7476592194307674E-3</v>
      </c>
    </row>
    <row r="80" spans="1:9">
      <c r="A80" s="15">
        <v>43809</v>
      </c>
      <c r="B80" s="16">
        <v>1.0821000000000001</v>
      </c>
      <c r="C80" s="73">
        <f t="shared" si="11"/>
        <v>-2.7999999999999137E-3</v>
      </c>
      <c r="D80" s="18">
        <f t="shared" si="12"/>
        <v>-2.7999999999999137E-3</v>
      </c>
      <c r="E80" s="18">
        <f ca="1">IF(表2_367162629303810[[#This Row],[累计净值]]/MAX(INDIRECT("B21:B" &amp; ROW()))-1&lt;E79,表2_367162629303810[[#This Row],[累计净值]]/MAX(INDIRECT("B21:B" &amp; ROW()))-1,E79)</f>
        <v>-8.8860388420665126E-3</v>
      </c>
      <c r="F80" s="21">
        <f>表2_367162629303810[[#This Row],[累计净值]]</f>
        <v>1.0821000000000001</v>
      </c>
      <c r="G80" s="20">
        <f>表2_367162629303810[[#This Row],[累计净值]]/$B$21-1</f>
        <v>3.1519421525911806E-3</v>
      </c>
    </row>
    <row r="81" spans="1:10">
      <c r="A81" s="15">
        <v>43810</v>
      </c>
      <c r="B81" s="16">
        <v>1.0839000000000001</v>
      </c>
      <c r="C81" s="73">
        <f t="shared" si="11"/>
        <v>1.8000000000000238E-3</v>
      </c>
      <c r="D81" s="18" t="str">
        <f t="shared" si="12"/>
        <v>/</v>
      </c>
      <c r="E81" s="18">
        <f ca="1">IF(表2_367162629303810[[#This Row],[累计净值]]/MAX(INDIRECT("B21:B" &amp; ROW()))-1&lt;E80,表2_367162629303810[[#This Row],[累计净值]]/MAX(INDIRECT("B21:B" &amp; ROW()))-1,E80)</f>
        <v>-8.8860388420665126E-3</v>
      </c>
      <c r="F81" s="21">
        <f>表2_367162629303810[[#This Row],[累计净值]]</f>
        <v>1.0839000000000001</v>
      </c>
      <c r="G81" s="20">
        <f>表2_367162629303810[[#This Row],[累计净值]]/$B$21-1</f>
        <v>4.8206174098452959E-3</v>
      </c>
    </row>
    <row r="82" spans="1:10">
      <c r="A82" s="15">
        <v>43811</v>
      </c>
      <c r="B82" s="16">
        <v>1.0838000000000001</v>
      </c>
      <c r="C82" s="73">
        <f t="shared" ref="C82:C88" si="13">IFERROR(B82-B81,0)</f>
        <v>-9.9999999999988987E-5</v>
      </c>
      <c r="D82" s="18">
        <f t="shared" ref="D82:D88" si="14">IF(C82&lt;0,C82,"/")</f>
        <v>-9.9999999999988987E-5</v>
      </c>
      <c r="E82" s="18">
        <f ca="1">IF(表2_367162629303810[[#This Row],[累计净值]]/MAX(INDIRECT("B21:B" &amp; ROW()))-1&lt;E81,表2_367162629303810[[#This Row],[累计净值]]/MAX(INDIRECT("B21:B" &amp; ROW()))-1,E81)</f>
        <v>-8.8860388420665126E-3</v>
      </c>
      <c r="F82" s="21">
        <f>表2_367162629303810[[#This Row],[累计净值]]</f>
        <v>1.0838000000000001</v>
      </c>
      <c r="G82" s="20">
        <f>表2_367162629303810[[#This Row],[累计净值]]/$B$21-1</f>
        <v>4.7279132288866599E-3</v>
      </c>
    </row>
    <row r="83" spans="1:10">
      <c r="A83" s="15">
        <v>43812</v>
      </c>
      <c r="B83" s="16">
        <v>1.0863</v>
      </c>
      <c r="C83" s="73">
        <f t="shared" si="13"/>
        <v>2.4999999999999467E-3</v>
      </c>
      <c r="D83" s="18" t="str">
        <f t="shared" si="14"/>
        <v>/</v>
      </c>
      <c r="E83" s="18">
        <f ca="1">IF(表2_367162629303810[[#This Row],[累计净值]]/MAX(INDIRECT("B21:B" &amp; ROW()))-1&lt;E82,表2_367162629303810[[#This Row],[累计净值]]/MAX(INDIRECT("B21:B" &amp; ROW()))-1,E82)</f>
        <v>-8.8860388420665126E-3</v>
      </c>
      <c r="F83" s="21">
        <f>表2_367162629303810[[#This Row],[累计净值]]</f>
        <v>1.0863</v>
      </c>
      <c r="G83" s="20">
        <f>表2_367162629303810[[#This Row],[累计净值]]/$B$21-1</f>
        <v>7.0455177528507829E-3</v>
      </c>
    </row>
    <row r="84" spans="1:10">
      <c r="A84" s="15">
        <v>43815</v>
      </c>
      <c r="B84" s="16">
        <v>1.0899000000000001</v>
      </c>
      <c r="C84" s="73">
        <f t="shared" si="13"/>
        <v>3.6000000000000476E-3</v>
      </c>
      <c r="D84" s="18" t="str">
        <f t="shared" si="14"/>
        <v>/</v>
      </c>
      <c r="E84" s="18">
        <f ca="1">IF(表2_367162629303810[[#This Row],[累计净值]]/MAX(INDIRECT("B21:B" &amp; ROW()))-1&lt;E83,表2_367162629303810[[#This Row],[累计净值]]/MAX(INDIRECT("B21:B" &amp; ROW()))-1,E83)</f>
        <v>-8.8860388420665126E-3</v>
      </c>
      <c r="F84" s="21">
        <f>表2_367162629303810[[#This Row],[累计净值]]</f>
        <v>1.0899000000000001</v>
      </c>
      <c r="G84" s="20">
        <f>表2_367162629303810[[#This Row],[累计净值]]/$B$21-1</f>
        <v>1.0382868267359013E-2</v>
      </c>
    </row>
    <row r="85" spans="1:10">
      <c r="A85" s="15">
        <v>43816</v>
      </c>
      <c r="B85" s="16">
        <v>1.0842000000000001</v>
      </c>
      <c r="C85" s="73">
        <f t="shared" si="13"/>
        <v>-5.7000000000000384E-3</v>
      </c>
      <c r="D85" s="18">
        <f t="shared" si="14"/>
        <v>-5.7000000000000384E-3</v>
      </c>
      <c r="E85" s="18">
        <f ca="1">IF(表2_367162629303810[[#This Row],[累计净值]]/MAX(INDIRECT("B21:B" &amp; ROW()))-1&lt;E84,表2_367162629303810[[#This Row],[累计净值]]/MAX(INDIRECT("B21:B" &amp; ROW()))-1,E84)</f>
        <v>-8.8860388420665126E-3</v>
      </c>
      <c r="F85" s="21">
        <f>表2_367162629303810[[#This Row],[累计净值]]</f>
        <v>1.0842000000000001</v>
      </c>
      <c r="G85" s="20">
        <f>表2_367162629303810[[#This Row],[累计净值]]/$B$21-1</f>
        <v>5.0987299527209817E-3</v>
      </c>
    </row>
    <row r="86" spans="1:10">
      <c r="A86" s="15">
        <v>43817</v>
      </c>
      <c r="B86" s="16">
        <v>1.0857000000000001</v>
      </c>
      <c r="C86" s="73">
        <f t="shared" si="13"/>
        <v>1.5000000000000568E-3</v>
      </c>
      <c r="D86" s="18" t="str">
        <f t="shared" si="14"/>
        <v>/</v>
      </c>
      <c r="E86" s="18">
        <f ca="1">IF(表2_367162629303810[[#This Row],[累计净值]]/MAX(INDIRECT("B21:B" &amp; ROW()))-1&lt;E85,表2_367162629303810[[#This Row],[累计净值]]/MAX(INDIRECT("B21:B" &amp; ROW()))-1,E85)</f>
        <v>-8.8860388420665126E-3</v>
      </c>
      <c r="F86" s="21">
        <f>表2_367162629303810[[#This Row],[累计净值]]</f>
        <v>1.0857000000000001</v>
      </c>
      <c r="G86" s="20">
        <f>表2_367162629303810[[#This Row],[累计净值]]/$B$21-1</f>
        <v>6.4892926670994111E-3</v>
      </c>
    </row>
    <row r="87" spans="1:10">
      <c r="A87" s="15">
        <v>43818</v>
      </c>
      <c r="B87" s="16">
        <v>1.0879000000000001</v>
      </c>
      <c r="C87" s="73">
        <f t="shared" si="13"/>
        <v>2.1999999999999797E-3</v>
      </c>
      <c r="D87" s="18" t="str">
        <f t="shared" si="14"/>
        <v>/</v>
      </c>
      <c r="E87" s="18">
        <f ca="1">IF(表2_367162629303810[[#This Row],[累计净值]]/MAX(INDIRECT("B21:B" &amp; ROW()))-1&lt;E86,表2_367162629303810[[#This Row],[累计净值]]/MAX(INDIRECT("B21:B" &amp; ROW()))-1,E86)</f>
        <v>-8.8860388420665126E-3</v>
      </c>
      <c r="F87" s="21">
        <f>表2_367162629303810[[#This Row],[累计净值]]</f>
        <v>1.0879000000000001</v>
      </c>
      <c r="G87" s="20">
        <f>表2_367162629303810[[#This Row],[累计净值]]/$B$21-1</f>
        <v>8.5287846481876262E-3</v>
      </c>
    </row>
    <row r="88" spans="1:10">
      <c r="A88" s="15">
        <v>43819</v>
      </c>
      <c r="B88" s="16">
        <v>1.0858000000000001</v>
      </c>
      <c r="C88" s="73">
        <f t="shared" si="13"/>
        <v>-2.0999999999999908E-3</v>
      </c>
      <c r="D88" s="18">
        <f t="shared" si="14"/>
        <v>-2.0999999999999908E-3</v>
      </c>
      <c r="E88" s="18">
        <f ca="1">IF(表2_367162629303810[[#This Row],[累计净值]]/MAX(INDIRECT("B21:B" &amp; ROW()))-1&lt;E87,表2_367162629303810[[#This Row],[累计净值]]/MAX(INDIRECT("B21:B" &amp; ROW()))-1,E87)</f>
        <v>-8.8860388420665126E-3</v>
      </c>
      <c r="F88" s="21">
        <f>表2_367162629303810[[#This Row],[累计净值]]</f>
        <v>1.0858000000000001</v>
      </c>
      <c r="G88" s="20">
        <f>表2_367162629303810[[#This Row],[累计净值]]/$B$21-1</f>
        <v>6.5819968480580471E-3</v>
      </c>
    </row>
    <row r="89" spans="1:10">
      <c r="A89" s="15">
        <v>43822</v>
      </c>
      <c r="B89" s="16">
        <v>1.0871999999999999</v>
      </c>
      <c r="C89" s="73">
        <f t="shared" ref="C89:C94" si="15">IFERROR(B89-B88,0)</f>
        <v>1.3999999999998458E-3</v>
      </c>
      <c r="D89" s="18" t="str">
        <f t="shared" ref="D89:D94" si="16">IF(C89&lt;0,C89,"/")</f>
        <v>/</v>
      </c>
      <c r="E89" s="18">
        <f ca="1">IF(表2_367162629303810[[#This Row],[累计净值]]/MAX(INDIRECT("B21:B" &amp; ROW()))-1&lt;E88,表2_367162629303810[[#This Row],[累计净值]]/MAX(INDIRECT("B21:B" &amp; ROW()))-1,E88)</f>
        <v>-8.8860388420665126E-3</v>
      </c>
      <c r="F89" s="21">
        <f>表2_367162629303810[[#This Row],[累计净值]]</f>
        <v>1.0871999999999999</v>
      </c>
      <c r="G89" s="20">
        <f>表2_367162629303810[[#This Row],[累计净值]]/$B$21-1</f>
        <v>7.8798553814776184E-3</v>
      </c>
    </row>
    <row r="90" spans="1:10">
      <c r="A90" s="15">
        <v>43823</v>
      </c>
      <c r="B90" s="16">
        <v>1.0919000000000001</v>
      </c>
      <c r="C90" s="73">
        <f t="shared" si="15"/>
        <v>4.7000000000001485E-3</v>
      </c>
      <c r="D90" s="18" t="str">
        <f t="shared" si="16"/>
        <v>/</v>
      </c>
      <c r="E90" s="18">
        <f ca="1">IF(表2_367162629303810[[#This Row],[累计净值]]/MAX(INDIRECT("B21:B" &amp; ROW()))-1&lt;E89,表2_367162629303810[[#This Row],[累计净值]]/MAX(INDIRECT("B21:B" &amp; ROW()))-1,E89)</f>
        <v>-8.8860388420665126E-3</v>
      </c>
      <c r="F90" s="21">
        <f>表2_367162629303810[[#This Row],[累计净值]]</f>
        <v>1.0919000000000001</v>
      </c>
      <c r="G90" s="20">
        <f>表2_367162629303810[[#This Row],[累计净值]]/$B$21-1</f>
        <v>1.2236951886530179E-2</v>
      </c>
    </row>
    <row r="91" spans="1:10">
      <c r="A91" s="15">
        <v>43824</v>
      </c>
      <c r="B91" s="16">
        <v>1.0965</v>
      </c>
      <c r="C91" s="73">
        <f t="shared" si="15"/>
        <v>4.5999999999999375E-3</v>
      </c>
      <c r="D91" s="18" t="str">
        <f t="shared" si="16"/>
        <v>/</v>
      </c>
      <c r="E91" s="18">
        <f ca="1">IF(表2_367162629303810[[#This Row],[累计净值]]/MAX(INDIRECT("B21:B" &amp; ROW()))-1&lt;E90,表2_367162629303810[[#This Row],[累计净值]]/MAX(INDIRECT("B21:B" &amp; ROW()))-1,E90)</f>
        <v>-8.8860388420665126E-3</v>
      </c>
      <c r="F91" s="21">
        <f>表2_367162629303810[[#This Row],[累计净值]]</f>
        <v>1.0965</v>
      </c>
      <c r="G91" s="20">
        <f>表2_367162629303810[[#This Row],[累计净值]]/$B$21-1</f>
        <v>1.6501344210623881E-2</v>
      </c>
    </row>
    <row r="92" spans="1:10">
      <c r="A92" s="15">
        <v>43825</v>
      </c>
      <c r="B92" s="76">
        <v>1.0968</v>
      </c>
      <c r="C92" s="73">
        <f t="shared" si="15"/>
        <v>2.9999999999996696E-4</v>
      </c>
      <c r="D92" s="18" t="str">
        <f t="shared" si="16"/>
        <v>/</v>
      </c>
      <c r="E92" s="18">
        <f ca="1">IF(表2_367162629303810[[#This Row],[累计净值]]/MAX(INDIRECT("B21:B" &amp; ROW()))-1&lt;E91,表2_367162629303810[[#This Row],[累计净值]]/MAX(INDIRECT("B21:B" &amp; ROW()))-1,E91)</f>
        <v>-8.8860388420665126E-3</v>
      </c>
      <c r="F92" s="21">
        <f>表2_367162629303810[[#This Row],[累计净值]]</f>
        <v>1.0968</v>
      </c>
      <c r="G92" s="20">
        <f>表2_367162629303810[[#This Row],[累计净值]]/$B$21-1</f>
        <v>1.6779456753499566E-2</v>
      </c>
    </row>
    <row r="93" spans="1:10">
      <c r="A93" s="9">
        <v>43826</v>
      </c>
      <c r="B93" s="10">
        <v>1.0916999999999999</v>
      </c>
      <c r="C93" s="80">
        <f t="shared" si="15"/>
        <v>-5.1000000000001044E-3</v>
      </c>
      <c r="D93" s="12">
        <f t="shared" si="16"/>
        <v>-5.1000000000001044E-3</v>
      </c>
      <c r="E93" s="12">
        <f ca="1">IF(表2_367162629303810[[#This Row],[累计净值]]/MAX(INDIRECT("B21:B" &amp; ROW()))-1&lt;E92,表2_367162629303810[[#This Row],[累计净值]]/MAX(INDIRECT("B21:B" &amp; ROW()))-1,E92)</f>
        <v>-8.8860388420665126E-3</v>
      </c>
      <c r="F93" s="81">
        <v>1.0189999999999999</v>
      </c>
      <c r="G93" s="82">
        <f>表2_367162629303810[[#This Row],[累计净值]]/$B$21-1</f>
        <v>1.2051543524612907E-2</v>
      </c>
      <c r="J93" s="60">
        <f>表2_367162629303810[[#This Row],[累计净值]]-表2_367162629303810[[#This Row],[单位净值]]</f>
        <v>7.2699999999999987E-2</v>
      </c>
    </row>
    <row r="94" spans="1:10">
      <c r="A94" s="15">
        <v>43829</v>
      </c>
      <c r="B94" s="16">
        <v>1.0908</v>
      </c>
      <c r="C94" s="73">
        <f t="shared" si="15"/>
        <v>-8.9999999999990088E-4</v>
      </c>
      <c r="D94" s="18">
        <f t="shared" si="16"/>
        <v>-8.9999999999990088E-4</v>
      </c>
      <c r="E94" s="18">
        <f ca="1">IF(表2_367162629303810[[#This Row],[累计净值]]/MAX(INDIRECT("B21:B" &amp; ROW()))-1&lt;E93,表2_367162629303810[[#This Row],[累计净值]]/MAX(INDIRECT("B21:B" &amp; ROW()))-1,E93)</f>
        <v>-8.8860388420665126E-3</v>
      </c>
      <c r="F94" s="62">
        <f>表2_367162629303810[[#This Row],[累计净值]]-0.0727</f>
        <v>1.0181</v>
      </c>
      <c r="G94" s="20">
        <f>表2_367162629303810[[#This Row],[累计净值]]/$B$21-1</f>
        <v>1.1217205895985849E-2</v>
      </c>
    </row>
    <row r="95" spans="1:10">
      <c r="A95" s="15">
        <v>43830</v>
      </c>
      <c r="B95" s="16">
        <v>1.0919000000000001</v>
      </c>
      <c r="C95" s="73">
        <f t="shared" ref="C95:C100" si="17">IFERROR(B95-B94,0)</f>
        <v>1.1000000000001009E-3</v>
      </c>
      <c r="D95" s="18" t="str">
        <f t="shared" ref="D95:D100" si="18">IF(C95&lt;0,C95,"/")</f>
        <v>/</v>
      </c>
      <c r="E95" s="18">
        <f ca="1">IF(表2_367162629303810[[#This Row],[累计净值]]/MAX(INDIRECT("B21:B" &amp; ROW()))-1&lt;E94,表2_367162629303810[[#This Row],[累计净值]]/MAX(INDIRECT("B21:B" &amp; ROW()))-1,E94)</f>
        <v>-8.8860388420665126E-3</v>
      </c>
      <c r="F95" s="62">
        <f>表2_367162629303810[[#This Row],[累计净值]]-0.0727</f>
        <v>1.0192000000000001</v>
      </c>
      <c r="G95" s="20">
        <f>表2_367162629303810[[#This Row],[累计净值]]/$B$21-1</f>
        <v>1.2236951886530179E-2</v>
      </c>
    </row>
    <row r="96" spans="1:10">
      <c r="A96" s="15">
        <v>43832</v>
      </c>
      <c r="B96" s="16">
        <v>1.0911</v>
      </c>
      <c r="C96" s="73">
        <f t="shared" si="17"/>
        <v>-8.0000000000013394E-4</v>
      </c>
      <c r="D96" s="18">
        <f t="shared" si="18"/>
        <v>-8.0000000000013394E-4</v>
      </c>
      <c r="E96" s="18">
        <f ca="1">IF(表2_367162629303810[[#This Row],[累计净值]]/MAX(INDIRECT("B21:B" &amp; ROW()))-1&lt;E95,表2_367162629303810[[#This Row],[累计净值]]/MAX(INDIRECT("B21:B" &amp; ROW()))-1,E95)</f>
        <v>-8.8860388420665126E-3</v>
      </c>
      <c r="F96" s="62">
        <f>表2_367162629303810[[#This Row],[累计净值]]-0.0727</f>
        <v>1.0184</v>
      </c>
      <c r="G96" s="20">
        <f>表2_367162629303810[[#This Row],[累计净值]]/$B$21-1</f>
        <v>1.1495318438861535E-2</v>
      </c>
    </row>
    <row r="97" spans="1:7">
      <c r="A97" s="15">
        <v>43833</v>
      </c>
      <c r="B97" s="16">
        <v>1.0912999999999999</v>
      </c>
      <c r="C97" s="73">
        <f t="shared" si="17"/>
        <v>1.9999999999997797E-4</v>
      </c>
      <c r="D97" s="18" t="str">
        <f t="shared" si="18"/>
        <v>/</v>
      </c>
      <c r="E97" s="18">
        <f ca="1">IF(表2_367162629303810[[#This Row],[累计净值]]/MAX(INDIRECT("B21:B" &amp; ROW()))-1&lt;E96,表2_367162629303810[[#This Row],[累计净值]]/MAX(INDIRECT("B21:B" &amp; ROW()))-1,E96)</f>
        <v>-8.8860388420665126E-3</v>
      </c>
      <c r="F97" s="62">
        <f>表2_367162629303810[[#This Row],[累计净值]]-0.0727</f>
        <v>1.0185999999999999</v>
      </c>
      <c r="G97" s="20">
        <f>表2_367162629303810[[#This Row],[累计净值]]/$B$21-1</f>
        <v>1.1680726800778585E-2</v>
      </c>
    </row>
    <row r="98" spans="1:7">
      <c r="A98" s="15">
        <v>43836</v>
      </c>
      <c r="B98" s="16">
        <v>1.0908</v>
      </c>
      <c r="C98" s="73">
        <f t="shared" si="17"/>
        <v>-4.9999999999994493E-4</v>
      </c>
      <c r="D98" s="18">
        <f t="shared" si="18"/>
        <v>-4.9999999999994493E-4</v>
      </c>
      <c r="E98" s="18">
        <f ca="1">IF(表2_367162629303810[[#This Row],[累计净值]]/MAX(INDIRECT("B21:B" &amp; ROW()))-1&lt;E97,表2_367162629303810[[#This Row],[累计净值]]/MAX(INDIRECT("B21:B" &amp; ROW()))-1,E97)</f>
        <v>-8.8860388420665126E-3</v>
      </c>
      <c r="F98" s="62">
        <f>表2_367162629303810[[#This Row],[累计净值]]-0.0727</f>
        <v>1.0181</v>
      </c>
      <c r="G98" s="20">
        <f>表2_367162629303810[[#This Row],[累计净值]]/$B$21-1</f>
        <v>1.1217205895985849E-2</v>
      </c>
    </row>
    <row r="99" spans="1:7">
      <c r="A99" s="15">
        <v>43837</v>
      </c>
      <c r="B99" s="16">
        <v>1.0919000000000001</v>
      </c>
      <c r="C99" s="73">
        <f t="shared" si="17"/>
        <v>1.1000000000001009E-3</v>
      </c>
      <c r="D99" s="18" t="str">
        <f t="shared" si="18"/>
        <v>/</v>
      </c>
      <c r="E99" s="18">
        <f ca="1">IF(表2_367162629303810[[#This Row],[累计净值]]/MAX(INDIRECT("B21:B" &amp; ROW()))-1&lt;E98,表2_367162629303810[[#This Row],[累计净值]]/MAX(INDIRECT("B21:B" &amp; ROW()))-1,E98)</f>
        <v>-8.8860388420665126E-3</v>
      </c>
      <c r="F99" s="62">
        <f>表2_367162629303810[[#This Row],[累计净值]]-0.0727</f>
        <v>1.0192000000000001</v>
      </c>
      <c r="G99" s="20">
        <f>表2_367162629303810[[#This Row],[累计净值]]/$B$21-1</f>
        <v>1.2236951886530179E-2</v>
      </c>
    </row>
    <row r="100" spans="1:7">
      <c r="A100" s="15">
        <v>43838</v>
      </c>
      <c r="B100" s="16">
        <v>1.0887</v>
      </c>
      <c r="C100" s="73">
        <f t="shared" si="17"/>
        <v>-3.2000000000000917E-3</v>
      </c>
      <c r="D100" s="18">
        <f t="shared" si="18"/>
        <v>-3.2000000000000917E-3</v>
      </c>
      <c r="E100" s="18">
        <f ca="1">IF(表2_367162629303810[[#This Row],[累计净值]]/MAX(INDIRECT("B21:B" &amp; ROW()))-1&lt;E99,表2_367162629303810[[#This Row],[累计净值]]/MAX(INDIRECT("B21:B" &amp; ROW()))-1,E99)</f>
        <v>-8.8860388420665126E-3</v>
      </c>
      <c r="F100" s="62">
        <f>表2_367162629303810[[#This Row],[累计净值]]-0.0727</f>
        <v>1.016</v>
      </c>
      <c r="G100" s="20">
        <f>表2_367162629303810[[#This Row],[累计净值]]/$B$21-1</f>
        <v>9.2704180958560478E-3</v>
      </c>
    </row>
    <row r="101" spans="1:7">
      <c r="A101" s="15">
        <v>43839</v>
      </c>
      <c r="B101" s="16">
        <v>1.0966</v>
      </c>
      <c r="C101" s="73">
        <f t="shared" ref="C101:C106" si="19">IFERROR(B101-B100,0)</f>
        <v>7.9000000000000181E-3</v>
      </c>
      <c r="D101" s="18" t="str">
        <f t="shared" ref="D101:D106" si="20">IF(C101&lt;0,C101,"/")</f>
        <v>/</v>
      </c>
      <c r="E101" s="18">
        <f ca="1">IF(表2_367162629303810[[#This Row],[累计净值]]/MAX(INDIRECT("B21:B" &amp; ROW()))-1&lt;E100,表2_367162629303810[[#This Row],[累计净值]]/MAX(INDIRECT("B21:B" &amp; ROW()))-1,E100)</f>
        <v>-8.8860388420665126E-3</v>
      </c>
      <c r="F101" s="62">
        <f>表2_367162629303810[[#This Row],[累计净值]]-0.0727</f>
        <v>1.0239</v>
      </c>
      <c r="G101" s="20">
        <f>表2_367162629303810[[#This Row],[累计净值]]/$B$21-1</f>
        <v>1.6594048391582517E-2</v>
      </c>
    </row>
    <row r="102" spans="1:7">
      <c r="A102" s="15">
        <v>43840</v>
      </c>
      <c r="B102" s="16">
        <v>1.0972</v>
      </c>
      <c r="C102" s="73">
        <f t="shared" si="19"/>
        <v>5.9999999999993392E-4</v>
      </c>
      <c r="D102" s="18" t="str">
        <f t="shared" si="20"/>
        <v>/</v>
      </c>
      <c r="E102" s="18">
        <f ca="1">IF(表2_367162629303810[[#This Row],[累计净值]]/MAX(INDIRECT("B21:B" &amp; ROW()))-1&lt;E101,表2_367162629303810[[#This Row],[累计净值]]/MAX(INDIRECT("B21:B" &amp; ROW()))-1,E101)</f>
        <v>-8.8860388420665126E-3</v>
      </c>
      <c r="F102" s="62">
        <f>表2_367162629303810[[#This Row],[累计净值]]-0.0727</f>
        <v>1.0245</v>
      </c>
      <c r="G102" s="20">
        <f>表2_367162629303810[[#This Row],[累计净值]]/$B$21-1</f>
        <v>1.7150273477333888E-2</v>
      </c>
    </row>
    <row r="103" spans="1:7">
      <c r="A103" s="15">
        <v>43843</v>
      </c>
      <c r="B103" s="76">
        <v>1.0979000000000001</v>
      </c>
      <c r="C103" s="73">
        <f t="shared" si="19"/>
        <v>7.0000000000014495E-4</v>
      </c>
      <c r="D103" s="18" t="str">
        <f t="shared" si="20"/>
        <v>/</v>
      </c>
      <c r="E103" s="18">
        <f ca="1">IF(表2_367162629303810[[#This Row],[累计净值]]/MAX(INDIRECT("B21:B" &amp; ROW()))-1&lt;E102,表2_367162629303810[[#This Row],[累计净值]]/MAX(INDIRECT("B21:B" &amp; ROW()))-1,E102)</f>
        <v>-8.8860388420665126E-3</v>
      </c>
      <c r="F103" s="62">
        <f>表2_367162629303810[[#This Row],[累计净值]]-0.0727</f>
        <v>1.0252000000000001</v>
      </c>
      <c r="G103" s="20">
        <f>表2_367162629303810[[#This Row],[累计净值]]/$B$21-1</f>
        <v>1.7799202744043896E-2</v>
      </c>
    </row>
    <row r="104" spans="1:7">
      <c r="A104" s="15">
        <v>43844</v>
      </c>
      <c r="B104" s="16">
        <v>1.0952999999999999</v>
      </c>
      <c r="C104" s="73">
        <f t="shared" si="19"/>
        <v>-2.6000000000001577E-3</v>
      </c>
      <c r="D104" s="18">
        <f t="shared" si="20"/>
        <v>-2.6000000000001577E-3</v>
      </c>
      <c r="E104" s="18">
        <f ca="1">IF(表2_367162629303810[[#This Row],[累计净值]]/MAX(INDIRECT("B21:B" &amp; ROW()))-1&lt;E103,表2_367162629303810[[#This Row],[累计净值]]/MAX(INDIRECT("B21:B" &amp; ROW()))-1,E103)</f>
        <v>-8.8860388420665126E-3</v>
      </c>
      <c r="F104" s="62">
        <f>表2_367162629303810[[#This Row],[累计净值]]-0.0727</f>
        <v>1.0226</v>
      </c>
      <c r="G104" s="20">
        <f>表2_367162629303810[[#This Row],[累计净值]]/$B$21-1</f>
        <v>1.5388894039121137E-2</v>
      </c>
    </row>
    <row r="105" spans="1:7">
      <c r="A105" s="15">
        <v>43845</v>
      </c>
      <c r="B105" s="16">
        <v>1.0975999999999999</v>
      </c>
      <c r="C105" s="73">
        <f t="shared" si="19"/>
        <v>2.2999999999999687E-3</v>
      </c>
      <c r="D105" s="18" t="str">
        <f t="shared" si="20"/>
        <v>/</v>
      </c>
      <c r="E105" s="18">
        <f ca="1">IF(表2_367162629303810[[#This Row],[累计净值]]/MAX(INDIRECT("B21:B" &amp; ROW()))-1&lt;E104,表2_367162629303810[[#This Row],[累计净值]]/MAX(INDIRECT("B21:B" &amp; ROW()))-1,E104)</f>
        <v>-8.8860388420665126E-3</v>
      </c>
      <c r="F105" s="62">
        <f>表2_367162629303810[[#This Row],[累计净值]]-0.0727</f>
        <v>1.0248999999999999</v>
      </c>
      <c r="G105" s="20">
        <f>表2_367162629303810[[#This Row],[累计净值]]/$B$21-1</f>
        <v>1.7521090201167988E-2</v>
      </c>
    </row>
    <row r="106" spans="1:7">
      <c r="A106" s="15">
        <v>43846</v>
      </c>
      <c r="B106" s="16">
        <v>1.0969</v>
      </c>
      <c r="C106" s="73">
        <f t="shared" si="19"/>
        <v>-6.9999999999992291E-4</v>
      </c>
      <c r="D106" s="18">
        <f t="shared" si="20"/>
        <v>-6.9999999999992291E-4</v>
      </c>
      <c r="E106" s="18">
        <f ca="1">IF(表2_367162629303810[[#This Row],[累计净值]]/MAX(INDIRECT("B21:B" &amp; ROW()))-1&lt;E105,表2_367162629303810[[#This Row],[累计净值]]/MAX(INDIRECT("B21:B" &amp; ROW()))-1,E105)</f>
        <v>-8.8860388420665126E-3</v>
      </c>
      <c r="F106" s="62">
        <f>表2_367162629303810[[#This Row],[累计净值]]-0.0727</f>
        <v>1.0242</v>
      </c>
      <c r="G106" s="20">
        <f>表2_367162629303810[[#This Row],[累计净值]]/$B$21-1</f>
        <v>1.6872160934458202E-2</v>
      </c>
    </row>
    <row r="107" spans="1:7">
      <c r="A107" s="15">
        <v>43847</v>
      </c>
      <c r="B107" s="16">
        <v>1.0974999999999999</v>
      </c>
      <c r="C107" s="73">
        <f>IFERROR(B107-B106,0)</f>
        <v>5.9999999999993392E-4</v>
      </c>
      <c r="D107" s="18" t="str">
        <f>IF(C107&lt;0,C107,"/")</f>
        <v>/</v>
      </c>
      <c r="E107" s="18">
        <f ca="1">IF(表2_367162629303810[[#This Row],[累计净值]]/MAX(INDIRECT("B21:B" &amp; ROW()))-1&lt;E106,表2_367162629303810[[#This Row],[累计净值]]/MAX(INDIRECT("B21:B" &amp; ROW()))-1,E106)</f>
        <v>-8.8860388420665126E-3</v>
      </c>
      <c r="F107" s="62">
        <f>表2_367162629303810[[#This Row],[累计净值]]-0.0727</f>
        <v>1.0247999999999999</v>
      </c>
      <c r="G107" s="20">
        <f>表2_367162629303810[[#This Row],[累计净值]]/$B$21-1</f>
        <v>1.7428386020209352E-2</v>
      </c>
    </row>
    <row r="108" spans="1:7">
      <c r="A108" s="15">
        <v>43850</v>
      </c>
      <c r="B108" s="16">
        <v>1.0972999999999999</v>
      </c>
      <c r="C108" s="73">
        <f>IFERROR(B108-B107,0)</f>
        <v>-1.9999999999997797E-4</v>
      </c>
      <c r="D108" s="18">
        <f>IF(C108&lt;0,C108,"/")</f>
        <v>-1.9999999999997797E-4</v>
      </c>
      <c r="E108" s="18">
        <f ca="1">IF(表2_367162629303810[[#This Row],[累计净值]]/MAX(INDIRECT("B21:B" &amp; ROW()))-1&lt;E107,表2_367162629303810[[#This Row],[累计净值]]/MAX(INDIRECT("B21:B" &amp; ROW()))-1,E107)</f>
        <v>-8.8860388420665126E-3</v>
      </c>
      <c r="F108" s="62">
        <f>表2_367162629303810[[#This Row],[累计净值]]-0.0727</f>
        <v>1.0246</v>
      </c>
      <c r="G108" s="20">
        <f>表2_367162629303810[[#This Row],[累计净值]]/$B$21-1</f>
        <v>1.7242977658292302E-2</v>
      </c>
    </row>
    <row r="109" spans="1:7">
      <c r="A109" s="15">
        <v>43851</v>
      </c>
      <c r="B109" s="16">
        <v>1.0978000000000001</v>
      </c>
      <c r="C109" s="73">
        <f>IFERROR(B109-B108,0)</f>
        <v>5.0000000000016698E-4</v>
      </c>
      <c r="D109" s="18" t="str">
        <f>IF(C109&lt;0,C109,"/")</f>
        <v>/</v>
      </c>
      <c r="E109" s="18">
        <f ca="1">IF(表2_367162629303810[[#This Row],[累计净值]]/MAX(INDIRECT("B21:B" &amp; ROW()))-1&lt;E108,表2_367162629303810[[#This Row],[累计净值]]/MAX(INDIRECT("B21:B" &amp; ROW()))-1,E108)</f>
        <v>-8.8860388420665126E-3</v>
      </c>
      <c r="F109" s="62">
        <f>表2_367162629303810[[#This Row],[累计净值]]-0.0727</f>
        <v>1.0251000000000001</v>
      </c>
      <c r="G109" s="20">
        <f>表2_367162629303810[[#This Row],[累计净值]]/$B$21-1</f>
        <v>1.770649856308526E-2</v>
      </c>
    </row>
    <row r="110" spans="1:7">
      <c r="A110" s="15">
        <v>43852</v>
      </c>
      <c r="B110" s="16">
        <v>1.0912999999999999</v>
      </c>
      <c r="C110" s="73">
        <f>IFERROR(B110-B109,0)</f>
        <v>-6.5000000000001723E-3</v>
      </c>
      <c r="D110" s="18">
        <f>IF(C110&lt;0,C110,"/")</f>
        <v>-6.5000000000001723E-3</v>
      </c>
      <c r="E110" s="18">
        <f ca="1">IF(表2_367162629303810[[#This Row],[累计净值]]/MAX(INDIRECT("B21:B" &amp; ROW()))-1&lt;E109,表2_367162629303810[[#This Row],[累计净值]]/MAX(INDIRECT("B21:B" &amp; ROW()))-1,E109)</f>
        <v>-8.8860388420665126E-3</v>
      </c>
      <c r="F110" s="62">
        <f>表2_367162629303810[[#This Row],[累计净值]]-0.0727</f>
        <v>1.0185999999999999</v>
      </c>
      <c r="G110" s="20">
        <f>表2_367162629303810[[#This Row],[累计净值]]/$B$21-1</f>
        <v>1.1680726800778585E-2</v>
      </c>
    </row>
    <row r="111" spans="1:7">
      <c r="A111" s="15">
        <v>43853</v>
      </c>
      <c r="B111" s="16">
        <v>1.0987</v>
      </c>
      <c r="C111" s="73">
        <f>IFERROR(B111-B110,0)</f>
        <v>7.4000000000000732E-3</v>
      </c>
      <c r="D111" s="18" t="str">
        <f>IF(C111&lt;0,C111,"/")</f>
        <v>/</v>
      </c>
      <c r="E111" s="18">
        <f ca="1">IF(表2_367162629303810[[#This Row],[累计净值]]/MAX(INDIRECT("B21:B" &amp; ROW()))-1&lt;E110,表2_367162629303810[[#This Row],[累计净值]]/MAX(INDIRECT("B21:B" &amp; ROW()))-1,E110)</f>
        <v>-8.8860388420665126E-3</v>
      </c>
      <c r="F111" s="62">
        <f>表2_367162629303810[[#This Row],[累计净值]]-0.0727</f>
        <v>1.026</v>
      </c>
      <c r="G111" s="20">
        <f>表2_367162629303810[[#This Row],[累计净值]]/$B$21-1</f>
        <v>1.8540836191712318E-2</v>
      </c>
    </row>
    <row r="112" spans="1:7">
      <c r="A112" s="15">
        <v>43864</v>
      </c>
      <c r="B112" s="76">
        <v>1.1065</v>
      </c>
      <c r="C112" s="73">
        <f t="shared" ref="C112:C117" si="21">IFERROR(B112-B111,0)</f>
        <v>7.8000000000000291E-3</v>
      </c>
      <c r="D112" s="18" t="str">
        <f t="shared" ref="D112:D117" si="22">IF(C112&lt;0,C112,"/")</f>
        <v>/</v>
      </c>
      <c r="E112" s="18">
        <f ca="1">IF(表2_367162629303810[[#This Row],[累计净值]]/MAX(INDIRECT("B21:B" &amp; ROW()))-1&lt;E111,表2_367162629303810[[#This Row],[累计净值]]/MAX(INDIRECT("B21:B" &amp; ROW()))-1,E111)</f>
        <v>-8.8860388420665126E-3</v>
      </c>
      <c r="F112" s="62">
        <f>表2_367162629303810[[#This Row],[累计净值]]-0.0727</f>
        <v>1.0338000000000001</v>
      </c>
      <c r="G112" s="20">
        <f>表2_367162629303810[[#This Row],[累计净值]]/$B$21-1</f>
        <v>2.577176230648015E-2</v>
      </c>
    </row>
    <row r="113" spans="1:9">
      <c r="A113" s="15">
        <v>43865</v>
      </c>
      <c r="B113" s="16">
        <v>1.0931</v>
      </c>
      <c r="C113" s="73">
        <f t="shared" si="21"/>
        <v>-1.3400000000000079E-2</v>
      </c>
      <c r="D113" s="18">
        <f t="shared" si="22"/>
        <v>-1.3400000000000079E-2</v>
      </c>
      <c r="E113" s="18">
        <f ca="1">IF(表2_367162629303810[[#This Row],[累计净值]]/MAX(INDIRECT("B21:B" &amp; ROW()))-1&lt;E112,表2_367162629303810[[#This Row],[累计净值]]/MAX(INDIRECT("B21:B" &amp; ROW()))-1,E112)</f>
        <v>-1.2110257568911043E-2</v>
      </c>
      <c r="F113" s="62">
        <f>表2_367162629303810[[#This Row],[累计净值]]-0.0727</f>
        <v>1.0204</v>
      </c>
      <c r="G113" s="20">
        <f>表2_367162629303810[[#This Row],[累计净值]]/$B$21-1</f>
        <v>1.33494020580327E-2</v>
      </c>
      <c r="I113" s="1">
        <v>0</v>
      </c>
    </row>
    <row r="114" spans="1:9">
      <c r="A114" s="15">
        <v>43866</v>
      </c>
      <c r="B114" s="16">
        <v>1.0952</v>
      </c>
      <c r="C114" s="73">
        <f t="shared" si="21"/>
        <v>2.0999999999999908E-3</v>
      </c>
      <c r="D114" s="18" t="str">
        <f t="shared" si="22"/>
        <v>/</v>
      </c>
      <c r="E114" s="18">
        <f ca="1">IF(表2_367162629303810[[#This Row],[累计净值]]/MAX(INDIRECT("B21:B" &amp; ROW()))-1&lt;E113,表2_367162629303810[[#This Row],[累计净值]]/MAX(INDIRECT("B21:B" &amp; ROW()))-1,E113)</f>
        <v>-1.2110257568911043E-2</v>
      </c>
      <c r="F114" s="62">
        <f>表2_367162629303810[[#This Row],[累计净值]]-0.0727</f>
        <v>1.0225</v>
      </c>
      <c r="G114" s="20">
        <f>表2_367162629303810[[#This Row],[累计净值]]/$B$21-1</f>
        <v>1.5296189858162501E-2</v>
      </c>
    </row>
    <row r="115" spans="1:9">
      <c r="A115" s="15">
        <v>43867</v>
      </c>
      <c r="B115" s="16">
        <v>1.0926</v>
      </c>
      <c r="C115" s="73">
        <f t="shared" si="21"/>
        <v>-2.5999999999999357E-3</v>
      </c>
      <c r="D115" s="18">
        <f t="shared" si="22"/>
        <v>-2.5999999999999357E-3</v>
      </c>
      <c r="E115" s="18">
        <f ca="1">IF(表2_367162629303810[[#This Row],[累计净值]]/MAX(INDIRECT("B21:B" &amp; ROW()))-1&lt;E114,表2_367162629303810[[#This Row],[累计净值]]/MAX(INDIRECT("B21:B" &amp; ROW()))-1,E114)</f>
        <v>-1.2562132851333008E-2</v>
      </c>
      <c r="F115" s="62">
        <f>表2_367162629303810[[#This Row],[累计净值]]-0.0727</f>
        <v>1.0199</v>
      </c>
      <c r="G115" s="20">
        <f>表2_367162629303810[[#This Row],[累计净值]]/$B$21-1</f>
        <v>1.2885881153239964E-2</v>
      </c>
    </row>
    <row r="116" spans="1:9">
      <c r="A116" s="15">
        <v>43868</v>
      </c>
      <c r="B116" s="16">
        <v>1.0939000000000001</v>
      </c>
      <c r="C116" s="73">
        <f t="shared" si="21"/>
        <v>1.3000000000000789E-3</v>
      </c>
      <c r="D116" s="18" t="str">
        <f t="shared" si="22"/>
        <v>/</v>
      </c>
      <c r="E116" s="18">
        <f ca="1">IF(表2_367162629303810[[#This Row],[累计净值]]/MAX(INDIRECT("B21:B" &amp; ROW()))-1&lt;E115,表2_367162629303810[[#This Row],[累计净值]]/MAX(INDIRECT("B21:B" &amp; ROW()))-1,E115)</f>
        <v>-1.2562132851333008E-2</v>
      </c>
      <c r="F116" s="62">
        <f>表2_367162629303810[[#This Row],[累计净值]]-0.0727</f>
        <v>1.0212000000000001</v>
      </c>
      <c r="G116" s="20">
        <f>表2_367162629303810[[#This Row],[累计净值]]/$B$21-1</f>
        <v>1.4091035505701344E-2</v>
      </c>
    </row>
    <row r="117" spans="1:9">
      <c r="A117" s="15">
        <v>43871</v>
      </c>
      <c r="B117" s="16">
        <v>1.0959000000000001</v>
      </c>
      <c r="C117" s="73">
        <f t="shared" si="21"/>
        <v>2.0000000000000018E-3</v>
      </c>
      <c r="D117" s="18" t="str">
        <f t="shared" si="22"/>
        <v>/</v>
      </c>
      <c r="E117" s="18">
        <f ca="1">IF(表2_367162629303810[[#This Row],[累计净值]]/MAX(INDIRECT("B21:B" &amp; ROW()))-1&lt;E116,表2_367162629303810[[#This Row],[累计净值]]/MAX(INDIRECT("B21:B" &amp; ROW()))-1,E116)</f>
        <v>-1.2562132851333008E-2</v>
      </c>
      <c r="F117" s="62">
        <f>表2_367162629303810[[#This Row],[累计净值]]-0.0727</f>
        <v>1.0232000000000001</v>
      </c>
      <c r="G117" s="20">
        <f>表2_367162629303810[[#This Row],[累计净值]]/$B$21-1</f>
        <v>1.5945119124872731E-2</v>
      </c>
    </row>
    <row r="118" spans="1:9">
      <c r="A118" s="15">
        <v>43872</v>
      </c>
      <c r="B118" s="16">
        <v>1.0949</v>
      </c>
      <c r="C118" s="73">
        <f t="shared" ref="C118:C123" si="23">IFERROR(B118-B117,0)</f>
        <v>-1.0000000000001119E-3</v>
      </c>
      <c r="D118" s="18">
        <f t="shared" ref="D118:D123" si="24">IF(C118&lt;0,C118,"/")</f>
        <v>-1.0000000000001119E-3</v>
      </c>
      <c r="E118" s="18">
        <f ca="1">IF(表2_367162629303810[[#This Row],[累计净值]]/MAX(INDIRECT("B21:B" &amp; ROW()))-1&lt;E117,表2_367162629303810[[#This Row],[累计净值]]/MAX(INDIRECT("B21:B" &amp; ROW()))-1,E117)</f>
        <v>-1.2562132851333008E-2</v>
      </c>
      <c r="F118" s="62">
        <f>表2_367162629303810[[#This Row],[累计净值]]-0.0727</f>
        <v>1.0222</v>
      </c>
      <c r="G118" s="20">
        <f>表2_367162629303810[[#This Row],[累计净值]]/$B$21-1</f>
        <v>1.5018077315286815E-2</v>
      </c>
    </row>
    <row r="119" spans="1:9">
      <c r="A119" s="15">
        <v>43873</v>
      </c>
      <c r="B119" s="16">
        <v>1.0946</v>
      </c>
      <c r="C119" s="73">
        <f t="shared" si="23"/>
        <v>-2.9999999999996696E-4</v>
      </c>
      <c r="D119" s="18">
        <f t="shared" si="24"/>
        <v>-2.9999999999996696E-4</v>
      </c>
      <c r="E119" s="18">
        <f ca="1">IF(表2_367162629303810[[#This Row],[累计净值]]/MAX(INDIRECT("B21:B" &amp; ROW()))-1&lt;E118,表2_367162629303810[[#This Row],[累计净值]]/MAX(INDIRECT("B21:B" &amp; ROW()))-1,E118)</f>
        <v>-1.2562132851333008E-2</v>
      </c>
      <c r="F119" s="62">
        <f>表2_367162629303810[[#This Row],[累计净值]]-0.0727</f>
        <v>1.0219</v>
      </c>
      <c r="G119" s="20">
        <f>表2_367162629303810[[#This Row],[累计净值]]/$B$21-1</f>
        <v>1.4739964772411351E-2</v>
      </c>
    </row>
    <row r="120" spans="1:9">
      <c r="A120" s="15">
        <v>43874</v>
      </c>
      <c r="B120" s="16">
        <v>1.0941000000000001</v>
      </c>
      <c r="C120" s="73">
        <f t="shared" si="23"/>
        <v>-4.9999999999994493E-4</v>
      </c>
      <c r="D120" s="18">
        <f t="shared" si="24"/>
        <v>-4.9999999999994493E-4</v>
      </c>
      <c r="E120" s="18">
        <f ca="1">IF(表2_367162629303810[[#This Row],[累计净值]]/MAX(INDIRECT("B21:B" &amp; ROW()))-1&lt;E119,表2_367162629303810[[#This Row],[累计净值]]/MAX(INDIRECT("B21:B" &amp; ROW()))-1,E119)</f>
        <v>-1.2562132851333008E-2</v>
      </c>
      <c r="F120" s="62">
        <f>表2_367162629303810[[#This Row],[累计净值]]-0.0727</f>
        <v>1.0214000000000001</v>
      </c>
      <c r="G120" s="20">
        <f>表2_367162629303810[[#This Row],[累计净值]]/$B$21-1</f>
        <v>1.4276443867618394E-2</v>
      </c>
    </row>
    <row r="121" spans="1:9">
      <c r="A121" s="15">
        <v>43875</v>
      </c>
      <c r="B121" s="16">
        <v>1.0959000000000001</v>
      </c>
      <c r="C121" s="73">
        <f t="shared" si="23"/>
        <v>1.8000000000000238E-3</v>
      </c>
      <c r="D121" s="18" t="str">
        <f t="shared" si="24"/>
        <v>/</v>
      </c>
      <c r="E121" s="18">
        <f ca="1">IF(表2_367162629303810[[#This Row],[累计净值]]/MAX(INDIRECT("B21:B" &amp; ROW()))-1&lt;E120,表2_367162629303810[[#This Row],[累计净值]]/MAX(INDIRECT("B21:B" &amp; ROW()))-1,E120)</f>
        <v>-1.2562132851333008E-2</v>
      </c>
      <c r="F121" s="62">
        <f>表2_367162629303810[[#This Row],[累计净值]]-0.0727</f>
        <v>1.0232000000000001</v>
      </c>
      <c r="G121" s="20">
        <f>表2_367162629303810[[#This Row],[累计净值]]/$B$21-1</f>
        <v>1.5945119124872731E-2</v>
      </c>
    </row>
    <row r="122" spans="1:9">
      <c r="A122" s="15">
        <v>43878</v>
      </c>
      <c r="B122" s="16">
        <v>1.0984</v>
      </c>
      <c r="C122" s="73">
        <f t="shared" si="23"/>
        <v>2.4999999999999467E-3</v>
      </c>
      <c r="D122" s="18" t="str">
        <f t="shared" si="24"/>
        <v>/</v>
      </c>
      <c r="E122" s="18">
        <f ca="1">IF(表2_367162629303810[[#This Row],[累计净值]]/MAX(INDIRECT("B21:B" &amp; ROW()))-1&lt;E121,表2_367162629303810[[#This Row],[累计净值]]/MAX(INDIRECT("B21:B" &amp; ROW()))-1,E121)</f>
        <v>-1.2562132851333008E-2</v>
      </c>
      <c r="F122" s="62">
        <f>表2_367162629303810[[#This Row],[累计净值]]-0.0727</f>
        <v>1.0257000000000001</v>
      </c>
      <c r="G122" s="20">
        <f>表2_367162629303810[[#This Row],[累计净值]]/$B$21-1</f>
        <v>1.8262723648836632E-2</v>
      </c>
    </row>
    <row r="123" spans="1:9">
      <c r="A123" s="15">
        <v>43879</v>
      </c>
      <c r="B123" s="16">
        <v>1.1039000000000001</v>
      </c>
      <c r="C123" s="73">
        <f t="shared" si="23"/>
        <v>5.5000000000000604E-3</v>
      </c>
      <c r="D123" s="18" t="str">
        <f t="shared" si="24"/>
        <v>/</v>
      </c>
      <c r="E123" s="18">
        <f ca="1">IF(表2_367162629303810[[#This Row],[累计净值]]/MAX(INDIRECT("B21:B" &amp; ROW()))-1&lt;E122,表2_367162629303810[[#This Row],[累计净值]]/MAX(INDIRECT("B21:B" &amp; ROW()))-1,E122)</f>
        <v>-1.2562132851333008E-2</v>
      </c>
      <c r="F123" s="62">
        <f>表2_367162629303810[[#This Row],[累计净值]]-0.0727</f>
        <v>1.0312000000000001</v>
      </c>
      <c r="G123" s="20">
        <f>表2_367162629303810[[#This Row],[累计净值]]/$B$21-1</f>
        <v>2.3361453601557614E-2</v>
      </c>
    </row>
    <row r="124" spans="1:9">
      <c r="A124" s="15">
        <v>43880</v>
      </c>
      <c r="B124" s="16">
        <v>1.1031</v>
      </c>
      <c r="C124" s="73">
        <f t="shared" ref="C124:C129" si="25">IFERROR(B124-B123,0)</f>
        <v>-8.0000000000013394E-4</v>
      </c>
      <c r="D124" s="18">
        <f t="shared" ref="D124:D129" si="26">IF(C124&lt;0,C124,"/")</f>
        <v>-8.0000000000013394E-4</v>
      </c>
      <c r="E124" s="18">
        <f ca="1">IF(表2_367162629303810[[#This Row],[累计净值]]/MAX(INDIRECT("B21:B" &amp; ROW()))-1&lt;E123,表2_367162629303810[[#This Row],[累计净值]]/MAX(INDIRECT("B21:B" &amp; ROW()))-1,E123)</f>
        <v>-1.2562132851333008E-2</v>
      </c>
      <c r="F124" s="62">
        <f>表2_367162629303810[[#This Row],[累计净值]]-0.0727</f>
        <v>1.0304</v>
      </c>
      <c r="G124" s="20">
        <f>表2_367162629303810[[#This Row],[累计净值]]/$B$21-1</f>
        <v>2.261982015388897E-2</v>
      </c>
    </row>
    <row r="125" spans="1:9">
      <c r="A125" s="15">
        <v>43881</v>
      </c>
      <c r="B125" s="76">
        <v>1.1071</v>
      </c>
      <c r="C125" s="73">
        <f t="shared" si="25"/>
        <v>4.0000000000000036E-3</v>
      </c>
      <c r="D125" s="18" t="str">
        <f t="shared" si="26"/>
        <v>/</v>
      </c>
      <c r="E125" s="18">
        <f ca="1">IF(表2_367162629303810[[#This Row],[累计净值]]/MAX(INDIRECT("B21:B" &amp; ROW()))-1&lt;E124,表2_367162629303810[[#This Row],[累计净值]]/MAX(INDIRECT("B21:B" &amp; ROW()))-1,E124)</f>
        <v>-1.2562132851333008E-2</v>
      </c>
      <c r="F125" s="62">
        <f>表2_367162629303810[[#This Row],[累计净值]]-0.0727</f>
        <v>1.0344</v>
      </c>
      <c r="G125" s="20">
        <f>表2_367162629303810[[#This Row],[累计净值]]/$B$21-1</f>
        <v>2.63279873922313E-2</v>
      </c>
    </row>
    <row r="126" spans="1:9">
      <c r="A126" s="15">
        <v>43882</v>
      </c>
      <c r="B126" s="16">
        <v>1.1059000000000001</v>
      </c>
      <c r="C126" s="73">
        <f t="shared" si="25"/>
        <v>-1.1999999999998678E-3</v>
      </c>
      <c r="D126" s="18">
        <f t="shared" si="26"/>
        <v>-1.1999999999998678E-3</v>
      </c>
      <c r="E126" s="18">
        <f ca="1">IF(表2_367162629303810[[#This Row],[累计净值]]/MAX(INDIRECT("B21:B" &amp; ROW()))-1&lt;E125,表2_367162629303810[[#This Row],[累计净值]]/MAX(INDIRECT("B21:B" &amp; ROW()))-1,E125)</f>
        <v>-1.2562132851333008E-2</v>
      </c>
      <c r="F126" s="62">
        <f>表2_367162629303810[[#This Row],[累计净值]]-0.0727</f>
        <v>1.0332000000000001</v>
      </c>
      <c r="G126" s="20">
        <f>表2_367162629303810[[#This Row],[累计净值]]/$B$21-1</f>
        <v>2.5215537220728779E-2</v>
      </c>
    </row>
    <row r="127" spans="1:9">
      <c r="A127" s="15">
        <v>43885</v>
      </c>
      <c r="B127" s="16">
        <v>1.1051</v>
      </c>
      <c r="C127" s="73">
        <f t="shared" si="25"/>
        <v>-8.0000000000013394E-4</v>
      </c>
      <c r="D127" s="18">
        <f t="shared" si="26"/>
        <v>-8.0000000000013394E-4</v>
      </c>
      <c r="E127" s="18">
        <f ca="1">IF(表2_367162629303810[[#This Row],[累计净值]]/MAX(INDIRECT("B21:B" &amp; ROW()))-1&lt;E126,表2_367162629303810[[#This Row],[累计净值]]/MAX(INDIRECT("B21:B" &amp; ROW()))-1,E126)</f>
        <v>-1.2562132851333008E-2</v>
      </c>
      <c r="F127" s="62">
        <f>表2_367162629303810[[#This Row],[累计净值]]-0.0727</f>
        <v>1.0324</v>
      </c>
      <c r="G127" s="20">
        <f>表2_367162629303810[[#This Row],[累计净值]]/$B$21-1</f>
        <v>2.4473903773060135E-2</v>
      </c>
    </row>
    <row r="128" spans="1:9">
      <c r="A128" s="15">
        <v>43886</v>
      </c>
      <c r="B128" s="16">
        <v>1.1019000000000001</v>
      </c>
      <c r="C128" s="73">
        <f t="shared" si="25"/>
        <v>-3.1999999999998696E-3</v>
      </c>
      <c r="D128" s="18">
        <f t="shared" si="26"/>
        <v>-3.1999999999998696E-3</v>
      </c>
      <c r="E128" s="18">
        <f ca="1">IF(表2_367162629303810[[#This Row],[累计净值]]/MAX(INDIRECT("B21:B" &amp; ROW()))-1&lt;E127,表2_367162629303810[[#This Row],[累计净值]]/MAX(INDIRECT("B21:B" &amp; ROW()))-1,E127)</f>
        <v>-1.2562132851333008E-2</v>
      </c>
      <c r="F128" s="62">
        <f>表2_367162629303810[[#This Row],[累计净值]]-0.0727</f>
        <v>1.0292000000000001</v>
      </c>
      <c r="G128" s="20">
        <f>表2_367162629303810[[#This Row],[累计净值]]/$B$21-1</f>
        <v>2.1507369982386226E-2</v>
      </c>
    </row>
    <row r="129" spans="1:7">
      <c r="A129" s="15">
        <v>43887</v>
      </c>
      <c r="B129" s="16">
        <v>1.105</v>
      </c>
      <c r="C129" s="73">
        <f t="shared" si="25"/>
        <v>3.0999999999998806E-3</v>
      </c>
      <c r="D129" s="18" t="str">
        <f t="shared" si="26"/>
        <v>/</v>
      </c>
      <c r="E129" s="18">
        <f ca="1">IF(表2_367162629303810[[#This Row],[累计净值]]/MAX(INDIRECT("B21:B" &amp; ROW()))-1&lt;E128,表2_367162629303810[[#This Row],[累计净值]]/MAX(INDIRECT("B21:B" &amp; ROW()))-1,E128)</f>
        <v>-1.2562132851333008E-2</v>
      </c>
      <c r="F129" s="62">
        <f>表2_367162629303810[[#This Row],[累计净值]]-0.0727</f>
        <v>1.0323</v>
      </c>
      <c r="G129" s="20">
        <f>表2_367162629303810[[#This Row],[累计净值]]/$B$21-1</f>
        <v>2.4381199592101499E-2</v>
      </c>
    </row>
    <row r="130" spans="1:7">
      <c r="A130" s="15">
        <v>43888</v>
      </c>
      <c r="B130" s="16">
        <v>1.1079000000000001</v>
      </c>
      <c r="C130" s="73">
        <f t="shared" ref="C130:C135" si="27">IFERROR(B130-B129,0)</f>
        <v>2.9000000000001247E-3</v>
      </c>
      <c r="D130" s="18" t="str">
        <f t="shared" ref="D130:D135" si="28">IF(C130&lt;0,C130,"/")</f>
        <v>/</v>
      </c>
      <c r="E130" s="18">
        <f ca="1">IF(表2_367162629303810[[#This Row],[累计净值]]/MAX(INDIRECT("B21:B" &amp; ROW()))-1&lt;E129,表2_367162629303810[[#This Row],[累计净值]]/MAX(INDIRECT("B21:B" &amp; ROW()))-1,E129)</f>
        <v>-1.2562132851333008E-2</v>
      </c>
      <c r="F130" s="62">
        <f>表2_367162629303810[[#This Row],[累计净值]]-0.0727</f>
        <v>1.0352000000000001</v>
      </c>
      <c r="G130" s="20">
        <f>表2_367162629303810[[#This Row],[累计净值]]/$B$21-1</f>
        <v>2.7069620839899944E-2</v>
      </c>
    </row>
    <row r="131" spans="1:7">
      <c r="A131" s="15">
        <v>43889</v>
      </c>
      <c r="B131" s="16">
        <v>1.1060000000000001</v>
      </c>
      <c r="C131" s="73">
        <f t="shared" si="27"/>
        <v>-1.9000000000000128E-3</v>
      </c>
      <c r="D131" s="18">
        <f t="shared" si="28"/>
        <v>-1.9000000000000128E-3</v>
      </c>
      <c r="E131" s="18">
        <f ca="1">IF(表2_367162629303810[[#This Row],[累计净值]]/MAX(INDIRECT("B21:B" &amp; ROW()))-1&lt;E130,表2_367162629303810[[#This Row],[累计净值]]/MAX(INDIRECT("B21:B" &amp; ROW()))-1,E130)</f>
        <v>-1.2562132851333008E-2</v>
      </c>
      <c r="F131" s="62">
        <f>表2_367162629303810[[#This Row],[累计净值]]-0.0727</f>
        <v>1.0333000000000001</v>
      </c>
      <c r="G131" s="20">
        <f>表2_367162629303810[[#This Row],[累计净值]]/$B$21-1</f>
        <v>2.5308241401687415E-2</v>
      </c>
    </row>
    <row r="132" spans="1:7">
      <c r="A132" s="15">
        <v>43892</v>
      </c>
      <c r="B132" s="16">
        <v>1.1082000000000001</v>
      </c>
      <c r="C132" s="73">
        <f t="shared" si="27"/>
        <v>2.1999999999999797E-3</v>
      </c>
      <c r="D132" s="18" t="str">
        <f t="shared" si="28"/>
        <v>/</v>
      </c>
      <c r="E132" s="18">
        <f ca="1">IF(表2_367162629303810[[#This Row],[累计净值]]/MAX(INDIRECT("B21:B" &amp; ROW()))-1&lt;E131,表2_367162629303810[[#This Row],[累计净值]]/MAX(INDIRECT("B21:B" &amp; ROW()))-1,E131)</f>
        <v>-1.2562132851333008E-2</v>
      </c>
      <c r="F132" s="62">
        <f>表2_367162629303810[[#This Row],[累计净值]]-0.0727</f>
        <v>1.0355000000000001</v>
      </c>
      <c r="G132" s="20">
        <f>表2_367162629303810[[#This Row],[累计净值]]/$B$21-1</f>
        <v>2.734773338277563E-2</v>
      </c>
    </row>
    <row r="133" spans="1:7">
      <c r="A133" s="15">
        <v>43893</v>
      </c>
      <c r="B133" s="16">
        <v>1.1122000000000001</v>
      </c>
      <c r="C133" s="73">
        <f t="shared" si="27"/>
        <v>4.0000000000000036E-3</v>
      </c>
      <c r="D133" s="18" t="str">
        <f t="shared" si="28"/>
        <v>/</v>
      </c>
      <c r="E133" s="18">
        <f ca="1">IF(表2_367162629303810[[#This Row],[累计净值]]/MAX(INDIRECT("B21:B" &amp; ROW()))-1&lt;E132,表2_367162629303810[[#This Row],[累计净值]]/MAX(INDIRECT("B21:B" &amp; ROW()))-1,E132)</f>
        <v>-1.2562132851333008E-2</v>
      </c>
      <c r="F133" s="62">
        <f>表2_367162629303810[[#This Row],[累计净值]]-0.0727</f>
        <v>1.0395000000000001</v>
      </c>
      <c r="G133" s="20">
        <f>表2_367162629303810[[#This Row],[累计净值]]/$B$21-1</f>
        <v>3.1055900621118182E-2</v>
      </c>
    </row>
    <row r="134" spans="1:7">
      <c r="A134" s="15">
        <v>43894</v>
      </c>
      <c r="B134" s="16">
        <v>1.1152</v>
      </c>
      <c r="C134" s="73">
        <f t="shared" si="27"/>
        <v>2.9999999999998916E-3</v>
      </c>
      <c r="D134" s="18" t="str">
        <f t="shared" si="28"/>
        <v>/</v>
      </c>
      <c r="E134" s="18">
        <f ca="1">IF(表2_367162629303810[[#This Row],[累计净值]]/MAX(INDIRECT("B21:B" &amp; ROW()))-1&lt;E133,表2_367162629303810[[#This Row],[累计净值]]/MAX(INDIRECT("B21:B" &amp; ROW()))-1,E133)</f>
        <v>-1.2562132851333008E-2</v>
      </c>
      <c r="F134" s="62">
        <f>表2_367162629303810[[#This Row],[累计净值]]-0.0727</f>
        <v>1.0425</v>
      </c>
      <c r="G134" s="20">
        <f>表2_367162629303810[[#This Row],[累计净值]]/$B$21-1</f>
        <v>3.3837026049874819E-2</v>
      </c>
    </row>
    <row r="135" spans="1:7">
      <c r="A135" s="15">
        <v>43895</v>
      </c>
      <c r="B135" s="16">
        <v>1.1157999999999999</v>
      </c>
      <c r="C135" s="73">
        <f t="shared" si="27"/>
        <v>5.9999999999993392E-4</v>
      </c>
      <c r="D135" s="18" t="str">
        <f t="shared" si="28"/>
        <v>/</v>
      </c>
      <c r="E135" s="18">
        <f ca="1">IF(表2_367162629303810[[#This Row],[累计净值]]/MAX(INDIRECT("B21:B" &amp; ROW()))-1&lt;E134,表2_367162629303810[[#This Row],[累计净值]]/MAX(INDIRECT("B21:B" &amp; ROW()))-1,E134)</f>
        <v>-1.2562132851333008E-2</v>
      </c>
      <c r="F135" s="62">
        <f>表2_367162629303810[[#This Row],[累计净值]]-0.0727</f>
        <v>1.0430999999999999</v>
      </c>
      <c r="G135" s="20">
        <f>表2_367162629303810[[#This Row],[累计净值]]/$B$21-1</f>
        <v>3.4393251135626191E-2</v>
      </c>
    </row>
    <row r="136" spans="1:7">
      <c r="A136" s="15">
        <v>43896</v>
      </c>
      <c r="B136" s="16">
        <v>1.1153</v>
      </c>
      <c r="C136" s="73">
        <f t="shared" ref="C136:C141" si="29">IFERROR(B136-B135,0)</f>
        <v>-4.9999999999994493E-4</v>
      </c>
      <c r="D136" s="18">
        <f t="shared" ref="D136:D141" si="30">IF(C136&lt;0,C136,"/")</f>
        <v>-4.9999999999994493E-4</v>
      </c>
      <c r="E136" s="18">
        <f ca="1">IF(表2_367162629303810[[#This Row],[累计净值]]/MAX(INDIRECT("B21:B" &amp; ROW()))-1&lt;E135,表2_367162629303810[[#This Row],[累计净值]]/MAX(INDIRECT("B21:B" &amp; ROW()))-1,E135)</f>
        <v>-1.2562132851333008E-2</v>
      </c>
      <c r="F136" s="62">
        <f>表2_367162629303810[[#This Row],[累计净值]]-0.0727</f>
        <v>1.0426</v>
      </c>
      <c r="G136" s="20">
        <f>表2_367162629303810[[#This Row],[累计净值]]/$B$21-1</f>
        <v>3.3929730230833455E-2</v>
      </c>
    </row>
    <row r="137" spans="1:7">
      <c r="A137" s="15">
        <v>43899</v>
      </c>
      <c r="B137" s="16">
        <v>1.1134999999999999</v>
      </c>
      <c r="C137" s="73">
        <f t="shared" si="29"/>
        <v>-1.8000000000000238E-3</v>
      </c>
      <c r="D137" s="18">
        <f t="shared" si="30"/>
        <v>-1.8000000000000238E-3</v>
      </c>
      <c r="E137" s="18">
        <f ca="1">IF(表2_367162629303810[[#This Row],[累计净值]]/MAX(INDIRECT("B21:B" &amp; ROW()))-1&lt;E136,表2_367162629303810[[#This Row],[累计净值]]/MAX(INDIRECT("B21:B" &amp; ROW()))-1,E136)</f>
        <v>-1.2562132851333008E-2</v>
      </c>
      <c r="F137" s="62">
        <f>表2_367162629303810[[#This Row],[累计净值]]-0.0727</f>
        <v>1.0407999999999999</v>
      </c>
      <c r="G137" s="20">
        <f>表2_367162629303810[[#This Row],[累计净值]]/$B$21-1</f>
        <v>3.2261054973579339E-2</v>
      </c>
    </row>
    <row r="138" spans="1:7">
      <c r="A138" s="15">
        <v>43900</v>
      </c>
      <c r="B138" s="16">
        <v>1.1194</v>
      </c>
      <c r="C138" s="73">
        <f t="shared" si="29"/>
        <v>5.9000000000000163E-3</v>
      </c>
      <c r="D138" s="18" t="str">
        <f t="shared" si="30"/>
        <v>/</v>
      </c>
      <c r="E138" s="18">
        <f ca="1">IF(表2_367162629303810[[#This Row],[累计净值]]/MAX(INDIRECT("B21:B" &amp; ROW()))-1&lt;E137,表2_367162629303810[[#This Row],[累计净值]]/MAX(INDIRECT("B21:B" &amp; ROW()))-1,E137)</f>
        <v>-1.2562132851333008E-2</v>
      </c>
      <c r="F138" s="62">
        <f>表2_367162629303810[[#This Row],[累计净值]]-0.0727</f>
        <v>1.0467</v>
      </c>
      <c r="G138" s="20">
        <f>表2_367162629303810[[#This Row],[累计净值]]/$B$21-1</f>
        <v>3.7730601650134421E-2</v>
      </c>
    </row>
    <row r="139" spans="1:7">
      <c r="A139" s="15">
        <v>43901</v>
      </c>
      <c r="B139" s="16">
        <v>1.1191</v>
      </c>
      <c r="C139" s="73">
        <f t="shared" si="29"/>
        <v>-2.9999999999996696E-4</v>
      </c>
      <c r="D139" s="18">
        <f t="shared" si="30"/>
        <v>-2.9999999999996696E-4</v>
      </c>
      <c r="E139" s="18">
        <f ca="1">IF(表2_367162629303810[[#This Row],[累计净值]]/MAX(INDIRECT("B21:B" &amp; ROW()))-1&lt;E138,表2_367162629303810[[#This Row],[累计净值]]/MAX(INDIRECT("B21:B" &amp; ROW()))-1,E138)</f>
        <v>-1.2562132851333008E-2</v>
      </c>
      <c r="F139" s="62">
        <f>表2_367162629303810[[#This Row],[累计净值]]-0.0727</f>
        <v>1.0464</v>
      </c>
      <c r="G139" s="20">
        <f>表2_367162629303810[[#This Row],[累计净值]]/$B$21-1</f>
        <v>3.7452489107258735E-2</v>
      </c>
    </row>
    <row r="140" spans="1:7">
      <c r="A140" s="15">
        <v>43902</v>
      </c>
      <c r="B140" s="16">
        <v>1.1183000000000001</v>
      </c>
      <c r="C140" s="73">
        <f t="shared" si="29"/>
        <v>-7.9999999999991189E-4</v>
      </c>
      <c r="D140" s="18">
        <f t="shared" si="30"/>
        <v>-7.9999999999991189E-4</v>
      </c>
      <c r="E140" s="18">
        <f ca="1">IF(表2_367162629303810[[#This Row],[累计净值]]/MAX(INDIRECT("B21:B" &amp; ROW()))-1&lt;E139,表2_367162629303810[[#This Row],[累计净值]]/MAX(INDIRECT("B21:B" &amp; ROW()))-1,E139)</f>
        <v>-1.2562132851333008E-2</v>
      </c>
      <c r="F140" s="62">
        <f>表2_367162629303810[[#This Row],[累计净值]]-0.0727</f>
        <v>1.0456000000000001</v>
      </c>
      <c r="G140" s="20">
        <f>表2_367162629303810[[#This Row],[累计净值]]/$B$21-1</f>
        <v>3.6710855659590313E-2</v>
      </c>
    </row>
    <row r="141" spans="1:7">
      <c r="A141" s="15">
        <v>43903</v>
      </c>
      <c r="B141" s="16">
        <v>1.1164000000000001</v>
      </c>
      <c r="C141" s="73">
        <f t="shared" si="29"/>
        <v>-1.9000000000000128E-3</v>
      </c>
      <c r="D141" s="18">
        <f t="shared" si="30"/>
        <v>-1.9000000000000128E-3</v>
      </c>
      <c r="E141" s="18">
        <f ca="1">IF(表2_367162629303810[[#This Row],[累计净值]]/MAX(INDIRECT("B21:B" &amp; ROW()))-1&lt;E140,表2_367162629303810[[#This Row],[累计净值]]/MAX(INDIRECT("B21:B" &amp; ROW()))-1,E140)</f>
        <v>-1.2562132851333008E-2</v>
      </c>
      <c r="F141" s="62">
        <f>表2_367162629303810[[#This Row],[累计净值]]-0.0727</f>
        <v>1.0437000000000001</v>
      </c>
      <c r="G141" s="20">
        <f>表2_367162629303810[[#This Row],[累计净值]]/$B$21-1</f>
        <v>3.4949476221377562E-2</v>
      </c>
    </row>
    <row r="142" spans="1:7">
      <c r="A142" s="15">
        <v>43906</v>
      </c>
      <c r="B142" s="16">
        <v>1.1151</v>
      </c>
      <c r="C142" s="73">
        <f>IFERROR(B142-B141,0)</f>
        <v>-1.3000000000000789E-3</v>
      </c>
      <c r="D142" s="18">
        <f>IF(C142&lt;0,C142,"/")</f>
        <v>-1.3000000000000789E-3</v>
      </c>
      <c r="E142" s="18">
        <f ca="1">IF(表2_367162629303810[[#This Row],[累计净值]]/MAX(INDIRECT("B21:B" &amp; ROW()))-1&lt;E141,表2_367162629303810[[#This Row],[累计净值]]/MAX(INDIRECT("B21:B" &amp; ROW()))-1,E141)</f>
        <v>-1.2562132851333008E-2</v>
      </c>
      <c r="F142" s="62">
        <f>表2_367162629303810[[#This Row],[累计净值]]-0.0727</f>
        <v>1.0424</v>
      </c>
      <c r="G142" s="20">
        <f>表2_367162629303810[[#This Row],[累计净值]]/$B$21-1</f>
        <v>3.3744321868916183E-2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9">
    <tabColor theme="1"/>
  </sheetPr>
  <dimension ref="A1:G150"/>
  <sheetViews>
    <sheetView workbookViewId="0">
      <pane xSplit="1" ySplit="20" topLeftCell="B141" activePane="bottomRight" state="frozen"/>
      <selection pane="topRight" activeCell="B1" sqref="B1"/>
      <selection pane="bottomLeft" activeCell="A21" sqref="A21"/>
      <selection pane="bottomRight" activeCell="K149" sqref="K14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9" style="1"/>
    <col min="9" max="9" width="14.1640625" style="1" customWidth="1"/>
    <col min="10" max="10" width="12" style="1" bestFit="1" customWidth="1"/>
    <col min="11" max="16384" width="9" style="1"/>
  </cols>
  <sheetData>
    <row r="1" spans="1:7" ht="16" thickBot="1"/>
    <row r="2" spans="1:7" ht="16" thickBot="1">
      <c r="A2" s="23" t="s">
        <v>0</v>
      </c>
      <c r="B2" s="24">
        <f>COUNT(表2_3671626293038[每日盈亏])</f>
        <v>130</v>
      </c>
      <c r="C2" s="27"/>
      <c r="D2" s="3" t="s">
        <v>1</v>
      </c>
      <c r="E2" s="28"/>
      <c r="F2" s="1" t="s">
        <v>2</v>
      </c>
      <c r="G2" s="400" t="s">
        <v>3</v>
      </c>
    </row>
    <row r="3" spans="1:7">
      <c r="A3" s="25" t="s">
        <v>4</v>
      </c>
      <c r="B3" s="26">
        <f>COUNTIF(表2_3671626293038[每日盈亏],"&gt;0")</f>
        <v>58</v>
      </c>
      <c r="C3" s="29"/>
      <c r="D3" s="30" t="s">
        <v>5</v>
      </c>
      <c r="E3" s="31">
        <f>245^0.5*(B10-0.025/365)/E10</f>
        <v>0.17746993378690901</v>
      </c>
      <c r="G3" s="400"/>
    </row>
    <row r="4" spans="1:7">
      <c r="A4" s="25" t="s">
        <v>6</v>
      </c>
      <c r="B4" s="26">
        <f>COUNTIF(表2_3671626293038[每日盈亏],"&lt;0")</f>
        <v>57</v>
      </c>
      <c r="C4" s="29"/>
      <c r="D4" s="32" t="s">
        <v>7</v>
      </c>
      <c r="E4" s="31">
        <f ca="1">-B9/E8</f>
        <v>0.8899365321147491</v>
      </c>
      <c r="G4" s="2">
        <f>LOOKUP(999^10,表2_3671626293038[累计净值])</f>
        <v>1.024</v>
      </c>
    </row>
    <row r="5" spans="1:7">
      <c r="A5" s="25" t="s">
        <v>8</v>
      </c>
      <c r="B5" s="26">
        <f>B2-B3-B4</f>
        <v>15</v>
      </c>
      <c r="C5" s="29"/>
      <c r="D5" s="33" t="s">
        <v>9</v>
      </c>
      <c r="E5" s="4">
        <f>245^0.5*(B10-0.025/365)/E9</f>
        <v>0.26565472934732476</v>
      </c>
    </row>
    <row r="6" spans="1:7" ht="16" thickBot="1">
      <c r="A6" s="34"/>
      <c r="B6" s="35"/>
      <c r="C6" s="35"/>
      <c r="D6" s="35"/>
      <c r="E6" s="36"/>
    </row>
    <row r="7" spans="1:7" ht="16" thickBot="1">
      <c r="A7" s="5" t="s">
        <v>10</v>
      </c>
      <c r="B7" s="35"/>
      <c r="C7" s="35"/>
      <c r="D7" s="3" t="s">
        <v>11</v>
      </c>
      <c r="E7" s="37"/>
    </row>
    <row r="8" spans="1:7">
      <c r="A8" s="38" t="s">
        <v>12</v>
      </c>
      <c r="B8" s="39">
        <f>LOOKUP(999^10,表2_3671626293038[累计净值])/$B$21-1</f>
        <v>1.3861386138613874E-2</v>
      </c>
      <c r="C8" s="40"/>
      <c r="D8" s="30" t="s">
        <v>13</v>
      </c>
      <c r="E8" s="41">
        <f ca="1">MIN(表2_3671626293038[最大回撤])</f>
        <v>-2.9354207436399271E-2</v>
      </c>
    </row>
    <row r="9" spans="1:7">
      <c r="A9" s="25" t="s">
        <v>14</v>
      </c>
      <c r="B9" s="32">
        <f>B8*245/B2</f>
        <v>2.6123381568926147E-2</v>
      </c>
      <c r="C9" s="40"/>
      <c r="D9" s="33" t="s">
        <v>15</v>
      </c>
      <c r="E9" s="6">
        <f>STDEV(表2_3671626293038[下跌幅度])</f>
        <v>2.3096289669365254E-3</v>
      </c>
    </row>
    <row r="10" spans="1:7">
      <c r="A10" s="42" t="s">
        <v>16</v>
      </c>
      <c r="B10" s="43">
        <f>AVERAGE(表2_3671626293038[每日盈亏])</f>
        <v>1.0769230769230779E-4</v>
      </c>
      <c r="C10" s="44"/>
      <c r="D10" s="33" t="s">
        <v>17</v>
      </c>
      <c r="E10" s="6">
        <f>STDEV(表2_3671626293038[每日盈亏])</f>
        <v>3.4572834114029701E-3</v>
      </c>
    </row>
    <row r="11" spans="1:7">
      <c r="A11" s="7" t="s">
        <v>18</v>
      </c>
      <c r="B11" s="32">
        <f>B3/B2</f>
        <v>0.44615384615384618</v>
      </c>
      <c r="C11" s="40"/>
      <c r="D11" s="32" t="s">
        <v>19</v>
      </c>
      <c r="E11" s="41">
        <f>245^0.5*E10</f>
        <v>5.4115045077655889E-2</v>
      </c>
    </row>
    <row r="12" spans="1:7" ht="16" thickBot="1">
      <c r="A12" s="45" t="s">
        <v>20</v>
      </c>
      <c r="B12" s="46">
        <f>-(SUMIF(表2_3671626293038[每日盈亏],"&gt;=0")/B3)/(SUMIF(表2_3671626293038[每日盈亏],"&lt;0")/B4)</f>
        <v>1.0686962889573324</v>
      </c>
      <c r="C12" s="47"/>
      <c r="D12" s="48"/>
      <c r="E12" s="49"/>
    </row>
    <row r="14" spans="1:7" ht="32">
      <c r="A14" s="50" t="s">
        <v>21</v>
      </c>
      <c r="B14" s="50" t="s">
        <v>14</v>
      </c>
      <c r="C14" s="51" t="s">
        <v>19</v>
      </c>
      <c r="D14" s="51" t="s">
        <v>13</v>
      </c>
      <c r="E14" s="51" t="s">
        <v>5</v>
      </c>
      <c r="F14" s="51" t="s">
        <v>7</v>
      </c>
    </row>
    <row r="15" spans="1:7">
      <c r="A15" s="52">
        <f>B2</f>
        <v>130</v>
      </c>
      <c r="B15" s="53">
        <f>B9</f>
        <v>2.6123381568926147E-2</v>
      </c>
      <c r="C15" s="53">
        <f>E11</f>
        <v>5.4115045077655889E-2</v>
      </c>
      <c r="D15" s="53">
        <f ca="1">E8</f>
        <v>-2.9354207436399271E-2</v>
      </c>
      <c r="E15" s="54">
        <f>E3</f>
        <v>0.17746993378690901</v>
      </c>
      <c r="F15" s="54">
        <f ca="1">E4</f>
        <v>0.8899365321147491</v>
      </c>
    </row>
    <row r="19" spans="1:7">
      <c r="A19" s="8"/>
      <c r="B19" s="1" t="s">
        <v>22</v>
      </c>
    </row>
    <row r="20" spans="1:7" ht="16">
      <c r="A20" s="22" t="s">
        <v>23</v>
      </c>
      <c r="B20" s="22" t="s">
        <v>24</v>
      </c>
      <c r="C20" s="22" t="s">
        <v>25</v>
      </c>
      <c r="D20" s="22" t="s">
        <v>26</v>
      </c>
      <c r="E20" s="22" t="s">
        <v>27</v>
      </c>
      <c r="F20" s="22" t="s">
        <v>28</v>
      </c>
      <c r="G20" s="22" t="s">
        <v>29</v>
      </c>
    </row>
    <row r="21" spans="1:7">
      <c r="A21" s="15">
        <v>43705</v>
      </c>
      <c r="B21" s="10">
        <v>1.01</v>
      </c>
      <c r="C21" s="11">
        <f>IFERROR(B21-B20,0)</f>
        <v>0</v>
      </c>
      <c r="D21" s="12" t="str">
        <f>IF(C21&lt;0,C21,"/")</f>
        <v>/</v>
      </c>
      <c r="E21" s="12">
        <f ca="1">IF(表2_3671626293038[[#This Row],[累计净值]]/MAX(INDIRECT("B21:B" &amp; ROW()))-1&lt;E20,表2_3671626293038[[#This Row],[累计净值]]/MAX(INDIRECT("B21:B" &amp; ROW()))-1,E20)</f>
        <v>0</v>
      </c>
      <c r="F21" s="13">
        <f>表2_3671626293038[[#This Row],[累计净值]]</f>
        <v>1.01</v>
      </c>
      <c r="G21" s="14" t="s">
        <v>30</v>
      </c>
    </row>
    <row r="22" spans="1:7">
      <c r="A22" s="15">
        <v>43706</v>
      </c>
      <c r="B22" s="16">
        <v>1.01</v>
      </c>
      <c r="C22" s="17">
        <f>IFERROR(B22-B21,0)</f>
        <v>0</v>
      </c>
      <c r="D22" s="18" t="str">
        <f>IF(C22&lt;0,C22,"/")</f>
        <v>/</v>
      </c>
      <c r="E22" s="18">
        <f ca="1">IF(表2_3671626293038[[#This Row],[累计净值]]/MAX(INDIRECT("B21:B" &amp; ROW()))-1&lt;E21,表2_3671626293038[[#This Row],[累计净值]]/MAX(INDIRECT("B21:B" &amp; ROW()))-1,E21)</f>
        <v>0</v>
      </c>
      <c r="F22" s="21">
        <f>表2_3671626293038[[#This Row],[累计净值]]</f>
        <v>1.01</v>
      </c>
      <c r="G22" s="20">
        <f>表2_3671626293038[[#This Row],[累计净值]]/$B$21-1</f>
        <v>0</v>
      </c>
    </row>
    <row r="23" spans="1:7">
      <c r="A23" s="15">
        <v>43707</v>
      </c>
      <c r="B23" s="16">
        <v>1.0049999999999999</v>
      </c>
      <c r="C23" s="17">
        <f>IFERROR(B23-B22,0)</f>
        <v>-5.0000000000001155E-3</v>
      </c>
      <c r="D23" s="18">
        <f>IF(C23&lt;0,C23,"/")</f>
        <v>-5.0000000000001155E-3</v>
      </c>
      <c r="E23" s="18">
        <f ca="1">IF(表2_3671626293038[[#This Row],[累计净值]]/MAX(INDIRECT("B21:B" &amp; ROW()))-1&lt;E22,表2_3671626293038[[#This Row],[累计净值]]/MAX(INDIRECT("B21:B" &amp; ROW()))-1,E22)</f>
        <v>-4.9504950495050659E-3</v>
      </c>
      <c r="F23" s="21">
        <f>表2_3671626293038[[#This Row],[累计净值]]</f>
        <v>1.0049999999999999</v>
      </c>
      <c r="G23" s="20">
        <f>表2_3671626293038[[#This Row],[累计净值]]/$B$21-1</f>
        <v>-4.9504950495050659E-3</v>
      </c>
    </row>
    <row r="24" spans="1:7">
      <c r="A24" s="15">
        <v>43710</v>
      </c>
      <c r="B24" s="16">
        <v>1.008</v>
      </c>
      <c r="C24" s="61">
        <f t="shared" ref="C24:C29" si="0">IFERROR(B24-B23,0)</f>
        <v>3.0000000000001137E-3</v>
      </c>
      <c r="D24" s="18" t="str">
        <f t="shared" ref="D24:D29" si="1">IF(C24&lt;0,C24,"/")</f>
        <v>/</v>
      </c>
      <c r="E24" s="18">
        <f ca="1">IF(表2_3671626293038[[#This Row],[累计净值]]/MAX(INDIRECT("B21:B" &amp; ROW()))-1&lt;E23,表2_3671626293038[[#This Row],[累计净值]]/MAX(INDIRECT("B21:B" &amp; ROW()))-1,E23)</f>
        <v>-4.9504950495050659E-3</v>
      </c>
      <c r="F24" s="74">
        <f>表2_3671626293038[[#This Row],[累计净值]]</f>
        <v>1.008</v>
      </c>
      <c r="G24" s="20">
        <f>表2_3671626293038[[#This Row],[累计净值]]/$B$21-1</f>
        <v>-1.980198019801982E-3</v>
      </c>
    </row>
    <row r="25" spans="1:7">
      <c r="A25" s="15">
        <v>43711</v>
      </c>
      <c r="B25" s="16">
        <v>1.0069999999999999</v>
      </c>
      <c r="C25" s="61">
        <f t="shared" si="0"/>
        <v>-1.0000000000001119E-3</v>
      </c>
      <c r="D25" s="18">
        <f t="shared" si="1"/>
        <v>-1.0000000000001119E-3</v>
      </c>
      <c r="E25" s="18">
        <f ca="1">IF(表2_3671626293038[[#This Row],[累计净值]]/MAX(INDIRECT("B21:B" &amp; ROW()))-1&lt;E24,表2_3671626293038[[#This Row],[累计净值]]/MAX(INDIRECT("B21:B" &amp; ROW()))-1,E24)</f>
        <v>-4.9504950495050659E-3</v>
      </c>
      <c r="F25" s="62">
        <f>表2_3671626293038[[#This Row],[累计净值]]</f>
        <v>1.0069999999999999</v>
      </c>
      <c r="G25" s="20">
        <f>表2_3671626293038[[#This Row],[累计净值]]/$B$21-1</f>
        <v>-2.970297029703084E-3</v>
      </c>
    </row>
    <row r="26" spans="1:7">
      <c r="A26" s="15">
        <v>43712</v>
      </c>
      <c r="B26" s="16">
        <v>1.002</v>
      </c>
      <c r="C26" s="61">
        <f t="shared" si="0"/>
        <v>-4.9999999999998934E-3</v>
      </c>
      <c r="D26" s="18">
        <f t="shared" si="1"/>
        <v>-4.9999999999998934E-3</v>
      </c>
      <c r="E26" s="18">
        <f ca="1">IF(表2_3671626293038[[#This Row],[累计净值]]/MAX(INDIRECT("B21:B" &amp; ROW()))-1&lt;E25,表2_3671626293038[[#This Row],[累计净值]]/MAX(INDIRECT("B21:B" &amp; ROW()))-1,E25)</f>
        <v>-7.9207920792079278E-3</v>
      </c>
      <c r="F26" s="62">
        <f>表2_3671626293038[[#This Row],[累计净值]]</f>
        <v>1.002</v>
      </c>
      <c r="G26" s="20">
        <f>表2_3671626293038[[#This Row],[累计净值]]/$B$21-1</f>
        <v>-7.9207920792079278E-3</v>
      </c>
    </row>
    <row r="27" spans="1:7">
      <c r="A27" s="15">
        <v>43713</v>
      </c>
      <c r="B27" s="16">
        <v>1.004</v>
      </c>
      <c r="C27" s="61">
        <f t="shared" si="0"/>
        <v>2.0000000000000018E-3</v>
      </c>
      <c r="D27" s="18" t="str">
        <f t="shared" si="1"/>
        <v>/</v>
      </c>
      <c r="E27" s="18">
        <f ca="1">IF(表2_3671626293038[[#This Row],[累计净值]]/MAX(INDIRECT("B21:B" &amp; ROW()))-1&lt;E26,表2_3671626293038[[#This Row],[累计净值]]/MAX(INDIRECT("B21:B" &amp; ROW()))-1,E26)</f>
        <v>-7.9207920792079278E-3</v>
      </c>
      <c r="F27" s="62">
        <f>表2_3671626293038[[#This Row],[累计净值]]</f>
        <v>1.004</v>
      </c>
      <c r="G27" s="20">
        <f>表2_3671626293038[[#This Row],[累计净值]]/$B$21-1</f>
        <v>-5.9405940594059459E-3</v>
      </c>
    </row>
    <row r="28" spans="1:7">
      <c r="A28" s="15">
        <v>43714</v>
      </c>
      <c r="B28" s="16">
        <v>1.0049999999999999</v>
      </c>
      <c r="C28" s="61">
        <f t="shared" si="0"/>
        <v>9.9999999999988987E-4</v>
      </c>
      <c r="D28" s="18" t="str">
        <f t="shared" si="1"/>
        <v>/</v>
      </c>
      <c r="E28" s="18">
        <f ca="1">IF(表2_3671626293038[[#This Row],[累计净值]]/MAX(INDIRECT("B21:B" &amp; ROW()))-1&lt;E27,表2_3671626293038[[#This Row],[累计净值]]/MAX(INDIRECT("B21:B" &amp; ROW()))-1,E27)</f>
        <v>-7.9207920792079278E-3</v>
      </c>
      <c r="F28" s="62">
        <f>表2_3671626293038[[#This Row],[累计净值]]</f>
        <v>1.0049999999999999</v>
      </c>
      <c r="G28" s="20">
        <f>表2_3671626293038[[#This Row],[累计净值]]/$B$21-1</f>
        <v>-4.9504950495050659E-3</v>
      </c>
    </row>
    <row r="29" spans="1:7">
      <c r="A29" s="15">
        <v>43717</v>
      </c>
      <c r="B29" s="16">
        <v>1.006</v>
      </c>
      <c r="C29" s="61">
        <f t="shared" si="0"/>
        <v>1.0000000000001119E-3</v>
      </c>
      <c r="D29" s="18" t="str">
        <f t="shared" si="1"/>
        <v>/</v>
      </c>
      <c r="E29" s="18">
        <f ca="1">IF(表2_3671626293038[[#This Row],[累计净值]]/MAX(INDIRECT("B21:B" &amp; ROW()))-1&lt;E28,表2_3671626293038[[#This Row],[累计净值]]/MAX(INDIRECT("B21:B" &amp; ROW()))-1,E28)</f>
        <v>-7.9207920792079278E-3</v>
      </c>
      <c r="F29" s="62">
        <f>表2_3671626293038[[#This Row],[累计净值]]</f>
        <v>1.006</v>
      </c>
      <c r="G29" s="20">
        <f>表2_3671626293038[[#This Row],[累计净值]]/$B$21-1</f>
        <v>-3.9603960396039639E-3</v>
      </c>
    </row>
    <row r="30" spans="1:7">
      <c r="A30" s="15">
        <v>43718</v>
      </c>
      <c r="B30" s="16">
        <v>1.006</v>
      </c>
      <c r="C30" s="61">
        <f t="shared" ref="C30:C37" si="2">IFERROR(B30-B29,0)</f>
        <v>0</v>
      </c>
      <c r="D30" s="18" t="str">
        <f t="shared" ref="D30:D37" si="3">IF(C30&lt;0,C30,"/")</f>
        <v>/</v>
      </c>
      <c r="E30" s="18">
        <f ca="1">IF(表2_3671626293038[[#This Row],[累计净值]]/MAX(INDIRECT("B21:B" &amp; ROW()))-1&lt;E29,表2_3671626293038[[#This Row],[累计净值]]/MAX(INDIRECT("B21:B" &amp; ROW()))-1,E29)</f>
        <v>-7.9207920792079278E-3</v>
      </c>
      <c r="F30" s="62">
        <f>表2_3671626293038[[#This Row],[累计净值]]</f>
        <v>1.006</v>
      </c>
      <c r="G30" s="20">
        <f>表2_3671626293038[[#This Row],[累计净值]]/$B$21-1</f>
        <v>-3.9603960396039639E-3</v>
      </c>
    </row>
    <row r="31" spans="1:7">
      <c r="A31" s="15">
        <v>43719</v>
      </c>
      <c r="B31" s="16">
        <v>1.004</v>
      </c>
      <c r="C31" s="61">
        <f t="shared" si="2"/>
        <v>-2.0000000000000018E-3</v>
      </c>
      <c r="D31" s="18">
        <f t="shared" si="3"/>
        <v>-2.0000000000000018E-3</v>
      </c>
      <c r="E31" s="18">
        <f ca="1">IF(表2_3671626293038[[#This Row],[累计净值]]/MAX(INDIRECT("B21:B" &amp; ROW()))-1&lt;E30,表2_3671626293038[[#This Row],[累计净值]]/MAX(INDIRECT("B21:B" &amp; ROW()))-1,E30)</f>
        <v>-7.9207920792079278E-3</v>
      </c>
      <c r="F31" s="62">
        <f>表2_3671626293038[[#This Row],[累计净值]]</f>
        <v>1.004</v>
      </c>
      <c r="G31" s="20">
        <f>表2_3671626293038[[#This Row],[累计净值]]/$B$21-1</f>
        <v>-5.9405940594059459E-3</v>
      </c>
    </row>
    <row r="32" spans="1:7">
      <c r="A32" s="15">
        <v>43720</v>
      </c>
      <c r="B32" s="16">
        <v>1.006</v>
      </c>
      <c r="C32" s="61">
        <f t="shared" si="2"/>
        <v>2.0000000000000018E-3</v>
      </c>
      <c r="D32" s="18" t="str">
        <f t="shared" si="3"/>
        <v>/</v>
      </c>
      <c r="E32" s="18">
        <f ca="1">IF(表2_3671626293038[[#This Row],[累计净值]]/MAX(INDIRECT("B21:B" &amp; ROW()))-1&lt;E31,表2_3671626293038[[#This Row],[累计净值]]/MAX(INDIRECT("B21:B" &amp; ROW()))-1,E31)</f>
        <v>-7.9207920792079278E-3</v>
      </c>
      <c r="F32" s="62">
        <f>表2_3671626293038[[#This Row],[累计净值]]</f>
        <v>1.006</v>
      </c>
      <c r="G32" s="20">
        <f>表2_3671626293038[[#This Row],[累计净值]]/$B$21-1</f>
        <v>-3.9603960396039639E-3</v>
      </c>
    </row>
    <row r="33" spans="1:7">
      <c r="A33" s="15">
        <v>43724</v>
      </c>
      <c r="B33" s="16">
        <v>1.008</v>
      </c>
      <c r="C33" s="61">
        <f t="shared" si="2"/>
        <v>2.0000000000000018E-3</v>
      </c>
      <c r="D33" s="18" t="str">
        <f t="shared" si="3"/>
        <v>/</v>
      </c>
      <c r="E33" s="18">
        <f ca="1">IF(表2_3671626293038[[#This Row],[累计净值]]/MAX(INDIRECT("B21:B" &amp; ROW()))-1&lt;E32,表2_3671626293038[[#This Row],[累计净值]]/MAX(INDIRECT("B21:B" &amp; ROW()))-1,E32)</f>
        <v>-7.9207920792079278E-3</v>
      </c>
      <c r="F33" s="62">
        <f>表2_3671626293038[[#This Row],[累计净值]]</f>
        <v>1.008</v>
      </c>
      <c r="G33" s="20">
        <f>表2_3671626293038[[#This Row],[累计净值]]/$B$21-1</f>
        <v>-1.980198019801982E-3</v>
      </c>
    </row>
    <row r="34" spans="1:7">
      <c r="A34" s="15">
        <v>43725</v>
      </c>
      <c r="B34" s="16">
        <v>1.0069999999999999</v>
      </c>
      <c r="C34" s="61">
        <f t="shared" si="2"/>
        <v>-1.0000000000001119E-3</v>
      </c>
      <c r="D34" s="18">
        <f t="shared" si="3"/>
        <v>-1.0000000000001119E-3</v>
      </c>
      <c r="E34" s="18">
        <f ca="1">IF(表2_3671626293038[[#This Row],[累计净值]]/MAX(INDIRECT("B21:B" &amp; ROW()))-1&lt;E33,表2_3671626293038[[#This Row],[累计净值]]/MAX(INDIRECT("B21:B" &amp; ROW()))-1,E33)</f>
        <v>-7.9207920792079278E-3</v>
      </c>
      <c r="F34" s="62">
        <f>表2_3671626293038[[#This Row],[累计净值]]</f>
        <v>1.0069999999999999</v>
      </c>
      <c r="G34" s="20">
        <f>表2_3671626293038[[#This Row],[累计净值]]/$B$21-1</f>
        <v>-2.970297029703084E-3</v>
      </c>
    </row>
    <row r="35" spans="1:7">
      <c r="A35" s="15">
        <v>43726</v>
      </c>
      <c r="B35" s="16">
        <v>1.01</v>
      </c>
      <c r="C35" s="61">
        <f t="shared" si="2"/>
        <v>3.0000000000001137E-3</v>
      </c>
      <c r="D35" s="18" t="str">
        <f t="shared" si="3"/>
        <v>/</v>
      </c>
      <c r="E35" s="18">
        <f ca="1">IF(表2_3671626293038[[#This Row],[累计净值]]/MAX(INDIRECT("B21:B" &amp; ROW()))-1&lt;E34,表2_3671626293038[[#This Row],[累计净值]]/MAX(INDIRECT("B21:B" &amp; ROW()))-1,E34)</f>
        <v>-7.9207920792079278E-3</v>
      </c>
      <c r="F35" s="62">
        <f>表2_3671626293038[[#This Row],[累计净值]]</f>
        <v>1.01</v>
      </c>
      <c r="G35" s="20">
        <f>表2_3671626293038[[#This Row],[累计净值]]/$B$21-1</f>
        <v>0</v>
      </c>
    </row>
    <row r="36" spans="1:7">
      <c r="A36" s="15">
        <v>43727</v>
      </c>
      <c r="B36" s="16">
        <v>1.0109999999999999</v>
      </c>
      <c r="C36" s="61">
        <f t="shared" si="2"/>
        <v>9.9999999999988987E-4</v>
      </c>
      <c r="D36" s="18" t="str">
        <f t="shared" si="3"/>
        <v>/</v>
      </c>
      <c r="E36" s="18">
        <f ca="1">IF(表2_3671626293038[[#This Row],[累计净值]]/MAX(INDIRECT("B21:B" &amp; ROW()))-1&lt;E35,表2_3671626293038[[#This Row],[累计净值]]/MAX(INDIRECT("B21:B" &amp; ROW()))-1,E35)</f>
        <v>-7.9207920792079278E-3</v>
      </c>
      <c r="F36" s="62">
        <f>表2_3671626293038[[#This Row],[累计净值]]</f>
        <v>1.0109999999999999</v>
      </c>
      <c r="G36" s="20">
        <f>表2_3671626293038[[#This Row],[累计净值]]/$B$21-1</f>
        <v>9.9009900990099098E-4</v>
      </c>
    </row>
    <row r="37" spans="1:7">
      <c r="A37" s="15">
        <v>43728</v>
      </c>
      <c r="B37" s="16">
        <v>1.0109999999999999</v>
      </c>
      <c r="C37" s="61">
        <f t="shared" si="2"/>
        <v>0</v>
      </c>
      <c r="D37" s="18" t="str">
        <f t="shared" si="3"/>
        <v>/</v>
      </c>
      <c r="E37" s="18">
        <f ca="1">IF(表2_3671626293038[[#This Row],[累计净值]]/MAX(INDIRECT("B21:B" &amp; ROW()))-1&lt;E36,表2_3671626293038[[#This Row],[累计净值]]/MAX(INDIRECT("B21:B" &amp; ROW()))-1,E36)</f>
        <v>-7.9207920792079278E-3</v>
      </c>
      <c r="F37" s="62">
        <f>表2_3671626293038[[#This Row],[累计净值]]</f>
        <v>1.0109999999999999</v>
      </c>
      <c r="G37" s="20">
        <f>表2_3671626293038[[#This Row],[累计净值]]/$B$21-1</f>
        <v>9.9009900990099098E-4</v>
      </c>
    </row>
    <row r="38" spans="1:7">
      <c r="A38" s="15">
        <v>43731</v>
      </c>
      <c r="B38" s="16">
        <v>1.006</v>
      </c>
      <c r="C38" s="61">
        <f t="shared" ref="C38:C43" si="4">IFERROR(B38-B37,0)</f>
        <v>-4.9999999999998934E-3</v>
      </c>
      <c r="D38" s="18">
        <f t="shared" ref="D38:D43" si="5">IF(C38&lt;0,C38,"/")</f>
        <v>-4.9999999999998934E-3</v>
      </c>
      <c r="E38" s="18">
        <f ca="1">IF(表2_3671626293038[[#This Row],[累计净值]]/MAX(INDIRECT("B21:B" &amp; ROW()))-1&lt;E37,表2_3671626293038[[#This Row],[累计净值]]/MAX(INDIRECT("B21:B" &amp; ROW()))-1,E37)</f>
        <v>-7.9207920792079278E-3</v>
      </c>
      <c r="F38" s="62">
        <f>表2_3671626293038[[#This Row],[累计净值]]</f>
        <v>1.006</v>
      </c>
      <c r="G38" s="20">
        <f>表2_3671626293038[[#This Row],[累计净值]]/$B$21-1</f>
        <v>-3.9603960396039639E-3</v>
      </c>
    </row>
    <row r="39" spans="1:7">
      <c r="A39" s="15">
        <v>43732</v>
      </c>
      <c r="B39" s="16">
        <v>1.01</v>
      </c>
      <c r="C39" s="61">
        <f t="shared" si="4"/>
        <v>4.0000000000000036E-3</v>
      </c>
      <c r="D39" s="18" t="str">
        <f t="shared" si="5"/>
        <v>/</v>
      </c>
      <c r="E39" s="18">
        <f ca="1">IF(表2_3671626293038[[#This Row],[累计净值]]/MAX(INDIRECT("B21:B" &amp; ROW()))-1&lt;E38,表2_3671626293038[[#This Row],[累计净值]]/MAX(INDIRECT("B21:B" &amp; ROW()))-1,E38)</f>
        <v>-7.9207920792079278E-3</v>
      </c>
      <c r="F39" s="62">
        <f>表2_3671626293038[[#This Row],[累计净值]]</f>
        <v>1.01</v>
      </c>
      <c r="G39" s="20">
        <f>表2_3671626293038[[#This Row],[累计净值]]/$B$21-1</f>
        <v>0</v>
      </c>
    </row>
    <row r="40" spans="1:7">
      <c r="A40" s="15">
        <v>43733</v>
      </c>
      <c r="B40" s="16">
        <v>1.0089999999999999</v>
      </c>
      <c r="C40" s="61">
        <f t="shared" si="4"/>
        <v>-1.0000000000001119E-3</v>
      </c>
      <c r="D40" s="18">
        <f t="shared" si="5"/>
        <v>-1.0000000000001119E-3</v>
      </c>
      <c r="E40" s="18">
        <f ca="1">IF(表2_3671626293038[[#This Row],[累计净值]]/MAX(INDIRECT("B21:B" &amp; ROW()))-1&lt;E39,表2_3671626293038[[#This Row],[累计净值]]/MAX(INDIRECT("B21:B" &amp; ROW()))-1,E39)</f>
        <v>-7.9207920792079278E-3</v>
      </c>
      <c r="F40" s="62">
        <f>表2_3671626293038[[#This Row],[累计净值]]</f>
        <v>1.0089999999999999</v>
      </c>
      <c r="G40" s="20">
        <f>表2_3671626293038[[#This Row],[累计净值]]/$B$21-1</f>
        <v>-9.90099009901102E-4</v>
      </c>
    </row>
    <row r="41" spans="1:7">
      <c r="A41" s="15">
        <v>43734</v>
      </c>
      <c r="B41" s="16">
        <v>1.0109999999999999</v>
      </c>
      <c r="C41" s="61">
        <f t="shared" si="4"/>
        <v>2.0000000000000018E-3</v>
      </c>
      <c r="D41" s="18" t="str">
        <f t="shared" si="5"/>
        <v>/</v>
      </c>
      <c r="E41" s="18">
        <f ca="1">IF(表2_3671626293038[[#This Row],[累计净值]]/MAX(INDIRECT("B21:B" &amp; ROW()))-1&lt;E40,表2_3671626293038[[#This Row],[累计净值]]/MAX(INDIRECT("B21:B" &amp; ROW()))-1,E40)</f>
        <v>-7.9207920792079278E-3</v>
      </c>
      <c r="F41" s="62">
        <f>表2_3671626293038[[#This Row],[累计净值]]</f>
        <v>1.0109999999999999</v>
      </c>
      <c r="G41" s="20">
        <f>表2_3671626293038[[#This Row],[累计净值]]/$B$21-1</f>
        <v>9.9009900990099098E-4</v>
      </c>
    </row>
    <row r="42" spans="1:7">
      <c r="A42" s="15">
        <v>43735</v>
      </c>
      <c r="B42" s="16">
        <v>1.0129999999999999</v>
      </c>
      <c r="C42" s="61">
        <f t="shared" si="4"/>
        <v>2.0000000000000018E-3</v>
      </c>
      <c r="D42" s="18" t="str">
        <f t="shared" si="5"/>
        <v>/</v>
      </c>
      <c r="E42" s="18">
        <f ca="1">IF(表2_3671626293038[[#This Row],[累计净值]]/MAX(INDIRECT("B21:B" &amp; ROW()))-1&lt;E41,表2_3671626293038[[#This Row],[累计净值]]/MAX(INDIRECT("B21:B" &amp; ROW()))-1,E41)</f>
        <v>-7.9207920792079278E-3</v>
      </c>
      <c r="F42" s="62">
        <f>表2_3671626293038[[#This Row],[累计净值]]</f>
        <v>1.0129999999999999</v>
      </c>
      <c r="G42" s="20">
        <f>表2_3671626293038[[#This Row],[累计净值]]/$B$21-1</f>
        <v>2.9702970297029729E-3</v>
      </c>
    </row>
    <row r="43" spans="1:7">
      <c r="A43" s="15">
        <v>43738</v>
      </c>
      <c r="B43" s="16">
        <v>1.016</v>
      </c>
      <c r="C43" s="61">
        <f t="shared" si="4"/>
        <v>3.0000000000001137E-3</v>
      </c>
      <c r="D43" s="18" t="str">
        <f t="shared" si="5"/>
        <v>/</v>
      </c>
      <c r="E43" s="18">
        <f ca="1">IF(表2_3671626293038[[#This Row],[累计净值]]/MAX(INDIRECT("B21:B" &amp; ROW()))-1&lt;E42,表2_3671626293038[[#This Row],[累计净值]]/MAX(INDIRECT("B21:B" &amp; ROW()))-1,E42)</f>
        <v>-7.9207920792079278E-3</v>
      </c>
      <c r="F43" s="62">
        <f>表2_3671626293038[[#This Row],[累计净值]]</f>
        <v>1.016</v>
      </c>
      <c r="G43" s="20">
        <f>表2_3671626293038[[#This Row],[累计净值]]/$B$21-1</f>
        <v>5.9405940594059459E-3</v>
      </c>
    </row>
    <row r="44" spans="1:7">
      <c r="A44" s="15">
        <v>43746</v>
      </c>
      <c r="B44" s="16">
        <v>1.014</v>
      </c>
      <c r="C44" s="61">
        <f>IFERROR(B44-B43,0)</f>
        <v>-2.0000000000000018E-3</v>
      </c>
      <c r="D44" s="18">
        <f>IF(C44&lt;0,C44,"/")</f>
        <v>-2.0000000000000018E-3</v>
      </c>
      <c r="E44" s="18">
        <f ca="1">IF(表2_3671626293038[[#This Row],[累计净值]]/MAX(INDIRECT("B21:B" &amp; ROW()))-1&lt;E43,表2_3671626293038[[#This Row],[累计净值]]/MAX(INDIRECT("B21:B" &amp; ROW()))-1,E43)</f>
        <v>-7.9207920792079278E-3</v>
      </c>
      <c r="F44" s="62">
        <f>表2_3671626293038[[#This Row],[累计净值]]</f>
        <v>1.014</v>
      </c>
      <c r="G44" s="20">
        <f>表2_3671626293038[[#This Row],[累计净值]]/$B$21-1</f>
        <v>3.9603960396039639E-3</v>
      </c>
    </row>
    <row r="45" spans="1:7">
      <c r="A45" s="15">
        <v>43747</v>
      </c>
      <c r="B45" s="16">
        <v>1.014</v>
      </c>
      <c r="C45" s="61">
        <f>IFERROR(B45-B44,0)</f>
        <v>0</v>
      </c>
      <c r="D45" s="18" t="str">
        <f>IF(C45&lt;0,C45,"/")</f>
        <v>/</v>
      </c>
      <c r="E45" s="18">
        <f ca="1">IF(表2_3671626293038[[#This Row],[累计净值]]/MAX(INDIRECT("B21:B" &amp; ROW()))-1&lt;E44,表2_3671626293038[[#This Row],[累计净值]]/MAX(INDIRECT("B21:B" &amp; ROW()))-1,E44)</f>
        <v>-7.9207920792079278E-3</v>
      </c>
      <c r="F45" s="62">
        <f>表2_3671626293038[[#This Row],[累计净值]]</f>
        <v>1.014</v>
      </c>
      <c r="G45" s="20">
        <f>表2_3671626293038[[#This Row],[累计净值]]/$B$21-1</f>
        <v>3.9603960396039639E-3</v>
      </c>
    </row>
    <row r="46" spans="1:7">
      <c r="A46" s="15">
        <v>43748</v>
      </c>
      <c r="B46" s="16">
        <v>1.018</v>
      </c>
      <c r="C46" s="61">
        <f>IFERROR(B46-B45,0)</f>
        <v>4.0000000000000036E-3</v>
      </c>
      <c r="D46" s="18" t="str">
        <f>IF(C46&lt;0,C46,"/")</f>
        <v>/</v>
      </c>
      <c r="E46" s="18">
        <f ca="1">IF(表2_3671626293038[[#This Row],[累计净值]]/MAX(INDIRECT("B21:B" &amp; ROW()))-1&lt;E45,表2_3671626293038[[#This Row],[累计净值]]/MAX(INDIRECT("B21:B" &amp; ROW()))-1,E45)</f>
        <v>-7.9207920792079278E-3</v>
      </c>
      <c r="F46" s="62">
        <f>表2_3671626293038[[#This Row],[累计净值]]</f>
        <v>1.018</v>
      </c>
      <c r="G46" s="20">
        <f>表2_3671626293038[[#This Row],[累计净值]]/$B$21-1</f>
        <v>7.9207920792079278E-3</v>
      </c>
    </row>
    <row r="47" spans="1:7">
      <c r="A47" s="15">
        <v>43749</v>
      </c>
      <c r="B47" s="16">
        <v>1.016</v>
      </c>
      <c r="C47" s="61">
        <f>IFERROR(B47-B46,0)</f>
        <v>-2.0000000000000018E-3</v>
      </c>
      <c r="D47" s="18">
        <f>IF(C47&lt;0,C47,"/")</f>
        <v>-2.0000000000000018E-3</v>
      </c>
      <c r="E47" s="18">
        <f ca="1">IF(表2_3671626293038[[#This Row],[累计净值]]/MAX(INDIRECT("B21:B" &amp; ROW()))-1&lt;E46,表2_3671626293038[[#This Row],[累计净值]]/MAX(INDIRECT("B21:B" &amp; ROW()))-1,E46)</f>
        <v>-7.9207920792079278E-3</v>
      </c>
      <c r="F47" s="62">
        <f>表2_3671626293038[[#This Row],[累计净值]]</f>
        <v>1.016</v>
      </c>
      <c r="G47" s="20">
        <f>表2_3671626293038[[#This Row],[累计净值]]/$B$21-1</f>
        <v>5.9405940594059459E-3</v>
      </c>
    </row>
    <row r="48" spans="1:7">
      <c r="A48" s="15">
        <v>43752</v>
      </c>
      <c r="B48" s="16">
        <v>1.02</v>
      </c>
      <c r="C48" s="61">
        <f t="shared" ref="C48:C53" si="6">IFERROR(B48-B47,0)</f>
        <v>4.0000000000000036E-3</v>
      </c>
      <c r="D48" s="18" t="str">
        <f t="shared" ref="D48:D53" si="7">IF(C48&lt;0,C48,"/")</f>
        <v>/</v>
      </c>
      <c r="E48" s="18">
        <f ca="1">IF(表2_3671626293038[[#This Row],[累计净值]]/MAX(INDIRECT("B21:B" &amp; ROW()))-1&lt;E47,表2_3671626293038[[#This Row],[累计净值]]/MAX(INDIRECT("B21:B" &amp; ROW()))-1,E47)</f>
        <v>-7.9207920792079278E-3</v>
      </c>
      <c r="F48" s="62">
        <f>表2_3671626293038[[#This Row],[累计净值]]</f>
        <v>1.02</v>
      </c>
      <c r="G48" s="20">
        <f>表2_3671626293038[[#This Row],[累计净值]]/$B$21-1</f>
        <v>9.9009900990099098E-3</v>
      </c>
    </row>
    <row r="49" spans="1:7">
      <c r="A49" s="15">
        <v>43753</v>
      </c>
      <c r="B49" s="16">
        <v>1.0209999999999999</v>
      </c>
      <c r="C49" s="61">
        <f t="shared" si="6"/>
        <v>9.9999999999988987E-4</v>
      </c>
      <c r="D49" s="18" t="str">
        <f t="shared" si="7"/>
        <v>/</v>
      </c>
      <c r="E49" s="18">
        <f ca="1">IF(表2_3671626293038[[#This Row],[累计净值]]/MAX(INDIRECT("B21:B" &amp; ROW()))-1&lt;E48,表2_3671626293038[[#This Row],[累计净值]]/MAX(INDIRECT("B21:B" &amp; ROW()))-1,E48)</f>
        <v>-7.9207920792079278E-3</v>
      </c>
      <c r="F49" s="62">
        <f>表2_3671626293038[[#This Row],[累计净值]]</f>
        <v>1.0209999999999999</v>
      </c>
      <c r="G49" s="20">
        <f>表2_3671626293038[[#This Row],[累计净值]]/$B$21-1</f>
        <v>1.0891089108910901E-2</v>
      </c>
    </row>
    <row r="50" spans="1:7">
      <c r="A50" s="77">
        <v>43754</v>
      </c>
      <c r="B50" s="76">
        <v>1.022</v>
      </c>
      <c r="C50" s="61">
        <f t="shared" si="6"/>
        <v>1.0000000000001119E-3</v>
      </c>
      <c r="D50" s="18" t="str">
        <f t="shared" si="7"/>
        <v>/</v>
      </c>
      <c r="E50" s="18">
        <f ca="1">IF(表2_3671626293038[[#This Row],[累计净值]]/MAX(INDIRECT("B21:B" &amp; ROW()))-1&lt;E49,表2_3671626293038[[#This Row],[累计净值]]/MAX(INDIRECT("B21:B" &amp; ROW()))-1,E49)</f>
        <v>-7.9207920792079278E-3</v>
      </c>
      <c r="F50" s="62">
        <f>表2_3671626293038[[#This Row],[累计净值]]</f>
        <v>1.022</v>
      </c>
      <c r="G50" s="20">
        <f>表2_3671626293038[[#This Row],[累计净值]]/$B$21-1</f>
        <v>1.1881188118811892E-2</v>
      </c>
    </row>
    <row r="51" spans="1:7">
      <c r="A51" s="15">
        <v>43755</v>
      </c>
      <c r="B51" s="16">
        <v>1.0209999999999999</v>
      </c>
      <c r="C51" s="61">
        <f t="shared" si="6"/>
        <v>-1.0000000000001119E-3</v>
      </c>
      <c r="D51" s="18">
        <f t="shared" si="7"/>
        <v>-1.0000000000001119E-3</v>
      </c>
      <c r="E51" s="18">
        <f ca="1">IF(表2_3671626293038[[#This Row],[累计净值]]/MAX(INDIRECT("B21:B" &amp; ROW()))-1&lt;E50,表2_3671626293038[[#This Row],[累计净值]]/MAX(INDIRECT("B21:B" &amp; ROW()))-1,E50)</f>
        <v>-7.9207920792079278E-3</v>
      </c>
      <c r="F51" s="62">
        <f>表2_3671626293038[[#This Row],[累计净值]]</f>
        <v>1.0209999999999999</v>
      </c>
      <c r="G51" s="20">
        <f>表2_3671626293038[[#This Row],[累计净值]]/$B$21-1</f>
        <v>1.0891089108910901E-2</v>
      </c>
    </row>
    <row r="52" spans="1:7">
      <c r="A52" s="15">
        <v>43756</v>
      </c>
      <c r="B52" s="16">
        <v>1.0209999999999999</v>
      </c>
      <c r="C52" s="61">
        <f t="shared" si="6"/>
        <v>0</v>
      </c>
      <c r="D52" s="18" t="str">
        <f t="shared" si="7"/>
        <v>/</v>
      </c>
      <c r="E52" s="18">
        <f ca="1">IF(表2_3671626293038[[#This Row],[累计净值]]/MAX(INDIRECT("B21:B" &amp; ROW()))-1&lt;E51,表2_3671626293038[[#This Row],[累计净值]]/MAX(INDIRECT("B21:B" &amp; ROW()))-1,E51)</f>
        <v>-7.9207920792079278E-3</v>
      </c>
      <c r="F52" s="62">
        <f>表2_3671626293038[[#This Row],[累计净值]]</f>
        <v>1.0209999999999999</v>
      </c>
      <c r="G52" s="20">
        <f>表2_3671626293038[[#This Row],[累计净值]]/$B$21-1</f>
        <v>1.0891089108910901E-2</v>
      </c>
    </row>
    <row r="53" spans="1:7">
      <c r="A53" s="15">
        <v>43759</v>
      </c>
      <c r="B53" s="16">
        <v>1.0189999999999999</v>
      </c>
      <c r="C53" s="73">
        <f t="shared" si="6"/>
        <v>-2.0000000000000018E-3</v>
      </c>
      <c r="D53" s="18">
        <f t="shared" si="7"/>
        <v>-2.0000000000000018E-3</v>
      </c>
      <c r="E53" s="18">
        <f ca="1">IF(表2_3671626293038[[#This Row],[累计净值]]/MAX(INDIRECT("B21:B" &amp; ROW()))-1&lt;E52,表2_3671626293038[[#This Row],[累计净值]]/MAX(INDIRECT("B21:B" &amp; ROW()))-1,E52)</f>
        <v>-7.9207920792079278E-3</v>
      </c>
      <c r="F53" s="62">
        <f>表2_3671626293038[[#This Row],[累计净值]]</f>
        <v>1.0189999999999999</v>
      </c>
      <c r="G53" s="20">
        <f>表2_3671626293038[[#This Row],[累计净值]]/$B$21-1</f>
        <v>8.9108910891089188E-3</v>
      </c>
    </row>
    <row r="54" spans="1:7">
      <c r="A54" s="15">
        <v>43760</v>
      </c>
      <c r="B54" s="16">
        <v>1.0209999999999999</v>
      </c>
      <c r="C54" s="73">
        <f t="shared" ref="C54:C60" si="8">IFERROR(B54-B53,0)</f>
        <v>2.0000000000000018E-3</v>
      </c>
      <c r="D54" s="18" t="str">
        <f t="shared" ref="D54:D60" si="9">IF(C54&lt;0,C54,"/")</f>
        <v>/</v>
      </c>
      <c r="E54" s="18">
        <f ca="1">IF(表2_3671626293038[[#This Row],[累计净值]]/MAX(INDIRECT("B21:B" &amp; ROW()))-1&lt;E53,表2_3671626293038[[#This Row],[累计净值]]/MAX(INDIRECT("B21:B" &amp; ROW()))-1,E53)</f>
        <v>-7.9207920792079278E-3</v>
      </c>
      <c r="F54" s="62">
        <f>表2_3671626293038[[#This Row],[累计净值]]</f>
        <v>1.0209999999999999</v>
      </c>
      <c r="G54" s="20">
        <f>表2_3671626293038[[#This Row],[累计净值]]/$B$21-1</f>
        <v>1.0891089108910901E-2</v>
      </c>
    </row>
    <row r="55" spans="1:7">
      <c r="A55" s="15">
        <v>43761</v>
      </c>
      <c r="B55" s="16">
        <v>1.018</v>
      </c>
      <c r="C55" s="73">
        <f t="shared" si="8"/>
        <v>-2.9999999999998916E-3</v>
      </c>
      <c r="D55" s="18">
        <f t="shared" si="9"/>
        <v>-2.9999999999998916E-3</v>
      </c>
      <c r="E55" s="18">
        <f ca="1">IF(表2_3671626293038[[#This Row],[累计净值]]/MAX(INDIRECT("B21:B" &amp; ROW()))-1&lt;E54,表2_3671626293038[[#This Row],[累计净值]]/MAX(INDIRECT("B21:B" &amp; ROW()))-1,E54)</f>
        <v>-7.9207920792079278E-3</v>
      </c>
      <c r="F55" s="62">
        <f>表2_3671626293038[[#This Row],[累计净值]]</f>
        <v>1.018</v>
      </c>
      <c r="G55" s="20">
        <f>表2_3671626293038[[#This Row],[累计净值]]/$B$21-1</f>
        <v>7.9207920792079278E-3</v>
      </c>
    </row>
    <row r="56" spans="1:7">
      <c r="A56" s="15">
        <v>43762</v>
      </c>
      <c r="B56" s="16">
        <v>1.0169999999999999</v>
      </c>
      <c r="C56" s="73">
        <f t="shared" si="8"/>
        <v>-1.0000000000001119E-3</v>
      </c>
      <c r="D56" s="18">
        <f t="shared" si="9"/>
        <v>-1.0000000000001119E-3</v>
      </c>
      <c r="E56" s="18">
        <f ca="1">IF(表2_3671626293038[[#This Row],[累计净值]]/MAX(INDIRECT("B21:B" &amp; ROW()))-1&lt;E55,表2_3671626293038[[#This Row],[累计净值]]/MAX(INDIRECT("B21:B" &amp; ROW()))-1,E55)</f>
        <v>-7.9207920792079278E-3</v>
      </c>
      <c r="F56" s="62">
        <f>表2_3671626293038[[#This Row],[累计净值]]</f>
        <v>1.0169999999999999</v>
      </c>
      <c r="G56" s="20">
        <f>表2_3671626293038[[#This Row],[累计净值]]/$B$21-1</f>
        <v>6.9306930693069368E-3</v>
      </c>
    </row>
    <row r="57" spans="1:7">
      <c r="A57" s="15">
        <v>43763</v>
      </c>
      <c r="B57" s="16">
        <v>1.0149999999999999</v>
      </c>
      <c r="C57" s="73">
        <f t="shared" si="8"/>
        <v>-2.0000000000000018E-3</v>
      </c>
      <c r="D57" s="18">
        <f t="shared" si="9"/>
        <v>-2.0000000000000018E-3</v>
      </c>
      <c r="E57" s="18">
        <f ca="1">IF(表2_3671626293038[[#This Row],[累计净值]]/MAX(INDIRECT("B21:B" &amp; ROW()))-1&lt;E56,表2_3671626293038[[#This Row],[累计净值]]/MAX(INDIRECT("B21:B" &amp; ROW()))-1,E56)</f>
        <v>-7.9207920792079278E-3</v>
      </c>
      <c r="F57" s="62">
        <f>表2_3671626293038[[#This Row],[累计净值]]</f>
        <v>1.0149999999999999</v>
      </c>
      <c r="G57" s="20">
        <f>表2_3671626293038[[#This Row],[累计净值]]/$B$21-1</f>
        <v>4.9504950495049549E-3</v>
      </c>
    </row>
    <row r="58" spans="1:7">
      <c r="A58" s="15">
        <v>43766</v>
      </c>
      <c r="B58" s="16">
        <v>1.0169999999999999</v>
      </c>
      <c r="C58" s="73">
        <f t="shared" si="8"/>
        <v>2.0000000000000018E-3</v>
      </c>
      <c r="D58" s="18" t="str">
        <f t="shared" si="9"/>
        <v>/</v>
      </c>
      <c r="E58" s="18">
        <f ca="1">IF(表2_3671626293038[[#This Row],[累计净值]]/MAX(INDIRECT("B21:B" &amp; ROW()))-1&lt;E57,表2_3671626293038[[#This Row],[累计净值]]/MAX(INDIRECT("B21:B" &amp; ROW()))-1,E57)</f>
        <v>-7.9207920792079278E-3</v>
      </c>
      <c r="F58" s="62">
        <f>表2_3671626293038[[#This Row],[累计净值]]</f>
        <v>1.0169999999999999</v>
      </c>
      <c r="G58" s="20">
        <f>表2_3671626293038[[#This Row],[累计净值]]/$B$21-1</f>
        <v>6.9306930693069368E-3</v>
      </c>
    </row>
    <row r="59" spans="1:7">
      <c r="A59" s="15">
        <v>43767</v>
      </c>
      <c r="B59" s="16">
        <v>1.016</v>
      </c>
      <c r="C59" s="73">
        <f t="shared" si="8"/>
        <v>-9.9999999999988987E-4</v>
      </c>
      <c r="D59" s="18">
        <f t="shared" si="9"/>
        <v>-9.9999999999988987E-4</v>
      </c>
      <c r="E59" s="18">
        <f ca="1">IF(表2_3671626293038[[#This Row],[累计净值]]/MAX(INDIRECT("B21:B" &amp; ROW()))-1&lt;E58,表2_3671626293038[[#This Row],[累计净值]]/MAX(INDIRECT("B21:B" &amp; ROW()))-1,E58)</f>
        <v>-7.9207920792079278E-3</v>
      </c>
      <c r="F59" s="62">
        <f>表2_3671626293038[[#This Row],[累计净值]]</f>
        <v>1.016</v>
      </c>
      <c r="G59" s="20">
        <f>表2_3671626293038[[#This Row],[累计净值]]/$B$21-1</f>
        <v>5.9405940594059459E-3</v>
      </c>
    </row>
    <row r="60" spans="1:7">
      <c r="A60" s="15">
        <v>43768</v>
      </c>
      <c r="B60" s="16">
        <v>1.0169999999999999</v>
      </c>
      <c r="C60" s="73">
        <f t="shared" si="8"/>
        <v>9.9999999999988987E-4</v>
      </c>
      <c r="D60" s="18" t="str">
        <f t="shared" si="9"/>
        <v>/</v>
      </c>
      <c r="E60" s="18">
        <f ca="1">IF(表2_3671626293038[[#This Row],[累计净值]]/MAX(INDIRECT("B21:B" &amp; ROW()))-1&lt;E59,表2_3671626293038[[#This Row],[累计净值]]/MAX(INDIRECT("B21:B" &amp; ROW()))-1,E59)</f>
        <v>-7.9207920792079278E-3</v>
      </c>
      <c r="F60" s="62">
        <f>表2_3671626293038[[#This Row],[累计净值]]</f>
        <v>1.0169999999999999</v>
      </c>
      <c r="G60" s="20">
        <f>表2_3671626293038[[#This Row],[累计净值]]/$B$21-1</f>
        <v>6.9306930693069368E-3</v>
      </c>
    </row>
    <row r="61" spans="1:7">
      <c r="A61" s="15">
        <v>43769</v>
      </c>
      <c r="B61" s="16">
        <v>1.016</v>
      </c>
      <c r="C61" s="73">
        <f t="shared" ref="C61:C68" si="10">IFERROR(B61-B60,0)</f>
        <v>-9.9999999999988987E-4</v>
      </c>
      <c r="D61" s="18">
        <f t="shared" ref="D61:D68" si="11">IF(C61&lt;0,C61,"/")</f>
        <v>-9.9999999999988987E-4</v>
      </c>
      <c r="E61" s="18">
        <f ca="1">IF(表2_3671626293038[[#This Row],[累计净值]]/MAX(INDIRECT("B21:B" &amp; ROW()))-1&lt;E60,表2_3671626293038[[#This Row],[累计净值]]/MAX(INDIRECT("B21:B" &amp; ROW()))-1,E60)</f>
        <v>-7.9207920792079278E-3</v>
      </c>
      <c r="F61" s="62">
        <f>表2_3671626293038[[#This Row],[累计净值]]</f>
        <v>1.016</v>
      </c>
      <c r="G61" s="20">
        <f>表2_3671626293038[[#This Row],[累计净值]]/$B$21-1</f>
        <v>5.9405940594059459E-3</v>
      </c>
    </row>
    <row r="62" spans="1:7">
      <c r="A62" s="15">
        <v>43770</v>
      </c>
      <c r="B62" s="16">
        <v>1.0149999999999999</v>
      </c>
      <c r="C62" s="73">
        <f t="shared" si="10"/>
        <v>-1.0000000000001119E-3</v>
      </c>
      <c r="D62" s="18">
        <f t="shared" si="11"/>
        <v>-1.0000000000001119E-3</v>
      </c>
      <c r="E62" s="18">
        <f ca="1">IF(表2_3671626293038[[#This Row],[累计净值]]/MAX(INDIRECT("B21:B" &amp; ROW()))-1&lt;E61,表2_3671626293038[[#This Row],[累计净值]]/MAX(INDIRECT("B21:B" &amp; ROW()))-1,E61)</f>
        <v>-7.9207920792079278E-3</v>
      </c>
      <c r="F62" s="62">
        <f>表2_3671626293038[[#This Row],[累计净值]]</f>
        <v>1.0149999999999999</v>
      </c>
      <c r="G62" s="20">
        <f>表2_3671626293038[[#This Row],[累计净值]]/$B$21-1</f>
        <v>4.9504950495049549E-3</v>
      </c>
    </row>
    <row r="63" spans="1:7">
      <c r="A63" s="15">
        <v>43773</v>
      </c>
      <c r="B63" s="16">
        <v>1.0169999999999999</v>
      </c>
      <c r="C63" s="73">
        <f t="shared" si="10"/>
        <v>2.0000000000000018E-3</v>
      </c>
      <c r="D63" s="18" t="str">
        <f t="shared" si="11"/>
        <v>/</v>
      </c>
      <c r="E63" s="18">
        <f ca="1">IF(表2_3671626293038[[#This Row],[累计净值]]/MAX(INDIRECT("B21:B" &amp; ROW()))-1&lt;E62,表2_3671626293038[[#This Row],[累计净值]]/MAX(INDIRECT("B21:B" &amp; ROW()))-1,E62)</f>
        <v>-7.9207920792079278E-3</v>
      </c>
      <c r="F63" s="62">
        <f>表2_3671626293038[[#This Row],[累计净值]]</f>
        <v>1.0169999999999999</v>
      </c>
      <c r="G63" s="20">
        <f>表2_3671626293038[[#This Row],[累计净值]]/$B$21-1</f>
        <v>6.9306930693069368E-3</v>
      </c>
    </row>
    <row r="64" spans="1:7">
      <c r="A64" s="15">
        <v>43774</v>
      </c>
      <c r="B64" s="16">
        <v>1.014</v>
      </c>
      <c r="C64" s="73">
        <f t="shared" si="10"/>
        <v>-2.9999999999998916E-3</v>
      </c>
      <c r="D64" s="18">
        <f t="shared" si="11"/>
        <v>-2.9999999999998916E-3</v>
      </c>
      <c r="E64" s="18">
        <f ca="1">IF(表2_3671626293038[[#This Row],[累计净值]]/MAX(INDIRECT("B21:B" &amp; ROW()))-1&lt;E63,表2_3671626293038[[#This Row],[累计净值]]/MAX(INDIRECT("B21:B" &amp; ROW()))-1,E63)</f>
        <v>-7.9207920792079278E-3</v>
      </c>
      <c r="F64" s="62">
        <f>表2_3671626293038[[#This Row],[累计净值]]</f>
        <v>1.014</v>
      </c>
      <c r="G64" s="20">
        <f>表2_3671626293038[[#This Row],[累计净值]]/$B$21-1</f>
        <v>3.9603960396039639E-3</v>
      </c>
    </row>
    <row r="65" spans="1:7">
      <c r="A65" s="15">
        <v>43775</v>
      </c>
      <c r="B65" s="16">
        <v>1.0149999999999999</v>
      </c>
      <c r="C65" s="73">
        <f t="shared" si="10"/>
        <v>9.9999999999988987E-4</v>
      </c>
      <c r="D65" s="18" t="str">
        <f t="shared" si="11"/>
        <v>/</v>
      </c>
      <c r="E65" s="18">
        <f ca="1">IF(表2_3671626293038[[#This Row],[累计净值]]/MAX(INDIRECT("B21:B" &amp; ROW()))-1&lt;E64,表2_3671626293038[[#This Row],[累计净值]]/MAX(INDIRECT("B21:B" &amp; ROW()))-1,E64)</f>
        <v>-7.9207920792079278E-3</v>
      </c>
      <c r="F65" s="62">
        <f>表2_3671626293038[[#This Row],[累计净值]]</f>
        <v>1.0149999999999999</v>
      </c>
      <c r="G65" s="20">
        <f>表2_3671626293038[[#This Row],[累计净值]]/$B$21-1</f>
        <v>4.9504950495049549E-3</v>
      </c>
    </row>
    <row r="66" spans="1:7">
      <c r="A66" s="15">
        <v>43776</v>
      </c>
      <c r="B66" s="16">
        <v>1.0129999999999999</v>
      </c>
      <c r="C66" s="73">
        <f t="shared" si="10"/>
        <v>-2.0000000000000018E-3</v>
      </c>
      <c r="D66" s="18">
        <f t="shared" si="11"/>
        <v>-2.0000000000000018E-3</v>
      </c>
      <c r="E66" s="18">
        <f ca="1">IF(表2_3671626293038[[#This Row],[累计净值]]/MAX(INDIRECT("B21:B" &amp; ROW()))-1&lt;E65,表2_3671626293038[[#This Row],[累计净值]]/MAX(INDIRECT("B21:B" &amp; ROW()))-1,E65)</f>
        <v>-8.8062622309198479E-3</v>
      </c>
      <c r="F66" s="62">
        <f>表2_3671626293038[[#This Row],[累计净值]]</f>
        <v>1.0129999999999999</v>
      </c>
      <c r="G66" s="20">
        <f>表2_3671626293038[[#This Row],[累计净值]]/$B$21-1</f>
        <v>2.9702970297029729E-3</v>
      </c>
    </row>
    <row r="67" spans="1:7">
      <c r="A67" s="15">
        <v>43777</v>
      </c>
      <c r="B67" s="16">
        <v>1.0149999999999999</v>
      </c>
      <c r="C67" s="73">
        <f t="shared" si="10"/>
        <v>2.0000000000000018E-3</v>
      </c>
      <c r="D67" s="18" t="str">
        <f t="shared" si="11"/>
        <v>/</v>
      </c>
      <c r="E67" s="18">
        <f ca="1">IF(表2_3671626293038[[#This Row],[累计净值]]/MAX(INDIRECT("B21:B" &amp; ROW()))-1&lt;E66,表2_3671626293038[[#This Row],[累计净值]]/MAX(INDIRECT("B21:B" &amp; ROW()))-1,E66)</f>
        <v>-8.8062622309198479E-3</v>
      </c>
      <c r="F67" s="62">
        <f>表2_3671626293038[[#This Row],[累计净值]]</f>
        <v>1.0149999999999999</v>
      </c>
      <c r="G67" s="20">
        <f>表2_3671626293038[[#This Row],[累计净值]]/$B$21-1</f>
        <v>4.9504950495049549E-3</v>
      </c>
    </row>
    <row r="68" spans="1:7">
      <c r="A68" s="15">
        <v>43780</v>
      </c>
      <c r="B68" s="16">
        <v>1.012</v>
      </c>
      <c r="C68" s="73">
        <f t="shared" si="10"/>
        <v>-2.9999999999998916E-3</v>
      </c>
      <c r="D68" s="18">
        <f t="shared" si="11"/>
        <v>-2.9999999999998916E-3</v>
      </c>
      <c r="E68" s="18">
        <f ca="1">IF(表2_3671626293038[[#This Row],[累计净值]]/MAX(INDIRECT("B21:B" &amp; ROW()))-1&lt;E67,表2_3671626293038[[#This Row],[累计净值]]/MAX(INDIRECT("B21:B" &amp; ROW()))-1,E67)</f>
        <v>-9.7847358121331274E-3</v>
      </c>
      <c r="F68" s="62">
        <f>表2_3671626293038[[#This Row],[累计净值]]</f>
        <v>1.012</v>
      </c>
      <c r="G68" s="20">
        <f>表2_3671626293038[[#This Row],[累计净值]]/$B$21-1</f>
        <v>1.980198019801982E-3</v>
      </c>
    </row>
    <row r="69" spans="1:7">
      <c r="A69" s="15">
        <v>43781</v>
      </c>
      <c r="B69" s="16">
        <v>1.0129999999999999</v>
      </c>
      <c r="C69" s="73">
        <f t="shared" ref="C69:C74" si="12">IFERROR(B69-B68,0)</f>
        <v>9.9999999999988987E-4</v>
      </c>
      <c r="D69" s="18" t="str">
        <f t="shared" ref="D69:D74" si="13">IF(C69&lt;0,C69,"/")</f>
        <v>/</v>
      </c>
      <c r="E69" s="18">
        <f ca="1">IF(表2_3671626293038[[#This Row],[累计净值]]/MAX(INDIRECT("B21:B" &amp; ROW()))-1&lt;E68,表2_3671626293038[[#This Row],[累计净值]]/MAX(INDIRECT("B21:B" &amp; ROW()))-1,E68)</f>
        <v>-9.7847358121331274E-3</v>
      </c>
      <c r="F69" s="62">
        <f>表2_3671626293038[[#This Row],[累计净值]]</f>
        <v>1.0129999999999999</v>
      </c>
      <c r="G69" s="20">
        <f>表2_3671626293038[[#This Row],[累计净值]]/$B$21-1</f>
        <v>2.9702970297029729E-3</v>
      </c>
    </row>
    <row r="70" spans="1:7">
      <c r="A70" s="15">
        <v>43782</v>
      </c>
      <c r="B70" s="16">
        <v>1.012</v>
      </c>
      <c r="C70" s="73">
        <f t="shared" si="12"/>
        <v>-9.9999999999988987E-4</v>
      </c>
      <c r="D70" s="18">
        <f t="shared" si="13"/>
        <v>-9.9999999999988987E-4</v>
      </c>
      <c r="E70" s="18">
        <f ca="1">IF(表2_3671626293038[[#This Row],[累计净值]]/MAX(INDIRECT("B21:B" &amp; ROW()))-1&lt;E69,表2_3671626293038[[#This Row],[累计净值]]/MAX(INDIRECT("B21:B" &amp; ROW()))-1,E69)</f>
        <v>-9.7847358121331274E-3</v>
      </c>
      <c r="F70" s="62">
        <f>表2_3671626293038[[#This Row],[累计净值]]</f>
        <v>1.012</v>
      </c>
      <c r="G70" s="20">
        <f>表2_3671626293038[[#This Row],[累计净值]]/$B$21-1</f>
        <v>1.980198019801982E-3</v>
      </c>
    </row>
    <row r="71" spans="1:7">
      <c r="A71" s="15">
        <v>43783</v>
      </c>
      <c r="B71" s="16">
        <v>1.0129999999999999</v>
      </c>
      <c r="C71" s="73">
        <f t="shared" si="12"/>
        <v>9.9999999999988987E-4</v>
      </c>
      <c r="D71" s="18" t="str">
        <f t="shared" si="13"/>
        <v>/</v>
      </c>
      <c r="E71" s="18">
        <f ca="1">IF(表2_3671626293038[[#This Row],[累计净值]]/MAX(INDIRECT("B21:B" &amp; ROW()))-1&lt;E70,表2_3671626293038[[#This Row],[累计净值]]/MAX(INDIRECT("B21:B" &amp; ROW()))-1,E70)</f>
        <v>-9.7847358121331274E-3</v>
      </c>
      <c r="F71" s="62">
        <f>表2_3671626293038[[#This Row],[累计净值]]</f>
        <v>1.0129999999999999</v>
      </c>
      <c r="G71" s="20">
        <f>表2_3671626293038[[#This Row],[累计净值]]/$B$21-1</f>
        <v>2.9702970297029729E-3</v>
      </c>
    </row>
    <row r="72" spans="1:7">
      <c r="A72" s="15">
        <v>43784</v>
      </c>
      <c r="B72" s="16">
        <v>1.0089999999999999</v>
      </c>
      <c r="C72" s="73">
        <f t="shared" si="12"/>
        <v>-4.0000000000000036E-3</v>
      </c>
      <c r="D72" s="18">
        <f t="shared" si="13"/>
        <v>-4.0000000000000036E-3</v>
      </c>
      <c r="E72" s="18">
        <f ca="1">IF(表2_3671626293038[[#This Row],[累计净值]]/MAX(INDIRECT("B21:B" &amp; ROW()))-1&lt;E71,表2_3671626293038[[#This Row],[累计净值]]/MAX(INDIRECT("B21:B" &amp; ROW()))-1,E71)</f>
        <v>-1.2720156555773077E-2</v>
      </c>
      <c r="F72" s="62">
        <f>表2_3671626293038[[#This Row],[累计净值]]</f>
        <v>1.0089999999999999</v>
      </c>
      <c r="G72" s="20">
        <f>表2_3671626293038[[#This Row],[累计净值]]/$B$21-1</f>
        <v>-9.90099009901102E-4</v>
      </c>
    </row>
    <row r="73" spans="1:7">
      <c r="A73" s="15">
        <v>43787</v>
      </c>
      <c r="B73" s="16">
        <v>1.014</v>
      </c>
      <c r="C73" s="73">
        <f t="shared" si="12"/>
        <v>5.0000000000001155E-3</v>
      </c>
      <c r="D73" s="18" t="str">
        <f t="shared" si="13"/>
        <v>/</v>
      </c>
      <c r="E73" s="18">
        <f ca="1">IF(表2_3671626293038[[#This Row],[累计净值]]/MAX(INDIRECT("B21:B" &amp; ROW()))-1&lt;E72,表2_3671626293038[[#This Row],[累计净值]]/MAX(INDIRECT("B21:B" &amp; ROW()))-1,E72)</f>
        <v>-1.2720156555773077E-2</v>
      </c>
      <c r="F73" s="62">
        <f>表2_3671626293038[[#This Row],[累计净值]]</f>
        <v>1.014</v>
      </c>
      <c r="G73" s="20">
        <f>表2_3671626293038[[#This Row],[累计净值]]/$B$21-1</f>
        <v>3.9603960396039639E-3</v>
      </c>
    </row>
    <row r="74" spans="1:7">
      <c r="A74" s="15">
        <v>43788</v>
      </c>
      <c r="B74" s="16">
        <v>1.016</v>
      </c>
      <c r="C74" s="73">
        <f t="shared" si="12"/>
        <v>2.0000000000000018E-3</v>
      </c>
      <c r="D74" s="18" t="str">
        <f t="shared" si="13"/>
        <v>/</v>
      </c>
      <c r="E74" s="18">
        <f ca="1">IF(表2_3671626293038[[#This Row],[累计净值]]/MAX(INDIRECT("B21:B" &amp; ROW()))-1&lt;E73,表2_3671626293038[[#This Row],[累计净值]]/MAX(INDIRECT("B21:B" &amp; ROW()))-1,E73)</f>
        <v>-1.2720156555773077E-2</v>
      </c>
      <c r="F74" s="62">
        <f>表2_3671626293038[[#This Row],[累计净值]]</f>
        <v>1.016</v>
      </c>
      <c r="G74" s="20">
        <f>表2_3671626293038[[#This Row],[累计净值]]/$B$21-1</f>
        <v>5.9405940594059459E-3</v>
      </c>
    </row>
    <row r="75" spans="1:7">
      <c r="A75" s="15">
        <v>43789</v>
      </c>
      <c r="B75" s="16">
        <v>1.0149999999999999</v>
      </c>
      <c r="C75" s="73">
        <f t="shared" ref="C75:C82" si="14">IFERROR(B75-B74,0)</f>
        <v>-1.0000000000001119E-3</v>
      </c>
      <c r="D75" s="18">
        <f t="shared" ref="D75:D82" si="15">IF(C75&lt;0,C75,"/")</f>
        <v>-1.0000000000001119E-3</v>
      </c>
      <c r="E75" s="18">
        <f ca="1">IF(表2_3671626293038[[#This Row],[累计净值]]/MAX(INDIRECT("B21:B" &amp; ROW()))-1&lt;E74,表2_3671626293038[[#This Row],[累计净值]]/MAX(INDIRECT("B21:B" &amp; ROW()))-1,E74)</f>
        <v>-1.2720156555773077E-2</v>
      </c>
      <c r="F75" s="62">
        <f>表2_3671626293038[[#This Row],[累计净值]]</f>
        <v>1.0149999999999999</v>
      </c>
      <c r="G75" s="20">
        <f>表2_3671626293038[[#This Row],[累计净值]]/$B$21-1</f>
        <v>4.9504950495049549E-3</v>
      </c>
    </row>
    <row r="76" spans="1:7">
      <c r="A76" s="15">
        <v>43790</v>
      </c>
      <c r="B76" s="16">
        <v>1.0129999999999999</v>
      </c>
      <c r="C76" s="73">
        <f t="shared" si="14"/>
        <v>-2.0000000000000018E-3</v>
      </c>
      <c r="D76" s="18">
        <f t="shared" si="15"/>
        <v>-2.0000000000000018E-3</v>
      </c>
      <c r="E76" s="18">
        <f ca="1">IF(表2_3671626293038[[#This Row],[累计净值]]/MAX(INDIRECT("B21:B" &amp; ROW()))-1&lt;E75,表2_3671626293038[[#This Row],[累计净值]]/MAX(INDIRECT("B21:B" &amp; ROW()))-1,E75)</f>
        <v>-1.2720156555773077E-2</v>
      </c>
      <c r="F76" s="62">
        <f>表2_3671626293038[[#This Row],[累计净值]]</f>
        <v>1.0129999999999999</v>
      </c>
      <c r="G76" s="20">
        <f>表2_3671626293038[[#This Row],[累计净值]]/$B$21-1</f>
        <v>2.9702970297029729E-3</v>
      </c>
    </row>
    <row r="77" spans="1:7">
      <c r="A77" s="15">
        <v>43791</v>
      </c>
      <c r="B77" s="16">
        <v>1.0129999999999999</v>
      </c>
      <c r="C77" s="73">
        <f t="shared" si="14"/>
        <v>0</v>
      </c>
      <c r="D77" s="18" t="str">
        <f t="shared" si="15"/>
        <v>/</v>
      </c>
      <c r="E77" s="18">
        <f ca="1">IF(表2_3671626293038[[#This Row],[累计净值]]/MAX(INDIRECT("B21:B" &amp; ROW()))-1&lt;E76,表2_3671626293038[[#This Row],[累计净值]]/MAX(INDIRECT("B21:B" &amp; ROW()))-1,E76)</f>
        <v>-1.2720156555773077E-2</v>
      </c>
      <c r="F77" s="62">
        <f>表2_3671626293038[[#This Row],[累计净值]]</f>
        <v>1.0129999999999999</v>
      </c>
      <c r="G77" s="20">
        <f>表2_3671626293038[[#This Row],[累计净值]]/$B$21-1</f>
        <v>2.9702970297029729E-3</v>
      </c>
    </row>
    <row r="78" spans="1:7">
      <c r="A78" s="15">
        <v>43794</v>
      </c>
      <c r="B78" s="16">
        <v>1.014</v>
      </c>
      <c r="C78" s="73">
        <f t="shared" si="14"/>
        <v>1.0000000000001119E-3</v>
      </c>
      <c r="D78" s="18" t="str">
        <f t="shared" si="15"/>
        <v>/</v>
      </c>
      <c r="E78" s="18">
        <f ca="1">IF(表2_3671626293038[[#This Row],[累计净值]]/MAX(INDIRECT("B21:B" &amp; ROW()))-1&lt;E77,表2_3671626293038[[#This Row],[累计净值]]/MAX(INDIRECT("B21:B" &amp; ROW()))-1,E77)</f>
        <v>-1.2720156555773077E-2</v>
      </c>
      <c r="F78" s="62">
        <f>表2_3671626293038[[#This Row],[累计净值]]</f>
        <v>1.014</v>
      </c>
      <c r="G78" s="20">
        <f>表2_3671626293038[[#This Row],[累计净值]]/$B$21-1</f>
        <v>3.9603960396039639E-3</v>
      </c>
    </row>
    <row r="79" spans="1:7">
      <c r="A79" s="15">
        <v>43795</v>
      </c>
      <c r="B79" s="16">
        <v>1.016</v>
      </c>
      <c r="C79" s="73">
        <f t="shared" si="14"/>
        <v>2.0000000000000018E-3</v>
      </c>
      <c r="D79" s="18" t="str">
        <f t="shared" si="15"/>
        <v>/</v>
      </c>
      <c r="E79" s="18">
        <f ca="1">IF(表2_3671626293038[[#This Row],[累计净值]]/MAX(INDIRECT("B21:B" &amp; ROW()))-1&lt;E78,表2_3671626293038[[#This Row],[累计净值]]/MAX(INDIRECT("B21:B" &amp; ROW()))-1,E78)</f>
        <v>-1.2720156555773077E-2</v>
      </c>
      <c r="F79" s="62">
        <f>表2_3671626293038[[#This Row],[累计净值]]</f>
        <v>1.016</v>
      </c>
      <c r="G79" s="20">
        <f>表2_3671626293038[[#This Row],[累计净值]]/$B$21-1</f>
        <v>5.9405940594059459E-3</v>
      </c>
    </row>
    <row r="80" spans="1:7">
      <c r="A80" s="15">
        <v>43796</v>
      </c>
      <c r="B80" s="16">
        <v>1.0109999999999999</v>
      </c>
      <c r="C80" s="73">
        <f t="shared" si="14"/>
        <v>-5.0000000000001155E-3</v>
      </c>
      <c r="D80" s="18">
        <f t="shared" si="15"/>
        <v>-5.0000000000001155E-3</v>
      </c>
      <c r="E80" s="18">
        <f ca="1">IF(表2_3671626293038[[#This Row],[累计净值]]/MAX(INDIRECT("B21:B" &amp; ROW()))-1&lt;E79,表2_3671626293038[[#This Row],[累计净值]]/MAX(INDIRECT("B21:B" &amp; ROW()))-1,E79)</f>
        <v>-1.2720156555773077E-2</v>
      </c>
      <c r="F80" s="62">
        <f>表2_3671626293038[[#This Row],[累计净值]]</f>
        <v>1.0109999999999999</v>
      </c>
      <c r="G80" s="20">
        <f>表2_3671626293038[[#This Row],[累计净值]]/$B$21-1</f>
        <v>9.9009900990099098E-4</v>
      </c>
    </row>
    <row r="81" spans="1:7">
      <c r="A81" s="15">
        <v>43797</v>
      </c>
      <c r="B81" s="16">
        <v>1.01</v>
      </c>
      <c r="C81" s="73">
        <f t="shared" si="14"/>
        <v>-9.9999999999988987E-4</v>
      </c>
      <c r="D81" s="18">
        <f t="shared" si="15"/>
        <v>-9.9999999999988987E-4</v>
      </c>
      <c r="E81" s="18">
        <f ca="1">IF(表2_3671626293038[[#This Row],[累计净值]]/MAX(INDIRECT("B21:B" &amp; ROW()))-1&lt;E80,表2_3671626293038[[#This Row],[累计净值]]/MAX(INDIRECT("B21:B" &amp; ROW()))-1,E80)</f>
        <v>-1.2720156555773077E-2</v>
      </c>
      <c r="F81" s="62">
        <f>表2_3671626293038[[#This Row],[累计净值]]</f>
        <v>1.01</v>
      </c>
      <c r="G81" s="20">
        <f>表2_3671626293038[[#This Row],[累计净值]]/$B$21-1</f>
        <v>0</v>
      </c>
    </row>
    <row r="82" spans="1:7">
      <c r="A82" s="15">
        <v>43798</v>
      </c>
      <c r="B82" s="16">
        <v>1.008</v>
      </c>
      <c r="C82" s="73">
        <f t="shared" si="14"/>
        <v>-2.0000000000000018E-3</v>
      </c>
      <c r="D82" s="18">
        <f t="shared" si="15"/>
        <v>-2.0000000000000018E-3</v>
      </c>
      <c r="E82" s="18">
        <f ca="1">IF(表2_3671626293038[[#This Row],[累计净值]]/MAX(INDIRECT("B21:B" &amp; ROW()))-1&lt;E81,表2_3671626293038[[#This Row],[累计净值]]/MAX(INDIRECT("B21:B" &amp; ROW()))-1,E81)</f>
        <v>-1.3698630136986356E-2</v>
      </c>
      <c r="F82" s="62">
        <f>表2_3671626293038[[#This Row],[累计净值]]</f>
        <v>1.008</v>
      </c>
      <c r="G82" s="20">
        <f>表2_3671626293038[[#This Row],[累计净值]]/$B$21-1</f>
        <v>-1.980198019801982E-3</v>
      </c>
    </row>
    <row r="83" spans="1:7">
      <c r="A83" s="15">
        <v>43801</v>
      </c>
      <c r="B83" s="16">
        <v>1.0069999999999999</v>
      </c>
      <c r="C83" s="73">
        <f t="shared" ref="C83:C89" si="16">IFERROR(B83-B82,0)</f>
        <v>-1.0000000000001119E-3</v>
      </c>
      <c r="D83" s="18">
        <f t="shared" ref="D83:D89" si="17">IF(C83&lt;0,C83,"/")</f>
        <v>-1.0000000000001119E-3</v>
      </c>
      <c r="E83" s="18">
        <f ca="1">IF(表2_3671626293038[[#This Row],[累计净值]]/MAX(INDIRECT("B21:B" &amp; ROW()))-1&lt;E82,表2_3671626293038[[#This Row],[累计净值]]/MAX(INDIRECT("B21:B" &amp; ROW()))-1,E82)</f>
        <v>-1.4677103718199747E-2</v>
      </c>
      <c r="F83" s="62">
        <f>表2_3671626293038[[#This Row],[累计净值]]</f>
        <v>1.0069999999999999</v>
      </c>
      <c r="G83" s="20">
        <f>表2_3671626293038[[#This Row],[累计净值]]/$B$21-1</f>
        <v>-2.970297029703084E-3</v>
      </c>
    </row>
    <row r="84" spans="1:7">
      <c r="A84" s="15">
        <v>43802</v>
      </c>
      <c r="B84" s="16">
        <v>1.0069999999999999</v>
      </c>
      <c r="C84" s="73">
        <f t="shared" si="16"/>
        <v>0</v>
      </c>
      <c r="D84" s="18" t="str">
        <f t="shared" si="17"/>
        <v>/</v>
      </c>
      <c r="E84" s="18">
        <f ca="1">IF(表2_3671626293038[[#This Row],[累计净值]]/MAX(INDIRECT("B21:B" &amp; ROW()))-1&lt;E83,表2_3671626293038[[#This Row],[累计净值]]/MAX(INDIRECT("B21:B" &amp; ROW()))-1,E83)</f>
        <v>-1.4677103718199747E-2</v>
      </c>
      <c r="F84" s="62">
        <f>表2_3671626293038[[#This Row],[累计净值]]</f>
        <v>1.0069999999999999</v>
      </c>
      <c r="G84" s="20">
        <f>表2_3671626293038[[#This Row],[累计净值]]/$B$21-1</f>
        <v>-2.970297029703084E-3</v>
      </c>
    </row>
    <row r="85" spans="1:7">
      <c r="A85" s="15">
        <v>43803</v>
      </c>
      <c r="B85" s="16">
        <v>1.0089999999999999</v>
      </c>
      <c r="C85" s="73">
        <f t="shared" si="16"/>
        <v>2.0000000000000018E-3</v>
      </c>
      <c r="D85" s="18" t="str">
        <f t="shared" si="17"/>
        <v>/</v>
      </c>
      <c r="E85" s="18">
        <f ca="1">IF(表2_3671626293038[[#This Row],[累计净值]]/MAX(INDIRECT("B21:B" &amp; ROW()))-1&lt;E84,表2_3671626293038[[#This Row],[累计净值]]/MAX(INDIRECT("B21:B" &amp; ROW()))-1,E84)</f>
        <v>-1.4677103718199747E-2</v>
      </c>
      <c r="F85" s="62">
        <f>表2_3671626293038[[#This Row],[累计净值]]</f>
        <v>1.0089999999999999</v>
      </c>
      <c r="G85" s="20">
        <f>表2_3671626293038[[#This Row],[累计净值]]/$B$21-1</f>
        <v>-9.90099009901102E-4</v>
      </c>
    </row>
    <row r="86" spans="1:7">
      <c r="A86" s="15">
        <v>43804</v>
      </c>
      <c r="B86" s="16">
        <v>1.0109999999999999</v>
      </c>
      <c r="C86" s="73">
        <f t="shared" si="16"/>
        <v>2.0000000000000018E-3</v>
      </c>
      <c r="D86" s="18" t="str">
        <f t="shared" si="17"/>
        <v>/</v>
      </c>
      <c r="E86" s="18">
        <f ca="1">IF(表2_3671626293038[[#This Row],[累计净值]]/MAX(INDIRECT("B21:B" &amp; ROW()))-1&lt;E85,表2_3671626293038[[#This Row],[累计净值]]/MAX(INDIRECT("B21:B" &amp; ROW()))-1,E85)</f>
        <v>-1.4677103718199747E-2</v>
      </c>
      <c r="F86" s="62">
        <f>表2_3671626293038[[#This Row],[累计净值]]</f>
        <v>1.0109999999999999</v>
      </c>
      <c r="G86" s="20">
        <f>表2_3671626293038[[#This Row],[累计净值]]/$B$21-1</f>
        <v>9.9009900990099098E-4</v>
      </c>
    </row>
    <row r="87" spans="1:7">
      <c r="A87" s="15">
        <v>43805</v>
      </c>
      <c r="B87" s="16">
        <v>1.01</v>
      </c>
      <c r="C87" s="73">
        <f t="shared" si="16"/>
        <v>-9.9999999999988987E-4</v>
      </c>
      <c r="D87" s="18">
        <f t="shared" si="17"/>
        <v>-9.9999999999988987E-4</v>
      </c>
      <c r="E87" s="18">
        <f ca="1">IF(表2_3671626293038[[#This Row],[累计净值]]/MAX(INDIRECT("B21:B" &amp; ROW()))-1&lt;E86,表2_3671626293038[[#This Row],[累计净值]]/MAX(INDIRECT("B21:B" &amp; ROW()))-1,E86)</f>
        <v>-1.4677103718199747E-2</v>
      </c>
      <c r="F87" s="62">
        <f>表2_3671626293038[[#This Row],[累计净值]]</f>
        <v>1.01</v>
      </c>
      <c r="G87" s="20">
        <f>表2_3671626293038[[#This Row],[累计净值]]/$B$21-1</f>
        <v>0</v>
      </c>
    </row>
    <row r="88" spans="1:7">
      <c r="A88" s="15">
        <v>43808</v>
      </c>
      <c r="B88" s="16">
        <v>1.0089999999999999</v>
      </c>
      <c r="C88" s="73">
        <f t="shared" si="16"/>
        <v>-1.0000000000001119E-3</v>
      </c>
      <c r="D88" s="18">
        <f t="shared" si="17"/>
        <v>-1.0000000000001119E-3</v>
      </c>
      <c r="E88" s="18">
        <f ca="1">IF(表2_3671626293038[[#This Row],[累计净值]]/MAX(INDIRECT("B21:B" &amp; ROW()))-1&lt;E87,表2_3671626293038[[#This Row],[累计净值]]/MAX(INDIRECT("B21:B" &amp; ROW()))-1,E87)</f>
        <v>-1.4677103718199747E-2</v>
      </c>
      <c r="F88" s="62">
        <f>表2_3671626293038[[#This Row],[累计净值]]</f>
        <v>1.0089999999999999</v>
      </c>
      <c r="G88" s="20">
        <f>表2_3671626293038[[#This Row],[累计净值]]/$B$21-1</f>
        <v>-9.90099009901102E-4</v>
      </c>
    </row>
    <row r="89" spans="1:7">
      <c r="A89" s="15">
        <v>43809</v>
      </c>
      <c r="B89" s="16">
        <v>1.008</v>
      </c>
      <c r="C89" s="73">
        <f t="shared" si="16"/>
        <v>-9.9999999999988987E-4</v>
      </c>
      <c r="D89" s="18">
        <f t="shared" si="17"/>
        <v>-9.9999999999988987E-4</v>
      </c>
      <c r="E89" s="18">
        <f ca="1">IF(表2_3671626293038[[#This Row],[累计净值]]/MAX(INDIRECT("B21:B" &amp; ROW()))-1&lt;E88,表2_3671626293038[[#This Row],[累计净值]]/MAX(INDIRECT("B21:B" &amp; ROW()))-1,E88)</f>
        <v>-1.4677103718199747E-2</v>
      </c>
      <c r="F89" s="62">
        <f>表2_3671626293038[[#This Row],[累计净值]]</f>
        <v>1.008</v>
      </c>
      <c r="G89" s="20">
        <f>表2_3671626293038[[#This Row],[累计净值]]/$B$21-1</f>
        <v>-1.980198019801982E-3</v>
      </c>
    </row>
    <row r="90" spans="1:7">
      <c r="A90" s="15">
        <v>43810</v>
      </c>
      <c r="B90" s="16">
        <v>1.01</v>
      </c>
      <c r="C90" s="73">
        <f t="shared" ref="C90:C102" si="18">IFERROR(B90-B89,0)</f>
        <v>2.0000000000000018E-3</v>
      </c>
      <c r="D90" s="18" t="str">
        <f t="shared" ref="D90:D102" si="19">IF(C90&lt;0,C90,"/")</f>
        <v>/</v>
      </c>
      <c r="E90" s="18">
        <f ca="1">IF(表2_3671626293038[[#This Row],[累计净值]]/MAX(INDIRECT("B21:B" &amp; ROW()))-1&lt;E89,表2_3671626293038[[#This Row],[累计净值]]/MAX(INDIRECT("B21:B" &amp; ROW()))-1,E89)</f>
        <v>-1.4677103718199747E-2</v>
      </c>
      <c r="F90" s="62">
        <f>表2_3671626293038[[#This Row],[累计净值]]</f>
        <v>1.01</v>
      </c>
      <c r="G90" s="20">
        <f>表2_3671626293038[[#This Row],[累计净值]]/$B$21-1</f>
        <v>0</v>
      </c>
    </row>
    <row r="91" spans="1:7">
      <c r="A91" s="15">
        <v>43811</v>
      </c>
      <c r="B91" s="16">
        <v>1.01</v>
      </c>
      <c r="C91" s="73">
        <f t="shared" si="18"/>
        <v>0</v>
      </c>
      <c r="D91" s="18" t="str">
        <f t="shared" si="19"/>
        <v>/</v>
      </c>
      <c r="E91" s="18">
        <f ca="1">IF(表2_3671626293038[[#This Row],[累计净值]]/MAX(INDIRECT("B21:B" &amp; ROW()))-1&lt;E90,表2_3671626293038[[#This Row],[累计净值]]/MAX(INDIRECT("B21:B" &amp; ROW()))-1,E90)</f>
        <v>-1.4677103718199747E-2</v>
      </c>
      <c r="F91" s="62">
        <f>表2_3671626293038[[#This Row],[累计净值]]</f>
        <v>1.01</v>
      </c>
      <c r="G91" s="20">
        <f>表2_3671626293038[[#This Row],[累计净值]]/$B$21-1</f>
        <v>0</v>
      </c>
    </row>
    <row r="92" spans="1:7">
      <c r="A92" s="15">
        <v>43812</v>
      </c>
      <c r="B92" s="16">
        <v>1.012</v>
      </c>
      <c r="C92" s="73">
        <f t="shared" si="18"/>
        <v>2.0000000000000018E-3</v>
      </c>
      <c r="D92" s="18" t="str">
        <f t="shared" si="19"/>
        <v>/</v>
      </c>
      <c r="E92" s="18">
        <f ca="1">IF(表2_3671626293038[[#This Row],[累计净值]]/MAX(INDIRECT("B21:B" &amp; ROW()))-1&lt;E91,表2_3671626293038[[#This Row],[累计净值]]/MAX(INDIRECT("B21:B" &amp; ROW()))-1,E91)</f>
        <v>-1.4677103718199747E-2</v>
      </c>
      <c r="F92" s="62">
        <f>表2_3671626293038[[#This Row],[累计净值]]</f>
        <v>1.012</v>
      </c>
      <c r="G92" s="20">
        <f>表2_3671626293038[[#This Row],[累计净值]]/$B$21-1</f>
        <v>1.980198019801982E-3</v>
      </c>
    </row>
    <row r="93" spans="1:7">
      <c r="A93" s="15">
        <v>43815</v>
      </c>
      <c r="B93" s="16">
        <v>1.0089999999999999</v>
      </c>
      <c r="C93" s="73">
        <f t="shared" si="18"/>
        <v>-3.0000000000001137E-3</v>
      </c>
      <c r="D93" s="18">
        <f t="shared" si="19"/>
        <v>-3.0000000000001137E-3</v>
      </c>
      <c r="E93" s="18">
        <f ca="1">IF(表2_3671626293038[[#This Row],[累计净值]]/MAX(INDIRECT("B21:B" &amp; ROW()))-1&lt;E92,表2_3671626293038[[#This Row],[累计净值]]/MAX(INDIRECT("B21:B" &amp; ROW()))-1,E92)</f>
        <v>-1.4677103718199747E-2</v>
      </c>
      <c r="F93" s="62">
        <f>表2_3671626293038[[#This Row],[累计净值]]</f>
        <v>1.0089999999999999</v>
      </c>
      <c r="G93" s="20">
        <f>表2_3671626293038[[#This Row],[累计净值]]/$B$21-1</f>
        <v>-9.90099009901102E-4</v>
      </c>
    </row>
    <row r="94" spans="1:7">
      <c r="A94" s="15">
        <v>43816</v>
      </c>
      <c r="B94" s="16">
        <v>1.0049999999999999</v>
      </c>
      <c r="C94" s="73">
        <f t="shared" si="18"/>
        <v>-4.0000000000000036E-3</v>
      </c>
      <c r="D94" s="18">
        <f t="shared" si="19"/>
        <v>-4.0000000000000036E-3</v>
      </c>
      <c r="E94" s="18">
        <f ca="1">IF(表2_3671626293038[[#This Row],[累计净值]]/MAX(INDIRECT("B21:B" &amp; ROW()))-1&lt;E93,表2_3671626293038[[#This Row],[累计净值]]/MAX(INDIRECT("B21:B" &amp; ROW()))-1,E93)</f>
        <v>-1.6634050880626305E-2</v>
      </c>
      <c r="F94" s="62">
        <f>表2_3671626293038[[#This Row],[累计净值]]</f>
        <v>1.0049999999999999</v>
      </c>
      <c r="G94" s="20">
        <f>表2_3671626293038[[#This Row],[累计净值]]/$B$21-1</f>
        <v>-4.9504950495050659E-3</v>
      </c>
    </row>
    <row r="95" spans="1:7">
      <c r="A95" s="15">
        <v>43817</v>
      </c>
      <c r="B95" s="16">
        <v>1.002</v>
      </c>
      <c r="C95" s="73">
        <f t="shared" si="18"/>
        <v>-2.9999999999998916E-3</v>
      </c>
      <c r="D95" s="18">
        <f t="shared" si="19"/>
        <v>-2.9999999999998916E-3</v>
      </c>
      <c r="E95" s="18">
        <f ca="1">IF(表2_3671626293038[[#This Row],[累计净值]]/MAX(INDIRECT("B21:B" &amp; ROW()))-1&lt;E94,表2_3671626293038[[#This Row],[累计净值]]/MAX(INDIRECT("B21:B" &amp; ROW()))-1,E94)</f>
        <v>-1.9569471624266144E-2</v>
      </c>
      <c r="F95" s="62">
        <f>表2_3671626293038[[#This Row],[累计净值]]</f>
        <v>1.002</v>
      </c>
      <c r="G95" s="20">
        <f>表2_3671626293038[[#This Row],[累计净值]]/$B$21-1</f>
        <v>-7.9207920792079278E-3</v>
      </c>
    </row>
    <row r="96" spans="1:7">
      <c r="A96" s="15">
        <v>43818</v>
      </c>
      <c r="B96" s="16">
        <v>1.0009999999999999</v>
      </c>
      <c r="C96" s="73">
        <f t="shared" si="18"/>
        <v>-1.0000000000001119E-3</v>
      </c>
      <c r="D96" s="18">
        <f t="shared" si="19"/>
        <v>-1.0000000000001119E-3</v>
      </c>
      <c r="E96" s="18">
        <f ca="1">IF(表2_3671626293038[[#This Row],[累计净值]]/MAX(INDIRECT("B21:B" &amp; ROW()))-1&lt;E95,表2_3671626293038[[#This Row],[累计净值]]/MAX(INDIRECT("B21:B" &amp; ROW()))-1,E95)</f>
        <v>-2.0547945205479534E-2</v>
      </c>
      <c r="F96" s="62">
        <f>表2_3671626293038[[#This Row],[累计净值]]</f>
        <v>1.0009999999999999</v>
      </c>
      <c r="G96" s="20">
        <f>表2_3671626293038[[#This Row],[累计净值]]/$B$21-1</f>
        <v>-8.9108910891090298E-3</v>
      </c>
    </row>
    <row r="97" spans="1:7">
      <c r="A97" s="15">
        <v>43819</v>
      </c>
      <c r="B97" s="16">
        <v>1</v>
      </c>
      <c r="C97" s="73">
        <f t="shared" si="18"/>
        <v>-9.9999999999988987E-4</v>
      </c>
      <c r="D97" s="18">
        <f t="shared" si="19"/>
        <v>-9.9999999999988987E-4</v>
      </c>
      <c r="E97" s="18">
        <f ca="1">IF(表2_3671626293038[[#This Row],[累计净值]]/MAX(INDIRECT("B21:B" &amp; ROW()))-1&lt;E96,表2_3671626293038[[#This Row],[累计净值]]/MAX(INDIRECT("B21:B" &amp; ROW()))-1,E96)</f>
        <v>-2.1526418786692814E-2</v>
      </c>
      <c r="F97" s="62">
        <f>表2_3671626293038[[#This Row],[累计净值]]</f>
        <v>1</v>
      </c>
      <c r="G97" s="20">
        <f>表2_3671626293038[[#This Row],[累计净值]]/$B$21-1</f>
        <v>-9.9009900990099098E-3</v>
      </c>
    </row>
    <row r="98" spans="1:7">
      <c r="A98" s="15">
        <v>43822</v>
      </c>
      <c r="B98" s="16">
        <v>1.0049999999999999</v>
      </c>
      <c r="C98" s="73">
        <f t="shared" si="18"/>
        <v>4.9999999999998934E-3</v>
      </c>
      <c r="D98" s="18" t="str">
        <f t="shared" si="19"/>
        <v>/</v>
      </c>
      <c r="E98" s="18">
        <f ca="1">IF(表2_3671626293038[[#This Row],[累计净值]]/MAX(INDIRECT("B21:B" &amp; ROW()))-1&lt;E97,表2_3671626293038[[#This Row],[累计净值]]/MAX(INDIRECT("B21:B" &amp; ROW()))-1,E97)</f>
        <v>-2.1526418786692814E-2</v>
      </c>
      <c r="F98" s="62">
        <f>表2_3671626293038[[#This Row],[累计净值]]</f>
        <v>1.0049999999999999</v>
      </c>
      <c r="G98" s="20">
        <f>表2_3671626293038[[#This Row],[累计净值]]/$B$21-1</f>
        <v>-4.9504950495050659E-3</v>
      </c>
    </row>
    <row r="99" spans="1:7">
      <c r="A99" s="15">
        <v>43823</v>
      </c>
      <c r="B99" s="16">
        <v>1.006</v>
      </c>
      <c r="C99" s="73">
        <f t="shared" si="18"/>
        <v>1.0000000000001119E-3</v>
      </c>
      <c r="D99" s="18" t="str">
        <f t="shared" si="19"/>
        <v>/</v>
      </c>
      <c r="E99" s="18">
        <f ca="1">IF(表2_3671626293038[[#This Row],[累计净值]]/MAX(INDIRECT("B21:B" &amp; ROW()))-1&lt;E98,表2_3671626293038[[#This Row],[累计净值]]/MAX(INDIRECT("B21:B" &amp; ROW()))-1,E98)</f>
        <v>-2.1526418786692814E-2</v>
      </c>
      <c r="F99" s="62">
        <f>表2_3671626293038[[#This Row],[累计净值]]</f>
        <v>1.006</v>
      </c>
      <c r="G99" s="20">
        <f>表2_3671626293038[[#This Row],[累计净值]]/$B$21-1</f>
        <v>-3.9603960396039639E-3</v>
      </c>
    </row>
    <row r="100" spans="1:7">
      <c r="A100" s="15">
        <v>43824</v>
      </c>
      <c r="B100" s="16">
        <v>1.006</v>
      </c>
      <c r="C100" s="73">
        <f t="shared" si="18"/>
        <v>0</v>
      </c>
      <c r="D100" s="18" t="str">
        <f t="shared" si="19"/>
        <v>/</v>
      </c>
      <c r="E100" s="18">
        <f ca="1">IF(表2_3671626293038[[#This Row],[累计净值]]/MAX(INDIRECT("B21:B" &amp; ROW()))-1&lt;E99,表2_3671626293038[[#This Row],[累计净值]]/MAX(INDIRECT("B21:B" &amp; ROW()))-1,E99)</f>
        <v>-2.1526418786692814E-2</v>
      </c>
      <c r="F100" s="62">
        <f>表2_3671626293038[[#This Row],[累计净值]]</f>
        <v>1.006</v>
      </c>
      <c r="G100" s="20">
        <f>表2_3671626293038[[#This Row],[累计净值]]/$B$21-1</f>
        <v>-3.9603960396039639E-3</v>
      </c>
    </row>
    <row r="101" spans="1:7">
      <c r="A101" s="15">
        <v>43825</v>
      </c>
      <c r="B101" s="16">
        <v>1.0049999999999999</v>
      </c>
      <c r="C101" s="73">
        <f t="shared" si="18"/>
        <v>-1.0000000000001119E-3</v>
      </c>
      <c r="D101" s="18">
        <f t="shared" si="19"/>
        <v>-1.0000000000001119E-3</v>
      </c>
      <c r="E101" s="18">
        <f ca="1">IF(表2_3671626293038[[#This Row],[累计净值]]/MAX(INDIRECT("B21:B" &amp; ROW()))-1&lt;E100,表2_3671626293038[[#This Row],[累计净值]]/MAX(INDIRECT("B21:B" &amp; ROW()))-1,E100)</f>
        <v>-2.1526418786692814E-2</v>
      </c>
      <c r="F101" s="62">
        <f>表2_3671626293038[[#This Row],[累计净值]]</f>
        <v>1.0049999999999999</v>
      </c>
      <c r="G101" s="20">
        <f>表2_3671626293038[[#This Row],[累计净值]]/$B$21-1</f>
        <v>-4.9504950495050659E-3</v>
      </c>
    </row>
    <row r="102" spans="1:7">
      <c r="A102" s="15">
        <v>43826</v>
      </c>
      <c r="B102" s="16">
        <v>1.006</v>
      </c>
      <c r="C102" s="73">
        <f t="shared" si="18"/>
        <v>1.0000000000001119E-3</v>
      </c>
      <c r="D102" s="18" t="str">
        <f t="shared" si="19"/>
        <v>/</v>
      </c>
      <c r="E102" s="18">
        <f ca="1">IF(表2_3671626293038[[#This Row],[累计净值]]/MAX(INDIRECT("B21:B" &amp; ROW()))-1&lt;E101,表2_3671626293038[[#This Row],[累计净值]]/MAX(INDIRECT("B21:B" &amp; ROW()))-1,E101)</f>
        <v>-2.1526418786692814E-2</v>
      </c>
      <c r="F102" s="62">
        <f>表2_3671626293038[[#This Row],[累计净值]]</f>
        <v>1.006</v>
      </c>
      <c r="G102" s="20">
        <f>表2_3671626293038[[#This Row],[累计净值]]/$B$21-1</f>
        <v>-3.9603960396039639E-3</v>
      </c>
    </row>
    <row r="103" spans="1:7">
      <c r="A103" s="15">
        <v>43829</v>
      </c>
      <c r="B103" s="16">
        <v>1.0049999999999999</v>
      </c>
      <c r="C103" s="73">
        <f t="shared" ref="C103:C108" si="20">IFERROR(B103-B102,0)</f>
        <v>-1.0000000000001119E-3</v>
      </c>
      <c r="D103" s="18">
        <f t="shared" ref="D103:D108" si="21">IF(C103&lt;0,C103,"/")</f>
        <v>-1.0000000000001119E-3</v>
      </c>
      <c r="E103" s="18">
        <f ca="1">IF(表2_3671626293038[[#This Row],[累计净值]]/MAX(INDIRECT("B21:B" &amp; ROW()))-1&lt;E102,表2_3671626293038[[#This Row],[累计净值]]/MAX(INDIRECT("B21:B" &amp; ROW()))-1,E102)</f>
        <v>-2.1526418786692814E-2</v>
      </c>
      <c r="F103" s="62">
        <f>表2_3671626293038[[#This Row],[累计净值]]</f>
        <v>1.0049999999999999</v>
      </c>
      <c r="G103" s="20">
        <f>表2_3671626293038[[#This Row],[累计净值]]/$B$21-1</f>
        <v>-4.9504950495050659E-3</v>
      </c>
    </row>
    <row r="104" spans="1:7">
      <c r="A104" s="15">
        <v>43830</v>
      </c>
      <c r="B104" s="16">
        <v>1.008</v>
      </c>
      <c r="C104" s="73">
        <f t="shared" si="20"/>
        <v>3.0000000000001137E-3</v>
      </c>
      <c r="D104" s="18" t="str">
        <f t="shared" si="21"/>
        <v>/</v>
      </c>
      <c r="E104" s="18">
        <f ca="1">IF(表2_3671626293038[[#This Row],[累计净值]]/MAX(INDIRECT("B21:B" &amp; ROW()))-1&lt;E103,表2_3671626293038[[#This Row],[累计净值]]/MAX(INDIRECT("B21:B" &amp; ROW()))-1,E103)</f>
        <v>-2.1526418786692814E-2</v>
      </c>
      <c r="F104" s="62">
        <f>表2_3671626293038[[#This Row],[累计净值]]</f>
        <v>1.008</v>
      </c>
      <c r="G104" s="20">
        <f>表2_3671626293038[[#This Row],[累计净值]]/$B$21-1</f>
        <v>-1.980198019801982E-3</v>
      </c>
    </row>
    <row r="105" spans="1:7">
      <c r="A105" s="15">
        <v>43832</v>
      </c>
      <c r="B105" s="16">
        <v>1.008</v>
      </c>
      <c r="C105" s="73">
        <f t="shared" si="20"/>
        <v>0</v>
      </c>
      <c r="D105" s="18" t="str">
        <f t="shared" si="21"/>
        <v>/</v>
      </c>
      <c r="E105" s="18">
        <f ca="1">IF(表2_3671626293038[[#This Row],[累计净值]]/MAX(INDIRECT("B21:B" &amp; ROW()))-1&lt;E104,表2_3671626293038[[#This Row],[累计净值]]/MAX(INDIRECT("B21:B" &amp; ROW()))-1,E104)</f>
        <v>-2.1526418786692814E-2</v>
      </c>
      <c r="F105" s="62">
        <f>表2_3671626293038[[#This Row],[累计净值]]</f>
        <v>1.008</v>
      </c>
      <c r="G105" s="20">
        <f>表2_3671626293038[[#This Row],[累计净值]]/$B$21-1</f>
        <v>-1.980198019801982E-3</v>
      </c>
    </row>
    <row r="106" spans="1:7">
      <c r="A106" s="15">
        <v>43833</v>
      </c>
      <c r="B106" s="16">
        <v>1.0069999999999999</v>
      </c>
      <c r="C106" s="73">
        <f t="shared" si="20"/>
        <v>-1.0000000000001119E-3</v>
      </c>
      <c r="D106" s="18">
        <f t="shared" si="21"/>
        <v>-1.0000000000001119E-3</v>
      </c>
      <c r="E106" s="18">
        <f ca="1">IF(表2_3671626293038[[#This Row],[累计净值]]/MAX(INDIRECT("B21:B" &amp; ROW()))-1&lt;E105,表2_3671626293038[[#This Row],[累计净值]]/MAX(INDIRECT("B21:B" &amp; ROW()))-1,E105)</f>
        <v>-2.1526418786692814E-2</v>
      </c>
      <c r="F106" s="62">
        <f>表2_3671626293038[[#This Row],[累计净值]]</f>
        <v>1.0069999999999999</v>
      </c>
      <c r="G106" s="20">
        <f>表2_3671626293038[[#This Row],[累计净值]]/$B$21-1</f>
        <v>-2.970297029703084E-3</v>
      </c>
    </row>
    <row r="107" spans="1:7">
      <c r="A107" s="15">
        <v>43836</v>
      </c>
      <c r="B107" s="16">
        <v>1.0009999999999999</v>
      </c>
      <c r="C107" s="73">
        <f t="shared" si="20"/>
        <v>-6.0000000000000053E-3</v>
      </c>
      <c r="D107" s="18">
        <f t="shared" si="21"/>
        <v>-6.0000000000000053E-3</v>
      </c>
      <c r="E107" s="18">
        <f ca="1">IF(表2_3671626293038[[#This Row],[累计净值]]/MAX(INDIRECT("B21:B" &amp; ROW()))-1&lt;E106,表2_3671626293038[[#This Row],[累计净值]]/MAX(INDIRECT("B21:B" &amp; ROW()))-1,E106)</f>
        <v>-2.1526418786692814E-2</v>
      </c>
      <c r="F107" s="62">
        <f>表2_3671626293038[[#This Row],[累计净值]]</f>
        <v>1.0009999999999999</v>
      </c>
      <c r="G107" s="20">
        <f>表2_3671626293038[[#This Row],[累计净值]]/$B$21-1</f>
        <v>-8.9108910891090298E-3</v>
      </c>
    </row>
    <row r="108" spans="1:7">
      <c r="A108" s="15">
        <v>43837</v>
      </c>
      <c r="B108" s="16">
        <v>1.002</v>
      </c>
      <c r="C108" s="73">
        <f t="shared" si="20"/>
        <v>1.0000000000001119E-3</v>
      </c>
      <c r="D108" s="18" t="str">
        <f t="shared" si="21"/>
        <v>/</v>
      </c>
      <c r="E108" s="18">
        <f ca="1">IF(表2_3671626293038[[#This Row],[累计净值]]/MAX(INDIRECT("B21:B" &amp; ROW()))-1&lt;E107,表2_3671626293038[[#This Row],[累计净值]]/MAX(INDIRECT("B21:B" &amp; ROW()))-1,E107)</f>
        <v>-2.1526418786692814E-2</v>
      </c>
      <c r="F108" s="62">
        <f>表2_3671626293038[[#This Row],[累计净值]]</f>
        <v>1.002</v>
      </c>
      <c r="G108" s="20">
        <f>表2_3671626293038[[#This Row],[累计净值]]/$B$21-1</f>
        <v>-7.9207920792079278E-3</v>
      </c>
    </row>
    <row r="109" spans="1:7">
      <c r="A109" s="15">
        <v>43838</v>
      </c>
      <c r="B109" s="16">
        <v>1</v>
      </c>
      <c r="C109" s="73">
        <f t="shared" ref="C109:C114" si="22">IFERROR(B109-B108,0)</f>
        <v>-2.0000000000000018E-3</v>
      </c>
      <c r="D109" s="18">
        <f t="shared" ref="D109:D114" si="23">IF(C109&lt;0,C109,"/")</f>
        <v>-2.0000000000000018E-3</v>
      </c>
      <c r="E109" s="18">
        <f ca="1">IF(表2_3671626293038[[#This Row],[累计净值]]/MAX(INDIRECT("B21:B" &amp; ROW()))-1&lt;E108,表2_3671626293038[[#This Row],[累计净值]]/MAX(INDIRECT("B21:B" &amp; ROW()))-1,E108)</f>
        <v>-2.1526418786692814E-2</v>
      </c>
      <c r="F109" s="62">
        <f>表2_3671626293038[[#This Row],[累计净值]]</f>
        <v>1</v>
      </c>
      <c r="G109" s="20">
        <f>表2_3671626293038[[#This Row],[累计净值]]/$B$21-1</f>
        <v>-9.9009900990099098E-3</v>
      </c>
    </row>
    <row r="110" spans="1:7">
      <c r="A110" s="15">
        <v>43839</v>
      </c>
      <c r="B110" s="16">
        <v>1.008</v>
      </c>
      <c r="C110" s="73">
        <f t="shared" si="22"/>
        <v>8.0000000000000071E-3</v>
      </c>
      <c r="D110" s="18" t="str">
        <f t="shared" si="23"/>
        <v>/</v>
      </c>
      <c r="E110" s="18">
        <f ca="1">IF(表2_3671626293038[[#This Row],[累计净值]]/MAX(INDIRECT("B21:B" &amp; ROW()))-1&lt;E109,表2_3671626293038[[#This Row],[累计净值]]/MAX(INDIRECT("B21:B" &amp; ROW()))-1,E109)</f>
        <v>-2.1526418786692814E-2</v>
      </c>
      <c r="F110" s="62">
        <f>表2_3671626293038[[#This Row],[累计净值]]</f>
        <v>1.008</v>
      </c>
      <c r="G110" s="20">
        <f>表2_3671626293038[[#This Row],[累计净值]]/$B$21-1</f>
        <v>-1.980198019801982E-3</v>
      </c>
    </row>
    <row r="111" spans="1:7">
      <c r="A111" s="15">
        <v>43840</v>
      </c>
      <c r="B111" s="16">
        <v>1.0109999999999999</v>
      </c>
      <c r="C111" s="73">
        <f t="shared" si="22"/>
        <v>2.9999999999998916E-3</v>
      </c>
      <c r="D111" s="18" t="str">
        <f t="shared" si="23"/>
        <v>/</v>
      </c>
      <c r="E111" s="18">
        <f ca="1">IF(表2_3671626293038[[#This Row],[累计净值]]/MAX(INDIRECT("B21:B" &amp; ROW()))-1&lt;E110,表2_3671626293038[[#This Row],[累计净值]]/MAX(INDIRECT("B21:B" &amp; ROW()))-1,E110)</f>
        <v>-2.1526418786692814E-2</v>
      </c>
      <c r="F111" s="62">
        <f>表2_3671626293038[[#This Row],[累计净值]]</f>
        <v>1.0109999999999999</v>
      </c>
      <c r="G111" s="20">
        <f>表2_3671626293038[[#This Row],[累计净值]]/$B$21-1</f>
        <v>9.9009900990099098E-4</v>
      </c>
    </row>
    <row r="112" spans="1:7">
      <c r="A112" s="15">
        <v>43843</v>
      </c>
      <c r="B112" s="16">
        <v>1.0089999999999999</v>
      </c>
      <c r="C112" s="73">
        <f t="shared" si="22"/>
        <v>-2.0000000000000018E-3</v>
      </c>
      <c r="D112" s="18">
        <f t="shared" si="23"/>
        <v>-2.0000000000000018E-3</v>
      </c>
      <c r="E112" s="18">
        <f ca="1">IF(表2_3671626293038[[#This Row],[累计净值]]/MAX(INDIRECT("B21:B" &amp; ROW()))-1&lt;E111,表2_3671626293038[[#This Row],[累计净值]]/MAX(INDIRECT("B21:B" &amp; ROW()))-1,E111)</f>
        <v>-2.1526418786692814E-2</v>
      </c>
      <c r="F112" s="62">
        <f>表2_3671626293038[[#This Row],[累计净值]]</f>
        <v>1.0089999999999999</v>
      </c>
      <c r="G112" s="20">
        <f>表2_3671626293038[[#This Row],[累计净值]]/$B$21-1</f>
        <v>-9.90099009901102E-4</v>
      </c>
    </row>
    <row r="113" spans="1:7">
      <c r="A113" s="15">
        <v>43844</v>
      </c>
      <c r="B113" s="16">
        <v>1.0109999999999999</v>
      </c>
      <c r="C113" s="73">
        <f t="shared" si="22"/>
        <v>2.0000000000000018E-3</v>
      </c>
      <c r="D113" s="18" t="str">
        <f t="shared" si="23"/>
        <v>/</v>
      </c>
      <c r="E113" s="18">
        <f ca="1">IF(表2_3671626293038[[#This Row],[累计净值]]/MAX(INDIRECT("B21:B" &amp; ROW()))-1&lt;E112,表2_3671626293038[[#This Row],[累计净值]]/MAX(INDIRECT("B21:B" &amp; ROW()))-1,E112)</f>
        <v>-2.1526418786692814E-2</v>
      </c>
      <c r="F113" s="62">
        <f>表2_3671626293038[[#This Row],[累计净值]]</f>
        <v>1.0109999999999999</v>
      </c>
      <c r="G113" s="20">
        <f>表2_3671626293038[[#This Row],[累计净值]]/$B$21-1</f>
        <v>9.9009900990099098E-4</v>
      </c>
    </row>
    <row r="114" spans="1:7">
      <c r="A114" s="15">
        <v>43845</v>
      </c>
      <c r="B114" s="16">
        <v>1.0129999999999999</v>
      </c>
      <c r="C114" s="73">
        <f t="shared" si="22"/>
        <v>2.0000000000000018E-3</v>
      </c>
      <c r="D114" s="18" t="str">
        <f t="shared" si="23"/>
        <v>/</v>
      </c>
      <c r="E114" s="18">
        <f ca="1">IF(表2_3671626293038[[#This Row],[累计净值]]/MAX(INDIRECT("B21:B" &amp; ROW()))-1&lt;E113,表2_3671626293038[[#This Row],[累计净值]]/MAX(INDIRECT("B21:B" &amp; ROW()))-1,E113)</f>
        <v>-2.1526418786692814E-2</v>
      </c>
      <c r="F114" s="62">
        <f>表2_3671626293038[[#This Row],[累计净值]]</f>
        <v>1.0129999999999999</v>
      </c>
      <c r="G114" s="20">
        <f>表2_3671626293038[[#This Row],[累计净值]]/$B$21-1</f>
        <v>2.9702970297029729E-3</v>
      </c>
    </row>
    <row r="115" spans="1:7">
      <c r="A115" s="15">
        <v>43846</v>
      </c>
      <c r="B115" s="16">
        <v>1.012</v>
      </c>
      <c r="C115" s="73">
        <f t="shared" ref="C115:C125" si="24">IFERROR(B115-B114,0)</f>
        <v>-9.9999999999988987E-4</v>
      </c>
      <c r="D115" s="18">
        <f t="shared" ref="D115:D125" si="25">IF(C115&lt;0,C115,"/")</f>
        <v>-9.9999999999988987E-4</v>
      </c>
      <c r="E115" s="18">
        <f ca="1">IF(表2_3671626293038[[#This Row],[累计净值]]/MAX(INDIRECT("B21:B" &amp; ROW()))-1&lt;E114,表2_3671626293038[[#This Row],[累计净值]]/MAX(INDIRECT("B21:B" &amp; ROW()))-1,E114)</f>
        <v>-2.1526418786692814E-2</v>
      </c>
      <c r="F115" s="62">
        <f>表2_3671626293038[[#This Row],[累计净值]]</f>
        <v>1.012</v>
      </c>
      <c r="G115" s="20">
        <f>表2_3671626293038[[#This Row],[累计净值]]/$B$21-1</f>
        <v>1.980198019801982E-3</v>
      </c>
    </row>
    <row r="116" spans="1:7">
      <c r="A116" s="15">
        <v>43847</v>
      </c>
      <c r="B116" s="16">
        <v>1.016</v>
      </c>
      <c r="C116" s="73">
        <f t="shared" si="24"/>
        <v>4.0000000000000036E-3</v>
      </c>
      <c r="D116" s="18" t="str">
        <f t="shared" si="25"/>
        <v>/</v>
      </c>
      <c r="E116" s="18">
        <f ca="1">IF(表2_3671626293038[[#This Row],[累计净值]]/MAX(INDIRECT("B21:B" &amp; ROW()))-1&lt;E115,表2_3671626293038[[#This Row],[累计净值]]/MAX(INDIRECT("B21:B" &amp; ROW()))-1,E115)</f>
        <v>-2.1526418786692814E-2</v>
      </c>
      <c r="F116" s="62">
        <f>表2_3671626293038[[#This Row],[累计净值]]</f>
        <v>1.016</v>
      </c>
      <c r="G116" s="20">
        <f>表2_3671626293038[[#This Row],[累计净值]]/$B$21-1</f>
        <v>5.9405940594059459E-3</v>
      </c>
    </row>
    <row r="117" spans="1:7">
      <c r="A117" s="15">
        <v>43850</v>
      </c>
      <c r="B117" s="16">
        <v>1.0129999999999999</v>
      </c>
      <c r="C117" s="73">
        <f t="shared" si="24"/>
        <v>-3.0000000000001137E-3</v>
      </c>
      <c r="D117" s="18">
        <f t="shared" si="25"/>
        <v>-3.0000000000001137E-3</v>
      </c>
      <c r="E117" s="18">
        <f ca="1">IF(表2_3671626293038[[#This Row],[累计净值]]/MAX(INDIRECT("B21:B" &amp; ROW()))-1&lt;E116,表2_3671626293038[[#This Row],[累计净值]]/MAX(INDIRECT("B21:B" &amp; ROW()))-1,E116)</f>
        <v>-2.1526418786692814E-2</v>
      </c>
      <c r="F117" s="62">
        <f>表2_3671626293038[[#This Row],[累计净值]]</f>
        <v>1.0129999999999999</v>
      </c>
      <c r="G117" s="20">
        <f>表2_3671626293038[[#This Row],[累计净值]]/$B$21-1</f>
        <v>2.9702970297029729E-3</v>
      </c>
    </row>
    <row r="118" spans="1:7">
      <c r="A118" s="15">
        <v>43851</v>
      </c>
      <c r="B118" s="16">
        <v>1.0129999999999999</v>
      </c>
      <c r="C118" s="73">
        <f t="shared" si="24"/>
        <v>0</v>
      </c>
      <c r="D118" s="18" t="str">
        <f t="shared" si="25"/>
        <v>/</v>
      </c>
      <c r="E118" s="18">
        <f ca="1">IF(表2_3671626293038[[#This Row],[累计净值]]/MAX(INDIRECT("B21:B" &amp; ROW()))-1&lt;E117,表2_3671626293038[[#This Row],[累计净值]]/MAX(INDIRECT("B21:B" &amp; ROW()))-1,E117)</f>
        <v>-2.1526418786692814E-2</v>
      </c>
      <c r="F118" s="62">
        <f>表2_3671626293038[[#This Row],[累计净值]]</f>
        <v>1.0129999999999999</v>
      </c>
      <c r="G118" s="20">
        <f>表2_3671626293038[[#This Row],[累计净值]]/$B$21-1</f>
        <v>2.9702970297029729E-3</v>
      </c>
    </row>
    <row r="119" spans="1:7">
      <c r="A119" s="15">
        <v>43852</v>
      </c>
      <c r="B119" s="16">
        <v>1.0008999999999999</v>
      </c>
      <c r="C119" s="73">
        <f t="shared" si="24"/>
        <v>-1.21E-2</v>
      </c>
      <c r="D119" s="18">
        <f t="shared" si="25"/>
        <v>-1.21E-2</v>
      </c>
      <c r="E119" s="18">
        <f ca="1">IF(表2_3671626293038[[#This Row],[累计净值]]/MAX(INDIRECT("B21:B" &amp; ROW()))-1&lt;E118,表2_3671626293038[[#This Row],[累计净值]]/MAX(INDIRECT("B21:B" &amp; ROW()))-1,E118)</f>
        <v>-2.1526418786692814E-2</v>
      </c>
      <c r="F119" s="62">
        <f>表2_3671626293038[[#This Row],[累计净值]]</f>
        <v>1.0008999999999999</v>
      </c>
      <c r="G119" s="20">
        <f>表2_3671626293038[[#This Row],[累计净值]]/$B$21-1</f>
        <v>-9.0099009900991289E-3</v>
      </c>
    </row>
    <row r="120" spans="1:7">
      <c r="A120" s="15">
        <v>43853</v>
      </c>
      <c r="B120" s="16">
        <v>1.006</v>
      </c>
      <c r="C120" s="73">
        <f t="shared" si="24"/>
        <v>5.1000000000001044E-3</v>
      </c>
      <c r="D120" s="18" t="str">
        <f t="shared" si="25"/>
        <v>/</v>
      </c>
      <c r="E120" s="18">
        <f ca="1">IF(表2_3671626293038[[#This Row],[累计净值]]/MAX(INDIRECT("B21:B" &amp; ROW()))-1&lt;E119,表2_3671626293038[[#This Row],[累计净值]]/MAX(INDIRECT("B21:B" &amp; ROW()))-1,E119)</f>
        <v>-2.1526418786692814E-2</v>
      </c>
      <c r="F120" s="62">
        <f>表2_3671626293038[[#This Row],[累计净值]]</f>
        <v>1.006</v>
      </c>
      <c r="G120" s="20">
        <f>表2_3671626293038[[#This Row],[累计净值]]/$B$21-1</f>
        <v>-3.9603960396039639E-3</v>
      </c>
    </row>
    <row r="121" spans="1:7">
      <c r="A121" s="15">
        <v>43864</v>
      </c>
      <c r="B121" s="16">
        <v>0.998</v>
      </c>
      <c r="C121" s="73">
        <f t="shared" si="24"/>
        <v>-8.0000000000000071E-3</v>
      </c>
      <c r="D121" s="18">
        <f t="shared" si="25"/>
        <v>-8.0000000000000071E-3</v>
      </c>
      <c r="E121" s="18">
        <f ca="1">IF(表2_3671626293038[[#This Row],[累计净值]]/MAX(INDIRECT("B21:B" &amp; ROW()))-1&lt;E120,表2_3671626293038[[#This Row],[累计净值]]/MAX(INDIRECT("B21:B" &amp; ROW()))-1,E120)</f>
        <v>-2.3483365949119372E-2</v>
      </c>
      <c r="F121" s="62">
        <f>表2_3671626293038[[#This Row],[累计净值]]</f>
        <v>0.998</v>
      </c>
      <c r="G121" s="20">
        <f>表2_3671626293038[[#This Row],[累计净值]]/$B$21-1</f>
        <v>-1.1881188118811892E-2</v>
      </c>
    </row>
    <row r="122" spans="1:7">
      <c r="A122" s="15">
        <v>43865</v>
      </c>
      <c r="B122" s="16">
        <v>0.997</v>
      </c>
      <c r="C122" s="73">
        <f t="shared" si="24"/>
        <v>-1.0000000000000009E-3</v>
      </c>
      <c r="D122" s="18">
        <f t="shared" si="25"/>
        <v>-1.0000000000000009E-3</v>
      </c>
      <c r="E122" s="18">
        <f ca="1">IF(表2_3671626293038[[#This Row],[累计净值]]/MAX(INDIRECT("B21:B" &amp; ROW()))-1&lt;E121,表2_3671626293038[[#This Row],[累计净值]]/MAX(INDIRECT("B21:B" &amp; ROW()))-1,E121)</f>
        <v>-2.4461839530332652E-2</v>
      </c>
      <c r="F122" s="62">
        <f>表2_3671626293038[[#This Row],[累计净值]]</f>
        <v>0.997</v>
      </c>
      <c r="G122" s="20">
        <f>表2_3671626293038[[#This Row],[累计净值]]/$B$21-1</f>
        <v>-1.2871287128712883E-2</v>
      </c>
    </row>
    <row r="123" spans="1:7">
      <c r="A123" s="15">
        <v>43866</v>
      </c>
      <c r="B123" s="16">
        <v>0.99399999999999999</v>
      </c>
      <c r="C123" s="73">
        <f t="shared" si="24"/>
        <v>-3.0000000000000027E-3</v>
      </c>
      <c r="D123" s="18">
        <f t="shared" si="25"/>
        <v>-3.0000000000000027E-3</v>
      </c>
      <c r="E123" s="18">
        <f ca="1">IF(表2_3671626293038[[#This Row],[累计净值]]/MAX(INDIRECT("B21:B" &amp; ROW()))-1&lt;E122,表2_3671626293038[[#This Row],[累计净值]]/MAX(INDIRECT("B21:B" &amp; ROW()))-1,E122)</f>
        <v>-2.7397260273972601E-2</v>
      </c>
      <c r="F123" s="62">
        <f>表2_3671626293038[[#This Row],[累计净值]]</f>
        <v>0.99399999999999999</v>
      </c>
      <c r="G123" s="20">
        <f>表2_3671626293038[[#This Row],[累计净值]]/$B$21-1</f>
        <v>-1.5841584158415856E-2</v>
      </c>
    </row>
    <row r="124" spans="1:7">
      <c r="A124" s="15">
        <v>43867</v>
      </c>
      <c r="B124" s="16">
        <v>0.99199999999999999</v>
      </c>
      <c r="C124" s="73">
        <f t="shared" si="24"/>
        <v>-2.0000000000000018E-3</v>
      </c>
      <c r="D124" s="18">
        <f t="shared" si="25"/>
        <v>-2.0000000000000018E-3</v>
      </c>
      <c r="E124" s="18">
        <f ca="1">IF(表2_3671626293038[[#This Row],[累计净值]]/MAX(INDIRECT("B21:B" &amp; ROW()))-1&lt;E123,表2_3671626293038[[#This Row],[累计净值]]/MAX(INDIRECT("B21:B" &amp; ROW()))-1,E123)</f>
        <v>-2.9354207436399271E-2</v>
      </c>
      <c r="F124" s="62">
        <f>表2_3671626293038[[#This Row],[累计净值]]</f>
        <v>0.99199999999999999</v>
      </c>
      <c r="G124" s="20">
        <f>表2_3671626293038[[#This Row],[累计净值]]/$B$21-1</f>
        <v>-1.7821782178217838E-2</v>
      </c>
    </row>
    <row r="125" spans="1:7">
      <c r="A125" s="15">
        <v>43868</v>
      </c>
      <c r="B125" s="16">
        <v>0.99199999999999999</v>
      </c>
      <c r="C125" s="73">
        <f t="shared" si="24"/>
        <v>0</v>
      </c>
      <c r="D125" s="18" t="str">
        <f t="shared" si="25"/>
        <v>/</v>
      </c>
      <c r="E125" s="18">
        <f ca="1">IF(表2_3671626293038[[#This Row],[累计净值]]/MAX(INDIRECT("B21:B" &amp; ROW()))-1&lt;E124,表2_3671626293038[[#This Row],[累计净值]]/MAX(INDIRECT("B21:B" &amp; ROW()))-1,E124)</f>
        <v>-2.9354207436399271E-2</v>
      </c>
      <c r="F125" s="62">
        <f>表2_3671626293038[[#This Row],[累计净值]]</f>
        <v>0.99199999999999999</v>
      </c>
      <c r="G125" s="20">
        <f>表2_3671626293038[[#This Row],[累计净值]]/$B$21-1</f>
        <v>-1.7821782178217838E-2</v>
      </c>
    </row>
    <row r="126" spans="1:7">
      <c r="A126" s="15">
        <v>43871</v>
      </c>
      <c r="B126" s="16">
        <v>1.0009999999999999</v>
      </c>
      <c r="C126" s="73">
        <f t="shared" ref="C126:C131" si="26">IFERROR(B126-B125,0)</f>
        <v>8.999999999999897E-3</v>
      </c>
      <c r="D126" s="18" t="str">
        <f t="shared" ref="D126:D131" si="27">IF(C126&lt;0,C126,"/")</f>
        <v>/</v>
      </c>
      <c r="E126" s="18">
        <f ca="1">IF(表2_3671626293038[[#This Row],[累计净值]]/MAX(INDIRECT("B21:B" &amp; ROW()))-1&lt;E125,表2_3671626293038[[#This Row],[累计净值]]/MAX(INDIRECT("B21:B" &amp; ROW()))-1,E125)</f>
        <v>-2.9354207436399271E-2</v>
      </c>
      <c r="F126" s="62">
        <f>表2_3671626293038[[#This Row],[累计净值]]</f>
        <v>1.0009999999999999</v>
      </c>
      <c r="G126" s="20">
        <f>表2_3671626293038[[#This Row],[累计净值]]/$B$21-1</f>
        <v>-8.9108910891090298E-3</v>
      </c>
    </row>
    <row r="127" spans="1:7">
      <c r="A127" s="15">
        <v>43872</v>
      </c>
      <c r="B127" s="16">
        <v>1.006</v>
      </c>
      <c r="C127" s="73">
        <f t="shared" si="26"/>
        <v>5.0000000000001155E-3</v>
      </c>
      <c r="D127" s="18" t="str">
        <f t="shared" si="27"/>
        <v>/</v>
      </c>
      <c r="E127" s="18">
        <f ca="1">IF(表2_3671626293038[[#This Row],[累计净值]]/MAX(INDIRECT("B21:B" &amp; ROW()))-1&lt;E126,表2_3671626293038[[#This Row],[累计净值]]/MAX(INDIRECT("B21:B" &amp; ROW()))-1,E126)</f>
        <v>-2.9354207436399271E-2</v>
      </c>
      <c r="F127" s="62">
        <f>表2_3671626293038[[#This Row],[累计净值]]</f>
        <v>1.006</v>
      </c>
      <c r="G127" s="20">
        <f>表2_3671626293038[[#This Row],[累计净值]]/$B$21-1</f>
        <v>-3.9603960396039639E-3</v>
      </c>
    </row>
    <row r="128" spans="1:7">
      <c r="A128" s="15">
        <v>43873</v>
      </c>
      <c r="B128" s="16">
        <v>1.0029999999999999</v>
      </c>
      <c r="C128" s="73">
        <f t="shared" si="26"/>
        <v>-3.0000000000001137E-3</v>
      </c>
      <c r="D128" s="18">
        <f t="shared" si="27"/>
        <v>-3.0000000000001137E-3</v>
      </c>
      <c r="E128" s="18">
        <f ca="1">IF(表2_3671626293038[[#This Row],[累计净值]]/MAX(INDIRECT("B21:B" &amp; ROW()))-1&lt;E127,表2_3671626293038[[#This Row],[累计净值]]/MAX(INDIRECT("B21:B" &amp; ROW()))-1,E127)</f>
        <v>-2.9354207436399271E-2</v>
      </c>
      <c r="F128" s="62">
        <f>表2_3671626293038[[#This Row],[累计净值]]</f>
        <v>1.0029999999999999</v>
      </c>
      <c r="G128" s="20">
        <f>表2_3671626293038[[#This Row],[累计净值]]/$B$21-1</f>
        <v>-6.9306930693070479E-3</v>
      </c>
    </row>
    <row r="129" spans="1:7">
      <c r="A129" s="15">
        <v>43874</v>
      </c>
      <c r="B129" s="16">
        <v>1.0029999999999999</v>
      </c>
      <c r="C129" s="73">
        <f t="shared" si="26"/>
        <v>0</v>
      </c>
      <c r="D129" s="18" t="str">
        <f t="shared" si="27"/>
        <v>/</v>
      </c>
      <c r="E129" s="18">
        <f ca="1">IF(表2_3671626293038[[#This Row],[累计净值]]/MAX(INDIRECT("B21:B" &amp; ROW()))-1&lt;E128,表2_3671626293038[[#This Row],[累计净值]]/MAX(INDIRECT("B21:B" &amp; ROW()))-1,E128)</f>
        <v>-2.9354207436399271E-2</v>
      </c>
      <c r="F129" s="62">
        <f>表2_3671626293038[[#This Row],[累计净值]]</f>
        <v>1.0029999999999999</v>
      </c>
      <c r="G129" s="20">
        <f>表2_3671626293038[[#This Row],[累计净值]]/$B$21-1</f>
        <v>-6.9306930693070479E-3</v>
      </c>
    </row>
    <row r="130" spans="1:7">
      <c r="A130" s="15">
        <v>43875</v>
      </c>
      <c r="B130" s="16">
        <v>1.0049999999999999</v>
      </c>
      <c r="C130" s="73">
        <f t="shared" si="26"/>
        <v>2.0000000000000018E-3</v>
      </c>
      <c r="D130" s="18" t="str">
        <f t="shared" si="27"/>
        <v>/</v>
      </c>
      <c r="E130" s="18">
        <f ca="1">IF(表2_3671626293038[[#This Row],[累计净值]]/MAX(INDIRECT("B21:B" &amp; ROW()))-1&lt;E129,表2_3671626293038[[#This Row],[累计净值]]/MAX(INDIRECT("B21:B" &amp; ROW()))-1,E129)</f>
        <v>-2.9354207436399271E-2</v>
      </c>
      <c r="F130" s="62">
        <f>表2_3671626293038[[#This Row],[累计净值]]</f>
        <v>1.0049999999999999</v>
      </c>
      <c r="G130" s="20">
        <f>表2_3671626293038[[#This Row],[累计净值]]/$B$21-1</f>
        <v>-4.9504950495050659E-3</v>
      </c>
    </row>
    <row r="131" spans="1:7">
      <c r="A131" s="15">
        <v>43878</v>
      </c>
      <c r="B131" s="16">
        <v>1.0069999999999999</v>
      </c>
      <c r="C131" s="73">
        <f t="shared" si="26"/>
        <v>2.0000000000000018E-3</v>
      </c>
      <c r="D131" s="18" t="str">
        <f t="shared" si="27"/>
        <v>/</v>
      </c>
      <c r="E131" s="18">
        <f ca="1">IF(表2_3671626293038[[#This Row],[累计净值]]/MAX(INDIRECT("B21:B" &amp; ROW()))-1&lt;E130,表2_3671626293038[[#This Row],[累计净值]]/MAX(INDIRECT("B21:B" &amp; ROW()))-1,E130)</f>
        <v>-2.9354207436399271E-2</v>
      </c>
      <c r="F131" s="62">
        <f>表2_3671626293038[[#This Row],[累计净值]]</f>
        <v>1.0069999999999999</v>
      </c>
      <c r="G131" s="20">
        <f>表2_3671626293038[[#This Row],[累计净值]]/$B$21-1</f>
        <v>-2.970297029703084E-3</v>
      </c>
    </row>
    <row r="132" spans="1:7">
      <c r="A132" s="15">
        <v>43879</v>
      </c>
      <c r="B132" s="16">
        <v>1.0089999999999999</v>
      </c>
      <c r="C132" s="73">
        <f t="shared" ref="C132:C137" si="28">IFERROR(B132-B131,0)</f>
        <v>2.0000000000000018E-3</v>
      </c>
      <c r="D132" s="18" t="str">
        <f t="shared" ref="D132:D137" si="29">IF(C132&lt;0,C132,"/")</f>
        <v>/</v>
      </c>
      <c r="E132" s="18">
        <f ca="1">IF(表2_3671626293038[[#This Row],[累计净值]]/MAX(INDIRECT("B21:B" &amp; ROW()))-1&lt;E131,表2_3671626293038[[#This Row],[累计净值]]/MAX(INDIRECT("B21:B" &amp; ROW()))-1,E131)</f>
        <v>-2.9354207436399271E-2</v>
      </c>
      <c r="F132" s="62">
        <f>表2_3671626293038[[#This Row],[累计净值]]</f>
        <v>1.0089999999999999</v>
      </c>
      <c r="G132" s="20">
        <f>表2_3671626293038[[#This Row],[累计净值]]/$B$21-1</f>
        <v>-9.90099009901102E-4</v>
      </c>
    </row>
    <row r="133" spans="1:7">
      <c r="A133" s="15">
        <v>43880</v>
      </c>
      <c r="B133" s="16">
        <v>1.0129999999999999</v>
      </c>
      <c r="C133" s="73">
        <f t="shared" si="28"/>
        <v>4.0000000000000036E-3</v>
      </c>
      <c r="D133" s="18" t="str">
        <f t="shared" si="29"/>
        <v>/</v>
      </c>
      <c r="E133" s="18">
        <f ca="1">IF(表2_3671626293038[[#This Row],[累计净值]]/MAX(INDIRECT("B21:B" &amp; ROW()))-1&lt;E132,表2_3671626293038[[#This Row],[累计净值]]/MAX(INDIRECT("B21:B" &amp; ROW()))-1,E132)</f>
        <v>-2.9354207436399271E-2</v>
      </c>
      <c r="F133" s="62">
        <f>表2_3671626293038[[#This Row],[累计净值]]</f>
        <v>1.0129999999999999</v>
      </c>
      <c r="G133" s="20">
        <f>表2_3671626293038[[#This Row],[累计净值]]/$B$21-1</f>
        <v>2.9702970297029729E-3</v>
      </c>
    </row>
    <row r="134" spans="1:7">
      <c r="A134" s="15">
        <v>43881</v>
      </c>
      <c r="B134" s="16">
        <v>1.0189999999999999</v>
      </c>
      <c r="C134" s="73">
        <f t="shared" si="28"/>
        <v>6.0000000000000053E-3</v>
      </c>
      <c r="D134" s="18" t="str">
        <f t="shared" si="29"/>
        <v>/</v>
      </c>
      <c r="E134" s="18">
        <f ca="1">IF(表2_3671626293038[[#This Row],[累计净值]]/MAX(INDIRECT("B21:B" &amp; ROW()))-1&lt;E133,表2_3671626293038[[#This Row],[累计净值]]/MAX(INDIRECT("B21:B" &amp; ROW()))-1,E133)</f>
        <v>-2.9354207436399271E-2</v>
      </c>
      <c r="F134" s="62">
        <f>表2_3671626293038[[#This Row],[累计净值]]</f>
        <v>1.0189999999999999</v>
      </c>
      <c r="G134" s="20">
        <f>表2_3671626293038[[#This Row],[累计净值]]/$B$21-1</f>
        <v>8.9108910891089188E-3</v>
      </c>
    </row>
    <row r="135" spans="1:7">
      <c r="A135" s="15">
        <v>43882</v>
      </c>
      <c r="B135" s="16">
        <v>1.0149999999999999</v>
      </c>
      <c r="C135" s="73">
        <f t="shared" si="28"/>
        <v>-4.0000000000000036E-3</v>
      </c>
      <c r="D135" s="18">
        <f t="shared" si="29"/>
        <v>-4.0000000000000036E-3</v>
      </c>
      <c r="E135" s="18">
        <f ca="1">IF(表2_3671626293038[[#This Row],[累计净值]]/MAX(INDIRECT("B21:B" &amp; ROW()))-1&lt;E134,表2_3671626293038[[#This Row],[累计净值]]/MAX(INDIRECT("B21:B" &amp; ROW()))-1,E134)</f>
        <v>-2.9354207436399271E-2</v>
      </c>
      <c r="F135" s="62">
        <f>表2_3671626293038[[#This Row],[累计净值]]</f>
        <v>1.0149999999999999</v>
      </c>
      <c r="G135" s="20">
        <f>表2_3671626293038[[#This Row],[累计净值]]/$B$21-1</f>
        <v>4.9504950495049549E-3</v>
      </c>
    </row>
    <row r="136" spans="1:7">
      <c r="A136" s="15">
        <v>43885</v>
      </c>
      <c r="B136" s="16">
        <v>1.018</v>
      </c>
      <c r="C136" s="73">
        <f t="shared" si="28"/>
        <v>3.0000000000001137E-3</v>
      </c>
      <c r="D136" s="18" t="str">
        <f t="shared" si="29"/>
        <v>/</v>
      </c>
      <c r="E136" s="18">
        <f ca="1">IF(表2_3671626293038[[#This Row],[累计净值]]/MAX(INDIRECT("B21:B" &amp; ROW()))-1&lt;E135,表2_3671626293038[[#This Row],[累计净值]]/MAX(INDIRECT("B21:B" &amp; ROW()))-1,E135)</f>
        <v>-2.9354207436399271E-2</v>
      </c>
      <c r="F136" s="62">
        <f>表2_3671626293038[[#This Row],[累计净值]]</f>
        <v>1.018</v>
      </c>
      <c r="G136" s="20">
        <f>表2_3671626293038[[#This Row],[累计净值]]/$B$21-1</f>
        <v>7.9207920792079278E-3</v>
      </c>
    </row>
    <row r="137" spans="1:7">
      <c r="A137" s="15">
        <v>43886</v>
      </c>
      <c r="B137" s="16">
        <v>1.0109999999999999</v>
      </c>
      <c r="C137" s="73">
        <f t="shared" si="28"/>
        <v>-7.0000000000001172E-3</v>
      </c>
      <c r="D137" s="18">
        <f t="shared" si="29"/>
        <v>-7.0000000000001172E-3</v>
      </c>
      <c r="E137" s="18">
        <f ca="1">IF(表2_3671626293038[[#This Row],[累计净值]]/MAX(INDIRECT("B21:B" &amp; ROW()))-1&lt;E136,表2_3671626293038[[#This Row],[累计净值]]/MAX(INDIRECT("B21:B" &amp; ROW()))-1,E136)</f>
        <v>-2.9354207436399271E-2</v>
      </c>
      <c r="F137" s="62">
        <f>表2_3671626293038[[#This Row],[累计净值]]</f>
        <v>1.0109999999999999</v>
      </c>
      <c r="G137" s="20">
        <f>表2_3671626293038[[#This Row],[累计净值]]/$B$21-1</f>
        <v>9.9009900990099098E-4</v>
      </c>
    </row>
    <row r="138" spans="1:7">
      <c r="A138" s="15">
        <v>43887</v>
      </c>
      <c r="B138" s="16">
        <v>1.0129999999999999</v>
      </c>
      <c r="C138" s="73">
        <f t="shared" ref="C138:C144" si="30">IFERROR(B138-B137,0)</f>
        <v>2.0000000000000018E-3</v>
      </c>
      <c r="D138" s="18" t="str">
        <f t="shared" ref="D138:D144" si="31">IF(C138&lt;0,C138,"/")</f>
        <v>/</v>
      </c>
      <c r="E138" s="18">
        <f ca="1">IF(表2_3671626293038[[#This Row],[累计净值]]/MAX(INDIRECT("B21:B" &amp; ROW()))-1&lt;E137,表2_3671626293038[[#This Row],[累计净值]]/MAX(INDIRECT("B21:B" &amp; ROW()))-1,E137)</f>
        <v>-2.9354207436399271E-2</v>
      </c>
      <c r="F138" s="62">
        <f>表2_3671626293038[[#This Row],[累计净值]]</f>
        <v>1.0129999999999999</v>
      </c>
      <c r="G138" s="20">
        <f>表2_3671626293038[[#This Row],[累计净值]]/$B$21-1</f>
        <v>2.9702970297029729E-3</v>
      </c>
    </row>
    <row r="139" spans="1:7">
      <c r="A139" s="15">
        <v>43888</v>
      </c>
      <c r="B139" s="16">
        <v>1.022</v>
      </c>
      <c r="C139" s="73">
        <f t="shared" si="30"/>
        <v>9.000000000000119E-3</v>
      </c>
      <c r="D139" s="18" t="str">
        <f t="shared" si="31"/>
        <v>/</v>
      </c>
      <c r="E139" s="18">
        <f ca="1">IF(表2_3671626293038[[#This Row],[累计净值]]/MAX(INDIRECT("B21:B" &amp; ROW()))-1&lt;E138,表2_3671626293038[[#This Row],[累计净值]]/MAX(INDIRECT("B21:B" &amp; ROW()))-1,E138)</f>
        <v>-2.9354207436399271E-2</v>
      </c>
      <c r="F139" s="62">
        <f>表2_3671626293038[[#This Row],[累计净值]]</f>
        <v>1.022</v>
      </c>
      <c r="G139" s="20">
        <f>表2_3671626293038[[#This Row],[累计净值]]/$B$21-1</f>
        <v>1.1881188118811892E-2</v>
      </c>
    </row>
    <row r="140" spans="1:7">
      <c r="A140" s="15">
        <v>43889</v>
      </c>
      <c r="B140" s="16">
        <v>1.0169999999999999</v>
      </c>
      <c r="C140" s="73">
        <f t="shared" si="30"/>
        <v>-5.0000000000001155E-3</v>
      </c>
      <c r="D140" s="18">
        <f t="shared" si="31"/>
        <v>-5.0000000000001155E-3</v>
      </c>
      <c r="E140" s="18">
        <f ca="1">IF(表2_3671626293038[[#This Row],[累计净值]]/MAX(INDIRECT("B21:B" &amp; ROW()))-1&lt;E139,表2_3671626293038[[#This Row],[累计净值]]/MAX(INDIRECT("B21:B" &amp; ROW()))-1,E139)</f>
        <v>-2.9354207436399271E-2</v>
      </c>
      <c r="F140" s="62">
        <f>表2_3671626293038[[#This Row],[累计净值]]</f>
        <v>1.0169999999999999</v>
      </c>
      <c r="G140" s="20">
        <f>表2_3671626293038[[#This Row],[累计净值]]/$B$21-1</f>
        <v>6.9306930693069368E-3</v>
      </c>
    </row>
    <row r="141" spans="1:7">
      <c r="A141" s="15">
        <v>43892</v>
      </c>
      <c r="B141" s="16">
        <v>1.0249999999999999</v>
      </c>
      <c r="C141" s="73">
        <f t="shared" si="30"/>
        <v>8.0000000000000071E-3</v>
      </c>
      <c r="D141" s="18" t="str">
        <f t="shared" si="31"/>
        <v>/</v>
      </c>
      <c r="E141" s="18">
        <f ca="1">IF(表2_3671626293038[[#This Row],[累计净值]]/MAX(INDIRECT("B21:B" &amp; ROW()))-1&lt;E140,表2_3671626293038[[#This Row],[累计净值]]/MAX(INDIRECT("B21:B" &amp; ROW()))-1,E140)</f>
        <v>-2.9354207436399271E-2</v>
      </c>
      <c r="F141" s="62">
        <f>表2_3671626293038[[#This Row],[累计净值]]</f>
        <v>1.0249999999999999</v>
      </c>
      <c r="G141" s="20">
        <f>表2_3671626293038[[#This Row],[累计净值]]/$B$21-1</f>
        <v>1.4851485148514865E-2</v>
      </c>
    </row>
    <row r="142" spans="1:7">
      <c r="A142" s="15">
        <v>43893</v>
      </c>
      <c r="B142" s="16">
        <v>1.026</v>
      </c>
      <c r="C142" s="73">
        <f t="shared" si="30"/>
        <v>1.0000000000001119E-3</v>
      </c>
      <c r="D142" s="18" t="str">
        <f t="shared" si="31"/>
        <v>/</v>
      </c>
      <c r="E142" s="18">
        <f ca="1">IF(表2_3671626293038[[#This Row],[累计净值]]/MAX(INDIRECT("B21:B" &amp; ROW()))-1&lt;E141,表2_3671626293038[[#This Row],[累计净值]]/MAX(INDIRECT("B21:B" &amp; ROW()))-1,E141)</f>
        <v>-2.9354207436399271E-2</v>
      </c>
      <c r="F142" s="62">
        <f>表2_3671626293038[[#This Row],[累计净值]]</f>
        <v>1.026</v>
      </c>
      <c r="G142" s="20">
        <f>表2_3671626293038[[#This Row],[累计净值]]/$B$21-1</f>
        <v>1.5841584158415856E-2</v>
      </c>
    </row>
    <row r="143" spans="1:7">
      <c r="A143" s="15">
        <v>43894</v>
      </c>
      <c r="B143" s="16">
        <v>1.032</v>
      </c>
      <c r="C143" s="73">
        <f t="shared" si="30"/>
        <v>6.0000000000000053E-3</v>
      </c>
      <c r="D143" s="18" t="str">
        <f t="shared" si="31"/>
        <v>/</v>
      </c>
      <c r="E143" s="18">
        <f ca="1">IF(表2_3671626293038[[#This Row],[累计净值]]/MAX(INDIRECT("B21:B" &amp; ROW()))-1&lt;E142,表2_3671626293038[[#This Row],[累计净值]]/MAX(INDIRECT("B21:B" &amp; ROW()))-1,E142)</f>
        <v>-2.9354207436399271E-2</v>
      </c>
      <c r="F143" s="62">
        <f>表2_3671626293038[[#This Row],[累计净值]]</f>
        <v>1.032</v>
      </c>
      <c r="G143" s="20">
        <f>表2_3671626293038[[#This Row],[累计净值]]/$B$21-1</f>
        <v>2.1782178217821802E-2</v>
      </c>
    </row>
    <row r="144" spans="1:7">
      <c r="A144" s="15">
        <v>43895</v>
      </c>
      <c r="B144" s="16">
        <v>1.04</v>
      </c>
      <c r="C144" s="73">
        <f t="shared" si="30"/>
        <v>8.0000000000000071E-3</v>
      </c>
      <c r="D144" s="18" t="str">
        <f t="shared" si="31"/>
        <v>/</v>
      </c>
      <c r="E144" s="18">
        <f ca="1">IF(表2_3671626293038[[#This Row],[累计净值]]/MAX(INDIRECT("B21:B" &amp; ROW()))-1&lt;E143,表2_3671626293038[[#This Row],[累计净值]]/MAX(INDIRECT("B21:B" &amp; ROW()))-1,E143)</f>
        <v>-2.9354207436399271E-2</v>
      </c>
      <c r="F144" s="62">
        <f>表2_3671626293038[[#This Row],[累计净值]]</f>
        <v>1.04</v>
      </c>
      <c r="G144" s="20">
        <f>表2_3671626293038[[#This Row],[累计净值]]/$B$21-1</f>
        <v>2.9702970297029729E-2</v>
      </c>
    </row>
    <row r="145" spans="1:7">
      <c r="A145" s="15">
        <v>43896</v>
      </c>
      <c r="B145" s="16">
        <v>1.038</v>
      </c>
      <c r="C145" s="73">
        <f t="shared" ref="C145:C150" si="32">IFERROR(B145-B144,0)</f>
        <v>-2.0000000000000018E-3</v>
      </c>
      <c r="D145" s="18">
        <f t="shared" ref="D145:D150" si="33">IF(C145&lt;0,C145,"/")</f>
        <v>-2.0000000000000018E-3</v>
      </c>
      <c r="E145" s="18">
        <f ca="1">IF(表2_3671626293038[[#This Row],[累计净值]]/MAX(INDIRECT("B21:B" &amp; ROW()))-1&lt;E144,表2_3671626293038[[#This Row],[累计净值]]/MAX(INDIRECT("B21:B" &amp; ROW()))-1,E144)</f>
        <v>-2.9354207436399271E-2</v>
      </c>
      <c r="F145" s="62">
        <f>表2_3671626293038[[#This Row],[累计净值]]</f>
        <v>1.038</v>
      </c>
      <c r="G145" s="20">
        <f>表2_3671626293038[[#This Row],[累计净值]]/$B$21-1</f>
        <v>2.7722772277227747E-2</v>
      </c>
    </row>
    <row r="146" spans="1:7">
      <c r="A146" s="15">
        <v>43899</v>
      </c>
      <c r="B146" s="16">
        <v>1.0309999999999999</v>
      </c>
      <c r="C146" s="73">
        <f t="shared" si="32"/>
        <v>-7.0000000000001172E-3</v>
      </c>
      <c r="D146" s="18">
        <f t="shared" si="33"/>
        <v>-7.0000000000001172E-3</v>
      </c>
      <c r="E146" s="18">
        <f ca="1">IF(表2_3671626293038[[#This Row],[累计净值]]/MAX(INDIRECT("B21:B" &amp; ROW()))-1&lt;E145,表2_3671626293038[[#This Row],[累计净值]]/MAX(INDIRECT("B21:B" &amp; ROW()))-1,E145)</f>
        <v>-2.9354207436399271E-2</v>
      </c>
      <c r="F146" s="62">
        <f>表2_3671626293038[[#This Row],[累计净值]]</f>
        <v>1.0309999999999999</v>
      </c>
      <c r="G146" s="20">
        <f>表2_3671626293038[[#This Row],[累计净值]]/$B$21-1</f>
        <v>2.0792079207920811E-2</v>
      </c>
    </row>
    <row r="147" spans="1:7">
      <c r="A147" s="15">
        <v>43900</v>
      </c>
      <c r="B147" s="16">
        <v>1.0369999999999999</v>
      </c>
      <c r="C147" s="73">
        <f t="shared" si="32"/>
        <v>6.0000000000000053E-3</v>
      </c>
      <c r="D147" s="18" t="str">
        <f t="shared" si="33"/>
        <v>/</v>
      </c>
      <c r="E147" s="18">
        <f ca="1">IF(表2_3671626293038[[#This Row],[累计净值]]/MAX(INDIRECT("B21:B" &amp; ROW()))-1&lt;E146,表2_3671626293038[[#This Row],[累计净值]]/MAX(INDIRECT("B21:B" &amp; ROW()))-1,E146)</f>
        <v>-2.9354207436399271E-2</v>
      </c>
      <c r="F147" s="62">
        <f>表2_3671626293038[[#This Row],[累计净值]]</f>
        <v>1.0369999999999999</v>
      </c>
      <c r="G147" s="20">
        <f>表2_3671626293038[[#This Row],[累计净值]]/$B$21-1</f>
        <v>2.6732673267326756E-2</v>
      </c>
    </row>
    <row r="148" spans="1:7">
      <c r="A148" s="15">
        <v>43901</v>
      </c>
      <c r="B148" s="16">
        <v>1.0369999999999999</v>
      </c>
      <c r="C148" s="73">
        <f t="shared" si="32"/>
        <v>0</v>
      </c>
      <c r="D148" s="18" t="str">
        <f t="shared" si="33"/>
        <v>/</v>
      </c>
      <c r="E148" s="18">
        <f ca="1">IF(表2_3671626293038[[#This Row],[累计净值]]/MAX(INDIRECT("B21:B" &amp; ROW()))-1&lt;E147,表2_3671626293038[[#This Row],[累计净值]]/MAX(INDIRECT("B21:B" &amp; ROW()))-1,E147)</f>
        <v>-2.9354207436399271E-2</v>
      </c>
      <c r="F148" s="62">
        <f>表2_3671626293038[[#This Row],[累计净值]]</f>
        <v>1.0369999999999999</v>
      </c>
      <c r="G148" s="20">
        <f>表2_3671626293038[[#This Row],[累计净值]]/$B$21-1</f>
        <v>2.6732673267326756E-2</v>
      </c>
    </row>
    <row r="149" spans="1:7">
      <c r="A149" s="15">
        <v>43902</v>
      </c>
      <c r="B149" s="16">
        <v>1.0289999999999999</v>
      </c>
      <c r="C149" s="73">
        <f t="shared" si="32"/>
        <v>-8.0000000000000071E-3</v>
      </c>
      <c r="D149" s="18">
        <f t="shared" si="33"/>
        <v>-8.0000000000000071E-3</v>
      </c>
      <c r="E149" s="18">
        <f ca="1">IF(表2_3671626293038[[#This Row],[累计净值]]/MAX(INDIRECT("B21:B" &amp; ROW()))-1&lt;E148,表2_3671626293038[[#This Row],[累计净值]]/MAX(INDIRECT("B21:B" &amp; ROW()))-1,E148)</f>
        <v>-2.9354207436399271E-2</v>
      </c>
      <c r="F149" s="62">
        <f>表2_3671626293038[[#This Row],[累计净值]]</f>
        <v>1.0289999999999999</v>
      </c>
      <c r="G149" s="20">
        <f>表2_3671626293038[[#This Row],[累计净值]]/$B$21-1</f>
        <v>1.8811881188118829E-2</v>
      </c>
    </row>
    <row r="150" spans="1:7">
      <c r="A150" s="15">
        <v>43903</v>
      </c>
      <c r="B150" s="16">
        <v>1.024</v>
      </c>
      <c r="C150" s="73">
        <f t="shared" si="32"/>
        <v>-4.9999999999998934E-3</v>
      </c>
      <c r="D150" s="18">
        <f t="shared" si="33"/>
        <v>-4.9999999999998934E-3</v>
      </c>
      <c r="E150" s="18">
        <f ca="1">IF(表2_3671626293038[[#This Row],[累计净值]]/MAX(INDIRECT("B21:B" &amp; ROW()))-1&lt;E149,表2_3671626293038[[#This Row],[累计净值]]/MAX(INDIRECT("B21:B" &amp; ROW()))-1,E149)</f>
        <v>-2.9354207436399271E-2</v>
      </c>
      <c r="F150" s="62">
        <f>表2_3671626293038[[#This Row],[累计净值]]</f>
        <v>1.024</v>
      </c>
      <c r="G150" s="20">
        <f>表2_3671626293038[[#This Row],[累计净值]]/$B$21-1</f>
        <v>1.3861386138613874E-2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274"/>
  <sheetViews>
    <sheetView workbookViewId="0">
      <pane xSplit="1" ySplit="20" topLeftCell="B261" activePane="bottomRight" state="frozen"/>
      <selection pane="topRight" activeCell="B1" sqref="B1"/>
      <selection pane="bottomLeft" activeCell="A21" sqref="A21"/>
      <selection pane="bottomRight" activeCell="O263" sqref="O263"/>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COUNT(表2_367162629303891213141516[每日盈亏])</f>
        <v>254</v>
      </c>
      <c r="C2" s="27"/>
      <c r="D2" s="3" t="s">
        <v>1</v>
      </c>
      <c r="E2" s="28"/>
      <c r="F2" s="1" t="s">
        <v>2</v>
      </c>
      <c r="G2" s="400" t="s">
        <v>3</v>
      </c>
    </row>
    <row r="3" spans="1:7">
      <c r="A3" s="25" t="s">
        <v>4</v>
      </c>
      <c r="B3" s="26">
        <f>COUNTIF(表2_367162629303891213141516[每日盈亏],"&gt;0")</f>
        <v>175</v>
      </c>
      <c r="C3" s="29"/>
      <c r="D3" s="30" t="s">
        <v>5</v>
      </c>
      <c r="E3" s="31">
        <f>245^0.5*(B10-0.025/365)/E10</f>
        <v>7.3477638062601045</v>
      </c>
      <c r="G3" s="400"/>
    </row>
    <row r="4" spans="1:7">
      <c r="A4" s="25" t="s">
        <v>6</v>
      </c>
      <c r="B4" s="26">
        <f>COUNTIF(表2_367162629303891213141516[每日盈亏],"&lt;0")</f>
        <v>54</v>
      </c>
      <c r="C4" s="29"/>
      <c r="D4" s="32" t="s">
        <v>7</v>
      </c>
      <c r="E4" s="31">
        <f ca="1">-B9/E8</f>
        <v>38.645749655811713</v>
      </c>
      <c r="G4" s="2">
        <f>LOOKUP(999^10,表2_367162629303891213141516[累计净值])</f>
        <v>1.7609999999999999</v>
      </c>
    </row>
    <row r="5" spans="1:7">
      <c r="A5" s="25" t="s">
        <v>8</v>
      </c>
      <c r="B5" s="26">
        <f>B2-B3-B4</f>
        <v>25</v>
      </c>
      <c r="C5" s="29"/>
      <c r="D5" s="33" t="s">
        <v>9</v>
      </c>
      <c r="E5" s="4">
        <f>245^0.5*(B10-0.025/365)/E9</f>
        <v>13.788681044821601</v>
      </c>
    </row>
    <row r="6" spans="1:7" ht="16" thickBot="1">
      <c r="A6" s="34"/>
      <c r="B6" s="35"/>
      <c r="C6" s="35"/>
      <c r="D6" s="35"/>
      <c r="E6" s="36"/>
    </row>
    <row r="7" spans="1:7" ht="16" thickBot="1">
      <c r="A7" s="5" t="s">
        <v>10</v>
      </c>
      <c r="B7" s="35"/>
      <c r="C7" s="35"/>
      <c r="D7" s="3" t="s">
        <v>11</v>
      </c>
      <c r="E7" s="37"/>
    </row>
    <row r="8" spans="1:7">
      <c r="A8" s="38" t="s">
        <v>12</v>
      </c>
      <c r="B8" s="39">
        <f>LOOKUP(999^10,表2_367162629303891213141516[累计净值])/$B$21-1</f>
        <v>0.44700082169268684</v>
      </c>
      <c r="C8" s="40"/>
      <c r="D8" s="30" t="s">
        <v>13</v>
      </c>
      <c r="E8" s="41">
        <f ca="1">MIN(表2_367162629303891213141516[最大回撤])</f>
        <v>-1.1156782149148614E-2</v>
      </c>
    </row>
    <row r="9" spans="1:7">
      <c r="A9" s="25" t="s">
        <v>14</v>
      </c>
      <c r="B9" s="32">
        <f>B8*245/B2</f>
        <v>0.43116220990042631</v>
      </c>
      <c r="C9" s="40"/>
      <c r="D9" s="33" t="s">
        <v>15</v>
      </c>
      <c r="E9" s="6">
        <f>STDEV(表2_367162629303891213141516[下跌幅度])</f>
        <v>2.3445373415477812E-3</v>
      </c>
    </row>
    <row r="10" spans="1:7">
      <c r="A10" s="42" t="s">
        <v>16</v>
      </c>
      <c r="B10" s="43">
        <f>AVERAGE(表2_367162629303891213141516[每日盈亏])</f>
        <v>2.1338582677165349E-3</v>
      </c>
      <c r="C10" s="44"/>
      <c r="D10" s="33" t="s">
        <v>17</v>
      </c>
      <c r="E10" s="6">
        <f>STDEV(表2_367162629303891213141516[每日盈亏])</f>
        <v>4.3997164923474585E-3</v>
      </c>
    </row>
    <row r="11" spans="1:7">
      <c r="A11" s="7" t="s">
        <v>18</v>
      </c>
      <c r="B11" s="32">
        <f>B3/B2</f>
        <v>0.6889763779527559</v>
      </c>
      <c r="C11" s="40"/>
      <c r="D11" s="32" t="s">
        <v>19</v>
      </c>
      <c r="E11" s="41">
        <f>245^0.5*E10</f>
        <v>6.8866456110310961E-2</v>
      </c>
    </row>
    <row r="12" spans="1:7" ht="16" thickBot="1">
      <c r="A12" s="45" t="s">
        <v>20</v>
      </c>
      <c r="B12" s="46">
        <f>-(SUMIF(表2_367162629303891213141516[每日盈亏],"&gt;=0")/B3)/(SUMIF(表2_367162629303891213141516[每日盈亏],"&lt;0")/B4)</f>
        <v>1.3040816326530575</v>
      </c>
      <c r="C12" s="47"/>
      <c r="D12" s="48"/>
      <c r="E12" s="49"/>
    </row>
    <row r="14" spans="1:7" ht="32">
      <c r="A14" s="202" t="s">
        <v>21</v>
      </c>
      <c r="B14" s="202" t="s">
        <v>14</v>
      </c>
      <c r="C14" s="203" t="s">
        <v>19</v>
      </c>
      <c r="D14" s="203" t="s">
        <v>13</v>
      </c>
      <c r="E14" s="203" t="s">
        <v>5</v>
      </c>
      <c r="F14" s="203" t="s">
        <v>7</v>
      </c>
    </row>
    <row r="15" spans="1:7" ht="19.5" customHeight="1">
      <c r="A15" s="78">
        <f>B2</f>
        <v>254</v>
      </c>
      <c r="B15" s="53">
        <f>B9</f>
        <v>0.43116220990042631</v>
      </c>
      <c r="C15" s="53">
        <f>E11</f>
        <v>6.8866456110310961E-2</v>
      </c>
      <c r="D15" s="53">
        <f ca="1">E8</f>
        <v>-1.1156782149148614E-2</v>
      </c>
      <c r="E15" s="54">
        <f>E3</f>
        <v>7.3477638062601045</v>
      </c>
      <c r="F15" s="54">
        <f ca="1">E4</f>
        <v>38.645749655811713</v>
      </c>
    </row>
    <row r="19" spans="1:7">
      <c r="A19" s="8"/>
      <c r="B19" s="1" t="s">
        <v>22</v>
      </c>
    </row>
    <row r="20" spans="1:7" ht="16">
      <c r="A20" s="22" t="s">
        <v>23</v>
      </c>
      <c r="B20" s="22" t="s">
        <v>24</v>
      </c>
      <c r="C20" s="22" t="s">
        <v>25</v>
      </c>
      <c r="D20" s="22" t="s">
        <v>26</v>
      </c>
      <c r="E20" s="22" t="s">
        <v>27</v>
      </c>
      <c r="F20" s="22" t="s">
        <v>28</v>
      </c>
      <c r="G20" s="22" t="s">
        <v>29</v>
      </c>
    </row>
    <row r="21" spans="1:7">
      <c r="A21" s="15">
        <v>43948</v>
      </c>
      <c r="B21" s="16">
        <v>1.2170000000000001</v>
      </c>
      <c r="C21" s="11">
        <f>IFERROR(B21-B20,0)</f>
        <v>0</v>
      </c>
      <c r="D21" s="12" t="str">
        <f t="shared" ref="D21:D27" si="0">IF(C21&lt;0,C21,"/")</f>
        <v>/</v>
      </c>
      <c r="E21" s="12">
        <f ca="1">IF(表2_367162629303891213141516[[#This Row],[累计净值]]/MAX(INDIRECT("B21:B" &amp; ROW()))-1&lt;E20,表2_367162629303891213141516[[#This Row],[累计净值]]/MAX(INDIRECT("B21:B" &amp; ROW()))-1,E20)</f>
        <v>0</v>
      </c>
      <c r="F21" s="13">
        <f>表2_367162629303891213141516[[#This Row],[累计净值]]</f>
        <v>1.2170000000000001</v>
      </c>
      <c r="G21" s="14" t="s">
        <v>30</v>
      </c>
    </row>
    <row r="22" spans="1:7">
      <c r="A22" s="15">
        <v>43949</v>
      </c>
      <c r="B22" s="16">
        <v>1.2190000000000001</v>
      </c>
      <c r="C22" s="17">
        <f>IFERROR(B22-B21,0)</f>
        <v>2.0000000000000018E-3</v>
      </c>
      <c r="D22" s="18" t="str">
        <f t="shared" si="0"/>
        <v>/</v>
      </c>
      <c r="E22" s="18">
        <f ca="1">IF(表2_367162629303891213141516[[#This Row],[累计净值]]/MAX(INDIRECT("B21:B" &amp; ROW()))-1&lt;E21,表2_367162629303891213141516[[#This Row],[累计净值]]/MAX(INDIRECT("B21:B" &amp; ROW()))-1,E21)</f>
        <v>0</v>
      </c>
      <c r="F22" s="19">
        <f>表2_367162629303891213141516[[#This Row],[累计净值]]</f>
        <v>1.2190000000000001</v>
      </c>
      <c r="G22" s="20">
        <f>IF(表2_367162629303891213141516[[#This Row],[累计净值]]&gt;1.217,0.7*(表2_367162629303891213141516[[#This Row],[累计净值]]-1.217)/1.217,(表2_367162629303891213141516[[#This Row],[累计净值]]-1.217)/1.217)</f>
        <v>1.1503697617091216E-3</v>
      </c>
    </row>
    <row r="23" spans="1:7">
      <c r="A23" s="15">
        <v>43950</v>
      </c>
      <c r="B23" s="16">
        <v>1.218</v>
      </c>
      <c r="C23" s="73">
        <f>IFERROR(B23-B22,0)</f>
        <v>-1.0000000000001119E-3</v>
      </c>
      <c r="D23" s="18">
        <f t="shared" si="0"/>
        <v>-1.0000000000001119E-3</v>
      </c>
      <c r="E23" s="18">
        <f ca="1">IF(表2_367162629303891213141516[[#This Row],[累计净值]]/MAX(INDIRECT("B21:B" &amp; ROW()))-1&lt;E22,表2_367162629303891213141516[[#This Row],[累计净值]]/MAX(INDIRECT("B21:B" &amp; ROW()))-1,E22)</f>
        <v>-8.2034454470891749E-4</v>
      </c>
      <c r="F23" s="62">
        <f>表2_367162629303891213141516[[#This Row],[累计净值]]</f>
        <v>1.218</v>
      </c>
      <c r="G23" s="20">
        <f>IF(表2_367162629303891213141516[[#This Row],[累计净值]]&gt;1.217,0.7*(表2_367162629303891213141516[[#This Row],[累计净值]]-1.217)/1.217,(表2_367162629303891213141516[[#This Row],[累计净值]]-1.217)/1.217)</f>
        <v>5.7518488085449705E-4</v>
      </c>
    </row>
    <row r="24" spans="1:7">
      <c r="A24" s="15">
        <v>43951</v>
      </c>
      <c r="B24" s="16">
        <v>1.216</v>
      </c>
      <c r="C24" s="73">
        <f>IFERROR(B24-B23,0)</f>
        <v>-2.0000000000000018E-3</v>
      </c>
      <c r="D24" s="18">
        <f t="shared" si="0"/>
        <v>-2.0000000000000018E-3</v>
      </c>
      <c r="E24" s="18">
        <f ca="1">IF(表2_367162629303891213141516[[#This Row],[累计净值]]/MAX(INDIRECT("B21:B" &amp; ROW()))-1&lt;E23,表2_367162629303891213141516[[#This Row],[累计净值]]/MAX(INDIRECT("B21:B" &amp; ROW()))-1,E23)</f>
        <v>-2.4610336341264194E-3</v>
      </c>
      <c r="F24" s="62">
        <f>表2_367162629303891213141516[[#This Row],[累计净值]]</f>
        <v>1.216</v>
      </c>
      <c r="G24" s="20">
        <f>IF(表2_367162629303891213141516[[#This Row],[累计净值]]&gt;1.217,0.7*(表2_367162629303891213141516[[#This Row],[累计净值]]-1.217)/1.217,(表2_367162629303891213141516[[#This Row],[累计净值]]-1.217)/1.217)</f>
        <v>-8.2169268693517818E-4</v>
      </c>
    </row>
    <row r="25" spans="1:7">
      <c r="A25" s="15">
        <v>43957</v>
      </c>
      <c r="B25" s="96">
        <v>1.218</v>
      </c>
      <c r="C25" s="94">
        <f>IFERROR(B25-#REF!,0)</f>
        <v>0</v>
      </c>
      <c r="D25" s="95" t="str">
        <f t="shared" si="0"/>
        <v>/</v>
      </c>
      <c r="E25" s="18">
        <f ca="1">IF(表2_367162629303891213141516[[#This Row],[累计净值]]/MAX(INDIRECT("B21:B" &amp; ROW()))-1&lt;E24,表2_367162629303891213141516[[#This Row],[累计净值]]/MAX(INDIRECT("B21:B" &amp; ROW()))-1,E24)</f>
        <v>-2.4610336341264194E-3</v>
      </c>
      <c r="F25" s="97">
        <f>表2_367162629303891213141516[[#This Row],[累计净值]]</f>
        <v>1.218</v>
      </c>
      <c r="G25" s="20">
        <f>IF(表2_367162629303891213141516[[#This Row],[累计净值]]&gt;1.217,0.7*(表2_367162629303891213141516[[#This Row],[累计净值]]-1.217)/1.217,(表2_367162629303891213141516[[#This Row],[累计净值]]-1.217)/1.217)</f>
        <v>5.7518488085449705E-4</v>
      </c>
    </row>
    <row r="26" spans="1:7">
      <c r="A26" s="15">
        <v>43958</v>
      </c>
      <c r="B26" s="96">
        <v>1.222</v>
      </c>
      <c r="C26" s="94">
        <f>IFERROR(B26-B25,0)</f>
        <v>4.0000000000000036E-3</v>
      </c>
      <c r="D26" s="95" t="str">
        <f t="shared" si="0"/>
        <v>/</v>
      </c>
      <c r="E26" s="18">
        <f ca="1">IF(表2_367162629303891213141516[[#This Row],[累计净值]]/MAX(INDIRECT("B21:B" &amp; ROW()))-1&lt;E25,表2_367162629303891213141516[[#This Row],[累计净值]]/MAX(INDIRECT("B21:B" &amp; ROW()))-1,E25)</f>
        <v>-2.4610336341264194E-3</v>
      </c>
      <c r="F26" s="97">
        <f>表2_367162629303891213141516[[#This Row],[累计净值]]</f>
        <v>1.222</v>
      </c>
      <c r="G26" s="20">
        <f>IF(表2_367162629303891213141516[[#This Row],[累计净值]]&gt;1.217,0.7*(表2_367162629303891213141516[[#This Row],[累计净值]]-1.217)/1.217,(表2_367162629303891213141516[[#This Row],[累计净值]]-1.217)/1.217)</f>
        <v>2.87592440427274E-3</v>
      </c>
    </row>
    <row r="27" spans="1:7">
      <c r="A27" s="15">
        <v>43959</v>
      </c>
      <c r="B27" s="96">
        <v>1.224</v>
      </c>
      <c r="C27" s="94">
        <f>IFERROR(B27-B26,0)</f>
        <v>2.0000000000000018E-3</v>
      </c>
      <c r="D27" s="95" t="str">
        <f t="shared" si="0"/>
        <v>/</v>
      </c>
      <c r="E27" s="18">
        <f ca="1">IF(表2_367162629303891213141516[[#This Row],[累计净值]]/MAX(INDIRECT("B21:B" &amp; ROW()))-1&lt;E26,表2_367162629303891213141516[[#This Row],[累计净值]]/MAX(INDIRECT("B21:B" &amp; ROW()))-1,E26)</f>
        <v>-2.4610336341264194E-3</v>
      </c>
      <c r="F27" s="97">
        <f>表2_367162629303891213141516[[#This Row],[累计净值]]</f>
        <v>1.224</v>
      </c>
      <c r="G27" s="20">
        <f>IF(表2_367162629303891213141516[[#This Row],[累计净值]]&gt;1.217,0.7*(表2_367162629303891213141516[[#This Row],[累计净值]]-1.217)/1.217,(表2_367162629303891213141516[[#This Row],[累计净值]]-1.217)/1.217)</f>
        <v>4.0262941659818616E-3</v>
      </c>
    </row>
    <row r="28" spans="1:7">
      <c r="A28" s="15">
        <v>43962</v>
      </c>
      <c r="B28" s="104">
        <v>1.226</v>
      </c>
      <c r="C28" s="101">
        <f t="shared" ref="C28:C34" si="1">IFERROR(B28-B27,0)</f>
        <v>2.0000000000000018E-3</v>
      </c>
      <c r="D28" s="102" t="str">
        <f t="shared" ref="D28:D34" si="2">IF(C28&lt;0,C28,"/")</f>
        <v>/</v>
      </c>
      <c r="E28" s="102">
        <f ca="1">IF(表2_367162629303891213141516[[#This Row],[累计净值]]/MAX(INDIRECT("B21:B" &amp; ROW()))-1&lt;E27,表2_367162629303891213141516[[#This Row],[累计净值]]/MAX(INDIRECT("B21:B" &amp; ROW()))-1,E27)</f>
        <v>-2.4610336341264194E-3</v>
      </c>
      <c r="F28" s="97">
        <f>表2_367162629303891213141516[[#This Row],[累计净值]]</f>
        <v>1.226</v>
      </c>
      <c r="G28" s="20">
        <f>IF(表2_367162629303891213141516[[#This Row],[累计净值]]&gt;1.217,0.7*(表2_367162629303891213141516[[#This Row],[累计净值]]-1.217)/1.217,(表2_367162629303891213141516[[#This Row],[累计净值]]-1.217)/1.217)</f>
        <v>5.1766639276909837E-3</v>
      </c>
    </row>
    <row r="29" spans="1:7">
      <c r="A29" s="15">
        <v>43963</v>
      </c>
      <c r="B29" s="104">
        <v>1.2290000000000001</v>
      </c>
      <c r="C29" s="101">
        <f t="shared" si="1"/>
        <v>3.0000000000001137E-3</v>
      </c>
      <c r="D29" s="102" t="str">
        <f t="shared" si="2"/>
        <v>/</v>
      </c>
      <c r="E29" s="102">
        <f ca="1">IF(表2_367162629303891213141516[[#This Row],[累计净值]]/MAX(INDIRECT("B21:B" &amp; ROW()))-1&lt;E28,表2_367162629303891213141516[[#This Row],[累计净值]]/MAX(INDIRECT("B21:B" &amp; ROW()))-1,E28)</f>
        <v>-2.4610336341264194E-3</v>
      </c>
      <c r="F29" s="103">
        <f>表2_367162629303891213141516[[#This Row],[累计净值]]</f>
        <v>1.2290000000000001</v>
      </c>
      <c r="G29" s="20">
        <f>IF(表2_367162629303891213141516[[#This Row],[累计净值]]&gt;1.217,0.7*(表2_367162629303891213141516[[#This Row],[累计净值]]-1.217)/1.217,(表2_367162629303891213141516[[#This Row],[累计净值]]-1.217)/1.217)</f>
        <v>6.9022185702547296E-3</v>
      </c>
    </row>
    <row r="30" spans="1:7">
      <c r="A30" s="15">
        <v>43964</v>
      </c>
      <c r="B30" s="104">
        <v>1.2290000000000001</v>
      </c>
      <c r="C30" s="101">
        <f t="shared" si="1"/>
        <v>0</v>
      </c>
      <c r="D30" s="102" t="str">
        <f t="shared" si="2"/>
        <v>/</v>
      </c>
      <c r="E30" s="102">
        <f ca="1">IF(表2_367162629303891213141516[[#This Row],[累计净值]]/MAX(INDIRECT("B21:B" &amp; ROW()))-1&lt;E29,表2_367162629303891213141516[[#This Row],[累计净值]]/MAX(INDIRECT("B21:B" &amp; ROW()))-1,E29)</f>
        <v>-2.4610336341264194E-3</v>
      </c>
      <c r="F30" s="103">
        <f>表2_367162629303891213141516[[#This Row],[累计净值]]</f>
        <v>1.2290000000000001</v>
      </c>
      <c r="G30" s="20">
        <f>IF(表2_367162629303891213141516[[#This Row],[累计净值]]&gt;1.217,0.7*(表2_367162629303891213141516[[#This Row],[累计净值]]-1.217)/1.217,(表2_367162629303891213141516[[#This Row],[累计净值]]-1.217)/1.217)</f>
        <v>6.9022185702547296E-3</v>
      </c>
    </row>
    <row r="31" spans="1:7">
      <c r="A31" s="15">
        <v>43965</v>
      </c>
      <c r="B31" s="104">
        <v>1.2310000000000001</v>
      </c>
      <c r="C31" s="101">
        <f t="shared" si="1"/>
        <v>2.0000000000000018E-3</v>
      </c>
      <c r="D31" s="102" t="str">
        <f t="shared" si="2"/>
        <v>/</v>
      </c>
      <c r="E31" s="102">
        <f ca="1">IF(表2_367162629303891213141516[[#This Row],[累计净值]]/MAX(INDIRECT("B21:B" &amp; ROW()))-1&lt;E30,表2_367162629303891213141516[[#This Row],[累计净值]]/MAX(INDIRECT("B21:B" &amp; ROW()))-1,E30)</f>
        <v>-2.4610336341264194E-3</v>
      </c>
      <c r="F31" s="103">
        <f>表2_367162629303891213141516[[#This Row],[累计净值]]</f>
        <v>1.2310000000000001</v>
      </c>
      <c r="G31" s="20">
        <f>IF(表2_367162629303891213141516[[#This Row],[累计净值]]&gt;1.217,0.7*(表2_367162629303891213141516[[#This Row],[累计净值]]-1.217)/1.217,(表2_367162629303891213141516[[#This Row],[累计净值]]-1.217)/1.217)</f>
        <v>8.0525883319638517E-3</v>
      </c>
    </row>
    <row r="32" spans="1:7">
      <c r="A32" s="15">
        <v>43966</v>
      </c>
      <c r="B32" s="104">
        <v>1.232</v>
      </c>
      <c r="C32" s="101">
        <f t="shared" si="1"/>
        <v>9.9999999999988987E-4</v>
      </c>
      <c r="D32" s="102" t="str">
        <f t="shared" si="2"/>
        <v>/</v>
      </c>
      <c r="E32" s="102">
        <f ca="1">IF(表2_367162629303891213141516[[#This Row],[累计净值]]/MAX(INDIRECT("B21:B" &amp; ROW()))-1&lt;E31,表2_367162629303891213141516[[#This Row],[累计净值]]/MAX(INDIRECT("B21:B" &amp; ROW()))-1,E31)</f>
        <v>-2.4610336341264194E-3</v>
      </c>
      <c r="F32" s="103">
        <f>表2_367162629303891213141516[[#This Row],[累计净值]]</f>
        <v>1.232</v>
      </c>
      <c r="G32" s="20">
        <f>IF(表2_367162629303891213141516[[#This Row],[累计净值]]&gt;1.217,0.7*(表2_367162629303891213141516[[#This Row],[累计净值]]-1.217)/1.217,(表2_367162629303891213141516[[#This Row],[累计净值]]-1.217)/1.217)</f>
        <v>8.6277732128183481E-3</v>
      </c>
    </row>
    <row r="33" spans="1:7">
      <c r="A33" s="15">
        <v>43969</v>
      </c>
      <c r="B33" s="104">
        <v>1.236</v>
      </c>
      <c r="C33" s="101">
        <f t="shared" si="1"/>
        <v>4.0000000000000036E-3</v>
      </c>
      <c r="D33" s="102" t="str">
        <f t="shared" si="2"/>
        <v>/</v>
      </c>
      <c r="E33" s="102">
        <f ca="1">IF(表2_367162629303891213141516[[#This Row],[累计净值]]/MAX(INDIRECT("B21:B" &amp; ROW()))-1&lt;E32,表2_367162629303891213141516[[#This Row],[累计净值]]/MAX(INDIRECT("B21:B" &amp; ROW()))-1,E32)</f>
        <v>-2.4610336341264194E-3</v>
      </c>
      <c r="F33" s="103">
        <f>表2_367162629303891213141516[[#This Row],[累计净值]]</f>
        <v>1.236</v>
      </c>
      <c r="G33" s="20">
        <f>IF(表2_367162629303891213141516[[#This Row],[累计净值]]&gt;1.217,0.7*(表2_367162629303891213141516[[#This Row],[累计净值]]-1.217)/1.217,(表2_367162629303891213141516[[#This Row],[累计净值]]-1.217)/1.217)</f>
        <v>1.0928512736236592E-2</v>
      </c>
    </row>
    <row r="34" spans="1:7">
      <c r="A34" s="15">
        <v>43970</v>
      </c>
      <c r="B34" s="104">
        <v>1.2370000000000001</v>
      </c>
      <c r="C34" s="101">
        <f t="shared" si="1"/>
        <v>1.0000000000001119E-3</v>
      </c>
      <c r="D34" s="102" t="str">
        <f t="shared" si="2"/>
        <v>/</v>
      </c>
      <c r="E34" s="102">
        <f ca="1">IF(表2_367162629303891213141516[[#This Row],[累计净值]]/MAX(INDIRECT("B21:B" &amp; ROW()))-1&lt;E33,表2_367162629303891213141516[[#This Row],[累计净值]]/MAX(INDIRECT("B21:B" &amp; ROW()))-1,E33)</f>
        <v>-2.4610336341264194E-3</v>
      </c>
      <c r="F34" s="103">
        <f>表2_367162629303891213141516[[#This Row],[累计净值]]</f>
        <v>1.2370000000000001</v>
      </c>
      <c r="G34" s="20">
        <f>IF(表2_367162629303891213141516[[#This Row],[累计净值]]&gt;1.217,0.7*(表2_367162629303891213141516[[#This Row],[累计净值]]-1.217)/1.217,(表2_367162629303891213141516[[#This Row],[累计净值]]-1.217)/1.217)</f>
        <v>1.1503697617091215E-2</v>
      </c>
    </row>
    <row r="35" spans="1:7">
      <c r="A35" s="15">
        <v>43971</v>
      </c>
      <c r="B35" s="104">
        <v>1.24</v>
      </c>
      <c r="C35" s="101">
        <f t="shared" ref="C35:C40" si="3">IFERROR(B35-B34,0)</f>
        <v>2.9999999999998916E-3</v>
      </c>
      <c r="D35" s="102" t="str">
        <f t="shared" ref="D35:D40" si="4">IF(C35&lt;0,C35,"/")</f>
        <v>/</v>
      </c>
      <c r="E35" s="102">
        <f ca="1">IF(表2_367162629303891213141516[[#This Row],[累计净值]]/MAX(INDIRECT("B21:B" &amp; ROW()))-1&lt;E34,表2_367162629303891213141516[[#This Row],[累计净值]]/MAX(INDIRECT("B21:B" &amp; ROW()))-1,E34)</f>
        <v>-2.4610336341264194E-3</v>
      </c>
      <c r="F35" s="103">
        <f>表2_367162629303891213141516[[#This Row],[累计净值]]</f>
        <v>1.24</v>
      </c>
      <c r="G35" s="20">
        <f>IF(表2_367162629303891213141516[[#This Row],[累计净值]]&gt;1.217,0.7*(表2_367162629303891213141516[[#This Row],[累计净值]]-1.217)/1.217,(表2_367162629303891213141516[[#This Row],[累计净值]]-1.217)/1.217)</f>
        <v>1.3229252259654836E-2</v>
      </c>
    </row>
    <row r="36" spans="1:7">
      <c r="A36" s="15">
        <v>43972</v>
      </c>
      <c r="B36" s="104">
        <v>1.24</v>
      </c>
      <c r="C36" s="101">
        <f t="shared" si="3"/>
        <v>0</v>
      </c>
      <c r="D36" s="102" t="str">
        <f t="shared" si="4"/>
        <v>/</v>
      </c>
      <c r="E36" s="102">
        <f ca="1">IF(表2_367162629303891213141516[[#This Row],[累计净值]]/MAX(INDIRECT("B21:B" &amp; ROW()))-1&lt;E35,表2_367162629303891213141516[[#This Row],[累计净值]]/MAX(INDIRECT("B21:B" &amp; ROW()))-1,E35)</f>
        <v>-2.4610336341264194E-3</v>
      </c>
      <c r="F36" s="103">
        <f>表2_367162629303891213141516[[#This Row],[累计净值]]</f>
        <v>1.24</v>
      </c>
      <c r="G36" s="20">
        <f>IF(表2_367162629303891213141516[[#This Row],[累计净值]]&gt;1.217,0.7*(表2_367162629303891213141516[[#This Row],[累计净值]]-1.217)/1.217,(表2_367162629303891213141516[[#This Row],[累计净值]]-1.217)/1.217)</f>
        <v>1.3229252259654836E-2</v>
      </c>
    </row>
    <row r="37" spans="1:7">
      <c r="A37" s="15">
        <v>43973</v>
      </c>
      <c r="B37" s="112">
        <v>1.242</v>
      </c>
      <c r="C37" s="108">
        <f t="shared" si="3"/>
        <v>2.0000000000000018E-3</v>
      </c>
      <c r="D37" s="109" t="str">
        <f t="shared" si="4"/>
        <v>/</v>
      </c>
      <c r="E37" s="109">
        <f ca="1">IF(表2_367162629303891213141516[[#This Row],[累计净值]]/MAX(INDIRECT("B21:B" &amp; ROW()))-1&lt;E36,表2_367162629303891213141516[[#This Row],[累计净值]]/MAX(INDIRECT("B21:B" &amp; ROW()))-1,E36)</f>
        <v>-2.4610336341264194E-3</v>
      </c>
      <c r="F37" s="110">
        <f>表2_367162629303891213141516[[#This Row],[累计净值]]</f>
        <v>1.242</v>
      </c>
      <c r="G37" s="20">
        <f>IF(表2_367162629303891213141516[[#This Row],[累计净值]]&gt;1.217,0.7*(表2_367162629303891213141516[[#This Row],[累计净值]]-1.217)/1.217,(表2_367162629303891213141516[[#This Row],[累计净值]]-1.217)/1.217)</f>
        <v>1.4379622021363956E-2</v>
      </c>
    </row>
    <row r="38" spans="1:7">
      <c r="A38" s="15">
        <v>43976</v>
      </c>
      <c r="B38" s="112">
        <v>1.2430000000000001</v>
      </c>
      <c r="C38" s="108">
        <f t="shared" si="3"/>
        <v>1.0000000000001119E-3</v>
      </c>
      <c r="D38" s="109" t="str">
        <f t="shared" si="4"/>
        <v>/</v>
      </c>
      <c r="E38" s="109">
        <f ca="1">IF(表2_367162629303891213141516[[#This Row],[累计净值]]/MAX(INDIRECT("B21:B" &amp; ROW()))-1&lt;E37,表2_367162629303891213141516[[#This Row],[累计净值]]/MAX(INDIRECT("B21:B" &amp; ROW()))-1,E37)</f>
        <v>-2.4610336341264194E-3</v>
      </c>
      <c r="F38" s="110">
        <f>表2_367162629303891213141516[[#This Row],[累计净值]]</f>
        <v>1.2430000000000001</v>
      </c>
      <c r="G38" s="20">
        <f>IF(表2_367162629303891213141516[[#This Row],[累计净值]]&gt;1.217,0.7*(表2_367162629303891213141516[[#This Row],[累计净值]]-1.217)/1.217,(表2_367162629303891213141516[[#This Row],[累计净值]]-1.217)/1.217)</f>
        <v>1.4954806902218582E-2</v>
      </c>
    </row>
    <row r="39" spans="1:7">
      <c r="A39" s="15">
        <v>43977</v>
      </c>
      <c r="B39" s="117">
        <v>1.246</v>
      </c>
      <c r="C39" s="108">
        <f t="shared" si="3"/>
        <v>2.9999999999998916E-3</v>
      </c>
      <c r="D39" s="109" t="str">
        <f t="shared" si="4"/>
        <v>/</v>
      </c>
      <c r="E39" s="109">
        <f ca="1">IF(表2_367162629303891213141516[[#This Row],[累计净值]]/MAX(INDIRECT("B21:B" &amp; ROW()))-1&lt;E38,表2_367162629303891213141516[[#This Row],[累计净值]]/MAX(INDIRECT("B21:B" &amp; ROW()))-1,E38)</f>
        <v>-2.4610336341264194E-3</v>
      </c>
      <c r="F39" s="110">
        <f>表2_367162629303891213141516[[#This Row],[累计净值]]</f>
        <v>1.246</v>
      </c>
      <c r="G39" s="20">
        <f>IF(表2_367162629303891213141516[[#This Row],[累计净值]]&gt;1.217,0.7*(表2_367162629303891213141516[[#This Row],[累计净值]]-1.217)/1.217,(表2_367162629303891213141516[[#This Row],[累计净值]]-1.217)/1.217)</f>
        <v>1.66803615447822E-2</v>
      </c>
    </row>
    <row r="40" spans="1:7">
      <c r="A40" s="15">
        <v>43978</v>
      </c>
      <c r="B40" s="112">
        <v>1.244</v>
      </c>
      <c r="C40" s="108">
        <f t="shared" si="3"/>
        <v>-2.0000000000000018E-3</v>
      </c>
      <c r="D40" s="109">
        <f t="shared" si="4"/>
        <v>-2.0000000000000018E-3</v>
      </c>
      <c r="E40" s="109">
        <f ca="1">IF(表2_367162629303891213141516[[#This Row],[累计净值]]/MAX(INDIRECT("B21:B" &amp; ROW()))-1&lt;E39,表2_367162629303891213141516[[#This Row],[累计净值]]/MAX(INDIRECT("B21:B" &amp; ROW()))-1,E39)</f>
        <v>-2.4610336341264194E-3</v>
      </c>
      <c r="F40" s="110">
        <f>表2_367162629303891213141516[[#This Row],[累计净值]]</f>
        <v>1.244</v>
      </c>
      <c r="G40" s="20">
        <f>IF(表2_367162629303891213141516[[#This Row],[累计净值]]&gt;1.217,0.7*(表2_367162629303891213141516[[#This Row],[累计净值]]-1.217)/1.217,(表2_367162629303891213141516[[#This Row],[累计净值]]-1.217)/1.217)</f>
        <v>1.5529991783073079E-2</v>
      </c>
    </row>
    <row r="41" spans="1:7">
      <c r="A41" s="15">
        <v>43979</v>
      </c>
      <c r="B41" s="112">
        <v>1.2450000000000001</v>
      </c>
      <c r="C41" s="108">
        <f t="shared" ref="C41:C46" si="5">IFERROR(B41-B40,0)</f>
        <v>1.0000000000001119E-3</v>
      </c>
      <c r="D41" s="109" t="str">
        <f t="shared" ref="D41:D46" si="6">IF(C41&lt;0,C41,"/")</f>
        <v>/</v>
      </c>
      <c r="E41" s="109">
        <f ca="1">IF(表2_367162629303891213141516[[#This Row],[累计净值]]/MAX(INDIRECT("B21:B" &amp; ROW()))-1&lt;E40,表2_367162629303891213141516[[#This Row],[累计净值]]/MAX(INDIRECT("B21:B" &amp; ROW()))-1,E40)</f>
        <v>-2.4610336341264194E-3</v>
      </c>
      <c r="F41" s="110">
        <f>表2_367162629303891213141516[[#This Row],[累计净值]]</f>
        <v>1.2450000000000001</v>
      </c>
      <c r="G41" s="20">
        <f>IF(表2_367162629303891213141516[[#This Row],[累计净值]]&gt;1.217,0.7*(表2_367162629303891213141516[[#This Row],[累计净值]]-1.217)/1.217,(表2_367162629303891213141516[[#This Row],[累计净值]]-1.217)/1.217)</f>
        <v>1.6105176663927703E-2</v>
      </c>
    </row>
    <row r="42" spans="1:7">
      <c r="A42" s="15">
        <v>43980</v>
      </c>
      <c r="B42" s="112">
        <v>1.246</v>
      </c>
      <c r="C42" s="108">
        <f t="shared" si="5"/>
        <v>9.9999999999988987E-4</v>
      </c>
      <c r="D42" s="109" t="str">
        <f t="shared" si="6"/>
        <v>/</v>
      </c>
      <c r="E42" s="109">
        <f ca="1">IF(表2_367162629303891213141516[[#This Row],[累计净值]]/MAX(INDIRECT("B21:B" &amp; ROW()))-1&lt;E41,表2_367162629303891213141516[[#This Row],[累计净值]]/MAX(INDIRECT("B21:B" &amp; ROW()))-1,E41)</f>
        <v>-2.4610336341264194E-3</v>
      </c>
      <c r="F42" s="110">
        <f>表2_367162629303891213141516[[#This Row],[累计净值]]</f>
        <v>1.246</v>
      </c>
      <c r="G42" s="20">
        <f>IF(表2_367162629303891213141516[[#This Row],[累计净值]]&gt;1.217,0.7*(表2_367162629303891213141516[[#This Row],[累计净值]]-1.217)/1.217,(表2_367162629303891213141516[[#This Row],[累计净值]]-1.217)/1.217)</f>
        <v>1.66803615447822E-2</v>
      </c>
    </row>
    <row r="43" spans="1:7">
      <c r="A43" s="15">
        <v>43983</v>
      </c>
      <c r="B43" s="112">
        <v>1.252</v>
      </c>
      <c r="C43" s="108">
        <f t="shared" si="5"/>
        <v>6.0000000000000053E-3</v>
      </c>
      <c r="D43" s="109" t="str">
        <f t="shared" si="6"/>
        <v>/</v>
      </c>
      <c r="E43" s="109">
        <f ca="1">IF(表2_367162629303891213141516[[#This Row],[累计净值]]/MAX(INDIRECT("B21:B" &amp; ROW()))-1&lt;E42,表2_367162629303891213141516[[#This Row],[累计净值]]/MAX(INDIRECT("B21:B" &amp; ROW()))-1,E42)</f>
        <v>-2.4610336341264194E-3</v>
      </c>
      <c r="F43" s="110">
        <f>表2_367162629303891213141516[[#This Row],[累计净值]]</f>
        <v>1.252</v>
      </c>
      <c r="G43" s="20">
        <f>IF(表2_367162629303891213141516[[#This Row],[累计净值]]&gt;1.217,0.7*(表2_367162629303891213141516[[#This Row],[累计净值]]-1.217)/1.217,(表2_367162629303891213141516[[#This Row],[累计净值]]-1.217)/1.217)</f>
        <v>2.0131470829909563E-2</v>
      </c>
    </row>
    <row r="44" spans="1:7">
      <c r="A44" s="15">
        <v>43984</v>
      </c>
      <c r="B44" s="112">
        <v>1.256</v>
      </c>
      <c r="C44" s="108">
        <f t="shared" si="5"/>
        <v>4.0000000000000036E-3</v>
      </c>
      <c r="D44" s="109" t="str">
        <f t="shared" si="6"/>
        <v>/</v>
      </c>
      <c r="E44" s="109">
        <f ca="1">IF(表2_367162629303891213141516[[#This Row],[累计净值]]/MAX(INDIRECT("B21:B" &amp; ROW()))-1&lt;E43,表2_367162629303891213141516[[#This Row],[累计净值]]/MAX(INDIRECT("B21:B" &amp; ROW()))-1,E43)</f>
        <v>-2.4610336341264194E-3</v>
      </c>
      <c r="F44" s="110">
        <f>表2_367162629303891213141516[[#This Row],[累计净值]]</f>
        <v>1.256</v>
      </c>
      <c r="G44" s="20">
        <f>IF(表2_367162629303891213141516[[#This Row],[累计净值]]&gt;1.217,0.7*(表2_367162629303891213141516[[#This Row],[累计净值]]-1.217)/1.217,(表2_367162629303891213141516[[#This Row],[累计净值]]-1.217)/1.217)</f>
        <v>2.2432210353327809E-2</v>
      </c>
    </row>
    <row r="45" spans="1:7">
      <c r="A45" s="15">
        <v>43985</v>
      </c>
      <c r="B45" s="112">
        <v>1.2569999999999999</v>
      </c>
      <c r="C45" s="108">
        <f t="shared" si="5"/>
        <v>9.9999999999988987E-4</v>
      </c>
      <c r="D45" s="109" t="str">
        <f t="shared" si="6"/>
        <v>/</v>
      </c>
      <c r="E45" s="109">
        <f ca="1">IF(表2_367162629303891213141516[[#This Row],[累计净值]]/MAX(INDIRECT("B21:B" &amp; ROW()))-1&lt;E44,表2_367162629303891213141516[[#This Row],[累计净值]]/MAX(INDIRECT("B21:B" &amp; ROW()))-1,E44)</f>
        <v>-2.4610336341264194E-3</v>
      </c>
      <c r="F45" s="110">
        <f>表2_367162629303891213141516[[#This Row],[累计净值]]</f>
        <v>1.2569999999999999</v>
      </c>
      <c r="G45" s="20">
        <f>IF(表2_367162629303891213141516[[#This Row],[累计净值]]&gt;1.217,0.7*(表2_367162629303891213141516[[#This Row],[累计净值]]-1.217)/1.217,(表2_367162629303891213141516[[#This Row],[累计净值]]-1.217)/1.217)</f>
        <v>2.3007395234182305E-2</v>
      </c>
    </row>
    <row r="46" spans="1:7">
      <c r="A46" s="15">
        <v>43986</v>
      </c>
      <c r="B46" s="112">
        <v>1.2569999999999999</v>
      </c>
      <c r="C46" s="108">
        <f t="shared" si="5"/>
        <v>0</v>
      </c>
      <c r="D46" s="109" t="str">
        <f t="shared" si="6"/>
        <v>/</v>
      </c>
      <c r="E46" s="109">
        <f ca="1">IF(表2_367162629303891213141516[[#This Row],[累计净值]]/MAX(INDIRECT("B21:B" &amp; ROW()))-1&lt;E45,表2_367162629303891213141516[[#This Row],[累计净值]]/MAX(INDIRECT("B21:B" &amp; ROW()))-1,E45)</f>
        <v>-2.4610336341264194E-3</v>
      </c>
      <c r="F46" s="110">
        <f>表2_367162629303891213141516[[#This Row],[累计净值]]</f>
        <v>1.2569999999999999</v>
      </c>
      <c r="G46" s="20">
        <f>IF(表2_367162629303891213141516[[#This Row],[累计净值]]&gt;1.217,0.7*(表2_367162629303891213141516[[#This Row],[累计净值]]-1.217)/1.217,(表2_367162629303891213141516[[#This Row],[累计净值]]-1.217)/1.217)</f>
        <v>2.3007395234182305E-2</v>
      </c>
    </row>
    <row r="47" spans="1:7">
      <c r="A47" s="15">
        <v>43987</v>
      </c>
      <c r="B47" s="112">
        <v>1.258</v>
      </c>
      <c r="C47" s="108">
        <f t="shared" ref="C47:C52" si="7">IFERROR(B47-B46,0)</f>
        <v>1.0000000000001119E-3</v>
      </c>
      <c r="D47" s="109" t="str">
        <f t="shared" ref="D47:D52" si="8">IF(C47&lt;0,C47,"/")</f>
        <v>/</v>
      </c>
      <c r="E47" s="109">
        <f ca="1">IF(表2_367162629303891213141516[[#This Row],[累计净值]]/MAX(INDIRECT("B21:B" &amp; ROW()))-1&lt;E46,表2_367162629303891213141516[[#This Row],[累计净值]]/MAX(INDIRECT("B21:B" &amp; ROW()))-1,E46)</f>
        <v>-2.4610336341264194E-3</v>
      </c>
      <c r="F47" s="110">
        <f>表2_367162629303891213141516[[#This Row],[累计净值]]</f>
        <v>1.258</v>
      </c>
      <c r="G47" s="20">
        <f>IF(表2_367162629303891213141516[[#This Row],[累计净值]]&gt;1.217,0.7*(表2_367162629303891213141516[[#This Row],[累计净值]]-1.217)/1.217,(表2_367162629303891213141516[[#This Row],[累计净值]]-1.217)/1.217)</f>
        <v>2.358258011503693E-2</v>
      </c>
    </row>
    <row r="48" spans="1:7">
      <c r="A48" s="15">
        <v>43990</v>
      </c>
      <c r="B48" s="112">
        <v>1.26</v>
      </c>
      <c r="C48" s="108">
        <f t="shared" si="7"/>
        <v>2.0000000000000018E-3</v>
      </c>
      <c r="D48" s="109" t="str">
        <f t="shared" si="8"/>
        <v>/</v>
      </c>
      <c r="E48" s="109">
        <f ca="1">IF(表2_367162629303891213141516[[#This Row],[累计净值]]/MAX(INDIRECT("B21:B" &amp; ROW()))-1&lt;E47,表2_367162629303891213141516[[#This Row],[累计净值]]/MAX(INDIRECT("B21:B" &amp; ROW()))-1,E47)</f>
        <v>-2.4610336341264194E-3</v>
      </c>
      <c r="F48" s="110">
        <f>表2_367162629303891213141516[[#This Row],[累计净值]]</f>
        <v>1.26</v>
      </c>
      <c r="G48" s="20">
        <f>IF(表2_367162629303891213141516[[#This Row],[累计净值]]&gt;1.217,0.7*(表2_367162629303891213141516[[#This Row],[累计净值]]-1.217)/1.217,(表2_367162629303891213141516[[#This Row],[累计净值]]-1.217)/1.217)</f>
        <v>2.4732949876746051E-2</v>
      </c>
    </row>
    <row r="49" spans="1:7">
      <c r="A49" s="15">
        <v>43991</v>
      </c>
      <c r="B49" s="112">
        <v>1.262</v>
      </c>
      <c r="C49" s="108">
        <f t="shared" si="7"/>
        <v>2.0000000000000018E-3</v>
      </c>
      <c r="D49" s="109" t="str">
        <f t="shared" si="8"/>
        <v>/</v>
      </c>
      <c r="E49" s="109">
        <f ca="1">IF(表2_367162629303891213141516[[#This Row],[累计净值]]/MAX(INDIRECT("B21:B" &amp; ROW()))-1&lt;E48,表2_367162629303891213141516[[#This Row],[累计净值]]/MAX(INDIRECT("B21:B" &amp; ROW()))-1,E48)</f>
        <v>-2.4610336341264194E-3</v>
      </c>
      <c r="F49" s="110">
        <f>表2_367162629303891213141516[[#This Row],[累计净值]]</f>
        <v>1.262</v>
      </c>
      <c r="G49" s="20">
        <f>IF(表2_367162629303891213141516[[#This Row],[累计净值]]&gt;1.217,0.7*(表2_367162629303891213141516[[#This Row],[累计净值]]-1.217)/1.217,(表2_367162629303891213141516[[#This Row],[累计净值]]-1.217)/1.217)</f>
        <v>2.5883319638455176E-2</v>
      </c>
    </row>
    <row r="50" spans="1:7">
      <c r="A50" s="15">
        <v>43992</v>
      </c>
      <c r="B50" s="112">
        <v>1.2629999999999999</v>
      </c>
      <c r="C50" s="108">
        <f t="shared" si="7"/>
        <v>9.9999999999988987E-4</v>
      </c>
      <c r="D50" s="109" t="str">
        <f t="shared" si="8"/>
        <v>/</v>
      </c>
      <c r="E50" s="109">
        <f ca="1">IF(表2_367162629303891213141516[[#This Row],[累计净值]]/MAX(INDIRECT("B21:B" &amp; ROW()))-1&lt;E49,表2_367162629303891213141516[[#This Row],[累计净值]]/MAX(INDIRECT("B21:B" &amp; ROW()))-1,E49)</f>
        <v>-2.4610336341264194E-3</v>
      </c>
      <c r="F50" s="110">
        <f>表2_367162629303891213141516[[#This Row],[累计净值]]</f>
        <v>1.2629999999999999</v>
      </c>
      <c r="G50" s="20">
        <f>IF(表2_367162629303891213141516[[#This Row],[累计净值]]&gt;1.217,0.7*(表2_367162629303891213141516[[#This Row],[累计净值]]-1.217)/1.217,(表2_367162629303891213141516[[#This Row],[累计净值]]-1.217)/1.217)</f>
        <v>2.6458504519309672E-2</v>
      </c>
    </row>
    <row r="51" spans="1:7">
      <c r="A51" s="15">
        <v>43993</v>
      </c>
      <c r="B51" s="112">
        <v>1.262</v>
      </c>
      <c r="C51" s="108">
        <f t="shared" si="7"/>
        <v>-9.9999999999988987E-4</v>
      </c>
      <c r="D51" s="109">
        <f t="shared" si="8"/>
        <v>-9.9999999999988987E-4</v>
      </c>
      <c r="E51" s="109">
        <f ca="1">IF(表2_367162629303891213141516[[#This Row],[累计净值]]/MAX(INDIRECT("B21:B" &amp; ROW()))-1&lt;E50,表2_367162629303891213141516[[#This Row],[累计净值]]/MAX(INDIRECT("B21:B" &amp; ROW()))-1,E50)</f>
        <v>-2.4610336341264194E-3</v>
      </c>
      <c r="F51" s="110">
        <f>表2_367162629303891213141516[[#This Row],[累计净值]]</f>
        <v>1.262</v>
      </c>
      <c r="G51" s="20">
        <f>IF(表2_367162629303891213141516[[#This Row],[累计净值]]&gt;1.217,0.7*(表2_367162629303891213141516[[#This Row],[累计净值]]-1.217)/1.217,(表2_367162629303891213141516[[#This Row],[累计净值]]-1.217)/1.217)</f>
        <v>2.5883319638455176E-2</v>
      </c>
    </row>
    <row r="52" spans="1:7">
      <c r="A52" s="15">
        <v>43994</v>
      </c>
      <c r="B52" s="112">
        <v>1.262</v>
      </c>
      <c r="C52" s="108">
        <f t="shared" si="7"/>
        <v>0</v>
      </c>
      <c r="D52" s="109" t="str">
        <f t="shared" si="8"/>
        <v>/</v>
      </c>
      <c r="E52" s="109">
        <f ca="1">IF(表2_367162629303891213141516[[#This Row],[累计净值]]/MAX(INDIRECT("B21:B" &amp; ROW()))-1&lt;E51,表2_367162629303891213141516[[#This Row],[累计净值]]/MAX(INDIRECT("B21:B" &amp; ROW()))-1,E51)</f>
        <v>-2.4610336341264194E-3</v>
      </c>
      <c r="F52" s="110">
        <f>表2_367162629303891213141516[[#This Row],[累计净值]]</f>
        <v>1.262</v>
      </c>
      <c r="G52" s="20">
        <f>IF(表2_367162629303891213141516[[#This Row],[累计净值]]&gt;1.217,0.7*(表2_367162629303891213141516[[#This Row],[累计净值]]-1.217)/1.217,(表2_367162629303891213141516[[#This Row],[累计净值]]-1.217)/1.217)</f>
        <v>2.5883319638455176E-2</v>
      </c>
    </row>
    <row r="53" spans="1:7">
      <c r="A53" s="15">
        <v>43997</v>
      </c>
      <c r="B53" s="112">
        <v>1.2649999999999999</v>
      </c>
      <c r="C53" s="108">
        <f t="shared" ref="C53:C58" si="9">IFERROR(B53-B52,0)</f>
        <v>2.9999999999998916E-3</v>
      </c>
      <c r="D53" s="109" t="str">
        <f t="shared" ref="D53:D58" si="10">IF(C53&lt;0,C53,"/")</f>
        <v>/</v>
      </c>
      <c r="E53" s="109">
        <f ca="1">IF(表2_367162629303891213141516[[#This Row],[累计净值]]/MAX(INDIRECT("B21:B" &amp; ROW()))-1&lt;E52,表2_367162629303891213141516[[#This Row],[累计净值]]/MAX(INDIRECT("B21:B" &amp; ROW()))-1,E52)</f>
        <v>-2.4610336341264194E-3</v>
      </c>
      <c r="F53" s="110">
        <f>表2_367162629303891213141516[[#This Row],[累计净值]]</f>
        <v>1.2649999999999999</v>
      </c>
      <c r="G53" s="20">
        <f>IF(表2_367162629303891213141516[[#This Row],[累计净值]]&gt;1.217,0.7*(表2_367162629303891213141516[[#This Row],[累计净值]]-1.217)/1.217,(表2_367162629303891213141516[[#This Row],[累计净值]]-1.217)/1.217)</f>
        <v>2.7608874281018794E-2</v>
      </c>
    </row>
    <row r="54" spans="1:7">
      <c r="A54" s="15">
        <v>43998</v>
      </c>
      <c r="B54" s="112">
        <v>1.2669999999999999</v>
      </c>
      <c r="C54" s="108">
        <f t="shared" si="9"/>
        <v>2.0000000000000018E-3</v>
      </c>
      <c r="D54" s="109" t="str">
        <f t="shared" si="10"/>
        <v>/</v>
      </c>
      <c r="E54" s="109">
        <f ca="1">IF(表2_367162629303891213141516[[#This Row],[累计净值]]/MAX(INDIRECT("B21:B" &amp; ROW()))-1&lt;E53,表2_367162629303891213141516[[#This Row],[累计净值]]/MAX(INDIRECT("B21:B" &amp; ROW()))-1,E53)</f>
        <v>-2.4610336341264194E-3</v>
      </c>
      <c r="F54" s="110">
        <f>表2_367162629303891213141516[[#This Row],[累计净值]]</f>
        <v>1.2669999999999999</v>
      </c>
      <c r="G54" s="20">
        <f>IF(表2_367162629303891213141516[[#This Row],[累计净值]]&gt;1.217,0.7*(表2_367162629303891213141516[[#This Row],[累计净值]]-1.217)/1.217,(表2_367162629303891213141516[[#This Row],[累计净值]]-1.217)/1.217)</f>
        <v>2.8759244042727911E-2</v>
      </c>
    </row>
    <row r="55" spans="1:7">
      <c r="A55" s="15">
        <v>43999</v>
      </c>
      <c r="B55" s="112">
        <v>1.266</v>
      </c>
      <c r="C55" s="108">
        <f t="shared" si="9"/>
        <v>-9.9999999999988987E-4</v>
      </c>
      <c r="D55" s="109">
        <f t="shared" si="10"/>
        <v>-9.9999999999988987E-4</v>
      </c>
      <c r="E55" s="109">
        <f ca="1">IF(表2_367162629303891213141516[[#This Row],[累计净值]]/MAX(INDIRECT("B21:B" &amp; ROW()))-1&lt;E54,表2_367162629303891213141516[[#This Row],[累计净值]]/MAX(INDIRECT("B21:B" &amp; ROW()))-1,E54)</f>
        <v>-2.4610336341264194E-3</v>
      </c>
      <c r="F55" s="110">
        <f>表2_367162629303891213141516[[#This Row],[累计净值]]</f>
        <v>1.266</v>
      </c>
      <c r="G55" s="20">
        <f>IF(表2_367162629303891213141516[[#This Row],[累计净值]]&gt;1.217,0.7*(表2_367162629303891213141516[[#This Row],[累计净值]]-1.217)/1.217,(表2_367162629303891213141516[[#This Row],[累计净值]]-1.217)/1.217)</f>
        <v>2.8184059161873415E-2</v>
      </c>
    </row>
    <row r="56" spans="1:7">
      <c r="A56" s="15">
        <v>44000</v>
      </c>
      <c r="B56" s="112">
        <v>1.272</v>
      </c>
      <c r="C56" s="108">
        <f t="shared" si="9"/>
        <v>6.0000000000000053E-3</v>
      </c>
      <c r="D56" s="109" t="str">
        <f t="shared" si="10"/>
        <v>/</v>
      </c>
      <c r="E56" s="109">
        <f ca="1">IF(表2_367162629303891213141516[[#This Row],[累计净值]]/MAX(INDIRECT("B21:B" &amp; ROW()))-1&lt;E55,表2_367162629303891213141516[[#This Row],[累计净值]]/MAX(INDIRECT("B21:B" &amp; ROW()))-1,E55)</f>
        <v>-2.4610336341264194E-3</v>
      </c>
      <c r="F56" s="110">
        <f>表2_367162629303891213141516[[#This Row],[累计净值]]</f>
        <v>1.272</v>
      </c>
      <c r="G56" s="20">
        <f>IF(表2_367162629303891213141516[[#This Row],[累计净值]]&gt;1.217,0.7*(表2_367162629303891213141516[[#This Row],[累计净值]]-1.217)/1.217,(表2_367162629303891213141516[[#This Row],[累计净值]]-1.217)/1.217)</f>
        <v>3.1635168447000782E-2</v>
      </c>
    </row>
    <row r="57" spans="1:7">
      <c r="A57" s="15">
        <v>44001</v>
      </c>
      <c r="B57" s="112">
        <v>1.2709999999999999</v>
      </c>
      <c r="C57" s="108">
        <f t="shared" si="9"/>
        <v>-1.0000000000001119E-3</v>
      </c>
      <c r="D57" s="109">
        <f t="shared" si="10"/>
        <v>-1.0000000000001119E-3</v>
      </c>
      <c r="E57" s="109">
        <f ca="1">IF(表2_367162629303891213141516[[#This Row],[累计净值]]/MAX(INDIRECT("B21:B" &amp; ROW()))-1&lt;E56,表2_367162629303891213141516[[#This Row],[累计净值]]/MAX(INDIRECT("B21:B" &amp; ROW()))-1,E56)</f>
        <v>-2.4610336341264194E-3</v>
      </c>
      <c r="F57" s="110">
        <f>表2_367162629303891213141516[[#This Row],[累计净值]]</f>
        <v>1.2709999999999999</v>
      </c>
      <c r="G57" s="20">
        <f>IF(表2_367162629303891213141516[[#This Row],[累计净值]]&gt;1.217,0.7*(表2_367162629303891213141516[[#This Row],[累计净值]]-1.217)/1.217,(表2_367162629303891213141516[[#This Row],[累计净值]]-1.217)/1.217)</f>
        <v>3.1059983566146157E-2</v>
      </c>
    </row>
    <row r="58" spans="1:7">
      <c r="A58" s="15">
        <v>44004</v>
      </c>
      <c r="B58" s="117">
        <v>1.274</v>
      </c>
      <c r="C58" s="108">
        <f t="shared" si="9"/>
        <v>3.0000000000001137E-3</v>
      </c>
      <c r="D58" s="109" t="str">
        <f t="shared" si="10"/>
        <v>/</v>
      </c>
      <c r="E58" s="109">
        <f ca="1">IF(表2_367162629303891213141516[[#This Row],[累计净值]]/MAX(INDIRECT("B21:B" &amp; ROW()))-1&lt;E57,表2_367162629303891213141516[[#This Row],[累计净值]]/MAX(INDIRECT("B21:B" &amp; ROW()))-1,E57)</f>
        <v>-2.4610336341264194E-3</v>
      </c>
      <c r="F58" s="110">
        <f>表2_367162629303891213141516[[#This Row],[累计净值]]</f>
        <v>1.274</v>
      </c>
      <c r="G58" s="20">
        <f>IF(表2_367162629303891213141516[[#This Row],[累计净值]]&gt;1.217,0.7*(表2_367162629303891213141516[[#This Row],[累计净值]]-1.217)/1.217,(表2_367162629303891213141516[[#This Row],[累计净值]]-1.217)/1.217)</f>
        <v>3.2785538208709906E-2</v>
      </c>
    </row>
    <row r="59" spans="1:7">
      <c r="A59" s="15">
        <v>44005</v>
      </c>
      <c r="B59" s="112">
        <v>1.2729999999999999</v>
      </c>
      <c r="C59" s="108">
        <f t="shared" ref="C59:C65" si="11">IFERROR(B59-B58,0)</f>
        <v>-1.0000000000001119E-3</v>
      </c>
      <c r="D59" s="109">
        <f t="shared" ref="D59:D65" si="12">IF(C59&lt;0,C59,"/")</f>
        <v>-1.0000000000001119E-3</v>
      </c>
      <c r="E59" s="109">
        <f ca="1">IF(表2_367162629303891213141516[[#This Row],[累计净值]]/MAX(INDIRECT("B21:B" &amp; ROW()))-1&lt;E58,表2_367162629303891213141516[[#This Row],[累计净值]]/MAX(INDIRECT("B21:B" &amp; ROW()))-1,E58)</f>
        <v>-2.4610336341264194E-3</v>
      </c>
      <c r="F59" s="110">
        <f>表2_367162629303891213141516[[#This Row],[累计净值]]</f>
        <v>1.2729999999999999</v>
      </c>
      <c r="G59" s="20">
        <f>IF(表2_367162629303891213141516[[#This Row],[累计净值]]&gt;1.217,0.7*(表2_367162629303891213141516[[#This Row],[累计净值]]-1.217)/1.217,(表2_367162629303891213141516[[#This Row],[累计净值]]-1.217)/1.217)</f>
        <v>3.2210353327855275E-2</v>
      </c>
    </row>
    <row r="60" spans="1:7">
      <c r="A60" s="15">
        <v>44006</v>
      </c>
      <c r="B60" s="112">
        <v>1.276</v>
      </c>
      <c r="C60" s="108">
        <f t="shared" si="11"/>
        <v>3.0000000000001137E-3</v>
      </c>
      <c r="D60" s="109" t="str">
        <f t="shared" si="12"/>
        <v>/</v>
      </c>
      <c r="E60" s="109">
        <f ca="1">IF(表2_367162629303891213141516[[#This Row],[累计净值]]/MAX(INDIRECT("B21:B" &amp; ROW()))-1&lt;E59,表2_367162629303891213141516[[#This Row],[累计净值]]/MAX(INDIRECT("B21:B" &amp; ROW()))-1,E59)</f>
        <v>-2.4610336341264194E-3</v>
      </c>
      <c r="F60" s="110">
        <f>表2_367162629303891213141516[[#This Row],[累计净值]]</f>
        <v>1.276</v>
      </c>
      <c r="G60" s="20">
        <f>IF(表2_367162629303891213141516[[#This Row],[累计净值]]&gt;1.217,0.7*(表2_367162629303891213141516[[#This Row],[累计净值]]-1.217)/1.217,(表2_367162629303891213141516[[#This Row],[累计净值]]-1.217)/1.217)</f>
        <v>3.3935907970419024E-2</v>
      </c>
    </row>
    <row r="61" spans="1:7">
      <c r="A61" s="15">
        <v>44011</v>
      </c>
      <c r="B61" s="112">
        <v>1.286</v>
      </c>
      <c r="C61" s="108">
        <f t="shared" si="11"/>
        <v>1.0000000000000009E-2</v>
      </c>
      <c r="D61" s="109" t="str">
        <f t="shared" si="12"/>
        <v>/</v>
      </c>
      <c r="E61" s="109">
        <f ca="1">IF(表2_367162629303891213141516[[#This Row],[累计净值]]/MAX(INDIRECT("B21:B" &amp; ROW()))-1&lt;E60,表2_367162629303891213141516[[#This Row],[累计净值]]/MAX(INDIRECT("B21:B" &amp; ROW()))-1,E60)</f>
        <v>-2.4610336341264194E-3</v>
      </c>
      <c r="F61" s="110">
        <f>表2_367162629303891213141516[[#This Row],[累计净值]]</f>
        <v>1.286</v>
      </c>
      <c r="G61" s="20">
        <f>IF(表2_367162629303891213141516[[#This Row],[累计净值]]&gt;1.217,0.7*(表2_367162629303891213141516[[#This Row],[累计净值]]-1.217)/1.217,(表2_367162629303891213141516[[#This Row],[累计净值]]-1.217)/1.217)</f>
        <v>3.9687756778964633E-2</v>
      </c>
    </row>
    <row r="62" spans="1:7">
      <c r="A62" s="15">
        <v>44012</v>
      </c>
      <c r="B62" s="117">
        <v>1.292</v>
      </c>
      <c r="C62" s="108">
        <f t="shared" si="11"/>
        <v>6.0000000000000053E-3</v>
      </c>
      <c r="D62" s="109" t="str">
        <f t="shared" si="12"/>
        <v>/</v>
      </c>
      <c r="E62" s="109">
        <f ca="1">IF(表2_367162629303891213141516[[#This Row],[累计净值]]/MAX(INDIRECT("B21:B" &amp; ROW()))-1&lt;E61,表2_367162629303891213141516[[#This Row],[累计净值]]/MAX(INDIRECT("B21:B" &amp; ROW()))-1,E61)</f>
        <v>-2.4610336341264194E-3</v>
      </c>
      <c r="F62" s="110">
        <f>表2_367162629303891213141516[[#This Row],[累计净值]]</f>
        <v>1.292</v>
      </c>
      <c r="G62" s="20">
        <f>IF(表2_367162629303891213141516[[#This Row],[累计净值]]&gt;1.217,0.7*(表2_367162629303891213141516[[#This Row],[累计净值]]-1.217)/1.217,(表2_367162629303891213141516[[#This Row],[累计净值]]-1.217)/1.217)</f>
        <v>4.3138866064091994E-2</v>
      </c>
    </row>
    <row r="63" spans="1:7">
      <c r="A63" s="15">
        <v>44013</v>
      </c>
      <c r="B63" s="112">
        <v>1.292</v>
      </c>
      <c r="C63" s="108">
        <f t="shared" si="11"/>
        <v>0</v>
      </c>
      <c r="D63" s="109" t="str">
        <f t="shared" si="12"/>
        <v>/</v>
      </c>
      <c r="E63" s="109">
        <f ca="1">IF(表2_367162629303891213141516[[#This Row],[累计净值]]/MAX(INDIRECT("B21:B" &amp; ROW()))-1&lt;E62,表2_367162629303891213141516[[#This Row],[累计净值]]/MAX(INDIRECT("B21:B" &amp; ROW()))-1,E62)</f>
        <v>-2.4610336341264194E-3</v>
      </c>
      <c r="F63" s="110">
        <f>表2_367162629303891213141516[[#This Row],[累计净值]]</f>
        <v>1.292</v>
      </c>
      <c r="G63" s="20">
        <f>IF(表2_367162629303891213141516[[#This Row],[累计净值]]&gt;1.217,0.7*(表2_367162629303891213141516[[#This Row],[累计净值]]-1.217)/1.217,(表2_367162629303891213141516[[#This Row],[累计净值]]-1.217)/1.217)</f>
        <v>4.3138866064091994E-2</v>
      </c>
    </row>
    <row r="64" spans="1:7">
      <c r="A64" s="15">
        <v>44014</v>
      </c>
      <c r="B64" s="112">
        <v>1.286</v>
      </c>
      <c r="C64" s="108">
        <f t="shared" si="11"/>
        <v>-6.0000000000000053E-3</v>
      </c>
      <c r="D64" s="109">
        <f t="shared" si="12"/>
        <v>-6.0000000000000053E-3</v>
      </c>
      <c r="E64" s="109">
        <f ca="1">IF(表2_367162629303891213141516[[#This Row],[累计净值]]/MAX(INDIRECT("B21:B" &amp; ROW()))-1&lt;E63,表2_367162629303891213141516[[#This Row],[累计净值]]/MAX(INDIRECT("B21:B" &amp; ROW()))-1,E63)</f>
        <v>-4.6439628482972672E-3</v>
      </c>
      <c r="F64" s="110">
        <f>表2_367162629303891213141516[[#This Row],[累计净值]]</f>
        <v>1.286</v>
      </c>
      <c r="G64" s="20">
        <f>IF(表2_367162629303891213141516[[#This Row],[累计净值]]&gt;1.217,0.7*(表2_367162629303891213141516[[#This Row],[累计净值]]-1.217)/1.217,(表2_367162629303891213141516[[#This Row],[累计净值]]-1.217)/1.217)</f>
        <v>3.9687756778964633E-2</v>
      </c>
    </row>
    <row r="65" spans="1:7">
      <c r="A65" s="15">
        <v>44015</v>
      </c>
      <c r="B65" s="112">
        <v>1.2869999999999999</v>
      </c>
      <c r="C65" s="108">
        <f t="shared" si="11"/>
        <v>9.9999999999988987E-4</v>
      </c>
      <c r="D65" s="109" t="str">
        <f t="shared" si="12"/>
        <v>/</v>
      </c>
      <c r="E65" s="109">
        <f ca="1">IF(表2_367162629303891213141516[[#This Row],[累计净值]]/MAX(INDIRECT("B21:B" &amp; ROW()))-1&lt;E64,表2_367162629303891213141516[[#This Row],[累计净值]]/MAX(INDIRECT("B21:B" &amp; ROW()))-1,E64)</f>
        <v>-4.6439628482972672E-3</v>
      </c>
      <c r="F65" s="110">
        <f>表2_367162629303891213141516[[#This Row],[累计净值]]</f>
        <v>1.2869999999999999</v>
      </c>
      <c r="G65" s="20">
        <f>IF(表2_367162629303891213141516[[#This Row],[累计净值]]&gt;1.217,0.7*(表2_367162629303891213141516[[#This Row],[累计净值]]-1.217)/1.217,(表2_367162629303891213141516[[#This Row],[累计净值]]-1.217)/1.217)</f>
        <v>4.0262941659819126E-2</v>
      </c>
    </row>
    <row r="66" spans="1:7">
      <c r="A66" s="15">
        <v>44018</v>
      </c>
      <c r="B66" s="112">
        <v>1.28</v>
      </c>
      <c r="C66" s="108">
        <f t="shared" ref="C66:C71" si="13">IFERROR(B66-B65,0)</f>
        <v>-6.9999999999998952E-3</v>
      </c>
      <c r="D66" s="109">
        <f t="shared" ref="D66:D71" si="14">IF(C66&lt;0,C66,"/")</f>
        <v>-6.9999999999998952E-3</v>
      </c>
      <c r="E66" s="109">
        <f ca="1">IF(表2_367162629303891213141516[[#This Row],[累计净值]]/MAX(INDIRECT("B21:B" &amp; ROW()))-1&lt;E65,表2_367162629303891213141516[[#This Row],[累计净值]]/MAX(INDIRECT("B21:B" &amp; ROW()))-1,E65)</f>
        <v>-9.2879256965944235E-3</v>
      </c>
      <c r="F66" s="110">
        <f>表2_367162629303891213141516[[#This Row],[累计净值]]</f>
        <v>1.28</v>
      </c>
      <c r="G66" s="20">
        <f>IF(表2_367162629303891213141516[[#This Row],[累计净值]]&gt;1.217,0.7*(表2_367162629303891213141516[[#This Row],[累计净值]]-1.217)/1.217,(表2_367162629303891213141516[[#This Row],[累计净值]]-1.217)/1.217)</f>
        <v>3.6236647493837267E-2</v>
      </c>
    </row>
    <row r="67" spans="1:7">
      <c r="A67" s="15">
        <v>44019</v>
      </c>
      <c r="B67" s="112">
        <v>1.3160000000000001</v>
      </c>
      <c r="C67" s="108">
        <f t="shared" si="13"/>
        <v>3.6000000000000032E-2</v>
      </c>
      <c r="D67" s="109" t="str">
        <f t="shared" si="14"/>
        <v>/</v>
      </c>
      <c r="E67" s="109">
        <f ca="1">IF(表2_367162629303891213141516[[#This Row],[累计净值]]/MAX(INDIRECT("B21:B" &amp; ROW()))-1&lt;E66,表2_367162629303891213141516[[#This Row],[累计净值]]/MAX(INDIRECT("B21:B" &amp; ROW()))-1,E66)</f>
        <v>-9.2879256965944235E-3</v>
      </c>
      <c r="F67" s="110">
        <f>表2_367162629303891213141516[[#This Row],[累计净值]]</f>
        <v>1.3160000000000001</v>
      </c>
      <c r="G67" s="20">
        <f>IF(表2_367162629303891213141516[[#This Row],[累计净值]]&gt;1.217,0.7*(表2_367162629303891213141516[[#This Row],[累计净值]]-1.217)/1.217,(表2_367162629303891213141516[[#This Row],[累计净值]]-1.217)/1.217)</f>
        <v>5.6943303204601455E-2</v>
      </c>
    </row>
    <row r="68" spans="1:7">
      <c r="A68" s="15">
        <v>44020</v>
      </c>
      <c r="B68" s="112">
        <v>1.3240000000000001</v>
      </c>
      <c r="C68" s="108">
        <f t="shared" si="13"/>
        <v>8.0000000000000071E-3</v>
      </c>
      <c r="D68" s="109" t="str">
        <f t="shared" si="14"/>
        <v>/</v>
      </c>
      <c r="E68" s="109">
        <f ca="1">IF(表2_367162629303891213141516[[#This Row],[累计净值]]/MAX(INDIRECT("B21:B" &amp; ROW()))-1&lt;E67,表2_367162629303891213141516[[#This Row],[累计净值]]/MAX(INDIRECT("B21:B" &amp; ROW()))-1,E67)</f>
        <v>-9.2879256965944235E-3</v>
      </c>
      <c r="F68" s="110">
        <f>表2_367162629303891213141516[[#This Row],[累计净值]]</f>
        <v>1.3240000000000001</v>
      </c>
      <c r="G68" s="20">
        <f>IF(表2_367162629303891213141516[[#This Row],[累计净值]]&gt;1.217,0.7*(表2_367162629303891213141516[[#This Row],[累计净值]]-1.217)/1.217,(表2_367162629303891213141516[[#This Row],[累计净值]]-1.217)/1.217)</f>
        <v>6.1544782251437939E-2</v>
      </c>
    </row>
    <row r="69" spans="1:7">
      <c r="A69" s="15">
        <v>44021</v>
      </c>
      <c r="B69" s="112">
        <v>1.3360000000000001</v>
      </c>
      <c r="C69" s="108">
        <f t="shared" si="13"/>
        <v>1.2000000000000011E-2</v>
      </c>
      <c r="D69" s="109" t="str">
        <f t="shared" si="14"/>
        <v>/</v>
      </c>
      <c r="E69" s="109">
        <f ca="1">IF(表2_367162629303891213141516[[#This Row],[累计净值]]/MAX(INDIRECT("B21:B" &amp; ROW()))-1&lt;E68,表2_367162629303891213141516[[#This Row],[累计净值]]/MAX(INDIRECT("B21:B" &amp; ROW()))-1,E68)</f>
        <v>-9.2879256965944235E-3</v>
      </c>
      <c r="F69" s="110">
        <f>表2_367162629303891213141516[[#This Row],[累计净值]]</f>
        <v>1.3360000000000001</v>
      </c>
      <c r="G69" s="20">
        <f>IF(表2_367162629303891213141516[[#This Row],[累计净值]]&gt;1.217,0.7*(表2_367162629303891213141516[[#This Row],[累计净值]]-1.217)/1.217,(表2_367162629303891213141516[[#This Row],[累计净值]]-1.217)/1.217)</f>
        <v>6.8447000821692666E-2</v>
      </c>
    </row>
    <row r="70" spans="1:7">
      <c r="A70" s="15">
        <v>44022</v>
      </c>
      <c r="B70" s="112">
        <v>1.343</v>
      </c>
      <c r="C70" s="108">
        <f t="shared" si="13"/>
        <v>6.9999999999998952E-3</v>
      </c>
      <c r="D70" s="109" t="str">
        <f t="shared" si="14"/>
        <v>/</v>
      </c>
      <c r="E70" s="109">
        <f ca="1">IF(表2_367162629303891213141516[[#This Row],[累计净值]]/MAX(INDIRECT("B21:B" &amp; ROW()))-1&lt;E69,表2_367162629303891213141516[[#This Row],[累计净值]]/MAX(INDIRECT("B21:B" &amp; ROW()))-1,E69)</f>
        <v>-9.2879256965944235E-3</v>
      </c>
      <c r="F70" s="110">
        <f>表2_367162629303891213141516[[#This Row],[累计净值]]</f>
        <v>1.343</v>
      </c>
      <c r="G70" s="20">
        <f>IF(表2_367162629303891213141516[[#This Row],[累计净值]]&gt;1.217,0.7*(表2_367162629303891213141516[[#This Row],[累计净值]]-1.217)/1.217,(表2_367162629303891213141516[[#This Row],[累计净值]]-1.217)/1.217)</f>
        <v>7.2473294987674533E-2</v>
      </c>
    </row>
    <row r="71" spans="1:7">
      <c r="A71" s="15">
        <v>44025</v>
      </c>
      <c r="B71" s="112">
        <v>1.3540000000000001</v>
      </c>
      <c r="C71" s="108">
        <f t="shared" si="13"/>
        <v>1.1000000000000121E-2</v>
      </c>
      <c r="D71" s="109" t="str">
        <f t="shared" si="14"/>
        <v>/</v>
      </c>
      <c r="E71" s="109">
        <f ca="1">IF(表2_367162629303891213141516[[#This Row],[累计净值]]/MAX(INDIRECT("B21:B" &amp; ROW()))-1&lt;E70,表2_367162629303891213141516[[#This Row],[累计净值]]/MAX(INDIRECT("B21:B" &amp; ROW()))-1,E70)</f>
        <v>-9.2879256965944235E-3</v>
      </c>
      <c r="F71" s="110">
        <f>表2_367162629303891213141516[[#This Row],[累计净值]]</f>
        <v>1.3540000000000001</v>
      </c>
      <c r="G71" s="20">
        <f>IF(表2_367162629303891213141516[[#This Row],[累计净值]]&gt;1.217,0.7*(表2_367162629303891213141516[[#This Row],[累计净值]]-1.217)/1.217,(表2_367162629303891213141516[[#This Row],[累计净值]]-1.217)/1.217)</f>
        <v>7.8800328677074774E-2</v>
      </c>
    </row>
    <row r="72" spans="1:7">
      <c r="A72" s="15">
        <v>44026</v>
      </c>
      <c r="B72" s="112">
        <v>1.3580000000000001</v>
      </c>
      <c r="C72" s="108">
        <f t="shared" ref="C72:C77" si="15">IFERROR(B72-B71,0)</f>
        <v>4.0000000000000036E-3</v>
      </c>
      <c r="D72" s="109" t="str">
        <f t="shared" ref="D72:D77" si="16">IF(C72&lt;0,C72,"/")</f>
        <v>/</v>
      </c>
      <c r="E72" s="109">
        <f ca="1">IF(表2_367162629303891213141516[[#This Row],[累计净值]]/MAX(INDIRECT("B21:B" &amp; ROW()))-1&lt;E71,表2_367162629303891213141516[[#This Row],[累计净值]]/MAX(INDIRECT("B21:B" &amp; ROW()))-1,E71)</f>
        <v>-9.2879256965944235E-3</v>
      </c>
      <c r="F72" s="110">
        <f>表2_367162629303891213141516[[#This Row],[累计净值]]</f>
        <v>1.3580000000000001</v>
      </c>
      <c r="G72" s="20">
        <f>IF(表2_367162629303891213141516[[#This Row],[累计净值]]&gt;1.217,0.7*(表2_367162629303891213141516[[#This Row],[累计净值]]-1.217)/1.217,(表2_367162629303891213141516[[#This Row],[累计净值]]-1.217)/1.217)</f>
        <v>8.1101068200493023E-2</v>
      </c>
    </row>
    <row r="73" spans="1:7">
      <c r="A73" s="15">
        <v>44027</v>
      </c>
      <c r="B73" s="112">
        <v>1.3620000000000001</v>
      </c>
      <c r="C73" s="108">
        <f t="shared" si="15"/>
        <v>4.0000000000000036E-3</v>
      </c>
      <c r="D73" s="109" t="str">
        <f t="shared" si="16"/>
        <v>/</v>
      </c>
      <c r="E73" s="109">
        <f ca="1">IF(表2_367162629303891213141516[[#This Row],[累计净值]]/MAX(INDIRECT("B21:B" &amp; ROW()))-1&lt;E72,表2_367162629303891213141516[[#This Row],[累计净值]]/MAX(INDIRECT("B21:B" &amp; ROW()))-1,E72)</f>
        <v>-9.2879256965944235E-3</v>
      </c>
      <c r="F73" s="110">
        <f>表2_367162629303891213141516[[#This Row],[累计净值]]</f>
        <v>1.3620000000000001</v>
      </c>
      <c r="G73" s="20">
        <f>IF(表2_367162629303891213141516[[#This Row],[累计净值]]&gt;1.217,0.7*(表2_367162629303891213141516[[#This Row],[累计净值]]-1.217)/1.217,(表2_367162629303891213141516[[#This Row],[累计净值]]-1.217)/1.217)</f>
        <v>8.3401807723911259E-2</v>
      </c>
    </row>
    <row r="74" spans="1:7">
      <c r="A74" s="15">
        <v>44028</v>
      </c>
      <c r="B74" s="112">
        <v>1.363</v>
      </c>
      <c r="C74" s="108">
        <f t="shared" si="15"/>
        <v>9.9999999999988987E-4</v>
      </c>
      <c r="D74" s="109" t="str">
        <f t="shared" si="16"/>
        <v>/</v>
      </c>
      <c r="E74" s="109">
        <f ca="1">IF(表2_367162629303891213141516[[#This Row],[累计净值]]/MAX(INDIRECT("B21:B" &amp; ROW()))-1&lt;E73,表2_367162629303891213141516[[#This Row],[累计净值]]/MAX(INDIRECT("B21:B" &amp; ROW()))-1,E73)</f>
        <v>-9.2879256965944235E-3</v>
      </c>
      <c r="F74" s="110">
        <f>表2_367162629303891213141516[[#This Row],[累计净值]]</f>
        <v>1.363</v>
      </c>
      <c r="G74" s="20">
        <f>IF(表2_367162629303891213141516[[#This Row],[累计净值]]&gt;1.217,0.7*(表2_367162629303891213141516[[#This Row],[累计净值]]-1.217)/1.217,(表2_367162629303891213141516[[#This Row],[累计净值]]-1.217)/1.217)</f>
        <v>8.3976992604765752E-2</v>
      </c>
    </row>
    <row r="75" spans="1:7">
      <c r="A75" s="15">
        <v>44029</v>
      </c>
      <c r="B75" s="112">
        <v>1.377</v>
      </c>
      <c r="C75" s="108">
        <f t="shared" si="15"/>
        <v>1.4000000000000012E-2</v>
      </c>
      <c r="D75" s="109" t="str">
        <f t="shared" si="16"/>
        <v>/</v>
      </c>
      <c r="E75" s="109">
        <f ca="1">IF(表2_367162629303891213141516[[#This Row],[累计净值]]/MAX(INDIRECT("B21:B" &amp; ROW()))-1&lt;E74,表2_367162629303891213141516[[#This Row],[累计净值]]/MAX(INDIRECT("B21:B" &amp; ROW()))-1,E74)</f>
        <v>-9.2879256965944235E-3</v>
      </c>
      <c r="F75" s="110">
        <f>表2_367162629303891213141516[[#This Row],[累计净值]]</f>
        <v>1.377</v>
      </c>
      <c r="G75" s="20">
        <f>IF(表2_367162629303891213141516[[#This Row],[累计净值]]&gt;1.217,0.7*(表2_367162629303891213141516[[#This Row],[累计净值]]-1.217)/1.217,(表2_367162629303891213141516[[#This Row],[累计净值]]-1.217)/1.217)</f>
        <v>9.2029580936729596E-2</v>
      </c>
    </row>
    <row r="76" spans="1:7">
      <c r="A76" s="15">
        <v>44032</v>
      </c>
      <c r="B76" s="112">
        <v>1.383</v>
      </c>
      <c r="C76" s="108">
        <f t="shared" si="15"/>
        <v>6.0000000000000053E-3</v>
      </c>
      <c r="D76" s="109" t="str">
        <f t="shared" si="16"/>
        <v>/</v>
      </c>
      <c r="E76" s="109">
        <f ca="1">IF(表2_367162629303891213141516[[#This Row],[累计净值]]/MAX(INDIRECT("B21:B" &amp; ROW()))-1&lt;E75,表2_367162629303891213141516[[#This Row],[累计净值]]/MAX(INDIRECT("B21:B" &amp; ROW()))-1,E75)</f>
        <v>-9.2879256965944235E-3</v>
      </c>
      <c r="F76" s="110">
        <f>表2_367162629303891213141516[[#This Row],[累计净值]]</f>
        <v>1.383</v>
      </c>
      <c r="G76" s="20">
        <f>IF(表2_367162629303891213141516[[#This Row],[累计净值]]&gt;1.217,0.7*(表2_367162629303891213141516[[#This Row],[累计净值]]-1.217)/1.217,(表2_367162629303891213141516[[#This Row],[累计净值]]-1.217)/1.217)</f>
        <v>9.548069022185697E-2</v>
      </c>
    </row>
    <row r="77" spans="1:7">
      <c r="A77" s="15">
        <v>44033</v>
      </c>
      <c r="B77" s="112">
        <v>1.385</v>
      </c>
      <c r="C77" s="108">
        <f t="shared" si="15"/>
        <v>2.0000000000000018E-3</v>
      </c>
      <c r="D77" s="109" t="str">
        <f t="shared" si="16"/>
        <v>/</v>
      </c>
      <c r="E77" s="109">
        <f ca="1">IF(表2_367162629303891213141516[[#This Row],[累计净值]]/MAX(INDIRECT("B21:B" &amp; ROW()))-1&lt;E76,表2_367162629303891213141516[[#This Row],[累计净值]]/MAX(INDIRECT("B21:B" &amp; ROW()))-1,E76)</f>
        <v>-9.2879256965944235E-3</v>
      </c>
      <c r="F77" s="110">
        <f>表2_367162629303891213141516[[#This Row],[累计净值]]</f>
        <v>1.385</v>
      </c>
      <c r="G77" s="20">
        <f>IF(表2_367162629303891213141516[[#This Row],[累计净值]]&gt;1.217,0.7*(表2_367162629303891213141516[[#This Row],[累计净值]]-1.217)/1.217,(表2_367162629303891213141516[[#This Row],[累计净值]]-1.217)/1.217)</f>
        <v>9.6631059983566095E-2</v>
      </c>
    </row>
    <row r="78" spans="1:7">
      <c r="A78" s="15">
        <v>44034</v>
      </c>
      <c r="B78" s="112">
        <v>1.39</v>
      </c>
      <c r="C78" s="108">
        <f>IFERROR(B78-B77,0)</f>
        <v>4.9999999999998934E-3</v>
      </c>
      <c r="D78" s="109" t="str">
        <f>IF(C78&lt;0,C78,"/")</f>
        <v>/</v>
      </c>
      <c r="E78" s="109">
        <f ca="1">IF(表2_367162629303891213141516[[#This Row],[累计净值]]/MAX(INDIRECT("B21:B" &amp; ROW()))-1&lt;E77,表2_367162629303891213141516[[#This Row],[累计净值]]/MAX(INDIRECT("B21:B" &amp; ROW()))-1,E77)</f>
        <v>-9.2879256965944235E-3</v>
      </c>
      <c r="F78" s="110">
        <f>表2_367162629303891213141516[[#This Row],[累计净值]]</f>
        <v>1.39</v>
      </c>
      <c r="G78" s="20">
        <f>IF(表2_367162629303891213141516[[#This Row],[累计净值]]&gt;1.217,0.7*(表2_367162629303891213141516[[#This Row],[累计净值]]-1.217)/1.217,(表2_367162629303891213141516[[#This Row],[累计净值]]-1.217)/1.217)</f>
        <v>9.9506984387838823E-2</v>
      </c>
    </row>
    <row r="79" spans="1:7">
      <c r="A79" s="15">
        <v>44035</v>
      </c>
      <c r="B79" s="112">
        <v>1.3919999999999999</v>
      </c>
      <c r="C79" s="108">
        <f>IFERROR(B79-B78,0)</f>
        <v>2.0000000000000018E-3</v>
      </c>
      <c r="D79" s="109" t="str">
        <f>IF(C79&lt;0,C79,"/")</f>
        <v>/</v>
      </c>
      <c r="E79" s="109">
        <f ca="1">IF(表2_367162629303891213141516[[#This Row],[累计净值]]/MAX(INDIRECT("B21:B" &amp; ROW()))-1&lt;E78,表2_367162629303891213141516[[#This Row],[累计净值]]/MAX(INDIRECT("B21:B" &amp; ROW()))-1,E78)</f>
        <v>-9.2879256965944235E-3</v>
      </c>
      <c r="F79" s="110">
        <f>表2_367162629303891213141516[[#This Row],[累计净值]]</f>
        <v>1.3919999999999999</v>
      </c>
      <c r="G79" s="20">
        <f>IF(表2_367162629303891213141516[[#This Row],[累计净值]]&gt;1.217,0.7*(表2_367162629303891213141516[[#This Row],[累计净值]]-1.217)/1.217,(表2_367162629303891213141516[[#This Row],[累计净值]]-1.217)/1.217)</f>
        <v>0.10065735414954796</v>
      </c>
    </row>
    <row r="80" spans="1:7">
      <c r="A80" s="15">
        <v>44036</v>
      </c>
      <c r="B80" s="112">
        <v>1.4019999999999999</v>
      </c>
      <c r="C80" s="108">
        <f>IFERROR(B80-B79,0)</f>
        <v>1.0000000000000009E-2</v>
      </c>
      <c r="D80" s="109" t="str">
        <f>IF(C80&lt;0,C80,"/")</f>
        <v>/</v>
      </c>
      <c r="E80" s="109">
        <f ca="1">IF(表2_367162629303891213141516[[#This Row],[累计净值]]/MAX(INDIRECT("B21:B" &amp; ROW()))-1&lt;E79,表2_367162629303891213141516[[#This Row],[累计净值]]/MAX(INDIRECT("B21:B" &amp; ROW()))-1,E79)</f>
        <v>-9.2879256965944235E-3</v>
      </c>
      <c r="F80" s="110">
        <f>表2_367162629303891213141516[[#This Row],[累计净值]]</f>
        <v>1.4019999999999999</v>
      </c>
      <c r="G80" s="20">
        <f>IF(表2_367162629303891213141516[[#This Row],[累计净值]]&gt;1.217,0.7*(表2_367162629303891213141516[[#This Row],[累计净值]]-1.217)/1.217,(表2_367162629303891213141516[[#This Row],[累计净值]]-1.217)/1.217)</f>
        <v>0.10640920295809356</v>
      </c>
    </row>
    <row r="81" spans="1:7">
      <c r="A81" s="15">
        <v>44039</v>
      </c>
      <c r="B81" s="112">
        <v>1.4039999999999999</v>
      </c>
      <c r="C81" s="108">
        <f t="shared" ref="C81:C86" si="17">IFERROR(B81-B80,0)</f>
        <v>2.0000000000000018E-3</v>
      </c>
      <c r="D81" s="109" t="str">
        <f t="shared" ref="D81:D86" si="18">IF(C81&lt;0,C81,"/")</f>
        <v>/</v>
      </c>
      <c r="E81" s="109">
        <f ca="1">IF(表2_367162629303891213141516[[#This Row],[累计净值]]/MAX(INDIRECT("B21:B" &amp; ROW()))-1&lt;E80,表2_367162629303891213141516[[#This Row],[累计净值]]/MAX(INDIRECT("B21:B" &amp; ROW()))-1,E80)</f>
        <v>-9.2879256965944235E-3</v>
      </c>
      <c r="F81" s="110">
        <f>表2_367162629303891213141516[[#This Row],[累计净值]]</f>
        <v>1.4039999999999999</v>
      </c>
      <c r="G81" s="20">
        <f>IF(表2_367162629303891213141516[[#This Row],[累计净值]]&gt;1.217,0.7*(表2_367162629303891213141516[[#This Row],[累计净值]]-1.217)/1.217,(表2_367162629303891213141516[[#This Row],[累计净值]]-1.217)/1.217)</f>
        <v>0.10755957271980268</v>
      </c>
    </row>
    <row r="82" spans="1:7">
      <c r="A82" s="15">
        <v>44040</v>
      </c>
      <c r="B82" s="112">
        <v>1.409</v>
      </c>
      <c r="C82" s="108">
        <f t="shared" si="17"/>
        <v>5.0000000000001155E-3</v>
      </c>
      <c r="D82" s="109" t="str">
        <f t="shared" si="18"/>
        <v>/</v>
      </c>
      <c r="E82" s="109">
        <f ca="1">IF(表2_367162629303891213141516[[#This Row],[累计净值]]/MAX(INDIRECT("B21:B" &amp; ROW()))-1&lt;E81,表2_367162629303891213141516[[#This Row],[累计净值]]/MAX(INDIRECT("B21:B" &amp; ROW()))-1,E81)</f>
        <v>-9.2879256965944235E-3</v>
      </c>
      <c r="F82" s="110">
        <f>表2_367162629303891213141516[[#This Row],[累计净值]]</f>
        <v>1.409</v>
      </c>
      <c r="G82" s="20">
        <f>IF(表2_367162629303891213141516[[#This Row],[累计净值]]&gt;1.217,0.7*(表2_367162629303891213141516[[#This Row],[累计净值]]-1.217)/1.217,(表2_367162629303891213141516[[#This Row],[累计净值]]-1.217)/1.217)</f>
        <v>0.11043549712407556</v>
      </c>
    </row>
    <row r="83" spans="1:7">
      <c r="A83" s="15">
        <v>44041</v>
      </c>
      <c r="B83" s="112">
        <v>1.415</v>
      </c>
      <c r="C83" s="108">
        <f t="shared" si="17"/>
        <v>6.0000000000000053E-3</v>
      </c>
      <c r="D83" s="109" t="str">
        <f t="shared" si="18"/>
        <v>/</v>
      </c>
      <c r="E83" s="109">
        <f ca="1">IF(表2_367162629303891213141516[[#This Row],[累计净值]]/MAX(INDIRECT("B21:B" &amp; ROW()))-1&lt;E82,表2_367162629303891213141516[[#This Row],[累计净值]]/MAX(INDIRECT("B21:B" &amp; ROW()))-1,E82)</f>
        <v>-9.2879256965944235E-3</v>
      </c>
      <c r="F83" s="110">
        <f>表2_367162629303891213141516[[#This Row],[累计净值]]</f>
        <v>1.415</v>
      </c>
      <c r="G83" s="20">
        <f>IF(表2_367162629303891213141516[[#This Row],[累计净值]]&gt;1.217,0.7*(表2_367162629303891213141516[[#This Row],[累计净值]]-1.217)/1.217,(表2_367162629303891213141516[[#This Row],[累计净值]]-1.217)/1.217)</f>
        <v>0.11388660640920291</v>
      </c>
    </row>
    <row r="84" spans="1:7">
      <c r="A84" s="15">
        <v>44042</v>
      </c>
      <c r="B84" s="112">
        <v>1.4159999999999999</v>
      </c>
      <c r="C84" s="108">
        <f t="shared" si="17"/>
        <v>9.9999999999988987E-4</v>
      </c>
      <c r="D84" s="109" t="str">
        <f t="shared" si="18"/>
        <v>/</v>
      </c>
      <c r="E84" s="109">
        <f ca="1">IF(表2_367162629303891213141516[[#This Row],[累计净值]]/MAX(INDIRECT("B21:B" &amp; ROW()))-1&lt;E83,表2_367162629303891213141516[[#This Row],[累计净值]]/MAX(INDIRECT("B21:B" &amp; ROW()))-1,E83)</f>
        <v>-9.2879256965944235E-3</v>
      </c>
      <c r="F84" s="110">
        <f>表2_367162629303891213141516[[#This Row],[累计净值]]</f>
        <v>1.4159999999999999</v>
      </c>
      <c r="G84" s="20">
        <f>IF(表2_367162629303891213141516[[#This Row],[累计净值]]&gt;1.217,0.7*(表2_367162629303891213141516[[#This Row],[累计净值]]-1.217)/1.217,(表2_367162629303891213141516[[#This Row],[累计净值]]-1.217)/1.217)</f>
        <v>0.1144617912900574</v>
      </c>
    </row>
    <row r="85" spans="1:7">
      <c r="A85" s="15">
        <v>44043</v>
      </c>
      <c r="B85" s="112">
        <v>1.42</v>
      </c>
      <c r="C85" s="108">
        <f t="shared" si="17"/>
        <v>4.0000000000000036E-3</v>
      </c>
      <c r="D85" s="109" t="str">
        <f t="shared" si="18"/>
        <v>/</v>
      </c>
      <c r="E85" s="109">
        <f ca="1">IF(表2_367162629303891213141516[[#This Row],[累计净值]]/MAX(INDIRECT("B21:B" &amp; ROW()))-1&lt;E84,表2_367162629303891213141516[[#This Row],[累计净值]]/MAX(INDIRECT("B21:B" &amp; ROW()))-1,E84)</f>
        <v>-9.2879256965944235E-3</v>
      </c>
      <c r="F85" s="110">
        <f>表2_367162629303891213141516[[#This Row],[累计净值]]</f>
        <v>1.42</v>
      </c>
      <c r="G85" s="20">
        <f>IF(表2_367162629303891213141516[[#This Row],[累计净值]]&gt;1.217,0.7*(表2_367162629303891213141516[[#This Row],[累计净值]]-1.217)/1.217,(表2_367162629303891213141516[[#This Row],[累计净值]]-1.217)/1.217)</f>
        <v>0.11676253081347567</v>
      </c>
    </row>
    <row r="86" spans="1:7">
      <c r="A86" s="15">
        <v>44046</v>
      </c>
      <c r="B86" s="112">
        <v>1.423</v>
      </c>
      <c r="C86" s="108">
        <f t="shared" si="17"/>
        <v>3.0000000000001137E-3</v>
      </c>
      <c r="D86" s="109" t="str">
        <f t="shared" si="18"/>
        <v>/</v>
      </c>
      <c r="E86" s="109">
        <f ca="1">IF(表2_367162629303891213141516[[#This Row],[累计净值]]/MAX(INDIRECT("B21:B" &amp; ROW()))-1&lt;E85,表2_367162629303891213141516[[#This Row],[累计净值]]/MAX(INDIRECT("B21:B" &amp; ROW()))-1,E85)</f>
        <v>-9.2879256965944235E-3</v>
      </c>
      <c r="F86" s="110">
        <f>表2_367162629303891213141516[[#This Row],[累计净值]]</f>
        <v>1.423</v>
      </c>
      <c r="G86" s="20">
        <f>IF(表2_367162629303891213141516[[#This Row],[累计净值]]&gt;1.217,0.7*(表2_367162629303891213141516[[#This Row],[累计净值]]-1.217)/1.217,(表2_367162629303891213141516[[#This Row],[累计净值]]-1.217)/1.217)</f>
        <v>0.11848808545603941</v>
      </c>
    </row>
    <row r="87" spans="1:7">
      <c r="A87" s="15">
        <v>44047</v>
      </c>
      <c r="B87" s="112">
        <v>1.429</v>
      </c>
      <c r="C87" s="108">
        <f t="shared" ref="C87:C92" si="19">IFERROR(B87-B86,0)</f>
        <v>6.0000000000000053E-3</v>
      </c>
      <c r="D87" s="109" t="str">
        <f t="shared" ref="D87:D92" si="20">IF(C87&lt;0,C87,"/")</f>
        <v>/</v>
      </c>
      <c r="E87" s="109">
        <f ca="1">IF(表2_367162629303891213141516[[#This Row],[累计净值]]/MAX(INDIRECT("B21:B" &amp; ROW()))-1&lt;E86,表2_367162629303891213141516[[#This Row],[累计净值]]/MAX(INDIRECT("B21:B" &amp; ROW()))-1,E86)</f>
        <v>-9.2879256965944235E-3</v>
      </c>
      <c r="F87" s="110">
        <f>表2_367162629303891213141516[[#This Row],[累计净值]]</f>
        <v>1.429</v>
      </c>
      <c r="G87" s="20">
        <f>IF(表2_367162629303891213141516[[#This Row],[累计净值]]&gt;1.217,0.7*(表2_367162629303891213141516[[#This Row],[累计净值]]-1.217)/1.217,(表2_367162629303891213141516[[#This Row],[累计净值]]-1.217)/1.217)</f>
        <v>0.12193919474116678</v>
      </c>
    </row>
    <row r="88" spans="1:7">
      <c r="A88" s="15">
        <v>44048</v>
      </c>
      <c r="B88" s="112">
        <v>1.431</v>
      </c>
      <c r="C88" s="108">
        <f t="shared" si="19"/>
        <v>2.0000000000000018E-3</v>
      </c>
      <c r="D88" s="109" t="str">
        <f t="shared" si="20"/>
        <v>/</v>
      </c>
      <c r="E88" s="109">
        <f ca="1">IF(表2_367162629303891213141516[[#This Row],[累计净值]]/MAX(INDIRECT("B21:B" &amp; ROW()))-1&lt;E87,表2_367162629303891213141516[[#This Row],[累计净值]]/MAX(INDIRECT("B21:B" &amp; ROW()))-1,E87)</f>
        <v>-9.2879256965944235E-3</v>
      </c>
      <c r="F88" s="110">
        <f>表2_367162629303891213141516[[#This Row],[累计净值]]</f>
        <v>1.431</v>
      </c>
      <c r="G88" s="20">
        <f>IF(表2_367162629303891213141516[[#This Row],[累计净值]]&gt;1.217,0.7*(表2_367162629303891213141516[[#This Row],[累计净值]]-1.217)/1.217,(表2_367162629303891213141516[[#This Row],[累计净值]]-1.217)/1.217)</f>
        <v>0.12308956450287588</v>
      </c>
    </row>
    <row r="89" spans="1:7">
      <c r="A89" s="15">
        <v>44049</v>
      </c>
      <c r="B89" s="112">
        <v>1.431</v>
      </c>
      <c r="C89" s="108">
        <f t="shared" si="19"/>
        <v>0</v>
      </c>
      <c r="D89" s="109" t="str">
        <f t="shared" si="20"/>
        <v>/</v>
      </c>
      <c r="E89" s="109">
        <f ca="1">IF(表2_367162629303891213141516[[#This Row],[累计净值]]/MAX(INDIRECT("B21:B" &amp; ROW()))-1&lt;E88,表2_367162629303891213141516[[#This Row],[累计净值]]/MAX(INDIRECT("B21:B" &amp; ROW()))-1,E88)</f>
        <v>-9.2879256965944235E-3</v>
      </c>
      <c r="F89" s="110">
        <f>表2_367162629303891213141516[[#This Row],[累计净值]]</f>
        <v>1.431</v>
      </c>
      <c r="G89" s="20">
        <f>IF(表2_367162629303891213141516[[#This Row],[累计净值]]&gt;1.217,0.7*(表2_367162629303891213141516[[#This Row],[累计净值]]-1.217)/1.217,(表2_367162629303891213141516[[#This Row],[累计净值]]-1.217)/1.217)</f>
        <v>0.12308956450287588</v>
      </c>
    </row>
    <row r="90" spans="1:7">
      <c r="A90" s="15">
        <v>44050</v>
      </c>
      <c r="B90" s="112">
        <v>1.4339999999999999</v>
      </c>
      <c r="C90" s="108">
        <f t="shared" si="19"/>
        <v>2.9999999999998916E-3</v>
      </c>
      <c r="D90" s="109" t="str">
        <f t="shared" si="20"/>
        <v>/</v>
      </c>
      <c r="E90" s="109">
        <f ca="1">IF(表2_367162629303891213141516[[#This Row],[累计净值]]/MAX(INDIRECT("B21:B" &amp; ROW()))-1&lt;E89,表2_367162629303891213141516[[#This Row],[累计净值]]/MAX(INDIRECT("B21:B" &amp; ROW()))-1,E89)</f>
        <v>-9.2879256965944235E-3</v>
      </c>
      <c r="F90" s="110">
        <f>表2_367162629303891213141516[[#This Row],[累计净值]]</f>
        <v>1.4339999999999999</v>
      </c>
      <c r="G90" s="20">
        <f>IF(表2_367162629303891213141516[[#This Row],[累计净值]]&gt;1.217,0.7*(表2_367162629303891213141516[[#This Row],[累计净值]]-1.217)/1.217,(表2_367162629303891213141516[[#This Row],[累计净值]]-1.217)/1.217)</f>
        <v>0.12481511914543951</v>
      </c>
    </row>
    <row r="91" spans="1:7">
      <c r="A91" s="15">
        <v>44053</v>
      </c>
      <c r="B91" s="112">
        <v>1.4390000000000001</v>
      </c>
      <c r="C91" s="108">
        <f t="shared" si="19"/>
        <v>5.0000000000001155E-3</v>
      </c>
      <c r="D91" s="109" t="str">
        <f t="shared" si="20"/>
        <v>/</v>
      </c>
      <c r="E91" s="109">
        <f ca="1">IF(表2_367162629303891213141516[[#This Row],[累计净值]]/MAX(INDIRECT("B21:B" &amp; ROW()))-1&lt;E90,表2_367162629303891213141516[[#This Row],[累计净值]]/MAX(INDIRECT("B21:B" &amp; ROW()))-1,E90)</f>
        <v>-9.2879256965944235E-3</v>
      </c>
      <c r="F91" s="110">
        <f>表2_367162629303891213141516[[#This Row],[累计净值]]</f>
        <v>1.4390000000000001</v>
      </c>
      <c r="G91" s="20">
        <f>IF(表2_367162629303891213141516[[#This Row],[累计净值]]&gt;1.217,0.7*(表2_367162629303891213141516[[#This Row],[累计净值]]-1.217)/1.217,(表2_367162629303891213141516[[#This Row],[累计净值]]-1.217)/1.217)</f>
        <v>0.12769104354971239</v>
      </c>
    </row>
    <row r="92" spans="1:7">
      <c r="A92" s="15">
        <v>44054</v>
      </c>
      <c r="B92" s="112">
        <v>1.4430000000000001</v>
      </c>
      <c r="C92" s="108">
        <f t="shared" si="19"/>
        <v>4.0000000000000036E-3</v>
      </c>
      <c r="D92" s="109" t="str">
        <f t="shared" si="20"/>
        <v>/</v>
      </c>
      <c r="E92" s="109">
        <f ca="1">IF(表2_367162629303891213141516[[#This Row],[累计净值]]/MAX(INDIRECT("B21:B" &amp; ROW()))-1&lt;E91,表2_367162629303891213141516[[#This Row],[累计净值]]/MAX(INDIRECT("B21:B" &amp; ROW()))-1,E91)</f>
        <v>-9.2879256965944235E-3</v>
      </c>
      <c r="F92" s="110">
        <f>表2_367162629303891213141516[[#This Row],[累计净值]]</f>
        <v>1.4430000000000001</v>
      </c>
      <c r="G92" s="20">
        <f>IF(表2_367162629303891213141516[[#This Row],[累计净值]]&gt;1.217,0.7*(表2_367162629303891213141516[[#This Row],[累计净值]]-1.217)/1.217,(表2_367162629303891213141516[[#This Row],[累计净值]]-1.217)/1.217)</f>
        <v>0.12999178307313061</v>
      </c>
    </row>
    <row r="93" spans="1:7">
      <c r="A93" s="15">
        <v>44055</v>
      </c>
      <c r="B93" s="112">
        <v>1.446</v>
      </c>
      <c r="C93" s="108">
        <f t="shared" ref="C93:C98" si="21">IFERROR(B93-B92,0)</f>
        <v>2.9999999999998916E-3</v>
      </c>
      <c r="D93" s="109" t="str">
        <f t="shared" ref="D93:D98" si="22">IF(C93&lt;0,C93,"/")</f>
        <v>/</v>
      </c>
      <c r="E93" s="109">
        <f ca="1">IF(表2_367162629303891213141516[[#This Row],[累计净值]]/MAX(INDIRECT("B21:B" &amp; ROW()))-1&lt;E92,表2_367162629303891213141516[[#This Row],[累计净值]]/MAX(INDIRECT("B21:B" &amp; ROW()))-1,E92)</f>
        <v>-9.2879256965944235E-3</v>
      </c>
      <c r="F93" s="110">
        <f>表2_367162629303891213141516[[#This Row],[累计净值]]</f>
        <v>1.446</v>
      </c>
      <c r="G93" s="20">
        <f>IF(表2_367162629303891213141516[[#This Row],[累计净值]]&gt;1.217,0.7*(表2_367162629303891213141516[[#This Row],[累计净值]]-1.217)/1.217,(表2_367162629303891213141516[[#This Row],[累计净值]]-1.217)/1.217)</f>
        <v>0.13171733771569422</v>
      </c>
    </row>
    <row r="94" spans="1:7">
      <c r="A94" s="15">
        <v>44056</v>
      </c>
      <c r="B94" s="112">
        <v>1.448</v>
      </c>
      <c r="C94" s="108">
        <f t="shared" si="21"/>
        <v>2.0000000000000018E-3</v>
      </c>
      <c r="D94" s="109" t="str">
        <f t="shared" si="22"/>
        <v>/</v>
      </c>
      <c r="E94" s="109">
        <f ca="1">IF(表2_367162629303891213141516[[#This Row],[累计净值]]/MAX(INDIRECT("B21:B" &amp; ROW()))-1&lt;E93,表2_367162629303891213141516[[#This Row],[累计净值]]/MAX(INDIRECT("B21:B" &amp; ROW()))-1,E93)</f>
        <v>-9.2879256965944235E-3</v>
      </c>
      <c r="F94" s="110">
        <f>表2_367162629303891213141516[[#This Row],[累计净值]]</f>
        <v>1.448</v>
      </c>
      <c r="G94" s="20">
        <f>IF(表2_367162629303891213141516[[#This Row],[累计净值]]&gt;1.217,0.7*(表2_367162629303891213141516[[#This Row],[累计净值]]-1.217)/1.217,(表2_367162629303891213141516[[#This Row],[累计净值]]-1.217)/1.217)</f>
        <v>0.13286770747740337</v>
      </c>
    </row>
    <row r="95" spans="1:7">
      <c r="A95" s="15">
        <v>44057</v>
      </c>
      <c r="B95" s="112">
        <v>1.456</v>
      </c>
      <c r="C95" s="108">
        <f t="shared" si="21"/>
        <v>8.0000000000000071E-3</v>
      </c>
      <c r="D95" s="109" t="str">
        <f t="shared" si="22"/>
        <v>/</v>
      </c>
      <c r="E95" s="109">
        <f ca="1">IF(表2_367162629303891213141516[[#This Row],[累计净值]]/MAX(INDIRECT("B21:B" &amp; ROW()))-1&lt;E94,表2_367162629303891213141516[[#This Row],[累计净值]]/MAX(INDIRECT("B21:B" &amp; ROW()))-1,E94)</f>
        <v>-9.2879256965944235E-3</v>
      </c>
      <c r="F95" s="110">
        <f>表2_367162629303891213141516[[#This Row],[累计净值]]</f>
        <v>1.456</v>
      </c>
      <c r="G95" s="20">
        <f>IF(表2_367162629303891213141516[[#This Row],[累计净值]]&gt;1.217,0.7*(表2_367162629303891213141516[[#This Row],[累计净值]]-1.217)/1.217,(表2_367162629303891213141516[[#This Row],[累计净值]]-1.217)/1.217)</f>
        <v>0.13746918652423984</v>
      </c>
    </row>
    <row r="96" spans="1:7">
      <c r="A96" s="15">
        <v>44060</v>
      </c>
      <c r="B96" s="112">
        <v>1.454</v>
      </c>
      <c r="C96" s="108">
        <f t="shared" si="21"/>
        <v>-2.0000000000000018E-3</v>
      </c>
      <c r="D96" s="109">
        <f t="shared" si="22"/>
        <v>-2.0000000000000018E-3</v>
      </c>
      <c r="E96" s="109">
        <f ca="1">IF(表2_367162629303891213141516[[#This Row],[累计净值]]/MAX(INDIRECT("B21:B" &amp; ROW()))-1&lt;E95,表2_367162629303891213141516[[#This Row],[累计净值]]/MAX(INDIRECT("B21:B" &amp; ROW()))-1,E95)</f>
        <v>-9.2879256965944235E-3</v>
      </c>
      <c r="F96" s="110">
        <f>表2_367162629303891213141516[[#This Row],[累计净值]]</f>
        <v>1.454</v>
      </c>
      <c r="G96" s="20">
        <f>IF(表2_367162629303891213141516[[#This Row],[累计净值]]&gt;1.217,0.7*(表2_367162629303891213141516[[#This Row],[累计净值]]-1.217)/1.217,(表2_367162629303891213141516[[#This Row],[累计净值]]-1.217)/1.217)</f>
        <v>0.13631881676253074</v>
      </c>
    </row>
    <row r="97" spans="1:7">
      <c r="A97" s="15">
        <v>44061</v>
      </c>
      <c r="B97" s="112">
        <v>1.4570000000000001</v>
      </c>
      <c r="C97" s="108">
        <f t="shared" si="21"/>
        <v>3.0000000000001137E-3</v>
      </c>
      <c r="D97" s="109" t="str">
        <f t="shared" si="22"/>
        <v>/</v>
      </c>
      <c r="E97" s="109">
        <f ca="1">IF(表2_367162629303891213141516[[#This Row],[累计净值]]/MAX(INDIRECT("B21:B" &amp; ROW()))-1&lt;E96,表2_367162629303891213141516[[#This Row],[累计净值]]/MAX(INDIRECT("B21:B" &amp; ROW()))-1,E96)</f>
        <v>-9.2879256965944235E-3</v>
      </c>
      <c r="F97" s="110">
        <f>表2_367162629303891213141516[[#This Row],[累计净值]]</f>
        <v>1.4570000000000001</v>
      </c>
      <c r="G97" s="20">
        <f>IF(表2_367162629303891213141516[[#This Row],[累计净值]]&gt;1.217,0.7*(表2_367162629303891213141516[[#This Row],[累计净值]]-1.217)/1.217,(表2_367162629303891213141516[[#This Row],[累计净值]]-1.217)/1.217)</f>
        <v>0.13804437140509448</v>
      </c>
    </row>
    <row r="98" spans="1:7">
      <c r="A98" s="15">
        <v>44062</v>
      </c>
      <c r="B98" s="112">
        <v>1.4650000000000001</v>
      </c>
      <c r="C98" s="108">
        <f t="shared" si="21"/>
        <v>8.0000000000000071E-3</v>
      </c>
      <c r="D98" s="109" t="str">
        <f t="shared" si="22"/>
        <v>/</v>
      </c>
      <c r="E98" s="109">
        <f ca="1">IF(表2_367162629303891213141516[[#This Row],[累计净值]]/MAX(INDIRECT("B21:B" &amp; ROW()))-1&lt;E97,表2_367162629303891213141516[[#This Row],[累计净值]]/MAX(INDIRECT("B21:B" &amp; ROW()))-1,E97)</f>
        <v>-9.2879256965944235E-3</v>
      </c>
      <c r="F98" s="110">
        <f>表2_367162629303891213141516[[#This Row],[累计净值]]</f>
        <v>1.4650000000000001</v>
      </c>
      <c r="G98" s="20">
        <f>IF(表2_367162629303891213141516[[#This Row],[累计净值]]&gt;1.217,0.7*(表2_367162629303891213141516[[#This Row],[累计净值]]-1.217)/1.217,(表2_367162629303891213141516[[#This Row],[累计净值]]-1.217)/1.217)</f>
        <v>0.14264585045193096</v>
      </c>
    </row>
    <row r="99" spans="1:7">
      <c r="A99" s="15">
        <v>44063</v>
      </c>
      <c r="B99" s="112">
        <v>1.4650000000000001</v>
      </c>
      <c r="C99" s="108">
        <f t="shared" ref="C99:C105" si="23">IFERROR(B99-B98,0)</f>
        <v>0</v>
      </c>
      <c r="D99" s="109" t="str">
        <f t="shared" ref="D99:D105" si="24">IF(C99&lt;0,C99,"/")</f>
        <v>/</v>
      </c>
      <c r="E99" s="109">
        <f ca="1">IF(表2_367162629303891213141516[[#This Row],[累计净值]]/MAX(INDIRECT("B21:B" &amp; ROW()))-1&lt;E98,表2_367162629303891213141516[[#This Row],[累计净值]]/MAX(INDIRECT("B21:B" &amp; ROW()))-1,E98)</f>
        <v>-9.2879256965944235E-3</v>
      </c>
      <c r="F99" s="110">
        <f>表2_367162629303891213141516[[#This Row],[累计净值]]</f>
        <v>1.4650000000000001</v>
      </c>
      <c r="G99" s="20">
        <f>IF(表2_367162629303891213141516[[#This Row],[累计净值]]&gt;1.217,0.7*(表2_367162629303891213141516[[#This Row],[累计净值]]-1.217)/1.217,(表2_367162629303891213141516[[#This Row],[累计净值]]-1.217)/1.217)</f>
        <v>0.14264585045193096</v>
      </c>
    </row>
    <row r="100" spans="1:7">
      <c r="A100" s="15">
        <v>44064</v>
      </c>
      <c r="B100" s="112">
        <v>1.4690000000000001</v>
      </c>
      <c r="C100" s="108">
        <f t="shared" si="23"/>
        <v>4.0000000000000036E-3</v>
      </c>
      <c r="D100" s="109" t="str">
        <f t="shared" si="24"/>
        <v>/</v>
      </c>
      <c r="E100" s="109">
        <f ca="1">IF(表2_367162629303891213141516[[#This Row],[累计净值]]/MAX(INDIRECT("B21:B" &amp; ROW()))-1&lt;E99,表2_367162629303891213141516[[#This Row],[累计净值]]/MAX(INDIRECT("B21:B" &amp; ROW()))-1,E99)</f>
        <v>-9.2879256965944235E-3</v>
      </c>
      <c r="F100" s="110">
        <f>表2_367162629303891213141516[[#This Row],[累计净值]]</f>
        <v>1.4690000000000001</v>
      </c>
      <c r="G100" s="20">
        <f>IF(表2_367162629303891213141516[[#This Row],[累计净值]]&gt;1.217,0.7*(表2_367162629303891213141516[[#This Row],[累计净值]]-1.217)/1.217,(表2_367162629303891213141516[[#This Row],[累计净值]]-1.217)/1.217)</f>
        <v>0.1449465899753492</v>
      </c>
    </row>
    <row r="101" spans="1:7">
      <c r="A101" s="15">
        <v>44067</v>
      </c>
      <c r="B101" s="112">
        <v>1.478</v>
      </c>
      <c r="C101" s="108">
        <f t="shared" si="23"/>
        <v>8.999999999999897E-3</v>
      </c>
      <c r="D101" s="109" t="str">
        <f t="shared" si="24"/>
        <v>/</v>
      </c>
      <c r="E101" s="109">
        <f ca="1">IF(表2_367162629303891213141516[[#This Row],[累计净值]]/MAX(INDIRECT("B21:B" &amp; ROW()))-1&lt;E100,表2_367162629303891213141516[[#This Row],[累计净值]]/MAX(INDIRECT("B21:B" &amp; ROW()))-1,E100)</f>
        <v>-9.2879256965944235E-3</v>
      </c>
      <c r="F101" s="110">
        <f>表2_367162629303891213141516[[#This Row],[累计净值]]</f>
        <v>1.478</v>
      </c>
      <c r="G101" s="20">
        <f>IF(表2_367162629303891213141516[[#This Row],[累计净值]]&gt;1.217,0.7*(表2_367162629303891213141516[[#This Row],[累计净值]]-1.217)/1.217,(表2_367162629303891213141516[[#This Row],[累计净值]]-1.217)/1.217)</f>
        <v>0.15012325390304018</v>
      </c>
    </row>
    <row r="102" spans="1:7">
      <c r="A102" s="15">
        <v>44068</v>
      </c>
      <c r="B102" s="112">
        <v>1.4810000000000001</v>
      </c>
      <c r="C102" s="108">
        <f t="shared" si="23"/>
        <v>3.0000000000001137E-3</v>
      </c>
      <c r="D102" s="109" t="str">
        <f t="shared" si="24"/>
        <v>/</v>
      </c>
      <c r="E102" s="109">
        <f ca="1">IF(表2_367162629303891213141516[[#This Row],[累计净值]]/MAX(INDIRECT("B21:B" &amp; ROW()))-1&lt;E101,表2_367162629303891213141516[[#This Row],[累计净值]]/MAX(INDIRECT("B21:B" &amp; ROW()))-1,E101)</f>
        <v>-9.2879256965944235E-3</v>
      </c>
      <c r="F102" s="110">
        <f>表2_367162629303891213141516[[#This Row],[累计净值]]</f>
        <v>1.4810000000000001</v>
      </c>
      <c r="G102" s="20">
        <f>IF(表2_367162629303891213141516[[#This Row],[累计净值]]&gt;1.217,0.7*(表2_367162629303891213141516[[#This Row],[累计净值]]-1.217)/1.217,(表2_367162629303891213141516[[#This Row],[累计净值]]-1.217)/1.217)</f>
        <v>0.15184880854560392</v>
      </c>
    </row>
    <row r="103" spans="1:7">
      <c r="A103" s="15">
        <v>44069</v>
      </c>
      <c r="B103" s="112">
        <v>1.484</v>
      </c>
      <c r="C103" s="108">
        <f t="shared" si="23"/>
        <v>2.9999999999998916E-3</v>
      </c>
      <c r="D103" s="109" t="str">
        <f t="shared" si="24"/>
        <v>/</v>
      </c>
      <c r="E103" s="109">
        <f ca="1">IF(表2_367162629303891213141516[[#This Row],[累计净值]]/MAX(INDIRECT("B21:B" &amp; ROW()))-1&lt;E102,表2_367162629303891213141516[[#This Row],[累计净值]]/MAX(INDIRECT("B21:B" &amp; ROW()))-1,E102)</f>
        <v>-9.2879256965944235E-3</v>
      </c>
      <c r="F103" s="110">
        <f>表2_367162629303891213141516[[#This Row],[累计净值]]</f>
        <v>1.484</v>
      </c>
      <c r="G103" s="20">
        <f>IF(表2_367162629303891213141516[[#This Row],[累计净值]]&gt;1.217,0.7*(表2_367162629303891213141516[[#This Row],[累计净值]]-1.217)/1.217,(表2_367162629303891213141516[[#This Row],[累计净值]]-1.217)/1.217)</f>
        <v>0.15357436318816756</v>
      </c>
    </row>
    <row r="104" spans="1:7">
      <c r="A104" s="15">
        <v>44070</v>
      </c>
      <c r="B104" s="112">
        <v>1.4870000000000001</v>
      </c>
      <c r="C104" s="108">
        <f t="shared" si="23"/>
        <v>3.0000000000001137E-3</v>
      </c>
      <c r="D104" s="109" t="str">
        <f t="shared" si="24"/>
        <v>/</v>
      </c>
      <c r="E104" s="109">
        <f ca="1">IF(表2_367162629303891213141516[[#This Row],[累计净值]]/MAX(INDIRECT("B21:B" &amp; ROW()))-1&lt;E103,表2_367162629303891213141516[[#This Row],[累计净值]]/MAX(INDIRECT("B21:B" &amp; ROW()))-1,E103)</f>
        <v>-9.2879256965944235E-3</v>
      </c>
      <c r="F104" s="110">
        <f>表2_367162629303891213141516[[#This Row],[累计净值]]</f>
        <v>1.4870000000000001</v>
      </c>
      <c r="G104" s="20">
        <f>IF(表2_367162629303891213141516[[#This Row],[累计净值]]&gt;1.217,0.7*(表2_367162629303891213141516[[#This Row],[累计净值]]-1.217)/1.217,(表2_367162629303891213141516[[#This Row],[累计净值]]-1.217)/1.217)</f>
        <v>0.1552999178307313</v>
      </c>
    </row>
    <row r="105" spans="1:7">
      <c r="A105" s="15">
        <v>44071</v>
      </c>
      <c r="B105" s="112">
        <v>1.4930000000000001</v>
      </c>
      <c r="C105" s="108">
        <f t="shared" si="23"/>
        <v>6.0000000000000053E-3</v>
      </c>
      <c r="D105" s="109" t="str">
        <f t="shared" si="24"/>
        <v>/</v>
      </c>
      <c r="E105" s="109">
        <f ca="1">IF(表2_367162629303891213141516[[#This Row],[累计净值]]/MAX(INDIRECT("B21:B" &amp; ROW()))-1&lt;E104,表2_367162629303891213141516[[#This Row],[累计净值]]/MAX(INDIRECT("B21:B" &amp; ROW()))-1,E104)</f>
        <v>-9.2879256965944235E-3</v>
      </c>
      <c r="F105" s="110">
        <f>表2_367162629303891213141516[[#This Row],[累计净值]]</f>
        <v>1.4930000000000001</v>
      </c>
      <c r="G105" s="20">
        <f>IF(表2_367162629303891213141516[[#This Row],[累计净值]]&gt;1.217,0.7*(表2_367162629303891213141516[[#This Row],[累计净值]]-1.217)/1.217,(表2_367162629303891213141516[[#This Row],[累计净值]]-1.217)/1.217)</f>
        <v>0.15875102711585867</v>
      </c>
    </row>
    <row r="106" spans="1:7">
      <c r="A106" s="15">
        <v>44074</v>
      </c>
      <c r="B106" s="112">
        <v>1.4990000000000001</v>
      </c>
      <c r="C106" s="108">
        <f t="shared" ref="C106:C112" si="25">IFERROR(B106-B105,0)</f>
        <v>6.0000000000000053E-3</v>
      </c>
      <c r="D106" s="109" t="str">
        <f t="shared" ref="D106:D112" si="26">IF(C106&lt;0,C106,"/")</f>
        <v>/</v>
      </c>
      <c r="E106" s="109">
        <f ca="1">IF(表2_367162629303891213141516[[#This Row],[累计净值]]/MAX(INDIRECT("B21:B" &amp; ROW()))-1&lt;E105,表2_367162629303891213141516[[#This Row],[累计净值]]/MAX(INDIRECT("B21:B" &amp; ROW()))-1,E105)</f>
        <v>-9.2879256965944235E-3</v>
      </c>
      <c r="F106" s="110">
        <f>表2_367162629303891213141516[[#This Row],[累计净值]]</f>
        <v>1.4990000000000001</v>
      </c>
      <c r="G106" s="20">
        <f>IF(表2_367162629303891213141516[[#This Row],[累计净值]]&gt;1.217,0.7*(表2_367162629303891213141516[[#This Row],[累计净值]]-1.217)/1.217,(表2_367162629303891213141516[[#This Row],[累计净值]]-1.217)/1.217)</f>
        <v>0.16220213640098605</v>
      </c>
    </row>
    <row r="107" spans="1:7">
      <c r="A107" s="15">
        <v>44075</v>
      </c>
      <c r="B107" s="112">
        <v>1.494</v>
      </c>
      <c r="C107" s="108">
        <f t="shared" si="25"/>
        <v>-5.0000000000001155E-3</v>
      </c>
      <c r="D107" s="109">
        <f t="shared" si="26"/>
        <v>-5.0000000000001155E-3</v>
      </c>
      <c r="E107" s="109">
        <f ca="1">IF(表2_367162629303891213141516[[#This Row],[累计净值]]/MAX(INDIRECT("B21:B" &amp; ROW()))-1&lt;E106,表2_367162629303891213141516[[#This Row],[累计净值]]/MAX(INDIRECT("B21:B" &amp; ROW()))-1,E106)</f>
        <v>-9.2879256965944235E-3</v>
      </c>
      <c r="F107" s="110">
        <f>表2_367162629303891213141516[[#This Row],[累计净值]]</f>
        <v>1.494</v>
      </c>
      <c r="G107" s="20">
        <f>IF(表2_367162629303891213141516[[#This Row],[累计净值]]&gt;1.217,0.7*(表2_367162629303891213141516[[#This Row],[累计净值]]-1.217)/1.217,(表2_367162629303891213141516[[#This Row],[累计净值]]-1.217)/1.217)</f>
        <v>0.15932621199671315</v>
      </c>
    </row>
    <row r="108" spans="1:7">
      <c r="A108" s="9">
        <v>44076</v>
      </c>
      <c r="B108" s="190">
        <v>1.502</v>
      </c>
      <c r="C108" s="191">
        <f t="shared" si="25"/>
        <v>8.0000000000000071E-3</v>
      </c>
      <c r="D108" s="192" t="str">
        <f t="shared" si="26"/>
        <v>/</v>
      </c>
      <c r="E108" s="192">
        <f ca="1">IF(表2_367162629303891213141516[[#This Row],[累计净值]]/MAX(INDIRECT("B21:B" &amp; ROW()))-1&lt;E107,表2_367162629303891213141516[[#This Row],[累计净值]]/MAX(INDIRECT("B21:B" &amp; ROW()))-1,E107)</f>
        <v>-9.2879256965944235E-3</v>
      </c>
      <c r="F108" s="193">
        <f>表2_367162629303891213141516[[#This Row],[累计净值]]</f>
        <v>1.502</v>
      </c>
      <c r="G108" s="82">
        <f>IF(表2_367162629303891213141516[[#This Row],[累计净值]]&gt;1.217,0.7*(表2_367162629303891213141516[[#This Row],[累计净值]]-1.217)/1.217,(表2_367162629303891213141516[[#This Row],[累计净值]]-1.217)/1.217)</f>
        <v>0.16392769104354965</v>
      </c>
    </row>
    <row r="109" spans="1:7">
      <c r="A109" s="15">
        <v>44077</v>
      </c>
      <c r="B109" s="112">
        <v>1.498</v>
      </c>
      <c r="C109" s="108">
        <f t="shared" si="25"/>
        <v>-4.0000000000000036E-3</v>
      </c>
      <c r="D109" s="109">
        <f t="shared" si="26"/>
        <v>-4.0000000000000036E-3</v>
      </c>
      <c r="E109" s="109">
        <f ca="1">IF(表2_367162629303891213141516[[#This Row],[累计净值]]/MAX(INDIRECT("B21:B" &amp; ROW()))-1&lt;E108,表2_367162629303891213141516[[#This Row],[累计净值]]/MAX(INDIRECT("B21:B" &amp; ROW()))-1,E108)</f>
        <v>-9.2879256965944235E-3</v>
      </c>
      <c r="F109" s="110">
        <f>表2_367162629303891213141516[[#This Row],[累计净值]]</f>
        <v>1.498</v>
      </c>
      <c r="G109" s="20">
        <f>IF(表2_367162629303891213141516[[#This Row],[累计净值]]&gt;1.217,0.7*(表2_367162629303891213141516[[#This Row],[累计净值]]-1.217)/1.217,(表2_367162629303891213141516[[#This Row],[累计净值]]-1.217)/1.217)</f>
        <v>0.1616269515201314</v>
      </c>
    </row>
    <row r="110" spans="1:7">
      <c r="A110" s="15">
        <v>44078</v>
      </c>
      <c r="B110" s="112">
        <v>1.502</v>
      </c>
      <c r="C110" s="108">
        <f t="shared" si="25"/>
        <v>4.0000000000000036E-3</v>
      </c>
      <c r="D110" s="109" t="str">
        <f t="shared" si="26"/>
        <v>/</v>
      </c>
      <c r="E110" s="109">
        <f ca="1">IF(表2_367162629303891213141516[[#This Row],[累计净值]]/MAX(INDIRECT("B21:B" &amp; ROW()))-1&lt;E109,表2_367162629303891213141516[[#This Row],[累计净值]]/MAX(INDIRECT("B21:B" &amp; ROW()))-1,E109)</f>
        <v>-9.2879256965944235E-3</v>
      </c>
      <c r="F110" s="110">
        <f>表2_367162629303891213141516[[#This Row],[累计净值]]</f>
        <v>1.502</v>
      </c>
      <c r="G110" s="20">
        <f>IF(表2_367162629303891213141516[[#This Row],[累计净值]]&gt;1.217,0.7*(表2_367162629303891213141516[[#This Row],[累计净值]]-1.217)/1.217,(表2_367162629303891213141516[[#This Row],[累计净值]]-1.217)/1.217)</f>
        <v>0.16392769104354965</v>
      </c>
    </row>
    <row r="111" spans="1:7">
      <c r="A111" s="15">
        <v>44081</v>
      </c>
      <c r="B111" s="112">
        <v>1.5069999999999999</v>
      </c>
      <c r="C111" s="108">
        <f t="shared" si="25"/>
        <v>4.9999999999998934E-3</v>
      </c>
      <c r="D111" s="109" t="str">
        <f t="shared" si="26"/>
        <v>/</v>
      </c>
      <c r="E111" s="109">
        <f ca="1">IF(表2_367162629303891213141516[[#This Row],[累计净值]]/MAX(INDIRECT("B21:B" &amp; ROW()))-1&lt;E110,表2_367162629303891213141516[[#This Row],[累计净值]]/MAX(INDIRECT("B21:B" &amp; ROW()))-1,E110)</f>
        <v>-9.2879256965944235E-3</v>
      </c>
      <c r="F111" s="110">
        <f>表2_367162629303891213141516[[#This Row],[累计净值]]</f>
        <v>1.5069999999999999</v>
      </c>
      <c r="G111" s="20">
        <f>IF(表2_367162629303891213141516[[#This Row],[累计净值]]&gt;1.217,0.7*(表2_367162629303891213141516[[#This Row],[累计净值]]-1.217)/1.217,(表2_367162629303891213141516[[#This Row],[累计净值]]-1.217)/1.217)</f>
        <v>0.16680361544782238</v>
      </c>
    </row>
    <row r="112" spans="1:7">
      <c r="A112" s="15">
        <v>44082</v>
      </c>
      <c r="B112" s="112">
        <v>1.506</v>
      </c>
      <c r="C112" s="108">
        <f t="shared" si="25"/>
        <v>-9.9999999999988987E-4</v>
      </c>
      <c r="D112" s="109">
        <f t="shared" si="26"/>
        <v>-9.9999999999988987E-4</v>
      </c>
      <c r="E112" s="109">
        <f ca="1">IF(表2_367162629303891213141516[[#This Row],[累计净值]]/MAX(INDIRECT("B21:B" &amp; ROW()))-1&lt;E111,表2_367162629303891213141516[[#This Row],[累计净值]]/MAX(INDIRECT("B21:B" &amp; ROW()))-1,E111)</f>
        <v>-9.2879256965944235E-3</v>
      </c>
      <c r="F112" s="110">
        <f>表2_367162629303891213141516[[#This Row],[累计净值]]</f>
        <v>1.506</v>
      </c>
      <c r="G112" s="20">
        <f>IF(表2_367162629303891213141516[[#This Row],[累计净值]]&gt;1.217,0.7*(表2_367162629303891213141516[[#This Row],[累计净值]]-1.217)/1.217,(表2_367162629303891213141516[[#This Row],[累计净值]]-1.217)/1.217)</f>
        <v>0.16622843056696787</v>
      </c>
    </row>
    <row r="113" spans="1:7">
      <c r="A113" s="15">
        <v>44083</v>
      </c>
      <c r="B113" s="112">
        <v>1.5069999999999999</v>
      </c>
      <c r="C113" s="108">
        <f t="shared" ref="C113:C119" si="27">IFERROR(B113-B112,0)</f>
        <v>9.9999999999988987E-4</v>
      </c>
      <c r="D113" s="109" t="str">
        <f t="shared" ref="D113:D119" si="28">IF(C113&lt;0,C113,"/")</f>
        <v>/</v>
      </c>
      <c r="E113" s="109">
        <f ca="1">IF(表2_367162629303891213141516[[#This Row],[累计净值]]/MAX(INDIRECT("B21:B" &amp; ROW()))-1&lt;E112,表2_367162629303891213141516[[#This Row],[累计净值]]/MAX(INDIRECT("B21:B" &amp; ROW()))-1,E112)</f>
        <v>-9.2879256965944235E-3</v>
      </c>
      <c r="F113" s="110">
        <f>表2_367162629303891213141516[[#This Row],[累计净值]]</f>
        <v>1.5069999999999999</v>
      </c>
      <c r="G113" s="20">
        <f>IF(表2_367162629303891213141516[[#This Row],[累计净值]]&gt;1.217,0.7*(表2_367162629303891213141516[[#This Row],[累计净值]]-1.217)/1.217,(表2_367162629303891213141516[[#This Row],[累计净值]]-1.217)/1.217)</f>
        <v>0.16680361544782238</v>
      </c>
    </row>
    <row r="114" spans="1:7">
      <c r="A114" s="15">
        <v>44084</v>
      </c>
      <c r="B114" s="112">
        <v>1.5129999999999999</v>
      </c>
      <c r="C114" s="108">
        <f t="shared" si="27"/>
        <v>6.0000000000000053E-3</v>
      </c>
      <c r="D114" s="109" t="str">
        <f t="shared" si="28"/>
        <v>/</v>
      </c>
      <c r="E114" s="109">
        <f ca="1">IF(表2_367162629303891213141516[[#This Row],[累计净值]]/MAX(INDIRECT("B21:B" &amp; ROW()))-1&lt;E113,表2_367162629303891213141516[[#This Row],[累计净值]]/MAX(INDIRECT("B21:B" &amp; ROW()))-1,E113)</f>
        <v>-9.2879256965944235E-3</v>
      </c>
      <c r="F114" s="110">
        <f>表2_367162629303891213141516[[#This Row],[累计净值]]</f>
        <v>1.5129999999999999</v>
      </c>
      <c r="G114" s="20">
        <f>IF(表2_367162629303891213141516[[#This Row],[累计净值]]&gt;1.217,0.7*(表2_367162629303891213141516[[#This Row],[累计净值]]-1.217)/1.217,(表2_367162629303891213141516[[#This Row],[累计净值]]-1.217)/1.217)</f>
        <v>0.17025472473294975</v>
      </c>
    </row>
    <row r="115" spans="1:7">
      <c r="A115" s="15">
        <v>44085</v>
      </c>
      <c r="B115" s="112">
        <v>1.5129999999999999</v>
      </c>
      <c r="C115" s="108">
        <f t="shared" si="27"/>
        <v>0</v>
      </c>
      <c r="D115" s="109" t="str">
        <f t="shared" si="28"/>
        <v>/</v>
      </c>
      <c r="E115" s="109">
        <f ca="1">IF(表2_367162629303891213141516[[#This Row],[累计净值]]/MAX(INDIRECT("B21:B" &amp; ROW()))-1&lt;E114,表2_367162629303891213141516[[#This Row],[累计净值]]/MAX(INDIRECT("B21:B" &amp; ROW()))-1,E114)</f>
        <v>-9.2879256965944235E-3</v>
      </c>
      <c r="F115" s="110">
        <f>表2_367162629303891213141516[[#This Row],[累计净值]]</f>
        <v>1.5129999999999999</v>
      </c>
      <c r="G115" s="20">
        <f>IF(表2_367162629303891213141516[[#This Row],[累计净值]]&gt;1.217,0.7*(表2_367162629303891213141516[[#This Row],[累计净值]]-1.217)/1.217,(表2_367162629303891213141516[[#This Row],[累计净值]]-1.217)/1.217)</f>
        <v>0.17025472473294975</v>
      </c>
    </row>
    <row r="116" spans="1:7">
      <c r="A116" s="15">
        <v>44088</v>
      </c>
      <c r="B116" s="112">
        <v>1.5189999999999999</v>
      </c>
      <c r="C116" s="108">
        <f t="shared" si="27"/>
        <v>6.0000000000000053E-3</v>
      </c>
      <c r="D116" s="109" t="str">
        <f t="shared" si="28"/>
        <v>/</v>
      </c>
      <c r="E116" s="109">
        <f ca="1">IF(表2_367162629303891213141516[[#This Row],[累计净值]]/MAX(INDIRECT("B21:B" &amp; ROW()))-1&lt;E115,表2_367162629303891213141516[[#This Row],[累计净值]]/MAX(INDIRECT("B21:B" &amp; ROW()))-1,E115)</f>
        <v>-9.2879256965944235E-3</v>
      </c>
      <c r="F116" s="110">
        <f>表2_367162629303891213141516[[#This Row],[累计净值]]</f>
        <v>1.5189999999999999</v>
      </c>
      <c r="G116" s="20">
        <f>IF(表2_367162629303891213141516[[#This Row],[累计净值]]&gt;1.217,0.7*(表2_367162629303891213141516[[#This Row],[累计净值]]-1.217)/1.217,(表2_367162629303891213141516[[#This Row],[累计净值]]-1.217)/1.217)</f>
        <v>0.17370583401807713</v>
      </c>
    </row>
    <row r="117" spans="1:7">
      <c r="A117" s="15">
        <v>44089</v>
      </c>
      <c r="B117" s="112">
        <v>1.522</v>
      </c>
      <c r="C117" s="108">
        <f t="shared" si="27"/>
        <v>3.0000000000001137E-3</v>
      </c>
      <c r="D117" s="109" t="str">
        <f t="shared" si="28"/>
        <v>/</v>
      </c>
      <c r="E117" s="109">
        <f ca="1">IF(表2_367162629303891213141516[[#This Row],[累计净值]]/MAX(INDIRECT("B21:B" &amp; ROW()))-1&lt;E116,表2_367162629303891213141516[[#This Row],[累计净值]]/MAX(INDIRECT("B21:B" &amp; ROW()))-1,E116)</f>
        <v>-9.2879256965944235E-3</v>
      </c>
      <c r="F117" s="110">
        <f>表2_367162629303891213141516[[#This Row],[累计净值]]</f>
        <v>1.522</v>
      </c>
      <c r="G117" s="20">
        <f>IF(表2_367162629303891213141516[[#This Row],[累计净值]]&gt;1.217,0.7*(表2_367162629303891213141516[[#This Row],[累计净值]]-1.217)/1.217,(表2_367162629303891213141516[[#This Row],[累计净值]]-1.217)/1.217)</f>
        <v>0.17543138866064087</v>
      </c>
    </row>
    <row r="118" spans="1:7">
      <c r="A118" s="15">
        <v>44090</v>
      </c>
      <c r="B118" s="112">
        <v>1.5229999999999999</v>
      </c>
      <c r="C118" s="108">
        <f t="shared" si="27"/>
        <v>9.9999999999988987E-4</v>
      </c>
      <c r="D118" s="109" t="str">
        <f t="shared" si="28"/>
        <v>/</v>
      </c>
      <c r="E118" s="109">
        <f ca="1">IF(表2_367162629303891213141516[[#This Row],[累计净值]]/MAX(INDIRECT("B21:B" &amp; ROW()))-1&lt;E117,表2_367162629303891213141516[[#This Row],[累计净值]]/MAX(INDIRECT("B21:B" &amp; ROW()))-1,E117)</f>
        <v>-9.2879256965944235E-3</v>
      </c>
      <c r="F118" s="110">
        <f>表2_367162629303891213141516[[#This Row],[累计净值]]</f>
        <v>1.5229999999999999</v>
      </c>
      <c r="G118" s="20">
        <f>IF(表2_367162629303891213141516[[#This Row],[累计净值]]&gt;1.217,0.7*(表2_367162629303891213141516[[#This Row],[累计净值]]-1.217)/1.217,(表2_367162629303891213141516[[#This Row],[累计净值]]-1.217)/1.217)</f>
        <v>0.17600657354149535</v>
      </c>
    </row>
    <row r="119" spans="1:7">
      <c r="A119" s="15">
        <v>44091</v>
      </c>
      <c r="B119" s="112">
        <v>1.5289999999999999</v>
      </c>
      <c r="C119" s="108">
        <f t="shared" si="27"/>
        <v>6.0000000000000053E-3</v>
      </c>
      <c r="D119" s="109" t="str">
        <f t="shared" si="28"/>
        <v>/</v>
      </c>
      <c r="E119" s="109">
        <f ca="1">IF(表2_367162629303891213141516[[#This Row],[累计净值]]/MAX(INDIRECT("B21:B" &amp; ROW()))-1&lt;E118,表2_367162629303891213141516[[#This Row],[累计净值]]/MAX(INDIRECT("B21:B" &amp; ROW()))-1,E118)</f>
        <v>-9.2879256965944235E-3</v>
      </c>
      <c r="F119" s="110">
        <f>表2_367162629303891213141516[[#This Row],[累计净值]]</f>
        <v>1.5289999999999999</v>
      </c>
      <c r="G119" s="20">
        <f>IF(表2_367162629303891213141516[[#This Row],[累计净值]]&gt;1.217,0.7*(表2_367162629303891213141516[[#This Row],[累计净值]]-1.217)/1.217,(表2_367162629303891213141516[[#This Row],[累计净值]]-1.217)/1.217)</f>
        <v>0.17945768282662272</v>
      </c>
    </row>
    <row r="120" spans="1:7">
      <c r="A120" s="15">
        <v>44092</v>
      </c>
      <c r="B120" s="112">
        <v>1.5289999999999999</v>
      </c>
      <c r="C120" s="108">
        <f t="shared" ref="C120:C125" si="29">IFERROR(B120-B119,0)</f>
        <v>0</v>
      </c>
      <c r="D120" s="109" t="str">
        <f t="shared" ref="D120:D125" si="30">IF(C120&lt;0,C120,"/")</f>
        <v>/</v>
      </c>
      <c r="E120" s="109">
        <f ca="1">IF(表2_367162629303891213141516[[#This Row],[累计净值]]/MAX(INDIRECT("B21:B" &amp; ROW()))-1&lt;E119,表2_367162629303891213141516[[#This Row],[累计净值]]/MAX(INDIRECT("B21:B" &amp; ROW()))-1,E119)</f>
        <v>-9.2879256965944235E-3</v>
      </c>
      <c r="F120" s="110">
        <f>表2_367162629303891213141516[[#This Row],[累计净值]]</f>
        <v>1.5289999999999999</v>
      </c>
      <c r="G120" s="20">
        <f>IF(表2_367162629303891213141516[[#This Row],[累计净值]]&gt;1.217,0.7*(表2_367162629303891213141516[[#This Row],[累计净值]]-1.217)/1.217,(表2_367162629303891213141516[[#This Row],[累计净值]]-1.217)/1.217)</f>
        <v>0.17945768282662272</v>
      </c>
    </row>
    <row r="121" spans="1:7">
      <c r="A121" s="15">
        <v>44095</v>
      </c>
      <c r="B121" s="112">
        <v>1.5309999999999999</v>
      </c>
      <c r="C121" s="108">
        <f t="shared" si="29"/>
        <v>2.0000000000000018E-3</v>
      </c>
      <c r="D121" s="109" t="str">
        <f t="shared" si="30"/>
        <v>/</v>
      </c>
      <c r="E121" s="109">
        <f ca="1">IF(表2_367162629303891213141516[[#This Row],[累计净值]]/MAX(INDIRECT("B21:B" &amp; ROW()))-1&lt;E120,表2_367162629303891213141516[[#This Row],[累计净值]]/MAX(INDIRECT("B21:B" &amp; ROW()))-1,E120)</f>
        <v>-9.2879256965944235E-3</v>
      </c>
      <c r="F121" s="110">
        <f>表2_367162629303891213141516[[#This Row],[累计净值]]</f>
        <v>1.5309999999999999</v>
      </c>
      <c r="G121" s="20">
        <f>IF(表2_367162629303891213141516[[#This Row],[累计净值]]&gt;1.217,0.7*(表2_367162629303891213141516[[#This Row],[累计净值]]-1.217)/1.217,(表2_367162629303891213141516[[#This Row],[累计净值]]-1.217)/1.217)</f>
        <v>0.18060805258833185</v>
      </c>
    </row>
    <row r="122" spans="1:7">
      <c r="A122" s="15">
        <v>44096</v>
      </c>
      <c r="B122" s="112">
        <v>1.5329999999999999</v>
      </c>
      <c r="C122" s="108">
        <f t="shared" si="29"/>
        <v>2.0000000000000018E-3</v>
      </c>
      <c r="D122" s="109" t="str">
        <f t="shared" si="30"/>
        <v>/</v>
      </c>
      <c r="E122" s="109">
        <f ca="1">IF(表2_367162629303891213141516[[#This Row],[累计净值]]/MAX(INDIRECT("B21:B" &amp; ROW()))-1&lt;E121,表2_367162629303891213141516[[#This Row],[累计净值]]/MAX(INDIRECT("B21:B" &amp; ROW()))-1,E121)</f>
        <v>-9.2879256965944235E-3</v>
      </c>
      <c r="F122" s="110">
        <f>表2_367162629303891213141516[[#This Row],[累计净值]]</f>
        <v>1.5329999999999999</v>
      </c>
      <c r="G122" s="20">
        <f>IF(表2_367162629303891213141516[[#This Row],[累计净值]]&gt;1.217,0.7*(表2_367162629303891213141516[[#This Row],[累计净值]]-1.217)/1.217,(表2_367162629303891213141516[[#This Row],[累计净值]]-1.217)/1.217)</f>
        <v>0.18175842235004097</v>
      </c>
    </row>
    <row r="123" spans="1:7">
      <c r="A123" s="15">
        <v>44097</v>
      </c>
      <c r="B123" s="112">
        <v>1.534</v>
      </c>
      <c r="C123" s="108">
        <f t="shared" si="29"/>
        <v>1.0000000000001119E-3</v>
      </c>
      <c r="D123" s="109" t="str">
        <f t="shared" si="30"/>
        <v>/</v>
      </c>
      <c r="E123" s="109">
        <f ca="1">IF(表2_367162629303891213141516[[#This Row],[累计净值]]/MAX(INDIRECT("B21:B" &amp; ROW()))-1&lt;E122,表2_367162629303891213141516[[#This Row],[累计净值]]/MAX(INDIRECT("B21:B" &amp; ROW()))-1,E122)</f>
        <v>-9.2879256965944235E-3</v>
      </c>
      <c r="F123" s="110">
        <f>表2_367162629303891213141516[[#This Row],[累计净值]]</f>
        <v>1.534</v>
      </c>
      <c r="G123" s="20">
        <f>IF(表2_367162629303891213141516[[#This Row],[累计净值]]&gt;1.217,0.7*(表2_367162629303891213141516[[#This Row],[累计净值]]-1.217)/1.217,(表2_367162629303891213141516[[#This Row],[累计净值]]-1.217)/1.217)</f>
        <v>0.18233360723089559</v>
      </c>
    </row>
    <row r="124" spans="1:7">
      <c r="A124" s="15">
        <v>44098</v>
      </c>
      <c r="B124" s="112">
        <v>1.5369999999999999</v>
      </c>
      <c r="C124" s="108">
        <f t="shared" si="29"/>
        <v>2.9999999999998916E-3</v>
      </c>
      <c r="D124" s="109" t="str">
        <f t="shared" si="30"/>
        <v>/</v>
      </c>
      <c r="E124" s="109">
        <f ca="1">IF(表2_367162629303891213141516[[#This Row],[累计净值]]/MAX(INDIRECT("B21:B" &amp; ROW()))-1&lt;E123,表2_367162629303891213141516[[#This Row],[累计净值]]/MAX(INDIRECT("B21:B" &amp; ROW()))-1,E123)</f>
        <v>-9.2879256965944235E-3</v>
      </c>
      <c r="F124" s="110">
        <f>表2_367162629303891213141516[[#This Row],[累计净值]]</f>
        <v>1.5369999999999999</v>
      </c>
      <c r="G124" s="20">
        <f>IF(表2_367162629303891213141516[[#This Row],[累计净值]]&gt;1.217,0.7*(表2_367162629303891213141516[[#This Row],[累计净值]]-1.217)/1.217,(表2_367162629303891213141516[[#This Row],[累计净值]]-1.217)/1.217)</f>
        <v>0.18405916187345919</v>
      </c>
    </row>
    <row r="125" spans="1:7">
      <c r="A125" s="15">
        <v>44099</v>
      </c>
      <c r="B125" s="112">
        <v>1.5349999999999999</v>
      </c>
      <c r="C125" s="108">
        <f t="shared" si="29"/>
        <v>-2.0000000000000018E-3</v>
      </c>
      <c r="D125" s="109">
        <f t="shared" si="30"/>
        <v>-2.0000000000000018E-3</v>
      </c>
      <c r="E125" s="109">
        <f ca="1">IF(表2_367162629303891213141516[[#This Row],[累计净值]]/MAX(INDIRECT("B21:B" &amp; ROW()))-1&lt;E124,表2_367162629303891213141516[[#This Row],[累计净值]]/MAX(INDIRECT("B21:B" &amp; ROW()))-1,E124)</f>
        <v>-9.2879256965944235E-3</v>
      </c>
      <c r="F125" s="110">
        <f>表2_367162629303891213141516[[#This Row],[累计净值]]</f>
        <v>1.5349999999999999</v>
      </c>
      <c r="G125" s="20">
        <f>IF(表2_367162629303891213141516[[#This Row],[累计净值]]&gt;1.217,0.7*(表2_367162629303891213141516[[#This Row],[累计净值]]-1.217)/1.217,(表2_367162629303891213141516[[#This Row],[累计净值]]-1.217)/1.217)</f>
        <v>0.1829087921117501</v>
      </c>
    </row>
    <row r="126" spans="1:7">
      <c r="A126" s="15">
        <v>44102</v>
      </c>
      <c r="B126" s="112">
        <v>1.536</v>
      </c>
      <c r="C126" s="108">
        <f>IFERROR(B126-B125,0)</f>
        <v>1.0000000000001119E-3</v>
      </c>
      <c r="D126" s="109" t="str">
        <f>IF(C126&lt;0,C126,"/")</f>
        <v>/</v>
      </c>
      <c r="E126" s="109">
        <f ca="1">IF(表2_367162629303891213141516[[#This Row],[累计净值]]/MAX(INDIRECT("B21:B" &amp; ROW()))-1&lt;E125,表2_367162629303891213141516[[#This Row],[累计净值]]/MAX(INDIRECT("B21:B" &amp; ROW()))-1,E125)</f>
        <v>-9.2879256965944235E-3</v>
      </c>
      <c r="F126" s="110">
        <f>表2_367162629303891213141516[[#This Row],[累计净值]]</f>
        <v>1.536</v>
      </c>
      <c r="G126" s="20">
        <f>IF(表2_367162629303891213141516[[#This Row],[累计净值]]&gt;1.217,0.7*(表2_367162629303891213141516[[#This Row],[累计净值]]-1.217)/1.217,(表2_367162629303891213141516[[#This Row],[累计净值]]-1.217)/1.217)</f>
        <v>0.18348397699260471</v>
      </c>
    </row>
    <row r="127" spans="1:7">
      <c r="A127" s="15">
        <v>44103</v>
      </c>
      <c r="B127" s="112">
        <v>1.5369999999999999</v>
      </c>
      <c r="C127" s="108">
        <f t="shared" ref="C127:C128" si="31">IFERROR(B127-B126,0)</f>
        <v>9.9999999999988987E-4</v>
      </c>
      <c r="D127" s="109" t="str">
        <f t="shared" ref="D127:D128" si="32">IF(C127&lt;0,C127,"/")</f>
        <v>/</v>
      </c>
      <c r="E127" s="109">
        <f ca="1">IF(表2_367162629303891213141516[[#This Row],[累计净值]]/MAX(INDIRECT("B21:B" &amp; ROW()))-1&lt;E126,表2_367162629303891213141516[[#This Row],[累计净值]]/MAX(INDIRECT("B21:B" &amp; ROW()))-1,E126)</f>
        <v>-9.2879256965944235E-3</v>
      </c>
      <c r="F127" s="110">
        <f>表2_367162629303891213141516[[#This Row],[累计净值]]</f>
        <v>1.5369999999999999</v>
      </c>
      <c r="G127" s="20">
        <f>IF(表2_367162629303891213141516[[#This Row],[累计净值]]&gt;1.217,0.7*(表2_367162629303891213141516[[#This Row],[累计净值]]-1.217)/1.217,(表2_367162629303891213141516[[#This Row],[累计净值]]-1.217)/1.217)</f>
        <v>0.18405916187345919</v>
      </c>
    </row>
    <row r="128" spans="1:7">
      <c r="A128" s="15">
        <v>44104</v>
      </c>
      <c r="B128" s="112">
        <v>1.538</v>
      </c>
      <c r="C128" s="108">
        <f t="shared" si="31"/>
        <v>1.0000000000001119E-3</v>
      </c>
      <c r="D128" s="109" t="str">
        <f t="shared" si="32"/>
        <v>/</v>
      </c>
      <c r="E128" s="109">
        <f ca="1">IF(表2_367162629303891213141516[[#This Row],[累计净值]]/MAX(INDIRECT("B21:B" &amp; ROW()))-1&lt;E127,表2_367162629303891213141516[[#This Row],[累计净值]]/MAX(INDIRECT("B21:B" &amp; ROW()))-1,E127)</f>
        <v>-9.2879256965944235E-3</v>
      </c>
      <c r="F128" s="110">
        <f>表2_367162629303891213141516[[#This Row],[累计净值]]</f>
        <v>1.538</v>
      </c>
      <c r="G128" s="20">
        <f>IF(表2_367162629303891213141516[[#This Row],[累计净值]]&gt;1.217,0.7*(表2_367162629303891213141516[[#This Row],[累计净值]]-1.217)/1.217,(表2_367162629303891213141516[[#This Row],[累计净值]]-1.217)/1.217)</f>
        <v>0.18463434675431384</v>
      </c>
    </row>
    <row r="129" spans="1:7">
      <c r="A129" s="15">
        <v>44113</v>
      </c>
      <c r="B129" s="112">
        <v>1.554</v>
      </c>
      <c r="C129" s="108">
        <f t="shared" ref="C129:C134" si="33">IFERROR(B129-B128,0)</f>
        <v>1.6000000000000014E-2</v>
      </c>
      <c r="D129" s="109" t="str">
        <f t="shared" ref="D129:D134" si="34">IF(C129&lt;0,C129,"/")</f>
        <v>/</v>
      </c>
      <c r="E129" s="109">
        <f ca="1">IF(表2_367162629303891213141516[[#This Row],[累计净值]]/MAX(INDIRECT("B21:B" &amp; ROW()))-1&lt;E128,表2_367162629303891213141516[[#This Row],[累计净值]]/MAX(INDIRECT("B21:B" &amp; ROW()))-1,E128)</f>
        <v>-9.2879256965944235E-3</v>
      </c>
      <c r="F129" s="110">
        <f>表2_367162629303891213141516[[#This Row],[累计净值]]</f>
        <v>1.554</v>
      </c>
      <c r="G129" s="20">
        <f>IF(表2_367162629303891213141516[[#This Row],[累计净值]]&gt;1.217,0.7*(表2_367162629303891213141516[[#This Row],[累计净值]]-1.217)/1.217,(表2_367162629303891213141516[[#This Row],[累计净值]]-1.217)/1.217)</f>
        <v>0.19383730484798681</v>
      </c>
    </row>
    <row r="130" spans="1:7">
      <c r="A130" s="15">
        <v>44116</v>
      </c>
      <c r="B130" s="112">
        <v>1.5620000000000001</v>
      </c>
      <c r="C130" s="108">
        <f t="shared" si="33"/>
        <v>8.0000000000000071E-3</v>
      </c>
      <c r="D130" s="109" t="str">
        <f t="shared" si="34"/>
        <v>/</v>
      </c>
      <c r="E130" s="109">
        <f ca="1">IF(表2_367162629303891213141516[[#This Row],[累计净值]]/MAX(INDIRECT("B21:B" &amp; ROW()))-1&lt;E129,表2_367162629303891213141516[[#This Row],[累计净值]]/MAX(INDIRECT("B21:B" &amp; ROW()))-1,E129)</f>
        <v>-9.2879256965944235E-3</v>
      </c>
      <c r="F130" s="110">
        <f>表2_367162629303891213141516[[#This Row],[累计净值]]</f>
        <v>1.5620000000000001</v>
      </c>
      <c r="G130" s="20">
        <f>IF(表2_367162629303891213141516[[#This Row],[累计净值]]&gt;1.217,0.7*(表2_367162629303891213141516[[#This Row],[累计净值]]-1.217)/1.217,(表2_367162629303891213141516[[#This Row],[累计净值]]-1.217)/1.217)</f>
        <v>0.19843878389482331</v>
      </c>
    </row>
    <row r="131" spans="1:7">
      <c r="A131" s="15">
        <v>44117</v>
      </c>
      <c r="B131" s="117">
        <v>1.5649999999999999</v>
      </c>
      <c r="C131" s="108">
        <f t="shared" si="33"/>
        <v>2.9999999999998916E-3</v>
      </c>
      <c r="D131" s="109" t="str">
        <f t="shared" si="34"/>
        <v>/</v>
      </c>
      <c r="E131" s="109">
        <f ca="1">IF(表2_367162629303891213141516[[#This Row],[累计净值]]/MAX(INDIRECT("B21:B" &amp; ROW()))-1&lt;E130,表2_367162629303891213141516[[#This Row],[累计净值]]/MAX(INDIRECT("B21:B" &amp; ROW()))-1,E130)</f>
        <v>-9.2879256965944235E-3</v>
      </c>
      <c r="F131" s="110">
        <f>表2_367162629303891213141516[[#This Row],[累计净值]]</f>
        <v>1.5649999999999999</v>
      </c>
      <c r="G131" s="20">
        <f>IF(表2_367162629303891213141516[[#This Row],[累计净值]]&gt;1.217,0.7*(表2_367162629303891213141516[[#This Row],[累计净值]]-1.217)/1.217,(表2_367162629303891213141516[[#This Row],[累计净值]]-1.217)/1.217)</f>
        <v>0.20016433853738691</v>
      </c>
    </row>
    <row r="132" spans="1:7">
      <c r="A132" s="15">
        <v>44118</v>
      </c>
      <c r="B132" s="112">
        <v>1.5649999999999999</v>
      </c>
      <c r="C132" s="108">
        <f t="shared" si="33"/>
        <v>0</v>
      </c>
      <c r="D132" s="109" t="str">
        <f t="shared" si="34"/>
        <v>/</v>
      </c>
      <c r="E132" s="109">
        <f ca="1">IF(表2_367162629303891213141516[[#This Row],[累计净值]]/MAX(INDIRECT("B21:B" &amp; ROW()))-1&lt;E131,表2_367162629303891213141516[[#This Row],[累计净值]]/MAX(INDIRECT("B21:B" &amp; ROW()))-1,E131)</f>
        <v>-9.2879256965944235E-3</v>
      </c>
      <c r="F132" s="110">
        <f>表2_367162629303891213141516[[#This Row],[累计净值]]</f>
        <v>1.5649999999999999</v>
      </c>
      <c r="G132" s="20">
        <f>IF(表2_367162629303891213141516[[#This Row],[累计净值]]&gt;1.217,0.7*(表2_367162629303891213141516[[#This Row],[累计净值]]-1.217)/1.217,(表2_367162629303891213141516[[#This Row],[累计净值]]-1.217)/1.217)</f>
        <v>0.20016433853738691</v>
      </c>
    </row>
    <row r="133" spans="1:7">
      <c r="A133" s="15">
        <v>44119</v>
      </c>
      <c r="B133" s="112">
        <v>1.5649999999999999</v>
      </c>
      <c r="C133" s="108">
        <f t="shared" si="33"/>
        <v>0</v>
      </c>
      <c r="D133" s="109" t="str">
        <f t="shared" si="34"/>
        <v>/</v>
      </c>
      <c r="E133" s="109">
        <f ca="1">IF(表2_367162629303891213141516[[#This Row],[累计净值]]/MAX(INDIRECT("B21:B" &amp; ROW()))-1&lt;E132,表2_367162629303891213141516[[#This Row],[累计净值]]/MAX(INDIRECT("B21:B" &amp; ROW()))-1,E132)</f>
        <v>-9.2879256965944235E-3</v>
      </c>
      <c r="F133" s="110">
        <f>表2_367162629303891213141516[[#This Row],[累计净值]]</f>
        <v>1.5649999999999999</v>
      </c>
      <c r="G133" s="20">
        <f>IF(表2_367162629303891213141516[[#This Row],[累计净值]]&gt;1.217,0.7*(表2_367162629303891213141516[[#This Row],[累计净值]]-1.217)/1.217,(表2_367162629303891213141516[[#This Row],[累计净值]]-1.217)/1.217)</f>
        <v>0.20016433853738691</v>
      </c>
    </row>
    <row r="134" spans="1:7">
      <c r="A134" s="15">
        <v>44120</v>
      </c>
      <c r="B134" s="112">
        <v>1.5629999999999999</v>
      </c>
      <c r="C134" s="108">
        <f t="shared" si="33"/>
        <v>-2.0000000000000018E-3</v>
      </c>
      <c r="D134" s="109">
        <f t="shared" si="34"/>
        <v>-2.0000000000000018E-3</v>
      </c>
      <c r="E134" s="109">
        <f ca="1">IF(表2_367162629303891213141516[[#This Row],[累计净值]]/MAX(INDIRECT("B21:B" &amp; ROW()))-1&lt;E133,表2_367162629303891213141516[[#This Row],[累计净值]]/MAX(INDIRECT("B21:B" &amp; ROW()))-1,E133)</f>
        <v>-9.2879256965944235E-3</v>
      </c>
      <c r="F134" s="110">
        <f>表2_367162629303891213141516[[#This Row],[累计净值]]</f>
        <v>1.5629999999999999</v>
      </c>
      <c r="G134" s="20">
        <f>IF(表2_367162629303891213141516[[#This Row],[累计净值]]&gt;1.217,0.7*(表2_367162629303891213141516[[#This Row],[累计净值]]-1.217)/1.217,(表2_367162629303891213141516[[#This Row],[累计净值]]-1.217)/1.217)</f>
        <v>0.19901396877567779</v>
      </c>
    </row>
    <row r="135" spans="1:7">
      <c r="A135" s="15">
        <v>44123</v>
      </c>
      <c r="B135" s="112">
        <v>1.5580000000000001</v>
      </c>
      <c r="C135" s="108">
        <f t="shared" ref="C135:C140" si="35">IFERROR(B135-B134,0)</f>
        <v>-4.9999999999998934E-3</v>
      </c>
      <c r="D135" s="109">
        <f t="shared" ref="D135:D140" si="36">IF(C135&lt;0,C135,"/")</f>
        <v>-4.9999999999998934E-3</v>
      </c>
      <c r="E135" s="109">
        <f ca="1">IF(表2_367162629303891213141516[[#This Row],[累计净值]]/MAX(INDIRECT("B21:B" &amp; ROW()))-1&lt;E134,表2_367162629303891213141516[[#This Row],[累计净值]]/MAX(INDIRECT("B21:B" &amp; ROW()))-1,E134)</f>
        <v>-9.2879256965944235E-3</v>
      </c>
      <c r="F135" s="110">
        <f>表2_367162629303891213141516[[#This Row],[累计净值]]</f>
        <v>1.5580000000000001</v>
      </c>
      <c r="G135" s="20">
        <f>IF(表2_367162629303891213141516[[#This Row],[累计净值]]&gt;1.217,0.7*(表2_367162629303891213141516[[#This Row],[累计净值]]-1.217)/1.217,(表2_367162629303891213141516[[#This Row],[累计净值]]-1.217)/1.217)</f>
        <v>0.19613804437140506</v>
      </c>
    </row>
    <row r="136" spans="1:7">
      <c r="A136" s="15">
        <v>44124</v>
      </c>
      <c r="B136" s="112">
        <v>1.5620000000000001</v>
      </c>
      <c r="C136" s="108">
        <f t="shared" si="35"/>
        <v>4.0000000000000036E-3</v>
      </c>
      <c r="D136" s="109" t="str">
        <f t="shared" si="36"/>
        <v>/</v>
      </c>
      <c r="E136" s="109">
        <f ca="1">IF(表2_367162629303891213141516[[#This Row],[累计净值]]/MAX(INDIRECT("B21:B" &amp; ROW()))-1&lt;E135,表2_367162629303891213141516[[#This Row],[累计净值]]/MAX(INDIRECT("B21:B" &amp; ROW()))-1,E135)</f>
        <v>-9.2879256965944235E-3</v>
      </c>
      <c r="F136" s="110">
        <f>表2_367162629303891213141516[[#This Row],[累计净值]]</f>
        <v>1.5620000000000001</v>
      </c>
      <c r="G136" s="20">
        <f>IF(表2_367162629303891213141516[[#This Row],[累计净值]]&gt;1.217,0.7*(表2_367162629303891213141516[[#This Row],[累计净值]]-1.217)/1.217,(表2_367162629303891213141516[[#This Row],[累计净值]]-1.217)/1.217)</f>
        <v>0.19843878389482331</v>
      </c>
    </row>
    <row r="137" spans="1:7">
      <c r="A137" s="15">
        <v>44125</v>
      </c>
      <c r="B137" s="112">
        <v>1.5640000000000001</v>
      </c>
      <c r="C137" s="108">
        <f t="shared" si="35"/>
        <v>2.0000000000000018E-3</v>
      </c>
      <c r="D137" s="109" t="str">
        <f t="shared" si="36"/>
        <v>/</v>
      </c>
      <c r="E137" s="109">
        <f ca="1">IF(表2_367162629303891213141516[[#This Row],[累计净值]]/MAX(INDIRECT("B21:B" &amp; ROW()))-1&lt;E136,表2_367162629303891213141516[[#This Row],[累计净值]]/MAX(INDIRECT("B21:B" &amp; ROW()))-1,E136)</f>
        <v>-9.2879256965944235E-3</v>
      </c>
      <c r="F137" s="110">
        <f>表2_367162629303891213141516[[#This Row],[累计净值]]</f>
        <v>1.5640000000000001</v>
      </c>
      <c r="G137" s="20">
        <f>IF(表2_367162629303891213141516[[#This Row],[累计净值]]&gt;1.217,0.7*(表2_367162629303891213141516[[#This Row],[累计净值]]-1.217)/1.217,(表2_367162629303891213141516[[#This Row],[累计净值]]-1.217)/1.217)</f>
        <v>0.19958915365653243</v>
      </c>
    </row>
    <row r="138" spans="1:7">
      <c r="A138" s="15">
        <v>44126</v>
      </c>
      <c r="B138" s="112">
        <v>1.5640000000000001</v>
      </c>
      <c r="C138" s="108">
        <f t="shared" si="35"/>
        <v>0</v>
      </c>
      <c r="D138" s="109" t="str">
        <f t="shared" si="36"/>
        <v>/</v>
      </c>
      <c r="E138" s="109">
        <f ca="1">IF(表2_367162629303891213141516[[#This Row],[累计净值]]/MAX(INDIRECT("B21:B" &amp; ROW()))-1&lt;E137,表2_367162629303891213141516[[#This Row],[累计净值]]/MAX(INDIRECT("B21:B" &amp; ROW()))-1,E137)</f>
        <v>-9.2879256965944235E-3</v>
      </c>
      <c r="F138" s="110">
        <f>表2_367162629303891213141516[[#This Row],[累计净值]]</f>
        <v>1.5640000000000001</v>
      </c>
      <c r="G138" s="20">
        <f>IF(表2_367162629303891213141516[[#This Row],[累计净值]]&gt;1.217,0.7*(表2_367162629303891213141516[[#This Row],[累计净值]]-1.217)/1.217,(表2_367162629303891213141516[[#This Row],[累计净值]]-1.217)/1.217)</f>
        <v>0.19958915365653243</v>
      </c>
    </row>
    <row r="139" spans="1:7">
      <c r="A139" s="15">
        <v>44127</v>
      </c>
      <c r="B139" s="112">
        <v>1.5640000000000001</v>
      </c>
      <c r="C139" s="108">
        <f t="shared" si="35"/>
        <v>0</v>
      </c>
      <c r="D139" s="109" t="str">
        <f t="shared" si="36"/>
        <v>/</v>
      </c>
      <c r="E139" s="109">
        <f ca="1">IF(表2_367162629303891213141516[[#This Row],[累计净值]]/MAX(INDIRECT("B21:B" &amp; ROW()))-1&lt;E138,表2_367162629303891213141516[[#This Row],[累计净值]]/MAX(INDIRECT("B21:B" &amp; ROW()))-1,E138)</f>
        <v>-9.2879256965944235E-3</v>
      </c>
      <c r="F139" s="110">
        <f>表2_367162629303891213141516[[#This Row],[累计净值]]</f>
        <v>1.5640000000000001</v>
      </c>
      <c r="G139" s="20">
        <f>IF(表2_367162629303891213141516[[#This Row],[累计净值]]&gt;1.217,0.7*(表2_367162629303891213141516[[#This Row],[累计净值]]-1.217)/1.217,(表2_367162629303891213141516[[#This Row],[累计净值]]-1.217)/1.217)</f>
        <v>0.19958915365653243</v>
      </c>
    </row>
    <row r="140" spans="1:7">
      <c r="A140" s="15">
        <v>44130</v>
      </c>
      <c r="B140" s="112">
        <v>1.5680000000000001</v>
      </c>
      <c r="C140" s="108">
        <f t="shared" si="35"/>
        <v>4.0000000000000036E-3</v>
      </c>
      <c r="D140" s="109" t="str">
        <f t="shared" si="36"/>
        <v>/</v>
      </c>
      <c r="E140" s="109">
        <f ca="1">IF(表2_367162629303891213141516[[#This Row],[累计净值]]/MAX(INDIRECT("B21:B" &amp; ROW()))-1&lt;E139,表2_367162629303891213141516[[#This Row],[累计净值]]/MAX(INDIRECT("B21:B" &amp; ROW()))-1,E139)</f>
        <v>-9.2879256965944235E-3</v>
      </c>
      <c r="F140" s="110">
        <f>表2_367162629303891213141516[[#This Row],[累计净值]]</f>
        <v>1.5680000000000001</v>
      </c>
      <c r="G140" s="20">
        <f>IF(表2_367162629303891213141516[[#This Row],[累计净值]]&gt;1.217,0.7*(表2_367162629303891213141516[[#This Row],[累计净值]]-1.217)/1.217,(表2_367162629303891213141516[[#This Row],[累计净值]]-1.217)/1.217)</f>
        <v>0.20188989317995065</v>
      </c>
    </row>
    <row r="141" spans="1:7">
      <c r="A141" s="15">
        <v>44131</v>
      </c>
      <c r="B141" s="112">
        <v>1.5720000000000001</v>
      </c>
      <c r="C141" s="108">
        <f t="shared" ref="C141:C147" si="37">IFERROR(B141-B140,0)</f>
        <v>4.0000000000000036E-3</v>
      </c>
      <c r="D141" s="109" t="str">
        <f t="shared" ref="D141:D147" si="38">IF(C141&lt;0,C141,"/")</f>
        <v>/</v>
      </c>
      <c r="E141" s="109">
        <f ca="1">IF(表2_367162629303891213141516[[#This Row],[累计净值]]/MAX(INDIRECT("B21:B" &amp; ROW()))-1&lt;E140,表2_367162629303891213141516[[#This Row],[累计净值]]/MAX(INDIRECT("B21:B" &amp; ROW()))-1,E140)</f>
        <v>-9.2879256965944235E-3</v>
      </c>
      <c r="F141" s="110">
        <f>表2_367162629303891213141516[[#This Row],[累计净值]]</f>
        <v>1.5720000000000001</v>
      </c>
      <c r="G141" s="20">
        <f>IF(表2_367162629303891213141516[[#This Row],[累计净值]]&gt;1.217,0.7*(表2_367162629303891213141516[[#This Row],[累计净值]]-1.217)/1.217,(表2_367162629303891213141516[[#This Row],[累计净值]]-1.217)/1.217)</f>
        <v>0.2041906327033689</v>
      </c>
    </row>
    <row r="142" spans="1:7">
      <c r="A142" s="15">
        <v>44132</v>
      </c>
      <c r="B142" s="112">
        <v>1.5740000000000001</v>
      </c>
      <c r="C142" s="108">
        <f t="shared" si="37"/>
        <v>2.0000000000000018E-3</v>
      </c>
      <c r="D142" s="109" t="str">
        <f t="shared" si="38"/>
        <v>/</v>
      </c>
      <c r="E142" s="109">
        <f ca="1">IF(表2_367162629303891213141516[[#This Row],[累计净值]]/MAX(INDIRECT("B21:B" &amp; ROW()))-1&lt;E141,表2_367162629303891213141516[[#This Row],[累计净值]]/MAX(INDIRECT("B21:B" &amp; ROW()))-1,E141)</f>
        <v>-9.2879256965944235E-3</v>
      </c>
      <c r="F142" s="110">
        <f>表2_367162629303891213141516[[#This Row],[累计净值]]</f>
        <v>1.5740000000000001</v>
      </c>
      <c r="G142" s="20">
        <f>IF(表2_367162629303891213141516[[#This Row],[累计净值]]&gt;1.217,0.7*(表2_367162629303891213141516[[#This Row],[累计净值]]-1.217)/1.217,(表2_367162629303891213141516[[#This Row],[累计净值]]-1.217)/1.217)</f>
        <v>0.20534100246507803</v>
      </c>
    </row>
    <row r="143" spans="1:7">
      <c r="A143" s="15">
        <v>44133</v>
      </c>
      <c r="B143" s="117">
        <v>1.577</v>
      </c>
      <c r="C143" s="108">
        <f t="shared" si="37"/>
        <v>2.9999999999998916E-3</v>
      </c>
      <c r="D143" s="109" t="str">
        <f t="shared" si="38"/>
        <v>/</v>
      </c>
      <c r="E143" s="109">
        <f ca="1">IF(表2_367162629303891213141516[[#This Row],[累计净值]]/MAX(INDIRECT("B21:B" &amp; ROW()))-1&lt;E142,表2_367162629303891213141516[[#This Row],[累计净值]]/MAX(INDIRECT("B21:B" &amp; ROW()))-1,E142)</f>
        <v>-9.2879256965944235E-3</v>
      </c>
      <c r="F143" s="110">
        <f>表2_367162629303891213141516[[#This Row],[累计净值]]</f>
        <v>1.577</v>
      </c>
      <c r="G143" s="20">
        <f>IF(表2_367162629303891213141516[[#This Row],[累计净值]]&gt;1.217,0.7*(表2_367162629303891213141516[[#This Row],[累计净值]]-1.217)/1.217,(表2_367162629303891213141516[[#This Row],[累计净值]]-1.217)/1.217)</f>
        <v>0.20706655710764163</v>
      </c>
    </row>
    <row r="144" spans="1:7">
      <c r="A144" s="15">
        <v>44134</v>
      </c>
      <c r="B144" s="112">
        <v>1.577</v>
      </c>
      <c r="C144" s="108">
        <f t="shared" si="37"/>
        <v>0</v>
      </c>
      <c r="D144" s="109" t="str">
        <f t="shared" si="38"/>
        <v>/</v>
      </c>
      <c r="E144" s="109">
        <f ca="1">IF(表2_367162629303891213141516[[#This Row],[累计净值]]/MAX(INDIRECT("B21:B" &amp; ROW()))-1&lt;E143,表2_367162629303891213141516[[#This Row],[累计净值]]/MAX(INDIRECT("B21:B" &amp; ROW()))-1,E143)</f>
        <v>-9.2879256965944235E-3</v>
      </c>
      <c r="F144" s="110">
        <f>表2_367162629303891213141516[[#This Row],[累计净值]]</f>
        <v>1.577</v>
      </c>
      <c r="G144" s="20">
        <f>IF(表2_367162629303891213141516[[#This Row],[累计净值]]&gt;1.217,0.7*(表2_367162629303891213141516[[#This Row],[累计净值]]-1.217)/1.217,(表2_367162629303891213141516[[#This Row],[累计净值]]-1.217)/1.217)</f>
        <v>0.20706655710764163</v>
      </c>
    </row>
    <row r="145" spans="1:7">
      <c r="A145" s="15">
        <v>44137</v>
      </c>
      <c r="B145" s="112">
        <v>1.5740000000000001</v>
      </c>
      <c r="C145" s="108">
        <f t="shared" si="37"/>
        <v>-2.9999999999998916E-3</v>
      </c>
      <c r="D145" s="109">
        <f t="shared" si="38"/>
        <v>-2.9999999999998916E-3</v>
      </c>
      <c r="E145" s="109">
        <f ca="1">IF(表2_367162629303891213141516[[#This Row],[累计净值]]/MAX(INDIRECT("B21:B" &amp; ROW()))-1&lt;E144,表2_367162629303891213141516[[#This Row],[累计净值]]/MAX(INDIRECT("B21:B" &amp; ROW()))-1,E144)</f>
        <v>-9.2879256965944235E-3</v>
      </c>
      <c r="F145" s="110">
        <f>表2_367162629303891213141516[[#This Row],[累计净值]]</f>
        <v>1.5740000000000001</v>
      </c>
      <c r="G145" s="20">
        <f>IF(表2_367162629303891213141516[[#This Row],[累计净值]]&gt;1.217,0.7*(表2_367162629303891213141516[[#This Row],[累计净值]]-1.217)/1.217,(表2_367162629303891213141516[[#This Row],[累计净值]]-1.217)/1.217)</f>
        <v>0.20534100246507803</v>
      </c>
    </row>
    <row r="146" spans="1:7">
      <c r="A146" s="15">
        <v>44138</v>
      </c>
      <c r="B146" s="112">
        <v>1.577</v>
      </c>
      <c r="C146" s="108">
        <f t="shared" si="37"/>
        <v>2.9999999999998916E-3</v>
      </c>
      <c r="D146" s="109" t="str">
        <f t="shared" si="38"/>
        <v>/</v>
      </c>
      <c r="E146" s="109">
        <f ca="1">IF(表2_367162629303891213141516[[#This Row],[累计净值]]/MAX(INDIRECT("B21:B" &amp; ROW()))-1&lt;E145,表2_367162629303891213141516[[#This Row],[累计净值]]/MAX(INDIRECT("B21:B" &amp; ROW()))-1,E145)</f>
        <v>-9.2879256965944235E-3</v>
      </c>
      <c r="F146" s="110">
        <f>表2_367162629303891213141516[[#This Row],[累计净值]]</f>
        <v>1.577</v>
      </c>
      <c r="G146" s="20">
        <f>IF(表2_367162629303891213141516[[#This Row],[累计净值]]&gt;1.217,0.7*(表2_367162629303891213141516[[#This Row],[累计净值]]-1.217)/1.217,(表2_367162629303891213141516[[#This Row],[累计净值]]-1.217)/1.217)</f>
        <v>0.20706655710764163</v>
      </c>
    </row>
    <row r="147" spans="1:7">
      <c r="A147" s="15">
        <v>44139</v>
      </c>
      <c r="B147" s="112">
        <v>1.5820000000000001</v>
      </c>
      <c r="C147" s="108">
        <f t="shared" si="37"/>
        <v>5.0000000000001155E-3</v>
      </c>
      <c r="D147" s="109" t="str">
        <f t="shared" si="38"/>
        <v>/</v>
      </c>
      <c r="E147" s="109">
        <f ca="1">IF(表2_367162629303891213141516[[#This Row],[累计净值]]/MAX(INDIRECT("B21:B" &amp; ROW()))-1&lt;E146,表2_367162629303891213141516[[#This Row],[累计净值]]/MAX(INDIRECT("B21:B" &amp; ROW()))-1,E146)</f>
        <v>-9.2879256965944235E-3</v>
      </c>
      <c r="F147" s="110">
        <f>表2_367162629303891213141516[[#This Row],[累计净值]]</f>
        <v>1.5820000000000001</v>
      </c>
      <c r="G147" s="20">
        <f>IF(表2_367162629303891213141516[[#This Row],[累计净值]]&gt;1.217,0.7*(表2_367162629303891213141516[[#This Row],[累计净值]]-1.217)/1.217,(表2_367162629303891213141516[[#This Row],[累计净值]]-1.217)/1.217)</f>
        <v>0.20994248151191452</v>
      </c>
    </row>
    <row r="148" spans="1:7">
      <c r="A148" s="15">
        <v>44140</v>
      </c>
      <c r="B148" s="112">
        <v>1.5860000000000001</v>
      </c>
      <c r="C148" s="108">
        <f t="shared" ref="C148:C153" si="39">IFERROR(B148-B147,0)</f>
        <v>4.0000000000000036E-3</v>
      </c>
      <c r="D148" s="109" t="str">
        <f t="shared" ref="D148:D153" si="40">IF(C148&lt;0,C148,"/")</f>
        <v>/</v>
      </c>
      <c r="E148" s="109">
        <f ca="1">IF(表2_367162629303891213141516[[#This Row],[累计净值]]/MAX(INDIRECT("B21:B" &amp; ROW()))-1&lt;E147,表2_367162629303891213141516[[#This Row],[累计净值]]/MAX(INDIRECT("B21:B" &amp; ROW()))-1,E147)</f>
        <v>-9.2879256965944235E-3</v>
      </c>
      <c r="F148" s="110">
        <f>表2_367162629303891213141516[[#This Row],[累计净值]]</f>
        <v>1.5860000000000001</v>
      </c>
      <c r="G148" s="20">
        <f>IF(表2_367162629303891213141516[[#This Row],[累计净值]]&gt;1.217,0.7*(表2_367162629303891213141516[[#This Row],[累计净值]]-1.217)/1.217,(表2_367162629303891213141516[[#This Row],[累计净值]]-1.217)/1.217)</f>
        <v>0.21224322103533275</v>
      </c>
    </row>
    <row r="149" spans="1:7">
      <c r="A149" s="15">
        <v>44141</v>
      </c>
      <c r="B149" s="112">
        <v>1.585</v>
      </c>
      <c r="C149" s="108">
        <f t="shared" si="39"/>
        <v>-1.0000000000001119E-3</v>
      </c>
      <c r="D149" s="109">
        <f t="shared" si="40"/>
        <v>-1.0000000000001119E-3</v>
      </c>
      <c r="E149" s="109">
        <f ca="1">IF(表2_367162629303891213141516[[#This Row],[累计净值]]/MAX(INDIRECT("B21:B" &amp; ROW()))-1&lt;E148,表2_367162629303891213141516[[#This Row],[累计净值]]/MAX(INDIRECT("B21:B" &amp; ROW()))-1,E148)</f>
        <v>-9.2879256965944235E-3</v>
      </c>
      <c r="F149" s="110">
        <f>表2_367162629303891213141516[[#This Row],[累计净值]]</f>
        <v>1.585</v>
      </c>
      <c r="G149" s="20">
        <f>IF(表2_367162629303891213141516[[#This Row],[累计净值]]&gt;1.217,0.7*(表2_367162629303891213141516[[#This Row],[累计净值]]-1.217)/1.217,(表2_367162629303891213141516[[#This Row],[累计净值]]-1.217)/1.217)</f>
        <v>0.21166803615447813</v>
      </c>
    </row>
    <row r="150" spans="1:7">
      <c r="A150" s="15">
        <v>44144</v>
      </c>
      <c r="B150" s="112">
        <v>1.583</v>
      </c>
      <c r="C150" s="108">
        <f t="shared" si="39"/>
        <v>-2.0000000000000018E-3</v>
      </c>
      <c r="D150" s="109">
        <f t="shared" si="40"/>
        <v>-2.0000000000000018E-3</v>
      </c>
      <c r="E150" s="109">
        <f ca="1">IF(表2_367162629303891213141516[[#This Row],[累计净值]]/MAX(INDIRECT("B21:B" &amp; ROW()))-1&lt;E149,表2_367162629303891213141516[[#This Row],[累计净值]]/MAX(INDIRECT("B21:B" &amp; ROW()))-1,E149)</f>
        <v>-9.2879256965944235E-3</v>
      </c>
      <c r="F150" s="110">
        <f>表2_367162629303891213141516[[#This Row],[累计净值]]</f>
        <v>1.583</v>
      </c>
      <c r="G150" s="20">
        <f>IF(表2_367162629303891213141516[[#This Row],[累计净值]]&gt;1.217,0.7*(表2_367162629303891213141516[[#This Row],[累计净值]]-1.217)/1.217,(表2_367162629303891213141516[[#This Row],[累计净值]]-1.217)/1.217)</f>
        <v>0.21051766639276903</v>
      </c>
    </row>
    <row r="151" spans="1:7">
      <c r="A151" s="15">
        <v>44145</v>
      </c>
      <c r="B151" s="112">
        <v>1.587</v>
      </c>
      <c r="C151" s="108">
        <f t="shared" si="39"/>
        <v>4.0000000000000036E-3</v>
      </c>
      <c r="D151" s="109" t="str">
        <f t="shared" si="40"/>
        <v>/</v>
      </c>
      <c r="E151" s="109">
        <f ca="1">IF(表2_367162629303891213141516[[#This Row],[累计净值]]/MAX(INDIRECT("B21:B" &amp; ROW()))-1&lt;E150,表2_367162629303891213141516[[#This Row],[累计净值]]/MAX(INDIRECT("B21:B" &amp; ROW()))-1,E150)</f>
        <v>-9.2879256965944235E-3</v>
      </c>
      <c r="F151" s="110">
        <f>表2_367162629303891213141516[[#This Row],[累计净值]]</f>
        <v>1.587</v>
      </c>
      <c r="G151" s="20">
        <f>IF(表2_367162629303891213141516[[#This Row],[累计净值]]&gt;1.217,0.7*(表2_367162629303891213141516[[#This Row],[累计净值]]-1.217)/1.217,(表2_367162629303891213141516[[#This Row],[累计净值]]-1.217)/1.217)</f>
        <v>0.21281840591618725</v>
      </c>
    </row>
    <row r="152" spans="1:7">
      <c r="A152" s="15">
        <v>44146</v>
      </c>
      <c r="B152" s="112">
        <v>1.589</v>
      </c>
      <c r="C152" s="108">
        <f t="shared" si="39"/>
        <v>2.0000000000000018E-3</v>
      </c>
      <c r="D152" s="109" t="str">
        <f t="shared" si="40"/>
        <v>/</v>
      </c>
      <c r="E152" s="109">
        <f ca="1">IF(表2_367162629303891213141516[[#This Row],[累计净值]]/MAX(INDIRECT("B21:B" &amp; ROW()))-1&lt;E151,表2_367162629303891213141516[[#This Row],[累计净值]]/MAX(INDIRECT("B21:B" &amp; ROW()))-1,E151)</f>
        <v>-9.2879256965944235E-3</v>
      </c>
      <c r="F152" s="110">
        <f>表2_367162629303891213141516[[#This Row],[累计净值]]</f>
        <v>1.589</v>
      </c>
      <c r="G152" s="20">
        <f>IF(表2_367162629303891213141516[[#This Row],[累计净值]]&gt;1.217,0.7*(表2_367162629303891213141516[[#This Row],[累计净值]]-1.217)/1.217,(表2_367162629303891213141516[[#This Row],[累计净值]]-1.217)/1.217)</f>
        <v>0.21396877567789638</v>
      </c>
    </row>
    <row r="153" spans="1:7">
      <c r="A153" s="15">
        <v>44147</v>
      </c>
      <c r="B153" s="112">
        <v>1.59</v>
      </c>
      <c r="C153" s="108">
        <f t="shared" si="39"/>
        <v>1.0000000000001119E-3</v>
      </c>
      <c r="D153" s="109" t="str">
        <f t="shared" si="40"/>
        <v>/</v>
      </c>
      <c r="E153" s="109">
        <f ca="1">IF(表2_367162629303891213141516[[#This Row],[累计净值]]/MAX(INDIRECT("B21:B" &amp; ROW()))-1&lt;E152,表2_367162629303891213141516[[#This Row],[累计净值]]/MAX(INDIRECT("B21:B" &amp; ROW()))-1,E152)</f>
        <v>-9.2879256965944235E-3</v>
      </c>
      <c r="F153" s="110">
        <f>表2_367162629303891213141516[[#This Row],[累计净值]]</f>
        <v>1.59</v>
      </c>
      <c r="G153" s="20">
        <f>IF(表2_367162629303891213141516[[#This Row],[累计净值]]&gt;1.217,0.7*(表2_367162629303891213141516[[#This Row],[累计净值]]-1.217)/1.217,(表2_367162629303891213141516[[#This Row],[累计净值]]-1.217)/1.217)</f>
        <v>0.21454396055875102</v>
      </c>
    </row>
    <row r="154" spans="1:7">
      <c r="A154" s="15">
        <v>44148</v>
      </c>
      <c r="B154" s="112">
        <v>1.5880000000000001</v>
      </c>
      <c r="C154" s="108">
        <f t="shared" ref="C154:C159" si="41">IFERROR(B154-B153,0)</f>
        <v>-2.0000000000000018E-3</v>
      </c>
      <c r="D154" s="109">
        <f t="shared" ref="D154:D159" si="42">IF(C154&lt;0,C154,"/")</f>
        <v>-2.0000000000000018E-3</v>
      </c>
      <c r="E154" s="109">
        <f ca="1">IF(表2_367162629303891213141516[[#This Row],[累计净值]]/MAX(INDIRECT("B21:B" &amp; ROW()))-1&lt;E153,表2_367162629303891213141516[[#This Row],[累计净值]]/MAX(INDIRECT("B21:B" &amp; ROW()))-1,E153)</f>
        <v>-9.2879256965944235E-3</v>
      </c>
      <c r="F154" s="110">
        <f>表2_367162629303891213141516[[#This Row],[累计净值]]</f>
        <v>1.5880000000000001</v>
      </c>
      <c r="G154" s="20">
        <f>IF(表2_367162629303891213141516[[#This Row],[累计净值]]&gt;1.217,0.7*(表2_367162629303891213141516[[#This Row],[累计净值]]-1.217)/1.217,(表2_367162629303891213141516[[#This Row],[累计净值]]-1.217)/1.217)</f>
        <v>0.21339359079704187</v>
      </c>
    </row>
    <row r="155" spans="1:7">
      <c r="A155" s="15">
        <v>44151</v>
      </c>
      <c r="B155" s="112">
        <v>1.593</v>
      </c>
      <c r="C155" s="108">
        <f t="shared" si="41"/>
        <v>4.9999999999998934E-3</v>
      </c>
      <c r="D155" s="109" t="str">
        <f t="shared" si="42"/>
        <v>/</v>
      </c>
      <c r="E155" s="109">
        <f ca="1">IF(表2_367162629303891213141516[[#This Row],[累计净值]]/MAX(INDIRECT("B21:B" &amp; ROW()))-1&lt;E154,表2_367162629303891213141516[[#This Row],[累计净值]]/MAX(INDIRECT("B21:B" &amp; ROW()))-1,E154)</f>
        <v>-9.2879256965944235E-3</v>
      </c>
      <c r="F155" s="110">
        <f>表2_367162629303891213141516[[#This Row],[累计净值]]</f>
        <v>1.593</v>
      </c>
      <c r="G155" s="20">
        <f>IF(表2_367162629303891213141516[[#This Row],[累计净值]]&gt;1.217,0.7*(表2_367162629303891213141516[[#This Row],[累计净值]]-1.217)/1.217,(表2_367162629303891213141516[[#This Row],[累计净值]]-1.217)/1.217)</f>
        <v>0.2162695152013146</v>
      </c>
    </row>
    <row r="156" spans="1:7">
      <c r="A156" s="15">
        <v>44152</v>
      </c>
      <c r="B156" s="117">
        <v>1.5940000000000001</v>
      </c>
      <c r="C156" s="108">
        <f t="shared" si="41"/>
        <v>1.0000000000001119E-3</v>
      </c>
      <c r="D156" s="109" t="str">
        <f t="shared" si="42"/>
        <v>/</v>
      </c>
      <c r="E156" s="109">
        <f ca="1">IF(表2_367162629303891213141516[[#This Row],[累计净值]]/MAX(INDIRECT("B21:B" &amp; ROW()))-1&lt;E155,表2_367162629303891213141516[[#This Row],[累计净值]]/MAX(INDIRECT("B21:B" &amp; ROW()))-1,E155)</f>
        <v>-9.2879256965944235E-3</v>
      </c>
      <c r="F156" s="110">
        <f>表2_367162629303891213141516[[#This Row],[累计净值]]</f>
        <v>1.5940000000000001</v>
      </c>
      <c r="G156" s="20">
        <f>IF(表2_367162629303891213141516[[#This Row],[累计净值]]&gt;1.217,0.7*(表2_367162629303891213141516[[#This Row],[累计净值]]-1.217)/1.217,(表2_367162629303891213141516[[#This Row],[累计净值]]-1.217)/1.217)</f>
        <v>0.21684470008216922</v>
      </c>
    </row>
    <row r="157" spans="1:7">
      <c r="A157" s="15">
        <v>44153</v>
      </c>
      <c r="B157" s="112">
        <v>1.591</v>
      </c>
      <c r="C157" s="108">
        <f t="shared" si="41"/>
        <v>-3.0000000000001137E-3</v>
      </c>
      <c r="D157" s="109">
        <f t="shared" si="42"/>
        <v>-3.0000000000001137E-3</v>
      </c>
      <c r="E157" s="109">
        <f ca="1">IF(表2_367162629303891213141516[[#This Row],[累计净值]]/MAX(INDIRECT("B21:B" &amp; ROW()))-1&lt;E156,表2_367162629303891213141516[[#This Row],[累计净值]]/MAX(INDIRECT("B21:B" &amp; ROW()))-1,E156)</f>
        <v>-9.2879256965944235E-3</v>
      </c>
      <c r="F157" s="110">
        <f>表2_367162629303891213141516[[#This Row],[累计净值]]</f>
        <v>1.591</v>
      </c>
      <c r="G157" s="20">
        <f>IF(表2_367162629303891213141516[[#This Row],[累计净值]]&gt;1.217,0.7*(表2_367162629303891213141516[[#This Row],[累计净值]]-1.217)/1.217,(表2_367162629303891213141516[[#This Row],[累计净值]]-1.217)/1.217)</f>
        <v>0.2151191454396055</v>
      </c>
    </row>
    <row r="158" spans="1:7">
      <c r="A158" s="15">
        <v>44154</v>
      </c>
      <c r="B158" s="112">
        <v>1.59</v>
      </c>
      <c r="C158" s="108">
        <f t="shared" si="41"/>
        <v>-9.9999999999988987E-4</v>
      </c>
      <c r="D158" s="109">
        <f t="shared" si="42"/>
        <v>-9.9999999999988987E-4</v>
      </c>
      <c r="E158" s="109">
        <f ca="1">IF(表2_367162629303891213141516[[#This Row],[累计净值]]/MAX(INDIRECT("B21:B" &amp; ROW()))-1&lt;E157,表2_367162629303891213141516[[#This Row],[累计净值]]/MAX(INDIRECT("B21:B" &amp; ROW()))-1,E157)</f>
        <v>-9.2879256965944235E-3</v>
      </c>
      <c r="F158" s="110">
        <f>表2_367162629303891213141516[[#This Row],[累计净值]]</f>
        <v>1.59</v>
      </c>
      <c r="G158" s="20">
        <f>IF(表2_367162629303891213141516[[#This Row],[累计净值]]&gt;1.217,0.7*(表2_367162629303891213141516[[#This Row],[累计净值]]-1.217)/1.217,(表2_367162629303891213141516[[#This Row],[累计净值]]-1.217)/1.217)</f>
        <v>0.21454396055875102</v>
      </c>
    </row>
    <row r="159" spans="1:7">
      <c r="A159" s="15">
        <v>44155</v>
      </c>
      <c r="B159" s="112">
        <v>1.5920000000000001</v>
      </c>
      <c r="C159" s="108">
        <f t="shared" si="41"/>
        <v>2.0000000000000018E-3</v>
      </c>
      <c r="D159" s="109" t="str">
        <f t="shared" si="42"/>
        <v>/</v>
      </c>
      <c r="E159" s="109">
        <f ca="1">IF(表2_367162629303891213141516[[#This Row],[累计净值]]/MAX(INDIRECT("B21:B" &amp; ROW()))-1&lt;E158,表2_367162629303891213141516[[#This Row],[累计净值]]/MAX(INDIRECT("B21:B" &amp; ROW()))-1,E158)</f>
        <v>-9.2879256965944235E-3</v>
      </c>
      <c r="F159" s="110">
        <f>表2_367162629303891213141516[[#This Row],[累计净值]]</f>
        <v>1.5920000000000001</v>
      </c>
      <c r="G159" s="20">
        <f>IF(表2_367162629303891213141516[[#This Row],[累计净值]]&gt;1.217,0.7*(表2_367162629303891213141516[[#This Row],[累计净值]]-1.217)/1.217,(表2_367162629303891213141516[[#This Row],[累计净值]]-1.217)/1.217)</f>
        <v>0.21569433032046009</v>
      </c>
    </row>
    <row r="160" spans="1:7">
      <c r="A160" s="15">
        <v>44158</v>
      </c>
      <c r="B160" s="112">
        <v>1.591</v>
      </c>
      <c r="C160" s="108">
        <f t="shared" ref="C160:C165" si="43">IFERROR(B160-B159,0)</f>
        <v>-1.0000000000001119E-3</v>
      </c>
      <c r="D160" s="109">
        <f t="shared" ref="D160:D165" si="44">IF(C160&lt;0,C160,"/")</f>
        <v>-1.0000000000001119E-3</v>
      </c>
      <c r="E160" s="109">
        <f ca="1">IF(表2_367162629303891213141516[[#This Row],[累计净值]]/MAX(INDIRECT("B21:B" &amp; ROW()))-1&lt;E159,表2_367162629303891213141516[[#This Row],[累计净值]]/MAX(INDIRECT("B21:B" &amp; ROW()))-1,E159)</f>
        <v>-9.2879256965944235E-3</v>
      </c>
      <c r="F160" s="110">
        <f>表2_367162629303891213141516[[#This Row],[累计净值]]</f>
        <v>1.591</v>
      </c>
      <c r="G160" s="20">
        <f>IF(表2_367162629303891213141516[[#This Row],[累计净值]]&gt;1.217,0.7*(表2_367162629303891213141516[[#This Row],[累计净值]]-1.217)/1.217,(表2_367162629303891213141516[[#This Row],[累计净值]]-1.217)/1.217)</f>
        <v>0.2151191454396055</v>
      </c>
    </row>
    <row r="161" spans="1:7">
      <c r="A161" s="15">
        <v>44159</v>
      </c>
      <c r="B161" s="112">
        <v>1.591</v>
      </c>
      <c r="C161" s="108">
        <f t="shared" si="43"/>
        <v>0</v>
      </c>
      <c r="D161" s="109" t="str">
        <f t="shared" si="44"/>
        <v>/</v>
      </c>
      <c r="E161" s="109">
        <f ca="1">IF(表2_367162629303891213141516[[#This Row],[累计净值]]/MAX(INDIRECT("B21:B" &amp; ROW()))-1&lt;E160,表2_367162629303891213141516[[#This Row],[累计净值]]/MAX(INDIRECT("B21:B" &amp; ROW()))-1,E160)</f>
        <v>-9.2879256965944235E-3</v>
      </c>
      <c r="F161" s="110">
        <f>表2_367162629303891213141516[[#This Row],[累计净值]]</f>
        <v>1.591</v>
      </c>
      <c r="G161" s="20">
        <f>IF(表2_367162629303891213141516[[#This Row],[累计净值]]&gt;1.217,0.7*(表2_367162629303891213141516[[#This Row],[累计净值]]-1.217)/1.217,(表2_367162629303891213141516[[#This Row],[累计净值]]-1.217)/1.217)</f>
        <v>0.2151191454396055</v>
      </c>
    </row>
    <row r="162" spans="1:7">
      <c r="A162" s="15">
        <v>44160</v>
      </c>
      <c r="B162" s="112">
        <v>1.589</v>
      </c>
      <c r="C162" s="108">
        <f t="shared" si="43"/>
        <v>-2.0000000000000018E-3</v>
      </c>
      <c r="D162" s="109">
        <f t="shared" si="44"/>
        <v>-2.0000000000000018E-3</v>
      </c>
      <c r="E162" s="109">
        <f ca="1">IF(表2_367162629303891213141516[[#This Row],[累计净值]]/MAX(INDIRECT("B21:B" &amp; ROW()))-1&lt;E161,表2_367162629303891213141516[[#This Row],[累计净值]]/MAX(INDIRECT("B21:B" &amp; ROW()))-1,E161)</f>
        <v>-9.2879256965944235E-3</v>
      </c>
      <c r="F162" s="110">
        <f>表2_367162629303891213141516[[#This Row],[累计净值]]</f>
        <v>1.589</v>
      </c>
      <c r="G162" s="20">
        <f>IF(表2_367162629303891213141516[[#This Row],[累计净值]]&gt;1.217,0.7*(表2_367162629303891213141516[[#This Row],[累计净值]]-1.217)/1.217,(表2_367162629303891213141516[[#This Row],[累计净值]]-1.217)/1.217)</f>
        <v>0.21396877567789638</v>
      </c>
    </row>
    <row r="163" spans="1:7">
      <c r="A163" s="15">
        <v>44161</v>
      </c>
      <c r="B163" s="112">
        <v>1.585</v>
      </c>
      <c r="C163" s="108">
        <f t="shared" si="43"/>
        <v>-4.0000000000000036E-3</v>
      </c>
      <c r="D163" s="109">
        <f t="shared" si="44"/>
        <v>-4.0000000000000036E-3</v>
      </c>
      <c r="E163" s="109">
        <f ca="1">IF(表2_367162629303891213141516[[#This Row],[累计净值]]/MAX(INDIRECT("B21:B" &amp; ROW()))-1&lt;E162,表2_367162629303891213141516[[#This Row],[累计净值]]/MAX(INDIRECT("B21:B" &amp; ROW()))-1,E162)</f>
        <v>-9.2879256965944235E-3</v>
      </c>
      <c r="F163" s="110">
        <f>表2_367162629303891213141516[[#This Row],[累计净值]]</f>
        <v>1.585</v>
      </c>
      <c r="G163" s="20">
        <f>IF(表2_367162629303891213141516[[#This Row],[累计净值]]&gt;1.217,0.7*(表2_367162629303891213141516[[#This Row],[累计净值]]-1.217)/1.217,(表2_367162629303891213141516[[#This Row],[累计净值]]-1.217)/1.217)</f>
        <v>0.21166803615447813</v>
      </c>
    </row>
    <row r="164" spans="1:7">
      <c r="A164" s="15">
        <v>44162</v>
      </c>
      <c r="B164" s="112">
        <v>1.5860000000000001</v>
      </c>
      <c r="C164" s="108">
        <f t="shared" si="43"/>
        <v>1.0000000000001119E-3</v>
      </c>
      <c r="D164" s="109" t="str">
        <f t="shared" si="44"/>
        <v>/</v>
      </c>
      <c r="E164" s="109">
        <f ca="1">IF(表2_367162629303891213141516[[#This Row],[累计净值]]/MAX(INDIRECT("B21:B" &amp; ROW()))-1&lt;E163,表2_367162629303891213141516[[#This Row],[累计净值]]/MAX(INDIRECT("B21:B" &amp; ROW()))-1,E163)</f>
        <v>-9.2879256965944235E-3</v>
      </c>
      <c r="F164" s="110">
        <f>表2_367162629303891213141516[[#This Row],[累计净值]]</f>
        <v>1.5860000000000001</v>
      </c>
      <c r="G164" s="20">
        <f>IF(表2_367162629303891213141516[[#This Row],[累计净值]]&gt;1.217,0.7*(表2_367162629303891213141516[[#This Row],[累计净值]]-1.217)/1.217,(表2_367162629303891213141516[[#This Row],[累计净值]]-1.217)/1.217)</f>
        <v>0.21224322103533275</v>
      </c>
    </row>
    <row r="165" spans="1:7">
      <c r="A165" s="15">
        <v>44165</v>
      </c>
      <c r="B165" s="112">
        <v>1.591</v>
      </c>
      <c r="C165" s="108">
        <f t="shared" si="43"/>
        <v>4.9999999999998934E-3</v>
      </c>
      <c r="D165" s="109" t="str">
        <f t="shared" si="44"/>
        <v>/</v>
      </c>
      <c r="E165" s="109">
        <f ca="1">IF(表2_367162629303891213141516[[#This Row],[累计净值]]/MAX(INDIRECT("B21:B" &amp; ROW()))-1&lt;E164,表2_367162629303891213141516[[#This Row],[累计净值]]/MAX(INDIRECT("B21:B" &amp; ROW()))-1,E164)</f>
        <v>-9.2879256965944235E-3</v>
      </c>
      <c r="F165" s="110">
        <f>表2_367162629303891213141516[[#This Row],[累计净值]]</f>
        <v>1.591</v>
      </c>
      <c r="G165" s="20">
        <f>IF(表2_367162629303891213141516[[#This Row],[累计净值]]&gt;1.217,0.7*(表2_367162629303891213141516[[#This Row],[累计净值]]-1.217)/1.217,(表2_367162629303891213141516[[#This Row],[累计净值]]-1.217)/1.217)</f>
        <v>0.2151191454396055</v>
      </c>
    </row>
    <row r="166" spans="1:7">
      <c r="A166" s="15">
        <v>44166</v>
      </c>
      <c r="B166" s="112">
        <v>1.591</v>
      </c>
      <c r="C166" s="108">
        <f t="shared" ref="C166:C171" si="45">IFERROR(B166-B165,0)</f>
        <v>0</v>
      </c>
      <c r="D166" s="109" t="str">
        <f t="shared" ref="D166:D171" si="46">IF(C166&lt;0,C166,"/")</f>
        <v>/</v>
      </c>
      <c r="E166" s="109">
        <f ca="1">IF(表2_367162629303891213141516[[#This Row],[累计净值]]/MAX(INDIRECT("B21:B" &amp; ROW()))-1&lt;E165,表2_367162629303891213141516[[#This Row],[累计净值]]/MAX(INDIRECT("B21:B" &amp; ROW()))-1,E165)</f>
        <v>-9.2879256965944235E-3</v>
      </c>
      <c r="F166" s="110">
        <f>表2_367162629303891213141516[[#This Row],[累计净值]]</f>
        <v>1.591</v>
      </c>
      <c r="G166" s="20">
        <f>IF(表2_367162629303891213141516[[#This Row],[累计净值]]&gt;1.217,0.7*(表2_367162629303891213141516[[#This Row],[累计净值]]-1.217)/1.217,(表2_367162629303891213141516[[#This Row],[累计净值]]-1.217)/1.217)</f>
        <v>0.2151191454396055</v>
      </c>
    </row>
    <row r="167" spans="1:7">
      <c r="A167" s="15">
        <v>44167</v>
      </c>
      <c r="B167" s="112">
        <v>1.593</v>
      </c>
      <c r="C167" s="108">
        <f t="shared" si="45"/>
        <v>2.0000000000000018E-3</v>
      </c>
      <c r="D167" s="109" t="str">
        <f t="shared" si="46"/>
        <v>/</v>
      </c>
      <c r="E167" s="109">
        <f ca="1">IF(表2_367162629303891213141516[[#This Row],[累计净值]]/MAX(INDIRECT("B21:B" &amp; ROW()))-1&lt;E166,表2_367162629303891213141516[[#This Row],[累计净值]]/MAX(INDIRECT("B21:B" &amp; ROW()))-1,E166)</f>
        <v>-9.2879256965944235E-3</v>
      </c>
      <c r="F167" s="110">
        <f>表2_367162629303891213141516[[#This Row],[累计净值]]</f>
        <v>1.593</v>
      </c>
      <c r="G167" s="20">
        <f>IF(表2_367162629303891213141516[[#This Row],[累计净值]]&gt;1.217,0.7*(表2_367162629303891213141516[[#This Row],[累计净值]]-1.217)/1.217,(表2_367162629303891213141516[[#This Row],[累计净值]]-1.217)/1.217)</f>
        <v>0.2162695152013146</v>
      </c>
    </row>
    <row r="168" spans="1:7">
      <c r="A168" s="15">
        <v>44168</v>
      </c>
      <c r="B168" s="112">
        <v>1.593</v>
      </c>
      <c r="C168" s="108">
        <f t="shared" si="45"/>
        <v>0</v>
      </c>
      <c r="D168" s="109" t="str">
        <f t="shared" si="46"/>
        <v>/</v>
      </c>
      <c r="E168" s="109">
        <f ca="1">IF(表2_367162629303891213141516[[#This Row],[累计净值]]/MAX(INDIRECT("B21:B" &amp; ROW()))-1&lt;E167,表2_367162629303891213141516[[#This Row],[累计净值]]/MAX(INDIRECT("B21:B" &amp; ROW()))-1,E167)</f>
        <v>-9.2879256965944235E-3</v>
      </c>
      <c r="F168" s="110">
        <f>表2_367162629303891213141516[[#This Row],[累计净值]]</f>
        <v>1.593</v>
      </c>
      <c r="G168" s="20">
        <f>IF(表2_367162629303891213141516[[#This Row],[累计净值]]&gt;1.217,0.7*(表2_367162629303891213141516[[#This Row],[累计净值]]-1.217)/1.217,(表2_367162629303891213141516[[#This Row],[累计净值]]-1.217)/1.217)</f>
        <v>0.2162695152013146</v>
      </c>
    </row>
    <row r="169" spans="1:7">
      <c r="A169" s="15">
        <v>44169</v>
      </c>
      <c r="B169" s="112">
        <v>1.597</v>
      </c>
      <c r="C169" s="108">
        <f t="shared" si="45"/>
        <v>4.0000000000000036E-3</v>
      </c>
      <c r="D169" s="109" t="str">
        <f t="shared" si="46"/>
        <v>/</v>
      </c>
      <c r="E169" s="109">
        <f ca="1">IF(表2_367162629303891213141516[[#This Row],[累计净值]]/MAX(INDIRECT("B21:B" &amp; ROW()))-1&lt;E168,表2_367162629303891213141516[[#This Row],[累计净值]]/MAX(INDIRECT("B21:B" &amp; ROW()))-1,E168)</f>
        <v>-9.2879256965944235E-3</v>
      </c>
      <c r="F169" s="110">
        <f>表2_367162629303891213141516[[#This Row],[累计净值]]</f>
        <v>1.597</v>
      </c>
      <c r="G169" s="20">
        <f>IF(表2_367162629303891213141516[[#This Row],[累计净值]]&gt;1.217,0.7*(表2_367162629303891213141516[[#This Row],[累计净值]]-1.217)/1.217,(表2_367162629303891213141516[[#This Row],[累计净值]]-1.217)/1.217)</f>
        <v>0.21857025472473285</v>
      </c>
    </row>
    <row r="170" spans="1:7">
      <c r="A170" s="15">
        <v>44172</v>
      </c>
      <c r="B170" s="112">
        <v>1.6040000000000001</v>
      </c>
      <c r="C170" s="108">
        <f t="shared" si="45"/>
        <v>7.0000000000001172E-3</v>
      </c>
      <c r="D170" s="109" t="str">
        <f t="shared" si="46"/>
        <v>/</v>
      </c>
      <c r="E170" s="109">
        <f ca="1">IF(表2_367162629303891213141516[[#This Row],[累计净值]]/MAX(INDIRECT("B21:B" &amp; ROW()))-1&lt;E169,表2_367162629303891213141516[[#This Row],[累计净值]]/MAX(INDIRECT("B21:B" &amp; ROW()))-1,E169)</f>
        <v>-9.2879256965944235E-3</v>
      </c>
      <c r="F170" s="110">
        <f>表2_367162629303891213141516[[#This Row],[累计净值]]</f>
        <v>1.6040000000000001</v>
      </c>
      <c r="G170" s="20">
        <f>IF(表2_367162629303891213141516[[#This Row],[累计净值]]&gt;1.217,0.7*(表2_367162629303891213141516[[#This Row],[累计净值]]-1.217)/1.217,(表2_367162629303891213141516[[#This Row],[累计净值]]-1.217)/1.217)</f>
        <v>0.22259654889071484</v>
      </c>
    </row>
    <row r="171" spans="1:7">
      <c r="A171" s="15">
        <v>44173</v>
      </c>
      <c r="B171" s="112">
        <v>1.605</v>
      </c>
      <c r="C171" s="108">
        <f t="shared" si="45"/>
        <v>9.9999999999988987E-4</v>
      </c>
      <c r="D171" s="109" t="str">
        <f t="shared" si="46"/>
        <v>/</v>
      </c>
      <c r="E171" s="109">
        <f ca="1">IF(表2_367162629303891213141516[[#This Row],[累计净值]]/MAX(INDIRECT("B21:B" &amp; ROW()))-1&lt;E170,表2_367162629303891213141516[[#This Row],[累计净值]]/MAX(INDIRECT("B21:B" &amp; ROW()))-1,E170)</f>
        <v>-9.2879256965944235E-3</v>
      </c>
      <c r="F171" s="110">
        <f>表2_367162629303891213141516[[#This Row],[累计净值]]</f>
        <v>1.605</v>
      </c>
      <c r="G171" s="20">
        <f>IF(表2_367162629303891213141516[[#This Row],[累计净值]]&gt;1.217,0.7*(表2_367162629303891213141516[[#This Row],[累计净值]]-1.217)/1.217,(表2_367162629303891213141516[[#This Row],[累计净值]]-1.217)/1.217)</f>
        <v>0.22317173377156935</v>
      </c>
    </row>
    <row r="172" spans="1:7">
      <c r="A172" s="15">
        <v>44174</v>
      </c>
      <c r="B172" s="112">
        <v>1.6080000000000001</v>
      </c>
      <c r="C172" s="108">
        <f t="shared" ref="C172:C177" si="47">IFERROR(B172-B171,0)</f>
        <v>3.0000000000001137E-3</v>
      </c>
      <c r="D172" s="109" t="str">
        <f t="shared" ref="D172:D177" si="48">IF(C172&lt;0,C172,"/")</f>
        <v>/</v>
      </c>
      <c r="E172" s="109">
        <f ca="1">IF(表2_367162629303891213141516[[#This Row],[累计净值]]/MAX(INDIRECT("B21:B" &amp; ROW()))-1&lt;E171,表2_367162629303891213141516[[#This Row],[累计净值]]/MAX(INDIRECT("B21:B" &amp; ROW()))-1,E171)</f>
        <v>-9.2879256965944235E-3</v>
      </c>
      <c r="F172" s="110">
        <f>表2_367162629303891213141516[[#This Row],[累计净值]]</f>
        <v>1.6080000000000001</v>
      </c>
      <c r="G172" s="20">
        <f>IF(表2_367162629303891213141516[[#This Row],[累计净值]]&gt;1.217,0.7*(表2_367162629303891213141516[[#This Row],[累计净值]]-1.217)/1.217,(表2_367162629303891213141516[[#This Row],[累计净值]]-1.217)/1.217)</f>
        <v>0.22489728841413309</v>
      </c>
    </row>
    <row r="173" spans="1:7">
      <c r="A173" s="15">
        <v>44175</v>
      </c>
      <c r="B173" s="112">
        <v>1.605</v>
      </c>
      <c r="C173" s="108">
        <f t="shared" si="47"/>
        <v>-3.0000000000001137E-3</v>
      </c>
      <c r="D173" s="109">
        <f t="shared" si="48"/>
        <v>-3.0000000000001137E-3</v>
      </c>
      <c r="E173" s="109">
        <f ca="1">IF(表2_367162629303891213141516[[#This Row],[累计净值]]/MAX(INDIRECT("B21:B" &amp; ROW()))-1&lt;E172,表2_367162629303891213141516[[#This Row],[累计净值]]/MAX(INDIRECT("B21:B" &amp; ROW()))-1,E172)</f>
        <v>-9.2879256965944235E-3</v>
      </c>
      <c r="F173" s="110">
        <f>表2_367162629303891213141516[[#This Row],[累计净值]]</f>
        <v>1.605</v>
      </c>
      <c r="G173" s="20">
        <f>IF(表2_367162629303891213141516[[#This Row],[累计净值]]&gt;1.217,0.7*(表2_367162629303891213141516[[#This Row],[累计净值]]-1.217)/1.217,(表2_367162629303891213141516[[#This Row],[累计净值]]-1.217)/1.217)</f>
        <v>0.22317173377156935</v>
      </c>
    </row>
    <row r="174" spans="1:7">
      <c r="A174" s="15">
        <v>44176</v>
      </c>
      <c r="B174" s="112">
        <v>1.601</v>
      </c>
      <c r="C174" s="108">
        <f t="shared" si="47"/>
        <v>-4.0000000000000036E-3</v>
      </c>
      <c r="D174" s="109">
        <f t="shared" si="48"/>
        <v>-4.0000000000000036E-3</v>
      </c>
      <c r="E174" s="109">
        <f ca="1">IF(表2_367162629303891213141516[[#This Row],[累计净值]]/MAX(INDIRECT("B21:B" &amp; ROW()))-1&lt;E173,表2_367162629303891213141516[[#This Row],[累计净值]]/MAX(INDIRECT("B21:B" &amp; ROW()))-1,E173)</f>
        <v>-9.2879256965944235E-3</v>
      </c>
      <c r="F174" s="110">
        <f>表2_367162629303891213141516[[#This Row],[累计净值]]</f>
        <v>1.601</v>
      </c>
      <c r="G174" s="20">
        <f>IF(表2_367162629303891213141516[[#This Row],[累计净值]]&gt;1.217,0.7*(表2_367162629303891213141516[[#This Row],[累计净值]]-1.217)/1.217,(表2_367162629303891213141516[[#This Row],[累计净值]]-1.217)/1.217)</f>
        <v>0.22087099424815113</v>
      </c>
    </row>
    <row r="175" spans="1:7">
      <c r="A175" s="15">
        <v>44179</v>
      </c>
      <c r="B175" s="112">
        <v>1.605</v>
      </c>
      <c r="C175" s="108">
        <f t="shared" si="47"/>
        <v>4.0000000000000036E-3</v>
      </c>
      <c r="D175" s="109" t="str">
        <f t="shared" si="48"/>
        <v>/</v>
      </c>
      <c r="E175" s="109">
        <f ca="1">IF(表2_367162629303891213141516[[#This Row],[累计净值]]/MAX(INDIRECT("B21:B" &amp; ROW()))-1&lt;E174,表2_367162629303891213141516[[#This Row],[累计净值]]/MAX(INDIRECT("B21:B" &amp; ROW()))-1,E174)</f>
        <v>-9.2879256965944235E-3</v>
      </c>
      <c r="F175" s="110">
        <f>表2_367162629303891213141516[[#This Row],[累计净值]]</f>
        <v>1.605</v>
      </c>
      <c r="G175" s="20">
        <f>IF(表2_367162629303891213141516[[#This Row],[累计净值]]&gt;1.217,0.7*(表2_367162629303891213141516[[#This Row],[累计净值]]-1.217)/1.217,(表2_367162629303891213141516[[#This Row],[累计净值]]-1.217)/1.217)</f>
        <v>0.22317173377156935</v>
      </c>
    </row>
    <row r="176" spans="1:7">
      <c r="A176" s="15">
        <v>44180</v>
      </c>
      <c r="B176" s="112">
        <v>1.605</v>
      </c>
      <c r="C176" s="108">
        <f t="shared" si="47"/>
        <v>0</v>
      </c>
      <c r="D176" s="109" t="str">
        <f t="shared" si="48"/>
        <v>/</v>
      </c>
      <c r="E176" s="109">
        <f ca="1">IF(表2_367162629303891213141516[[#This Row],[累计净值]]/MAX(INDIRECT("B21:B" &amp; ROW()))-1&lt;E175,表2_367162629303891213141516[[#This Row],[累计净值]]/MAX(INDIRECT("B21:B" &amp; ROW()))-1,E175)</f>
        <v>-9.2879256965944235E-3</v>
      </c>
      <c r="F176" s="110">
        <f>表2_367162629303891213141516[[#This Row],[累计净值]]</f>
        <v>1.605</v>
      </c>
      <c r="G176" s="20">
        <f>IF(表2_367162629303891213141516[[#This Row],[累计净值]]&gt;1.217,0.7*(表2_367162629303891213141516[[#This Row],[累计净值]]-1.217)/1.217,(表2_367162629303891213141516[[#This Row],[累计净值]]-1.217)/1.217)</f>
        <v>0.22317173377156935</v>
      </c>
    </row>
    <row r="177" spans="1:7">
      <c r="A177" s="15">
        <v>44181</v>
      </c>
      <c r="B177" s="112">
        <v>1.6080000000000001</v>
      </c>
      <c r="C177" s="108">
        <f t="shared" si="47"/>
        <v>3.0000000000001137E-3</v>
      </c>
      <c r="D177" s="109" t="str">
        <f t="shared" si="48"/>
        <v>/</v>
      </c>
      <c r="E177" s="109">
        <f ca="1">IF(表2_367162629303891213141516[[#This Row],[累计净值]]/MAX(INDIRECT("B21:B" &amp; ROW()))-1&lt;E176,表2_367162629303891213141516[[#This Row],[累计净值]]/MAX(INDIRECT("B21:B" &amp; ROW()))-1,E176)</f>
        <v>-9.2879256965944235E-3</v>
      </c>
      <c r="F177" s="110">
        <f>表2_367162629303891213141516[[#This Row],[累计净值]]</f>
        <v>1.6080000000000001</v>
      </c>
      <c r="G177" s="20">
        <f>IF(表2_367162629303891213141516[[#This Row],[累计净值]]&gt;1.217,0.7*(表2_367162629303891213141516[[#This Row],[累计净值]]-1.217)/1.217,(表2_367162629303891213141516[[#This Row],[累计净值]]-1.217)/1.217)</f>
        <v>0.22489728841413309</v>
      </c>
    </row>
    <row r="178" spans="1:7">
      <c r="A178" s="15">
        <v>44182</v>
      </c>
      <c r="B178" s="112">
        <v>1.6080000000000001</v>
      </c>
      <c r="C178" s="108">
        <f t="shared" ref="C178:C183" si="49">IFERROR(B178-B177,0)</f>
        <v>0</v>
      </c>
      <c r="D178" s="109" t="str">
        <f t="shared" ref="D178:D183" si="50">IF(C178&lt;0,C178,"/")</f>
        <v>/</v>
      </c>
      <c r="E178" s="109">
        <f ca="1">IF(表2_367162629303891213141516[[#This Row],[累计净值]]/MAX(INDIRECT("B21:B" &amp; ROW()))-1&lt;E177,表2_367162629303891213141516[[#This Row],[累计净值]]/MAX(INDIRECT("B21:B" &amp; ROW()))-1,E177)</f>
        <v>-9.2879256965944235E-3</v>
      </c>
      <c r="F178" s="110">
        <f>表2_367162629303891213141516[[#This Row],[累计净值]]</f>
        <v>1.6080000000000001</v>
      </c>
      <c r="G178" s="20">
        <f>IF(表2_367162629303891213141516[[#This Row],[累计净值]]&gt;1.217,0.7*(表2_367162629303891213141516[[#This Row],[累计净值]]-1.217)/1.217,(表2_367162629303891213141516[[#This Row],[累计净值]]-1.217)/1.217)</f>
        <v>0.22489728841413309</v>
      </c>
    </row>
    <row r="179" spans="1:7">
      <c r="A179" s="15">
        <v>44183</v>
      </c>
      <c r="B179" s="112">
        <v>1.611</v>
      </c>
      <c r="C179" s="108">
        <f t="shared" si="49"/>
        <v>2.9999999999998916E-3</v>
      </c>
      <c r="D179" s="109" t="str">
        <f t="shared" si="50"/>
        <v>/</v>
      </c>
      <c r="E179" s="109">
        <f ca="1">IF(表2_367162629303891213141516[[#This Row],[累计净值]]/MAX(INDIRECT("B21:B" &amp; ROW()))-1&lt;E178,表2_367162629303891213141516[[#This Row],[累计净值]]/MAX(INDIRECT("B21:B" &amp; ROW()))-1,E178)</f>
        <v>-9.2879256965944235E-3</v>
      </c>
      <c r="F179" s="110">
        <f>表2_367162629303891213141516[[#This Row],[累计净值]]</f>
        <v>1.611</v>
      </c>
      <c r="G179" s="20">
        <f>IF(表2_367162629303891213141516[[#This Row],[累计净值]]&gt;1.217,0.7*(表2_367162629303891213141516[[#This Row],[累计净值]]-1.217)/1.217,(表2_367162629303891213141516[[#This Row],[累计净值]]-1.217)/1.217)</f>
        <v>0.22662284305669672</v>
      </c>
    </row>
    <row r="180" spans="1:7">
      <c r="A180" s="15">
        <v>44186</v>
      </c>
      <c r="B180" s="112">
        <v>1.611</v>
      </c>
      <c r="C180" s="108">
        <f t="shared" si="49"/>
        <v>0</v>
      </c>
      <c r="D180" s="109" t="str">
        <f t="shared" si="50"/>
        <v>/</v>
      </c>
      <c r="E180" s="109">
        <f ca="1">IF(表2_367162629303891213141516[[#This Row],[累计净值]]/MAX(INDIRECT("B21:B" &amp; ROW()))-1&lt;E179,表2_367162629303891213141516[[#This Row],[累计净值]]/MAX(INDIRECT("B21:B" &amp; ROW()))-1,E179)</f>
        <v>-9.2879256965944235E-3</v>
      </c>
      <c r="F180" s="110">
        <f>表2_367162629303891213141516[[#This Row],[累计净值]]</f>
        <v>1.611</v>
      </c>
      <c r="G180" s="20">
        <f>IF(表2_367162629303891213141516[[#This Row],[累计净值]]&gt;1.217,0.7*(表2_367162629303891213141516[[#This Row],[累计净值]]-1.217)/1.217,(表2_367162629303891213141516[[#This Row],[累计净值]]-1.217)/1.217)</f>
        <v>0.22662284305669672</v>
      </c>
    </row>
    <row r="181" spans="1:7">
      <c r="A181" s="15">
        <v>44187</v>
      </c>
      <c r="B181" s="112">
        <v>1.6140000000000001</v>
      </c>
      <c r="C181" s="108">
        <f t="shared" si="49"/>
        <v>3.0000000000001137E-3</v>
      </c>
      <c r="D181" s="109" t="str">
        <f t="shared" si="50"/>
        <v>/</v>
      </c>
      <c r="E181" s="109">
        <f ca="1">IF(表2_367162629303891213141516[[#This Row],[累计净值]]/MAX(INDIRECT("B21:B" &amp; ROW()))-1&lt;E180,表2_367162629303891213141516[[#This Row],[累计净值]]/MAX(INDIRECT("B21:B" &amp; ROW()))-1,E180)</f>
        <v>-9.2879256965944235E-3</v>
      </c>
      <c r="F181" s="110">
        <f>表2_367162629303891213141516[[#This Row],[累计净值]]</f>
        <v>1.6140000000000001</v>
      </c>
      <c r="G181" s="20">
        <f>IF(表2_367162629303891213141516[[#This Row],[累计净值]]&gt;1.217,0.7*(表2_367162629303891213141516[[#This Row],[累计净值]]-1.217)/1.217,(表2_367162629303891213141516[[#This Row],[累计净值]]-1.217)/1.217)</f>
        <v>0.22834839769926044</v>
      </c>
    </row>
    <row r="182" spans="1:7">
      <c r="A182" s="15">
        <v>44188</v>
      </c>
      <c r="B182" s="112">
        <v>1.6120000000000001</v>
      </c>
      <c r="C182" s="108">
        <f t="shared" si="49"/>
        <v>-2.0000000000000018E-3</v>
      </c>
      <c r="D182" s="109">
        <f t="shared" si="50"/>
        <v>-2.0000000000000018E-3</v>
      </c>
      <c r="E182" s="109">
        <f ca="1">IF(表2_367162629303891213141516[[#This Row],[累计净值]]/MAX(INDIRECT("B21:B" &amp; ROW()))-1&lt;E181,表2_367162629303891213141516[[#This Row],[累计净值]]/MAX(INDIRECT("B21:B" &amp; ROW()))-1,E181)</f>
        <v>-9.2879256965944235E-3</v>
      </c>
      <c r="F182" s="110">
        <f>表2_367162629303891213141516[[#This Row],[累计净值]]</f>
        <v>1.6120000000000001</v>
      </c>
      <c r="G182" s="20">
        <f>IF(表2_367162629303891213141516[[#This Row],[累计净值]]&gt;1.217,0.7*(表2_367162629303891213141516[[#This Row],[累计净值]]-1.217)/1.217,(表2_367162629303891213141516[[#This Row],[累计净值]]-1.217)/1.217)</f>
        <v>0.22719802793755131</v>
      </c>
    </row>
    <row r="183" spans="1:7">
      <c r="A183" s="15">
        <v>44189</v>
      </c>
      <c r="B183" s="112">
        <v>1.6140000000000001</v>
      </c>
      <c r="C183" s="108">
        <f t="shared" si="49"/>
        <v>2.0000000000000018E-3</v>
      </c>
      <c r="D183" s="109" t="str">
        <f t="shared" si="50"/>
        <v>/</v>
      </c>
      <c r="E183" s="109">
        <f ca="1">IF(表2_367162629303891213141516[[#This Row],[累计净值]]/MAX(INDIRECT("B21:B" &amp; ROW()))-1&lt;E182,表2_367162629303891213141516[[#This Row],[累计净值]]/MAX(INDIRECT("B21:B" &amp; ROW()))-1,E182)</f>
        <v>-9.2879256965944235E-3</v>
      </c>
      <c r="F183" s="110">
        <f>表2_367162629303891213141516[[#This Row],[累计净值]]</f>
        <v>1.6140000000000001</v>
      </c>
      <c r="G183" s="20">
        <f>IF(表2_367162629303891213141516[[#This Row],[累计净值]]&gt;1.217,0.7*(表2_367162629303891213141516[[#This Row],[累计净值]]-1.217)/1.217,(表2_367162629303891213141516[[#This Row],[累计净值]]-1.217)/1.217)</f>
        <v>0.22834839769926044</v>
      </c>
    </row>
    <row r="184" spans="1:7">
      <c r="A184" s="15">
        <v>44190</v>
      </c>
      <c r="B184" s="112">
        <v>1.615</v>
      </c>
      <c r="C184" s="108">
        <f t="shared" ref="C184:C189" si="51">IFERROR(B184-B183,0)</f>
        <v>9.9999999999988987E-4</v>
      </c>
      <c r="D184" s="109" t="str">
        <f t="shared" ref="D184:D189" si="52">IF(C184&lt;0,C184,"/")</f>
        <v>/</v>
      </c>
      <c r="E184" s="109">
        <f ca="1">IF(表2_367162629303891213141516[[#This Row],[累计净值]]/MAX(INDIRECT("B21:B" &amp; ROW()))-1&lt;E183,表2_367162629303891213141516[[#This Row],[累计净值]]/MAX(INDIRECT("B21:B" &amp; ROW()))-1,E183)</f>
        <v>-9.2879256965944235E-3</v>
      </c>
      <c r="F184" s="110">
        <f>表2_367162629303891213141516[[#This Row],[累计净值]]</f>
        <v>1.615</v>
      </c>
      <c r="G184" s="20">
        <f>IF(表2_367162629303891213141516[[#This Row],[累计净值]]&gt;1.217,0.7*(表2_367162629303891213141516[[#This Row],[累计净值]]-1.217)/1.217,(表2_367162629303891213141516[[#This Row],[累计净值]]-1.217)/1.217)</f>
        <v>0.22892358258011494</v>
      </c>
    </row>
    <row r="185" spans="1:7">
      <c r="A185" s="15">
        <v>44193</v>
      </c>
      <c r="B185" s="112">
        <v>1.6140000000000001</v>
      </c>
      <c r="C185" s="108">
        <f t="shared" si="51"/>
        <v>-9.9999999999988987E-4</v>
      </c>
      <c r="D185" s="109">
        <f t="shared" si="52"/>
        <v>-9.9999999999988987E-4</v>
      </c>
      <c r="E185" s="109">
        <f ca="1">IF(表2_367162629303891213141516[[#This Row],[累计净值]]/MAX(INDIRECT("B21:B" &amp; ROW()))-1&lt;E184,表2_367162629303891213141516[[#This Row],[累计净值]]/MAX(INDIRECT("B21:B" &amp; ROW()))-1,E184)</f>
        <v>-9.2879256965944235E-3</v>
      </c>
      <c r="F185" s="110">
        <f>表2_367162629303891213141516[[#This Row],[累计净值]]</f>
        <v>1.6140000000000001</v>
      </c>
      <c r="G185" s="20">
        <f>IF(表2_367162629303891213141516[[#This Row],[累计净值]]&gt;1.217,0.7*(表2_367162629303891213141516[[#This Row],[累计净值]]-1.217)/1.217,(表2_367162629303891213141516[[#This Row],[累计净值]]-1.217)/1.217)</f>
        <v>0.22834839769926044</v>
      </c>
    </row>
    <row r="186" spans="1:7">
      <c r="A186" s="15">
        <v>44194</v>
      </c>
      <c r="B186" s="112">
        <v>1.615</v>
      </c>
      <c r="C186" s="108">
        <f t="shared" si="51"/>
        <v>9.9999999999988987E-4</v>
      </c>
      <c r="D186" s="109" t="str">
        <f t="shared" si="52"/>
        <v>/</v>
      </c>
      <c r="E186" s="109">
        <f ca="1">IF(表2_367162629303891213141516[[#This Row],[累计净值]]/MAX(INDIRECT("B21:B" &amp; ROW()))-1&lt;E185,表2_367162629303891213141516[[#This Row],[累计净值]]/MAX(INDIRECT("B21:B" &amp; ROW()))-1,E185)</f>
        <v>-9.2879256965944235E-3</v>
      </c>
      <c r="F186" s="110">
        <f>表2_367162629303891213141516[[#This Row],[累计净值]]</f>
        <v>1.615</v>
      </c>
      <c r="G186" s="20">
        <f>IF(表2_367162629303891213141516[[#This Row],[累计净值]]&gt;1.217,0.7*(表2_367162629303891213141516[[#This Row],[累计净值]]-1.217)/1.217,(表2_367162629303891213141516[[#This Row],[累计净值]]-1.217)/1.217)</f>
        <v>0.22892358258011494</v>
      </c>
    </row>
    <row r="187" spans="1:7">
      <c r="A187" s="15">
        <v>44195</v>
      </c>
      <c r="B187" s="112">
        <v>1.617</v>
      </c>
      <c r="C187" s="108">
        <f t="shared" si="51"/>
        <v>2.0000000000000018E-3</v>
      </c>
      <c r="D187" s="109" t="str">
        <f t="shared" si="52"/>
        <v>/</v>
      </c>
      <c r="E187" s="109">
        <f ca="1">IF(表2_367162629303891213141516[[#This Row],[累计净值]]/MAX(INDIRECT("B21:B" &amp; ROW()))-1&lt;E186,表2_367162629303891213141516[[#This Row],[累计净值]]/MAX(INDIRECT("B21:B" &amp; ROW()))-1,E186)</f>
        <v>-9.2879256965944235E-3</v>
      </c>
      <c r="F187" s="110">
        <f>表2_367162629303891213141516[[#This Row],[累计净值]]</f>
        <v>1.617</v>
      </c>
      <c r="G187" s="20">
        <f>IF(表2_367162629303891213141516[[#This Row],[累计净值]]&gt;1.217,0.7*(表2_367162629303891213141516[[#This Row],[累计净值]]-1.217)/1.217,(表2_367162629303891213141516[[#This Row],[累计净值]]-1.217)/1.217)</f>
        <v>0.23007395234182407</v>
      </c>
    </row>
    <row r="188" spans="1:7">
      <c r="A188" s="15">
        <v>44196</v>
      </c>
      <c r="B188" s="112">
        <v>1.615</v>
      </c>
      <c r="C188" s="108">
        <f t="shared" si="51"/>
        <v>-2.0000000000000018E-3</v>
      </c>
      <c r="D188" s="109">
        <f t="shared" si="52"/>
        <v>-2.0000000000000018E-3</v>
      </c>
      <c r="E188" s="109">
        <f ca="1">IF(表2_367162629303891213141516[[#This Row],[累计净值]]/MAX(INDIRECT("B21:B" &amp; ROW()))-1&lt;E187,表2_367162629303891213141516[[#This Row],[累计净值]]/MAX(INDIRECT("B21:B" &amp; ROW()))-1,E187)</f>
        <v>-9.2879256965944235E-3</v>
      </c>
      <c r="F188" s="110">
        <f>表2_367162629303891213141516[[#This Row],[累计净值]]</f>
        <v>1.615</v>
      </c>
      <c r="G188" s="20">
        <f>IF(表2_367162629303891213141516[[#This Row],[累计净值]]&gt;1.217,0.7*(表2_367162629303891213141516[[#This Row],[累计净值]]-1.217)/1.217,(表2_367162629303891213141516[[#This Row],[累计净值]]-1.217)/1.217)</f>
        <v>0.22892358258011494</v>
      </c>
    </row>
    <row r="189" spans="1:7">
      <c r="A189" s="15">
        <v>44200</v>
      </c>
      <c r="B189" s="112">
        <v>1.62</v>
      </c>
      <c r="C189" s="108">
        <f t="shared" si="51"/>
        <v>5.0000000000001155E-3</v>
      </c>
      <c r="D189" s="109" t="str">
        <f t="shared" si="52"/>
        <v>/</v>
      </c>
      <c r="E189" s="109">
        <f ca="1">IF(表2_367162629303891213141516[[#This Row],[累计净值]]/MAX(INDIRECT("B21:B" &amp; ROW()))-1&lt;E188,表2_367162629303891213141516[[#This Row],[累计净值]]/MAX(INDIRECT("B21:B" &amp; ROW()))-1,E188)</f>
        <v>-9.2879256965944235E-3</v>
      </c>
      <c r="F189" s="110">
        <f>表2_367162629303891213141516[[#This Row],[累计净值]]</f>
        <v>1.62</v>
      </c>
      <c r="G189" s="20">
        <f>IF(表2_367162629303891213141516[[#This Row],[累计净值]]&gt;1.217,0.7*(表2_367162629303891213141516[[#This Row],[累计净值]]-1.217)/1.217,(表2_367162629303891213141516[[#This Row],[累计净值]]-1.217)/1.217)</f>
        <v>0.23179950698438784</v>
      </c>
    </row>
    <row r="190" spans="1:7">
      <c r="A190" s="15">
        <v>44201</v>
      </c>
      <c r="B190" s="112">
        <v>1.625</v>
      </c>
      <c r="C190" s="108">
        <f>IFERROR(B190-B189,0)</f>
        <v>4.9999999999998934E-3</v>
      </c>
      <c r="D190" s="109" t="str">
        <f>IF(C190&lt;0,C190,"/")</f>
        <v>/</v>
      </c>
      <c r="E190" s="109">
        <f ca="1">IF(表2_367162629303891213141516[[#This Row],[累计净值]]/MAX(INDIRECT("B21:B" &amp; ROW()))-1&lt;E189,表2_367162629303891213141516[[#This Row],[累计净值]]/MAX(INDIRECT("B21:B" &amp; ROW()))-1,E189)</f>
        <v>-9.2879256965944235E-3</v>
      </c>
      <c r="F190" s="110">
        <f>表2_367162629303891213141516[[#This Row],[累计净值]]</f>
        <v>1.625</v>
      </c>
      <c r="G190" s="20">
        <f>IF(表2_367162629303891213141516[[#This Row],[累计净值]]&gt;1.217,0.7*(表2_367162629303891213141516[[#This Row],[累计净值]]-1.217)/1.217,(表2_367162629303891213141516[[#This Row],[累计净值]]-1.217)/1.217)</f>
        <v>0.23467543138866054</v>
      </c>
    </row>
    <row r="191" spans="1:7">
      <c r="A191" s="15">
        <v>44202</v>
      </c>
      <c r="B191" s="112">
        <v>1.631</v>
      </c>
      <c r="C191" s="108">
        <f>IFERROR(B191-B190,0)</f>
        <v>6.0000000000000053E-3</v>
      </c>
      <c r="D191" s="109" t="str">
        <f>IF(C191&lt;0,C191,"/")</f>
        <v>/</v>
      </c>
      <c r="E191" s="109">
        <f ca="1">IF(表2_367162629303891213141516[[#This Row],[累计净值]]/MAX(INDIRECT("B21:B" &amp; ROW()))-1&lt;E190,表2_367162629303891213141516[[#This Row],[累计净值]]/MAX(INDIRECT("B21:B" &amp; ROW()))-1,E190)</f>
        <v>-9.2879256965944235E-3</v>
      </c>
      <c r="F191" s="110">
        <f>表2_367162629303891213141516[[#This Row],[累计净值]]</f>
        <v>1.631</v>
      </c>
      <c r="G191" s="20">
        <f>IF(表2_367162629303891213141516[[#This Row],[累计净值]]&gt;1.217,0.7*(表2_367162629303891213141516[[#This Row],[累计净值]]-1.217)/1.217,(表2_367162629303891213141516[[#This Row],[累计净值]]-1.217)/1.217)</f>
        <v>0.23812654067378794</v>
      </c>
    </row>
    <row r="192" spans="1:7">
      <c r="A192" s="15">
        <v>44203</v>
      </c>
      <c r="B192" s="112">
        <v>1.6319999999999999</v>
      </c>
      <c r="C192" s="108">
        <f t="shared" ref="C192:C193" si="53">IFERROR(B192-B191,0)</f>
        <v>9.9999999999988987E-4</v>
      </c>
      <c r="D192" s="109" t="str">
        <f t="shared" ref="D192:D193" si="54">IF(C192&lt;0,C192,"/")</f>
        <v>/</v>
      </c>
      <c r="E192" s="109">
        <f ca="1">IF(表2_367162629303891213141516[[#This Row],[累计净值]]/MAX(INDIRECT("B21:B" &amp; ROW()))-1&lt;E191,表2_367162629303891213141516[[#This Row],[累计净值]]/MAX(INDIRECT("B21:B" &amp; ROW()))-1,E191)</f>
        <v>-9.2879256965944235E-3</v>
      </c>
      <c r="F192" s="110">
        <f>表2_367162629303891213141516[[#This Row],[累计净值]]</f>
        <v>1.6319999999999999</v>
      </c>
      <c r="G192" s="20">
        <f>IF(表2_367162629303891213141516[[#This Row],[累计净值]]&gt;1.217,0.7*(表2_367162629303891213141516[[#This Row],[累计净值]]-1.217)/1.217,(表2_367162629303891213141516[[#This Row],[累计净值]]-1.217)/1.217)</f>
        <v>0.23870172555464245</v>
      </c>
    </row>
    <row r="193" spans="1:7">
      <c r="A193" s="15">
        <v>44204</v>
      </c>
      <c r="B193" s="112">
        <v>1.6259999999999999</v>
      </c>
      <c r="C193" s="108">
        <f t="shared" si="53"/>
        <v>-6.0000000000000053E-3</v>
      </c>
      <c r="D193" s="109">
        <f t="shared" si="54"/>
        <v>-6.0000000000000053E-3</v>
      </c>
      <c r="E193" s="109">
        <f ca="1">IF(表2_367162629303891213141516[[#This Row],[累计净值]]/MAX(INDIRECT("B21:B" &amp; ROW()))-1&lt;E192,表2_367162629303891213141516[[#This Row],[累计净值]]/MAX(INDIRECT("B21:B" &amp; ROW()))-1,E192)</f>
        <v>-9.2879256965944235E-3</v>
      </c>
      <c r="F193" s="110">
        <f>表2_367162629303891213141516[[#This Row],[累计净值]]</f>
        <v>1.6259999999999999</v>
      </c>
      <c r="G193" s="20">
        <f>IF(表2_367162629303891213141516[[#This Row],[累计净值]]&gt;1.217,0.7*(表2_367162629303891213141516[[#This Row],[累计净值]]-1.217)/1.217,(表2_367162629303891213141516[[#This Row],[累计净值]]-1.217)/1.217)</f>
        <v>0.23525061626951504</v>
      </c>
    </row>
    <row r="194" spans="1:7">
      <c r="A194" s="15">
        <v>44207</v>
      </c>
      <c r="B194" s="112">
        <v>1.637</v>
      </c>
      <c r="C194" s="108">
        <f t="shared" ref="C194:C199" si="55">IFERROR(B194-B193,0)</f>
        <v>1.1000000000000121E-2</v>
      </c>
      <c r="D194" s="109" t="str">
        <f t="shared" ref="D194:D199" si="56">IF(C194&lt;0,C194,"/")</f>
        <v>/</v>
      </c>
      <c r="E194" s="109">
        <f ca="1">IF(表2_367162629303891213141516[[#This Row],[累计净值]]/MAX(INDIRECT("B21:B" &amp; ROW()))-1&lt;E193,表2_367162629303891213141516[[#This Row],[累计净值]]/MAX(INDIRECT("B21:B" &amp; ROW()))-1,E193)</f>
        <v>-9.2879256965944235E-3</v>
      </c>
      <c r="F194" s="110">
        <f>表2_367162629303891213141516[[#This Row],[累计净值]]</f>
        <v>1.637</v>
      </c>
      <c r="G194" s="20">
        <f>IF(表2_367162629303891213141516[[#This Row],[累计净值]]&gt;1.217,0.7*(表2_367162629303891213141516[[#This Row],[累计净值]]-1.217)/1.217,(表2_367162629303891213141516[[#This Row],[累计净值]]-1.217)/1.217)</f>
        <v>0.24157764995891529</v>
      </c>
    </row>
    <row r="195" spans="1:7">
      <c r="A195" s="15">
        <v>44208</v>
      </c>
      <c r="B195" s="112">
        <v>1.6339999999999999</v>
      </c>
      <c r="C195" s="108">
        <f t="shared" si="55"/>
        <v>-3.0000000000001137E-3</v>
      </c>
      <c r="D195" s="109">
        <f t="shared" si="56"/>
        <v>-3.0000000000001137E-3</v>
      </c>
      <c r="E195" s="109">
        <f ca="1">IF(表2_367162629303891213141516[[#This Row],[累计净值]]/MAX(INDIRECT("B21:B" &amp; ROW()))-1&lt;E194,表2_367162629303891213141516[[#This Row],[累计净值]]/MAX(INDIRECT("B21:B" &amp; ROW()))-1,E194)</f>
        <v>-9.2879256965944235E-3</v>
      </c>
      <c r="F195" s="110">
        <f>表2_367162629303891213141516[[#This Row],[累计净值]]</f>
        <v>1.6339999999999999</v>
      </c>
      <c r="G195" s="20">
        <f>IF(表2_367162629303891213141516[[#This Row],[累计净值]]&gt;1.217,0.7*(表2_367162629303891213141516[[#This Row],[累计净值]]-1.217)/1.217,(表2_367162629303891213141516[[#This Row],[累计净值]]-1.217)/1.217)</f>
        <v>0.23985209531635152</v>
      </c>
    </row>
    <row r="196" spans="1:7">
      <c r="A196" s="15">
        <v>44209</v>
      </c>
      <c r="B196" s="112">
        <v>1.643</v>
      </c>
      <c r="C196" s="108">
        <f t="shared" si="55"/>
        <v>9.000000000000119E-3</v>
      </c>
      <c r="D196" s="109" t="str">
        <f t="shared" si="56"/>
        <v>/</v>
      </c>
      <c r="E196" s="109">
        <f ca="1">IF(表2_367162629303891213141516[[#This Row],[累计净值]]/MAX(INDIRECT("B21:B" &amp; ROW()))-1&lt;E195,表2_367162629303891213141516[[#This Row],[累计净值]]/MAX(INDIRECT("B21:B" &amp; ROW()))-1,E195)</f>
        <v>-9.2879256965944235E-3</v>
      </c>
      <c r="F196" s="110">
        <f>表2_367162629303891213141516[[#This Row],[累计净值]]</f>
        <v>1.643</v>
      </c>
      <c r="G196" s="20">
        <f>IF(表2_367162629303891213141516[[#This Row],[累计净值]]&gt;1.217,0.7*(表2_367162629303891213141516[[#This Row],[累计净值]]-1.217)/1.217,(表2_367162629303891213141516[[#This Row],[累计净值]]-1.217)/1.217)</f>
        <v>0.24502875924404263</v>
      </c>
    </row>
    <row r="197" spans="1:7">
      <c r="A197" s="15">
        <v>44210</v>
      </c>
      <c r="B197" s="112">
        <v>1.6459999999999999</v>
      </c>
      <c r="C197" s="108">
        <f t="shared" si="55"/>
        <v>2.9999999999998916E-3</v>
      </c>
      <c r="D197" s="109" t="str">
        <f t="shared" si="56"/>
        <v>/</v>
      </c>
      <c r="E197" s="109">
        <f ca="1">IF(表2_367162629303891213141516[[#This Row],[累计净值]]/MAX(INDIRECT("B21:B" &amp; ROW()))-1&lt;E196,表2_367162629303891213141516[[#This Row],[累计净值]]/MAX(INDIRECT("B21:B" &amp; ROW()))-1,E196)</f>
        <v>-9.2879256965944235E-3</v>
      </c>
      <c r="F197" s="110">
        <f>表2_367162629303891213141516[[#This Row],[累计净值]]</f>
        <v>1.6459999999999999</v>
      </c>
      <c r="G197" s="20">
        <f>IF(表2_367162629303891213141516[[#This Row],[累计净值]]&gt;1.217,0.7*(表2_367162629303891213141516[[#This Row],[累计净值]]-1.217)/1.217,(表2_367162629303891213141516[[#This Row],[累计净值]]-1.217)/1.217)</f>
        <v>0.24675431388660626</v>
      </c>
    </row>
    <row r="198" spans="1:7">
      <c r="A198" s="15">
        <v>44211</v>
      </c>
      <c r="B198" s="112">
        <v>1.6519999999999999</v>
      </c>
      <c r="C198" s="108">
        <f t="shared" si="55"/>
        <v>6.0000000000000053E-3</v>
      </c>
      <c r="D198" s="109" t="str">
        <f t="shared" si="56"/>
        <v>/</v>
      </c>
      <c r="E198" s="109">
        <f ca="1">IF(表2_367162629303891213141516[[#This Row],[累计净值]]/MAX(INDIRECT("B21:B" &amp; ROW()))-1&lt;E197,表2_367162629303891213141516[[#This Row],[累计净值]]/MAX(INDIRECT("B21:B" &amp; ROW()))-1,E197)</f>
        <v>-9.2879256965944235E-3</v>
      </c>
      <c r="F198" s="110">
        <f>表2_367162629303891213141516[[#This Row],[累计净值]]</f>
        <v>1.6519999999999999</v>
      </c>
      <c r="G198" s="20">
        <f>IF(表2_367162629303891213141516[[#This Row],[累计净值]]&gt;1.217,0.7*(表2_367162629303891213141516[[#This Row],[累计净值]]-1.217)/1.217,(表2_367162629303891213141516[[#This Row],[累计净值]]-1.217)/1.217)</f>
        <v>0.25020542317173367</v>
      </c>
    </row>
    <row r="199" spans="1:7">
      <c r="A199" s="15">
        <v>44214</v>
      </c>
      <c r="B199" s="112">
        <v>1.6579999999999999</v>
      </c>
      <c r="C199" s="108">
        <f t="shared" si="55"/>
        <v>6.0000000000000053E-3</v>
      </c>
      <c r="D199" s="109" t="str">
        <f t="shared" si="56"/>
        <v>/</v>
      </c>
      <c r="E199" s="109">
        <f ca="1">IF(表2_367162629303891213141516[[#This Row],[累计净值]]/MAX(INDIRECT("B21:B" &amp; ROW()))-1&lt;E198,表2_367162629303891213141516[[#This Row],[累计净值]]/MAX(INDIRECT("B21:B" &amp; ROW()))-1,E198)</f>
        <v>-9.2879256965944235E-3</v>
      </c>
      <c r="F199" s="110">
        <f>表2_367162629303891213141516[[#This Row],[累计净值]]</f>
        <v>1.6579999999999999</v>
      </c>
      <c r="G199" s="20">
        <f>IF(表2_367162629303891213141516[[#This Row],[累计净值]]&gt;1.217,0.7*(表2_367162629303891213141516[[#This Row],[累计净值]]-1.217)/1.217,(表2_367162629303891213141516[[#This Row],[累计净值]]-1.217)/1.217)</f>
        <v>0.25365653245686098</v>
      </c>
    </row>
    <row r="200" spans="1:7">
      <c r="A200" s="15">
        <v>44215</v>
      </c>
      <c r="B200" s="112">
        <v>1.6539999999999999</v>
      </c>
      <c r="C200" s="108">
        <f t="shared" ref="C200:C205" si="57">IFERROR(B200-B199,0)</f>
        <v>-4.0000000000000036E-3</v>
      </c>
      <c r="D200" s="109">
        <f t="shared" ref="D200:D205" si="58">IF(C200&lt;0,C200,"/")</f>
        <v>-4.0000000000000036E-3</v>
      </c>
      <c r="E200" s="109">
        <f ca="1">IF(表2_367162629303891213141516[[#This Row],[累计净值]]/MAX(INDIRECT("B21:B" &amp; ROW()))-1&lt;E199,表2_367162629303891213141516[[#This Row],[累计净值]]/MAX(INDIRECT("B21:B" &amp; ROW()))-1,E199)</f>
        <v>-9.2879256965944235E-3</v>
      </c>
      <c r="F200" s="110">
        <f>表2_367162629303891213141516[[#This Row],[累计净值]]</f>
        <v>1.6539999999999999</v>
      </c>
      <c r="G200" s="20">
        <f>IF(表2_367162629303891213141516[[#This Row],[累计净值]]&gt;1.217,0.7*(表2_367162629303891213141516[[#This Row],[累计净值]]-1.217)/1.217,(表2_367162629303891213141516[[#This Row],[累计净值]]-1.217)/1.217)</f>
        <v>0.25135579293344273</v>
      </c>
    </row>
    <row r="201" spans="1:7">
      <c r="A201" s="15">
        <v>44216</v>
      </c>
      <c r="B201" s="112">
        <v>1.657</v>
      </c>
      <c r="C201" s="108">
        <f t="shared" si="57"/>
        <v>3.0000000000001137E-3</v>
      </c>
      <c r="D201" s="109" t="str">
        <f t="shared" si="58"/>
        <v>/</v>
      </c>
      <c r="E201" s="109">
        <f ca="1">IF(表2_367162629303891213141516[[#This Row],[累计净值]]/MAX(INDIRECT("B21:B" &amp; ROW()))-1&lt;E200,表2_367162629303891213141516[[#This Row],[累计净值]]/MAX(INDIRECT("B21:B" &amp; ROW()))-1,E200)</f>
        <v>-9.2879256965944235E-3</v>
      </c>
      <c r="F201" s="110">
        <f>表2_367162629303891213141516[[#This Row],[累计净值]]</f>
        <v>1.657</v>
      </c>
      <c r="G201" s="20">
        <f>IF(表2_367162629303891213141516[[#This Row],[累计净值]]&gt;1.217,0.7*(表2_367162629303891213141516[[#This Row],[累计净值]]-1.217)/1.217,(表2_367162629303891213141516[[#This Row],[累计净值]]-1.217)/1.217)</f>
        <v>0.25308134757600653</v>
      </c>
    </row>
    <row r="202" spans="1:7">
      <c r="A202" s="15">
        <v>44217</v>
      </c>
      <c r="B202" s="112">
        <v>1.659</v>
      </c>
      <c r="C202" s="108">
        <f t="shared" si="57"/>
        <v>2.0000000000000018E-3</v>
      </c>
      <c r="D202" s="109" t="str">
        <f t="shared" si="58"/>
        <v>/</v>
      </c>
      <c r="E202" s="109">
        <f ca="1">IF(表2_367162629303891213141516[[#This Row],[累计净值]]/MAX(INDIRECT("B21:B" &amp; ROW()))-1&lt;E201,表2_367162629303891213141516[[#This Row],[累计净值]]/MAX(INDIRECT("B21:B" &amp; ROW()))-1,E201)</f>
        <v>-9.2879256965944235E-3</v>
      </c>
      <c r="F202" s="110">
        <f>表2_367162629303891213141516[[#This Row],[累计净值]]</f>
        <v>1.659</v>
      </c>
      <c r="G202" s="20">
        <f>IF(表2_367162629303891213141516[[#This Row],[累计净值]]&gt;1.217,0.7*(表2_367162629303891213141516[[#This Row],[累计净值]]-1.217)/1.217,(表2_367162629303891213141516[[#This Row],[累计净值]]-1.217)/1.217)</f>
        <v>0.25423171733771566</v>
      </c>
    </row>
    <row r="203" spans="1:7">
      <c r="A203" s="9">
        <v>44218</v>
      </c>
      <c r="B203" s="190">
        <v>1.6639999999999999</v>
      </c>
      <c r="C203" s="191">
        <f t="shared" si="57"/>
        <v>4.9999999999998934E-3</v>
      </c>
      <c r="D203" s="192" t="str">
        <f t="shared" si="58"/>
        <v>/</v>
      </c>
      <c r="E203" s="192">
        <f ca="1">IF(表2_367162629303891213141516[[#This Row],[累计净值]]/MAX(INDIRECT("B21:B" &amp; ROW()))-1&lt;E202,表2_367162629303891213141516[[#This Row],[累计净值]]/MAX(INDIRECT("B21:B" &amp; ROW()))-1,E202)</f>
        <v>-9.2879256965944235E-3</v>
      </c>
      <c r="F203" s="193">
        <f>表2_367162629303891213141516[[#This Row],[累计净值]]</f>
        <v>1.6639999999999999</v>
      </c>
      <c r="G203" s="82">
        <f>IF(表2_367162629303891213141516[[#This Row],[累计净值]]&gt;1.217,0.7*(表2_367162629303891213141516[[#This Row],[累计净值]]-1.217)/1.217,(表2_367162629303891213141516[[#This Row],[累计净值]]-1.217)/1.217)</f>
        <v>0.25710764174198836</v>
      </c>
    </row>
    <row r="204" spans="1:7">
      <c r="A204" s="15">
        <v>44221</v>
      </c>
      <c r="B204" s="112">
        <v>1.671</v>
      </c>
      <c r="C204" s="108">
        <f t="shared" si="57"/>
        <v>7.0000000000001172E-3</v>
      </c>
      <c r="D204" s="109" t="str">
        <f t="shared" si="58"/>
        <v>/</v>
      </c>
      <c r="E204" s="109">
        <f ca="1">IF(表2_367162629303891213141516[[#This Row],[累计净值]]/MAX(INDIRECT("B21:B" &amp; ROW()))-1&lt;E203,表2_367162629303891213141516[[#This Row],[累计净值]]/MAX(INDIRECT("B21:B" &amp; ROW()))-1,E203)</f>
        <v>-9.2879256965944235E-3</v>
      </c>
      <c r="F204" s="110">
        <f>表2_367162629303891213141516[[#This Row],[累计净值]]</f>
        <v>1.671</v>
      </c>
      <c r="G204" s="20">
        <f>IF(表2_367162629303891213141516[[#This Row],[累计净值]]&gt;1.217,0.7*(表2_367162629303891213141516[[#This Row],[累计净值]]-1.217)/1.217,(表2_367162629303891213141516[[#This Row],[累计净值]]-1.217)/1.217)</f>
        <v>0.2611339359079704</v>
      </c>
    </row>
    <row r="205" spans="1:7">
      <c r="A205" s="15">
        <v>44222</v>
      </c>
      <c r="B205" s="112">
        <v>1.67</v>
      </c>
      <c r="C205" s="108">
        <f t="shared" si="57"/>
        <v>-1.0000000000001119E-3</v>
      </c>
      <c r="D205" s="109">
        <f t="shared" si="58"/>
        <v>-1.0000000000001119E-3</v>
      </c>
      <c r="E205" s="109">
        <f ca="1">IF(表2_367162629303891213141516[[#This Row],[累计净值]]/MAX(INDIRECT("B21:B" &amp; ROW()))-1&lt;E204,表2_367162629303891213141516[[#This Row],[累计净值]]/MAX(INDIRECT("B21:B" &amp; ROW()))-1,E204)</f>
        <v>-9.2879256965944235E-3</v>
      </c>
      <c r="F205" s="110">
        <f>表2_367162629303891213141516[[#This Row],[累计净值]]</f>
        <v>1.67</v>
      </c>
      <c r="G205" s="20">
        <f>IF(表2_367162629303891213141516[[#This Row],[累计净值]]&gt;1.217,0.7*(表2_367162629303891213141516[[#This Row],[累计净值]]-1.217)/1.217,(表2_367162629303891213141516[[#This Row],[累计净值]]-1.217)/1.217)</f>
        <v>0.26055875102711573</v>
      </c>
    </row>
    <row r="206" spans="1:7">
      <c r="A206" s="15">
        <v>44223</v>
      </c>
      <c r="B206" s="117">
        <v>1.671</v>
      </c>
      <c r="C206" s="108">
        <f t="shared" ref="C206:C212" si="59">IFERROR(B206-B205,0)</f>
        <v>1.0000000000001119E-3</v>
      </c>
      <c r="D206" s="109" t="str">
        <f t="shared" ref="D206:D212" si="60">IF(C206&lt;0,C206,"/")</f>
        <v>/</v>
      </c>
      <c r="E206" s="109">
        <f ca="1">IF(表2_367162629303891213141516[[#This Row],[累计净值]]/MAX(INDIRECT("B21:B" &amp; ROW()))-1&lt;E205,表2_367162629303891213141516[[#This Row],[累计净值]]/MAX(INDIRECT("B21:B" &amp; ROW()))-1,E205)</f>
        <v>-9.2879256965944235E-3</v>
      </c>
      <c r="F206" s="110">
        <f>表2_367162629303891213141516[[#This Row],[累计净值]]</f>
        <v>1.671</v>
      </c>
      <c r="G206" s="20">
        <f>IF(表2_367162629303891213141516[[#This Row],[累计净值]]&gt;1.217,0.7*(表2_367162629303891213141516[[#This Row],[累计净值]]-1.217)/1.217,(表2_367162629303891213141516[[#This Row],[累计净值]]-1.217)/1.217)</f>
        <v>0.2611339359079704</v>
      </c>
    </row>
    <row r="207" spans="1:7">
      <c r="A207" s="15">
        <v>44224</v>
      </c>
      <c r="B207" s="112">
        <v>1.665</v>
      </c>
      <c r="C207" s="108">
        <f t="shared" si="59"/>
        <v>-6.0000000000000053E-3</v>
      </c>
      <c r="D207" s="109">
        <f t="shared" si="60"/>
        <v>-6.0000000000000053E-3</v>
      </c>
      <c r="E207" s="109">
        <f ca="1">IF(表2_367162629303891213141516[[#This Row],[累计净值]]/MAX(INDIRECT("B21:B" &amp; ROW()))-1&lt;E206,表2_367162629303891213141516[[#This Row],[累计净值]]/MAX(INDIRECT("B21:B" &amp; ROW()))-1,E206)</f>
        <v>-9.2879256965944235E-3</v>
      </c>
      <c r="F207" s="110">
        <f>表2_367162629303891213141516[[#This Row],[累计净值]]</f>
        <v>1.665</v>
      </c>
      <c r="G207" s="20">
        <f>IF(表2_367162629303891213141516[[#This Row],[累计净值]]&gt;1.217,0.7*(表2_367162629303891213141516[[#This Row],[累计净值]]-1.217)/1.217,(表2_367162629303891213141516[[#This Row],[累计净值]]-1.217)/1.217)</f>
        <v>0.25768282662284298</v>
      </c>
    </row>
    <row r="208" spans="1:7">
      <c r="A208" s="15">
        <v>44225</v>
      </c>
      <c r="B208" s="112">
        <v>1.6579999999999999</v>
      </c>
      <c r="C208" s="108">
        <f t="shared" si="59"/>
        <v>-7.0000000000001172E-3</v>
      </c>
      <c r="D208" s="109">
        <f t="shared" si="60"/>
        <v>-7.0000000000001172E-3</v>
      </c>
      <c r="E208" s="109">
        <f ca="1">IF(表2_367162629303891213141516[[#This Row],[累计净值]]/MAX(INDIRECT("B21:B" &amp; ROW()))-1&lt;E207,表2_367162629303891213141516[[#This Row],[累计净值]]/MAX(INDIRECT("B21:B" &amp; ROW()))-1,E207)</f>
        <v>-9.2879256965944235E-3</v>
      </c>
      <c r="F208" s="110">
        <f>表2_367162629303891213141516[[#This Row],[累计净值]]</f>
        <v>1.6579999999999999</v>
      </c>
      <c r="G208" s="20">
        <f>IF(表2_367162629303891213141516[[#This Row],[累计净值]]&gt;1.217,0.7*(表2_367162629303891213141516[[#This Row],[累计净值]]-1.217)/1.217,(表2_367162629303891213141516[[#This Row],[累计净值]]-1.217)/1.217)</f>
        <v>0.25365653245686098</v>
      </c>
    </row>
    <row r="209" spans="1:7">
      <c r="A209" s="15">
        <v>44228</v>
      </c>
      <c r="B209" s="112">
        <v>1.665</v>
      </c>
      <c r="C209" s="108">
        <f t="shared" si="59"/>
        <v>7.0000000000001172E-3</v>
      </c>
      <c r="D209" s="109" t="str">
        <f t="shared" si="60"/>
        <v>/</v>
      </c>
      <c r="E209" s="109">
        <f ca="1">IF(表2_367162629303891213141516[[#This Row],[累计净值]]/MAX(INDIRECT("B21:B" &amp; ROW()))-1&lt;E208,表2_367162629303891213141516[[#This Row],[累计净值]]/MAX(INDIRECT("B21:B" &amp; ROW()))-1,E208)</f>
        <v>-9.2879256965944235E-3</v>
      </c>
      <c r="F209" s="110">
        <f>表2_367162629303891213141516[[#This Row],[累计净值]]</f>
        <v>1.665</v>
      </c>
      <c r="G209" s="20">
        <f>IF(表2_367162629303891213141516[[#This Row],[累计净值]]&gt;1.217,0.7*(表2_367162629303891213141516[[#This Row],[累计净值]]-1.217)/1.217,(表2_367162629303891213141516[[#This Row],[累计净值]]-1.217)/1.217)</f>
        <v>0.25768282662284298</v>
      </c>
    </row>
    <row r="210" spans="1:7">
      <c r="A210" s="15">
        <v>44229</v>
      </c>
      <c r="B210" s="112">
        <v>1.67</v>
      </c>
      <c r="C210" s="108">
        <f t="shared" si="59"/>
        <v>4.9999999999998934E-3</v>
      </c>
      <c r="D210" s="109" t="str">
        <f t="shared" si="60"/>
        <v>/</v>
      </c>
      <c r="E210" s="109">
        <f ca="1">IF(表2_367162629303891213141516[[#This Row],[累计净值]]/MAX(INDIRECT("B21:B" &amp; ROW()))-1&lt;E209,表2_367162629303891213141516[[#This Row],[累计净值]]/MAX(INDIRECT("B21:B" &amp; ROW()))-1,E209)</f>
        <v>-9.2879256965944235E-3</v>
      </c>
      <c r="F210" s="110">
        <f>表2_367162629303891213141516[[#This Row],[累计净值]]</f>
        <v>1.67</v>
      </c>
      <c r="G210" s="20">
        <f>IF(表2_367162629303891213141516[[#This Row],[累计净值]]&gt;1.217,0.7*(表2_367162629303891213141516[[#This Row],[累计净值]]-1.217)/1.217,(表2_367162629303891213141516[[#This Row],[累计净值]]-1.217)/1.217)</f>
        <v>0.26055875102711573</v>
      </c>
    </row>
    <row r="211" spans="1:7">
      <c r="A211" s="15">
        <v>44230</v>
      </c>
      <c r="B211" s="112">
        <v>1.6759999999999999</v>
      </c>
      <c r="C211" s="108">
        <f t="shared" si="59"/>
        <v>6.0000000000000053E-3</v>
      </c>
      <c r="D211" s="109" t="str">
        <f t="shared" si="60"/>
        <v>/</v>
      </c>
      <c r="E211" s="109">
        <f ca="1">IF(表2_367162629303891213141516[[#This Row],[累计净值]]/MAX(INDIRECT("B21:B" &amp; ROW()))-1&lt;E210,表2_367162629303891213141516[[#This Row],[累计净值]]/MAX(INDIRECT("B21:B" &amp; ROW()))-1,E210)</f>
        <v>-9.2879256965944235E-3</v>
      </c>
      <c r="F211" s="110">
        <f>表2_367162629303891213141516[[#This Row],[累计净值]]</f>
        <v>1.6759999999999999</v>
      </c>
      <c r="G211" s="20">
        <f>IF(表2_367162629303891213141516[[#This Row],[累计净值]]&gt;1.217,0.7*(表2_367162629303891213141516[[#This Row],[累计净值]]-1.217)/1.217,(表2_367162629303891213141516[[#This Row],[累计净值]]-1.217)/1.217)</f>
        <v>0.26400986031224311</v>
      </c>
    </row>
    <row r="212" spans="1:7">
      <c r="A212" s="15">
        <v>44231</v>
      </c>
      <c r="B212" s="112">
        <v>1.675</v>
      </c>
      <c r="C212" s="108">
        <f t="shared" si="59"/>
        <v>-9.9999999999988987E-4</v>
      </c>
      <c r="D212" s="109">
        <f t="shared" si="60"/>
        <v>-9.9999999999988987E-4</v>
      </c>
      <c r="E212" s="109">
        <f ca="1">IF(表2_367162629303891213141516[[#This Row],[累计净值]]/MAX(INDIRECT("B21:B" &amp; ROW()))-1&lt;E211,表2_367162629303891213141516[[#This Row],[累计净值]]/MAX(INDIRECT("B21:B" &amp; ROW()))-1,E211)</f>
        <v>-9.2879256965944235E-3</v>
      </c>
      <c r="F212" s="110">
        <f>表2_367162629303891213141516[[#This Row],[累计净值]]</f>
        <v>1.675</v>
      </c>
      <c r="G212" s="20">
        <f>IF(表2_367162629303891213141516[[#This Row],[累计净值]]&gt;1.217,0.7*(表2_367162629303891213141516[[#This Row],[累计净值]]-1.217)/1.217,(表2_367162629303891213141516[[#This Row],[累计净值]]-1.217)/1.217)</f>
        <v>0.2634346754313886</v>
      </c>
    </row>
    <row r="213" spans="1:7">
      <c r="A213" s="15">
        <v>44232</v>
      </c>
      <c r="B213" s="117">
        <v>1.681</v>
      </c>
      <c r="C213" s="108">
        <f>IFERROR(B213-B212,0)</f>
        <v>6.0000000000000053E-3</v>
      </c>
      <c r="D213" s="109" t="str">
        <f>IF(C213&lt;0,C213,"/")</f>
        <v>/</v>
      </c>
      <c r="E213" s="109">
        <f ca="1">IF(表2_367162629303891213141516[[#This Row],[累计净值]]/MAX(INDIRECT("B21:B" &amp; ROW()))-1&lt;E212,表2_367162629303891213141516[[#This Row],[累计净值]]/MAX(INDIRECT("B21:B" &amp; ROW()))-1,E212)</f>
        <v>-9.2879256965944235E-3</v>
      </c>
      <c r="F213" s="110">
        <f>表2_367162629303891213141516[[#This Row],[累计净值]]</f>
        <v>1.681</v>
      </c>
      <c r="G213" s="20">
        <f>IF(表2_367162629303891213141516[[#This Row],[累计净值]]&gt;1.217,0.7*(表2_367162629303891213141516[[#This Row],[累计净值]]-1.217)/1.217,(表2_367162629303891213141516[[#This Row],[累计净值]]-1.217)/1.217)</f>
        <v>0.26688578471651597</v>
      </c>
    </row>
    <row r="214" spans="1:7">
      <c r="A214" s="15">
        <v>44235</v>
      </c>
      <c r="B214" s="112">
        <v>1.679</v>
      </c>
      <c r="C214" s="108">
        <f>IFERROR(B214-B213,0)</f>
        <v>-2.0000000000000018E-3</v>
      </c>
      <c r="D214" s="109">
        <f>IF(C214&lt;0,C214,"/")</f>
        <v>-2.0000000000000018E-3</v>
      </c>
      <c r="E214" s="109">
        <f ca="1">IF(表2_367162629303891213141516[[#This Row],[累计净值]]/MAX(INDIRECT("B21:B" &amp; ROW()))-1&lt;E213,表2_367162629303891213141516[[#This Row],[累计净值]]/MAX(INDIRECT("B21:B" &amp; ROW()))-1,E213)</f>
        <v>-9.2879256965944235E-3</v>
      </c>
      <c r="F214" s="110">
        <f>表2_367162629303891213141516[[#This Row],[累计净值]]</f>
        <v>1.679</v>
      </c>
      <c r="G214" s="20">
        <f>IF(表2_367162629303891213141516[[#This Row],[累计净值]]&gt;1.217,0.7*(表2_367162629303891213141516[[#This Row],[累计净值]]-1.217)/1.217,(表2_367162629303891213141516[[#This Row],[累计净值]]-1.217)/1.217)</f>
        <v>0.26573541495480685</v>
      </c>
    </row>
    <row r="215" spans="1:7">
      <c r="A215" s="15">
        <v>44236</v>
      </c>
      <c r="B215" s="112">
        <v>1.6819999999999999</v>
      </c>
      <c r="C215" s="108">
        <f>IFERROR(B215-B214,0)</f>
        <v>2.9999999999998916E-3</v>
      </c>
      <c r="D215" s="109" t="str">
        <f>IF(C215&lt;0,C215,"/")</f>
        <v>/</v>
      </c>
      <c r="E215" s="109">
        <f ca="1">IF(表2_367162629303891213141516[[#This Row],[累计净值]]/MAX(INDIRECT("B21:B" &amp; ROW()))-1&lt;E214,表2_367162629303891213141516[[#This Row],[累计净值]]/MAX(INDIRECT("B21:B" &amp; ROW()))-1,E214)</f>
        <v>-9.2879256965944235E-3</v>
      </c>
      <c r="F215" s="110">
        <f>表2_367162629303891213141516[[#This Row],[累计净值]]</f>
        <v>1.6819999999999999</v>
      </c>
      <c r="G215" s="20">
        <f>IF(表2_367162629303891213141516[[#This Row],[累计净值]]&gt;1.217,0.7*(表2_367162629303891213141516[[#This Row],[累计净值]]-1.217)/1.217,(表2_367162629303891213141516[[#This Row],[累计净值]]-1.217)/1.217)</f>
        <v>0.26746096959737048</v>
      </c>
    </row>
    <row r="216" spans="1:7">
      <c r="A216" s="15">
        <v>44237</v>
      </c>
      <c r="B216" s="112">
        <v>1.6839999999999999</v>
      </c>
      <c r="C216" s="108">
        <f t="shared" ref="C216:C218" si="61">IFERROR(B216-B215,0)</f>
        <v>2.0000000000000018E-3</v>
      </c>
      <c r="D216" s="109" t="str">
        <f t="shared" ref="D216:D218" si="62">IF(C216&lt;0,C216,"/")</f>
        <v>/</v>
      </c>
      <c r="E216" s="109">
        <f ca="1">IF(表2_367162629303891213141516[[#This Row],[累计净值]]/MAX(INDIRECT("B21:B" &amp; ROW()))-1&lt;E215,表2_367162629303891213141516[[#This Row],[累计净值]]/MAX(INDIRECT("B21:B" &amp; ROW()))-1,E215)</f>
        <v>-9.2879256965944235E-3</v>
      </c>
      <c r="F216" s="110">
        <f>表2_367162629303891213141516[[#This Row],[累计净值]]</f>
        <v>1.6839999999999999</v>
      </c>
      <c r="G216" s="20">
        <f>IF(表2_367162629303891213141516[[#This Row],[累计净值]]&gt;1.217,0.7*(表2_367162629303891213141516[[#This Row],[累计净值]]-1.217)/1.217,(表2_367162629303891213141516[[#This Row],[累计净值]]-1.217)/1.217)</f>
        <v>0.26861133935907955</v>
      </c>
    </row>
    <row r="217" spans="1:7">
      <c r="A217" s="15">
        <v>44245</v>
      </c>
      <c r="B217" s="112">
        <v>1.6839999999999999</v>
      </c>
      <c r="C217" s="108">
        <f t="shared" si="61"/>
        <v>0</v>
      </c>
      <c r="D217" s="109" t="str">
        <f t="shared" si="62"/>
        <v>/</v>
      </c>
      <c r="E217" s="109">
        <f ca="1">IF(表2_367162629303891213141516[[#This Row],[累计净值]]/MAX(INDIRECT("B21:B" &amp; ROW()))-1&lt;E216,表2_367162629303891213141516[[#This Row],[累计净值]]/MAX(INDIRECT("B21:B" &amp; ROW()))-1,E216)</f>
        <v>-9.2879256965944235E-3</v>
      </c>
      <c r="F217" s="110">
        <f>表2_367162629303891213141516[[#This Row],[累计净值]]</f>
        <v>1.6839999999999999</v>
      </c>
      <c r="G217" s="20">
        <f>IF(表2_367162629303891213141516[[#This Row],[累计净值]]&gt;1.217,0.7*(表2_367162629303891213141516[[#This Row],[累计净值]]-1.217)/1.217,(表2_367162629303891213141516[[#This Row],[累计净值]]-1.217)/1.217)</f>
        <v>0.26861133935907955</v>
      </c>
    </row>
    <row r="218" spans="1:7">
      <c r="A218" s="15">
        <v>44246</v>
      </c>
      <c r="B218" s="117">
        <v>1.6950000000000001</v>
      </c>
      <c r="C218" s="108">
        <f t="shared" si="61"/>
        <v>1.1000000000000121E-2</v>
      </c>
      <c r="D218" s="109" t="str">
        <f t="shared" si="62"/>
        <v>/</v>
      </c>
      <c r="E218" s="109">
        <f ca="1">IF(表2_367162629303891213141516[[#This Row],[累计净值]]/MAX(INDIRECT("B21:B" &amp; ROW()))-1&lt;E217,表2_367162629303891213141516[[#This Row],[累计净值]]/MAX(INDIRECT("B21:B" &amp; ROW()))-1,E217)</f>
        <v>-9.2879256965944235E-3</v>
      </c>
      <c r="F218" s="110">
        <f>表2_367162629303891213141516[[#This Row],[累计净值]]</f>
        <v>1.6950000000000001</v>
      </c>
      <c r="G218" s="20">
        <f>IF(表2_367162629303891213141516[[#This Row],[累计净值]]&gt;1.217,0.7*(表2_367162629303891213141516[[#This Row],[累计净值]]-1.217)/1.217,(表2_367162629303891213141516[[#This Row],[累计净值]]-1.217)/1.217)</f>
        <v>0.27493837304847979</v>
      </c>
    </row>
    <row r="219" spans="1:7">
      <c r="A219" s="15">
        <v>44249</v>
      </c>
      <c r="B219" s="112">
        <v>1.6919999999999999</v>
      </c>
      <c r="C219" s="108">
        <f>IFERROR(B219-B218,0)</f>
        <v>-3.0000000000001137E-3</v>
      </c>
      <c r="D219" s="109">
        <f>IF(C219&lt;0,C219,"/")</f>
        <v>-3.0000000000001137E-3</v>
      </c>
      <c r="E219" s="109">
        <f ca="1">IF(表2_367162629303891213141516[[#This Row],[累计净值]]/MAX(INDIRECT("B21:B" &amp; ROW()))-1&lt;E218,表2_367162629303891213141516[[#This Row],[累计净值]]/MAX(INDIRECT("B21:B" &amp; ROW()))-1,E218)</f>
        <v>-9.2879256965944235E-3</v>
      </c>
      <c r="F219" s="110">
        <f>表2_367162629303891213141516[[#This Row],[累计净值]]</f>
        <v>1.6919999999999999</v>
      </c>
      <c r="G219" s="20">
        <f>IF(表2_367162629303891213141516[[#This Row],[累计净值]]&gt;1.217,0.7*(表2_367162629303891213141516[[#This Row],[累计净值]]-1.217)/1.217,(表2_367162629303891213141516[[#This Row],[累计净值]]-1.217)/1.217)</f>
        <v>0.2732128184059161</v>
      </c>
    </row>
    <row r="220" spans="1:7">
      <c r="A220" s="15">
        <v>44250</v>
      </c>
      <c r="B220" s="112">
        <v>1.6930000000000001</v>
      </c>
      <c r="C220" s="108">
        <f t="shared" ref="C220:C221" si="63">IFERROR(B220-B219,0)</f>
        <v>1.0000000000001119E-3</v>
      </c>
      <c r="D220" s="109" t="str">
        <f t="shared" ref="D220:D221" si="64">IF(C220&lt;0,C220,"/")</f>
        <v>/</v>
      </c>
      <c r="E220" s="109">
        <f ca="1">IF(表2_367162629303891213141516[[#This Row],[累计净值]]/MAX(INDIRECT("B21:B" &amp; ROW()))-1&lt;E219,表2_367162629303891213141516[[#This Row],[累计净值]]/MAX(INDIRECT("B21:B" &amp; ROW()))-1,E219)</f>
        <v>-9.2879256965944235E-3</v>
      </c>
      <c r="F220" s="110">
        <f>表2_367162629303891213141516[[#This Row],[累计净值]]</f>
        <v>1.6930000000000001</v>
      </c>
      <c r="G220" s="20">
        <f>IF(表2_367162629303891213141516[[#This Row],[累计净值]]&gt;1.217,0.7*(表2_367162629303891213141516[[#This Row],[累计净值]]-1.217)/1.217,(表2_367162629303891213141516[[#This Row],[累计净值]]-1.217)/1.217)</f>
        <v>0.27378800328677066</v>
      </c>
    </row>
    <row r="221" spans="1:7">
      <c r="A221" s="15">
        <v>44251</v>
      </c>
      <c r="B221" s="112">
        <v>1.6879999999999999</v>
      </c>
      <c r="C221" s="108">
        <f t="shared" si="63"/>
        <v>-5.0000000000001155E-3</v>
      </c>
      <c r="D221" s="109">
        <f t="shared" si="64"/>
        <v>-5.0000000000001155E-3</v>
      </c>
      <c r="E221" s="109">
        <f ca="1">IF(表2_367162629303891213141516[[#This Row],[累计净值]]/MAX(INDIRECT("B21:B" &amp; ROW()))-1&lt;E220,表2_367162629303891213141516[[#This Row],[累计净值]]/MAX(INDIRECT("B21:B" &amp; ROW()))-1,E220)</f>
        <v>-9.2879256965944235E-3</v>
      </c>
      <c r="F221" s="110">
        <f>表2_367162629303891213141516[[#This Row],[累计净值]]</f>
        <v>1.6879999999999999</v>
      </c>
      <c r="G221" s="20">
        <f>IF(表2_367162629303891213141516[[#This Row],[累计净值]]&gt;1.217,0.7*(表2_367162629303891213141516[[#This Row],[累计净值]]-1.217)/1.217,(表2_367162629303891213141516[[#This Row],[累计净值]]-1.217)/1.217)</f>
        <v>0.27091207888249785</v>
      </c>
    </row>
    <row r="222" spans="1:7">
      <c r="A222" s="15">
        <v>44252</v>
      </c>
      <c r="B222" s="112">
        <v>1.696</v>
      </c>
      <c r="C222" s="108">
        <f t="shared" ref="C222:C223" si="65">IFERROR(B222-B221,0)</f>
        <v>8.0000000000000071E-3</v>
      </c>
      <c r="D222" s="109" t="str">
        <f t="shared" ref="D222:D223" si="66">IF(C222&lt;0,C222,"/")</f>
        <v>/</v>
      </c>
      <c r="E222" s="109">
        <f ca="1">IF(表2_367162629303891213141516[[#This Row],[累计净值]]/MAX(INDIRECT("B21:B" &amp; ROW()))-1&lt;E221,表2_367162629303891213141516[[#This Row],[累计净值]]/MAX(INDIRECT("B21:B" &amp; ROW()))-1,E221)</f>
        <v>-9.2879256965944235E-3</v>
      </c>
      <c r="F222" s="110">
        <f>表2_367162629303891213141516[[#This Row],[累计净值]]</f>
        <v>1.696</v>
      </c>
      <c r="G222" s="20">
        <f>IF(表2_367162629303891213141516[[#This Row],[累计净值]]&gt;1.217,0.7*(表2_367162629303891213141516[[#This Row],[累计净值]]-1.217)/1.217,(表2_367162629303891213141516[[#This Row],[累计净值]]-1.217)/1.217)</f>
        <v>0.2755135579293343</v>
      </c>
    </row>
    <row r="223" spans="1:7">
      <c r="A223" s="15">
        <v>44253</v>
      </c>
      <c r="B223" s="112">
        <v>1.69</v>
      </c>
      <c r="C223" s="108">
        <f t="shared" si="65"/>
        <v>-6.0000000000000053E-3</v>
      </c>
      <c r="D223" s="109">
        <f t="shared" si="66"/>
        <v>-6.0000000000000053E-3</v>
      </c>
      <c r="E223" s="109">
        <f ca="1">IF(表2_367162629303891213141516[[#This Row],[累计净值]]/MAX(INDIRECT("B21:B" &amp; ROW()))-1&lt;E222,表2_367162629303891213141516[[#This Row],[累计净值]]/MAX(INDIRECT("B21:B" &amp; ROW()))-1,E222)</f>
        <v>-9.2879256965944235E-3</v>
      </c>
      <c r="F223" s="110">
        <f>表2_367162629303891213141516[[#This Row],[累计净值]]</f>
        <v>1.69</v>
      </c>
      <c r="G223" s="20">
        <f>IF(表2_367162629303891213141516[[#This Row],[累计净值]]&gt;1.217,0.7*(表2_367162629303891213141516[[#This Row],[累计净值]]-1.217)/1.217,(表2_367162629303891213141516[[#This Row],[累计净值]]-1.217)/1.217)</f>
        <v>0.27206244864420698</v>
      </c>
    </row>
    <row r="224" spans="1:7">
      <c r="A224" s="15">
        <v>44256</v>
      </c>
      <c r="B224" s="112">
        <v>1.6950000000000001</v>
      </c>
      <c r="C224" s="108">
        <f t="shared" ref="C224:C226" si="67">IFERROR(B224-B223,0)</f>
        <v>5.0000000000001155E-3</v>
      </c>
      <c r="D224" s="109" t="str">
        <f t="shared" ref="D224:D226" si="68">IF(C224&lt;0,C224,"/")</f>
        <v>/</v>
      </c>
      <c r="E224" s="109">
        <f ca="1">IF(表2_367162629303891213141516[[#This Row],[累计净值]]/MAX(INDIRECT("B21:B" &amp; ROW()))-1&lt;E223,表2_367162629303891213141516[[#This Row],[累计净值]]/MAX(INDIRECT("B21:B" &amp; ROW()))-1,E223)</f>
        <v>-9.2879256965944235E-3</v>
      </c>
      <c r="F224" s="110">
        <f>表2_367162629303891213141516[[#This Row],[累计净值]]</f>
        <v>1.6950000000000001</v>
      </c>
      <c r="G224" s="20">
        <f>IF(表2_367162629303891213141516[[#This Row],[累计净值]]&gt;1.217,0.7*(表2_367162629303891213141516[[#This Row],[累计净值]]-1.217)/1.217,(表2_367162629303891213141516[[#This Row],[累计净值]]-1.217)/1.217)</f>
        <v>0.27493837304847979</v>
      </c>
    </row>
    <row r="225" spans="1:7">
      <c r="A225" s="15">
        <v>44257</v>
      </c>
      <c r="B225" s="112">
        <v>1.696</v>
      </c>
      <c r="C225" s="108">
        <f t="shared" si="67"/>
        <v>9.9999999999988987E-4</v>
      </c>
      <c r="D225" s="109" t="str">
        <f t="shared" si="68"/>
        <v>/</v>
      </c>
      <c r="E225" s="109">
        <f ca="1">IF(表2_367162629303891213141516[[#This Row],[累计净值]]/MAX(INDIRECT("B21:B" &amp; ROW()))-1&lt;E224,表2_367162629303891213141516[[#This Row],[累计净值]]/MAX(INDIRECT("B21:B" &amp; ROW()))-1,E224)</f>
        <v>-9.2879256965944235E-3</v>
      </c>
      <c r="F225" s="110">
        <f>表2_367162629303891213141516[[#This Row],[累计净值]]</f>
        <v>1.696</v>
      </c>
      <c r="G225" s="20">
        <f>IF(表2_367162629303891213141516[[#This Row],[累计净值]]&gt;1.217,0.7*(表2_367162629303891213141516[[#This Row],[累计净值]]-1.217)/1.217,(表2_367162629303891213141516[[#This Row],[累计净值]]-1.217)/1.217)</f>
        <v>0.2755135579293343</v>
      </c>
    </row>
    <row r="226" spans="1:7" ht="13.5" customHeight="1">
      <c r="A226" s="15">
        <v>44258</v>
      </c>
      <c r="B226" s="117">
        <v>1.7030000000000001</v>
      </c>
      <c r="C226" s="108">
        <f t="shared" si="67"/>
        <v>7.0000000000001172E-3</v>
      </c>
      <c r="D226" s="109" t="str">
        <f t="shared" si="68"/>
        <v>/</v>
      </c>
      <c r="E226" s="109">
        <f ca="1">IF(表2_367162629303891213141516[[#This Row],[累计净值]]/MAX(INDIRECT("B21:B" &amp; ROW()))-1&lt;E225,表2_367162629303891213141516[[#This Row],[累计净值]]/MAX(INDIRECT("B21:B" &amp; ROW()))-1,E225)</f>
        <v>-9.2879256965944235E-3</v>
      </c>
      <c r="F226" s="110">
        <f>表2_367162629303891213141516[[#This Row],[累计净值]]</f>
        <v>1.7030000000000001</v>
      </c>
      <c r="G226" s="20">
        <f>IF(表2_367162629303891213141516[[#This Row],[累计净值]]&gt;1.217,0.7*(表2_367162629303891213141516[[#This Row],[累计净值]]-1.217)/1.217,(表2_367162629303891213141516[[#This Row],[累计净值]]-1.217)/1.217)</f>
        <v>0.27953985209531629</v>
      </c>
    </row>
    <row r="227" spans="1:7">
      <c r="A227" s="15">
        <v>44259</v>
      </c>
      <c r="B227" s="112">
        <v>1.6970000000000001</v>
      </c>
      <c r="C227" s="108">
        <f t="shared" ref="C227:C231" si="69">IFERROR(B227-B226,0)</f>
        <v>-6.0000000000000053E-3</v>
      </c>
      <c r="D227" s="109">
        <f t="shared" ref="D227:D231" si="70">IF(C227&lt;0,C227,"/")</f>
        <v>-6.0000000000000053E-3</v>
      </c>
      <c r="E227" s="109">
        <f ca="1">IF(表2_367162629303891213141516[[#This Row],[累计净值]]/MAX(INDIRECT("B21:B" &amp; ROW()))-1&lt;E226,表2_367162629303891213141516[[#This Row],[累计净值]]/MAX(INDIRECT("B21:B" &amp; ROW()))-1,E226)</f>
        <v>-9.2879256965944235E-3</v>
      </c>
      <c r="F227" s="110">
        <f>表2_367162629303891213141516[[#This Row],[累计净值]]</f>
        <v>1.6970000000000001</v>
      </c>
      <c r="G227" s="20">
        <f>IF(表2_367162629303891213141516[[#This Row],[累计净值]]&gt;1.217,0.7*(表2_367162629303891213141516[[#This Row],[累计净值]]-1.217)/1.217,(表2_367162629303891213141516[[#This Row],[累计净值]]-1.217)/1.217)</f>
        <v>0.27608874281018897</v>
      </c>
    </row>
    <row r="228" spans="1:7">
      <c r="A228" s="15">
        <v>44260</v>
      </c>
      <c r="B228" s="112">
        <v>1.698</v>
      </c>
      <c r="C228" s="108">
        <f t="shared" si="69"/>
        <v>9.9999999999988987E-4</v>
      </c>
      <c r="D228" s="109" t="str">
        <f t="shared" si="70"/>
        <v>/</v>
      </c>
      <c r="E228" s="109">
        <f ca="1">IF(表2_367162629303891213141516[[#This Row],[累计净值]]/MAX(INDIRECT("B21:B" &amp; ROW()))-1&lt;E227,表2_367162629303891213141516[[#This Row],[累计净值]]/MAX(INDIRECT("B21:B" &amp; ROW()))-1,E227)</f>
        <v>-9.2879256965944235E-3</v>
      </c>
      <c r="F228" s="110">
        <f>表2_367162629303891213141516[[#This Row],[累计净值]]</f>
        <v>1.698</v>
      </c>
      <c r="G228" s="20">
        <f>IF(表2_367162629303891213141516[[#This Row],[累计净值]]&gt;1.217,0.7*(表2_367162629303891213141516[[#This Row],[累计净值]]-1.217)/1.217,(表2_367162629303891213141516[[#This Row],[累计净值]]-1.217)/1.217)</f>
        <v>0.27666392769104342</v>
      </c>
    </row>
    <row r="229" spans="1:7">
      <c r="A229" s="15">
        <v>44263</v>
      </c>
      <c r="B229" s="112">
        <v>1.6839999999999999</v>
      </c>
      <c r="C229" s="108">
        <f t="shared" si="69"/>
        <v>-1.4000000000000012E-2</v>
      </c>
      <c r="D229" s="109">
        <f t="shared" si="70"/>
        <v>-1.4000000000000012E-2</v>
      </c>
      <c r="E229" s="109">
        <f ca="1">IF(表2_367162629303891213141516[[#This Row],[累计净值]]/MAX(INDIRECT("B21:B" &amp; ROW()))-1&lt;E228,表2_367162629303891213141516[[#This Row],[累计净值]]/MAX(INDIRECT("B21:B" &amp; ROW()))-1,E228)</f>
        <v>-1.1156782149148614E-2</v>
      </c>
      <c r="F229" s="110">
        <f>表2_367162629303891213141516[[#This Row],[累计净值]]</f>
        <v>1.6839999999999999</v>
      </c>
      <c r="G229" s="20">
        <f>IF(表2_367162629303891213141516[[#This Row],[累计净值]]&gt;1.217,0.7*(表2_367162629303891213141516[[#This Row],[累计净值]]-1.217)/1.217,(表2_367162629303891213141516[[#This Row],[累计净值]]-1.217)/1.217)</f>
        <v>0.26861133935907955</v>
      </c>
    </row>
    <row r="230" spans="1:7">
      <c r="A230" s="15">
        <v>44264</v>
      </c>
      <c r="B230" s="112">
        <v>1.6919999999999999</v>
      </c>
      <c r="C230" s="108">
        <f t="shared" si="69"/>
        <v>8.0000000000000071E-3</v>
      </c>
      <c r="D230" s="109" t="str">
        <f t="shared" si="70"/>
        <v>/</v>
      </c>
      <c r="E230" s="109">
        <f ca="1">IF(表2_367162629303891213141516[[#This Row],[累计净值]]/MAX(INDIRECT("B21:B" &amp; ROW()))-1&lt;E229,表2_367162629303891213141516[[#This Row],[累计净值]]/MAX(INDIRECT("B21:B" &amp; ROW()))-1,E229)</f>
        <v>-1.1156782149148614E-2</v>
      </c>
      <c r="F230" s="110">
        <f>表2_367162629303891213141516[[#This Row],[累计净值]]</f>
        <v>1.6919999999999999</v>
      </c>
      <c r="G230" s="20">
        <f>IF(表2_367162629303891213141516[[#This Row],[累计净值]]&gt;1.217,0.7*(表2_367162629303891213141516[[#This Row],[累计净值]]-1.217)/1.217,(表2_367162629303891213141516[[#This Row],[累计净值]]-1.217)/1.217)</f>
        <v>0.2732128184059161</v>
      </c>
    </row>
    <row r="231" spans="1:7">
      <c r="A231" s="15">
        <v>44265</v>
      </c>
      <c r="B231" s="112">
        <v>1.6990000000000001</v>
      </c>
      <c r="C231" s="108">
        <f t="shared" si="69"/>
        <v>7.0000000000001172E-3</v>
      </c>
      <c r="D231" s="109" t="str">
        <f t="shared" si="70"/>
        <v>/</v>
      </c>
      <c r="E231" s="109">
        <f ca="1">IF(表2_367162629303891213141516[[#This Row],[累计净值]]/MAX(INDIRECT("B21:B" &amp; ROW()))-1&lt;E230,表2_367162629303891213141516[[#This Row],[累计净值]]/MAX(INDIRECT("B21:B" &amp; ROW()))-1,E230)</f>
        <v>-1.1156782149148614E-2</v>
      </c>
      <c r="F231" s="110">
        <f>表2_367162629303891213141516[[#This Row],[累计净值]]</f>
        <v>1.6990000000000001</v>
      </c>
      <c r="G231" s="20">
        <f>IF(表2_367162629303891213141516[[#This Row],[累计净值]]&gt;1.217,0.7*(表2_367162629303891213141516[[#This Row],[累计净值]]-1.217)/1.217,(表2_367162629303891213141516[[#This Row],[累计净值]]-1.217)/1.217)</f>
        <v>0.27723911257189809</v>
      </c>
    </row>
    <row r="232" spans="1:7">
      <c r="A232" s="15">
        <v>44266</v>
      </c>
      <c r="B232" s="112">
        <v>1.7070000000000001</v>
      </c>
      <c r="C232" s="108">
        <f t="shared" ref="C232:C237" si="71">IFERROR(B232-B231,0)</f>
        <v>8.0000000000000071E-3</v>
      </c>
      <c r="D232" s="109" t="str">
        <f t="shared" ref="D232:D237" si="72">IF(C232&lt;0,C232,"/")</f>
        <v>/</v>
      </c>
      <c r="E232" s="109">
        <f ca="1">IF(表2_367162629303891213141516[[#This Row],[累计净值]]/MAX(INDIRECT("B21:B" &amp; ROW()))-1&lt;E231,表2_367162629303891213141516[[#This Row],[累计净值]]/MAX(INDIRECT("B21:B" &amp; ROW()))-1,E231)</f>
        <v>-1.1156782149148614E-2</v>
      </c>
      <c r="F232" s="110">
        <f>表2_367162629303891213141516[[#This Row],[累计净值]]</f>
        <v>1.7070000000000001</v>
      </c>
      <c r="G232" s="20">
        <f>IF(表2_367162629303891213141516[[#This Row],[累计净值]]&gt;1.217,0.7*(表2_367162629303891213141516[[#This Row],[累计净值]]-1.217)/1.217,(表2_367162629303891213141516[[#This Row],[累计净值]]-1.217)/1.217)</f>
        <v>0.28184059161873454</v>
      </c>
    </row>
    <row r="233" spans="1:7">
      <c r="A233" s="15">
        <v>44267</v>
      </c>
      <c r="B233" s="112">
        <v>1.71</v>
      </c>
      <c r="C233" s="108">
        <f t="shared" si="71"/>
        <v>2.9999999999998916E-3</v>
      </c>
      <c r="D233" s="109" t="str">
        <f t="shared" si="72"/>
        <v>/</v>
      </c>
      <c r="E233" s="109">
        <f ca="1">IF(表2_367162629303891213141516[[#This Row],[累计净值]]/MAX(INDIRECT("B21:B" &amp; ROW()))-1&lt;E232,表2_367162629303891213141516[[#This Row],[累计净值]]/MAX(INDIRECT("B21:B" &amp; ROW()))-1,E232)</f>
        <v>-1.1156782149148614E-2</v>
      </c>
      <c r="F233" s="110">
        <f>表2_367162629303891213141516[[#This Row],[累计净值]]</f>
        <v>1.71</v>
      </c>
      <c r="G233" s="20">
        <f>IF(表2_367162629303891213141516[[#This Row],[累计净值]]&gt;1.217,0.7*(表2_367162629303891213141516[[#This Row],[累计净值]]-1.217)/1.217,(表2_367162629303891213141516[[#This Row],[累计净值]]-1.217)/1.217)</f>
        <v>0.28356614626129817</v>
      </c>
    </row>
    <row r="234" spans="1:7">
      <c r="A234" s="15">
        <v>44270</v>
      </c>
      <c r="B234" s="112">
        <v>1.708</v>
      </c>
      <c r="C234" s="108">
        <f t="shared" si="71"/>
        <v>-2.0000000000000018E-3</v>
      </c>
      <c r="D234" s="109">
        <f t="shared" si="72"/>
        <v>-2.0000000000000018E-3</v>
      </c>
      <c r="E234" s="109">
        <f ca="1">IF(表2_367162629303891213141516[[#This Row],[累计净值]]/MAX(INDIRECT("B21:B" &amp; ROW()))-1&lt;E233,表2_367162629303891213141516[[#This Row],[累计净值]]/MAX(INDIRECT("B21:B" &amp; ROW()))-1,E233)</f>
        <v>-1.1156782149148614E-2</v>
      </c>
      <c r="F234" s="110">
        <f>表2_367162629303891213141516[[#This Row],[累计净值]]</f>
        <v>1.708</v>
      </c>
      <c r="G234" s="20">
        <f>IF(表2_367162629303891213141516[[#This Row],[累计净值]]&gt;1.217,0.7*(表2_367162629303891213141516[[#This Row],[累计净值]]-1.217)/1.217,(表2_367162629303891213141516[[#This Row],[累计净值]]-1.217)/1.217)</f>
        <v>0.28241577649958904</v>
      </c>
    </row>
    <row r="235" spans="1:7">
      <c r="A235" s="15">
        <v>44271</v>
      </c>
      <c r="B235" s="112">
        <v>1.712</v>
      </c>
      <c r="C235" s="108">
        <f t="shared" si="71"/>
        <v>4.0000000000000036E-3</v>
      </c>
      <c r="D235" s="109" t="str">
        <f t="shared" si="72"/>
        <v>/</v>
      </c>
      <c r="E235" s="109">
        <f ca="1">IF(表2_367162629303891213141516[[#This Row],[累计净值]]/MAX(INDIRECT("B21:B" &amp; ROW()))-1&lt;E234,表2_367162629303891213141516[[#This Row],[累计净值]]/MAX(INDIRECT("B21:B" &amp; ROW()))-1,E234)</f>
        <v>-1.1156782149148614E-2</v>
      </c>
      <c r="F235" s="110">
        <f>表2_367162629303891213141516[[#This Row],[累计净值]]</f>
        <v>1.712</v>
      </c>
      <c r="G235" s="20">
        <f>IF(表2_367162629303891213141516[[#This Row],[累计净值]]&gt;1.217,0.7*(表2_367162629303891213141516[[#This Row],[累计净值]]-1.217)/1.217,(表2_367162629303891213141516[[#This Row],[累计净值]]-1.217)/1.217)</f>
        <v>0.28471651602300729</v>
      </c>
    </row>
    <row r="236" spans="1:7">
      <c r="A236" s="15">
        <v>44272</v>
      </c>
      <c r="B236" s="112">
        <v>1.714</v>
      </c>
      <c r="C236" s="108">
        <f t="shared" si="71"/>
        <v>2.0000000000000018E-3</v>
      </c>
      <c r="D236" s="109" t="str">
        <f t="shared" si="72"/>
        <v>/</v>
      </c>
      <c r="E236" s="109">
        <f ca="1">IF(表2_367162629303891213141516[[#This Row],[累计净值]]/MAX(INDIRECT("B21:B" &amp; ROW()))-1&lt;E235,表2_367162629303891213141516[[#This Row],[累计净值]]/MAX(INDIRECT("B21:B" &amp; ROW()))-1,E235)</f>
        <v>-1.1156782149148614E-2</v>
      </c>
      <c r="F236" s="110">
        <f>表2_367162629303891213141516[[#This Row],[累计净值]]</f>
        <v>1.714</v>
      </c>
      <c r="G236" s="20">
        <f>IF(表2_367162629303891213141516[[#This Row],[累计净值]]&gt;1.217,0.7*(表2_367162629303891213141516[[#This Row],[累计净值]]-1.217)/1.217,(表2_367162629303891213141516[[#This Row],[累计净值]]-1.217)/1.217)</f>
        <v>0.28586688578471642</v>
      </c>
    </row>
    <row r="237" spans="1:7">
      <c r="A237" s="15">
        <v>44273</v>
      </c>
      <c r="B237" s="112">
        <v>1.7170000000000001</v>
      </c>
      <c r="C237" s="108">
        <f t="shared" si="71"/>
        <v>3.0000000000001137E-3</v>
      </c>
      <c r="D237" s="109" t="str">
        <f t="shared" si="72"/>
        <v>/</v>
      </c>
      <c r="E237" s="109">
        <f ca="1">IF(表2_367162629303891213141516[[#This Row],[累计净值]]/MAX(INDIRECT("B21:B" &amp; ROW()))-1&lt;E236,表2_367162629303891213141516[[#This Row],[累计净值]]/MAX(INDIRECT("B21:B" &amp; ROW()))-1,E236)</f>
        <v>-1.1156782149148614E-2</v>
      </c>
      <c r="F237" s="110">
        <f>表2_367162629303891213141516[[#This Row],[累计净值]]</f>
        <v>1.7170000000000001</v>
      </c>
      <c r="G237" s="20">
        <f>IF(表2_367162629303891213141516[[#This Row],[累计净值]]&gt;1.217,0.7*(表2_367162629303891213141516[[#This Row],[累计净值]]-1.217)/1.217,(表2_367162629303891213141516[[#This Row],[累计净值]]-1.217)/1.217)</f>
        <v>0.28759244042728016</v>
      </c>
    </row>
    <row r="238" spans="1:7">
      <c r="A238" s="15">
        <v>44274</v>
      </c>
      <c r="B238" s="112">
        <v>1.714</v>
      </c>
      <c r="C238" s="108">
        <f>IFERROR(B238-B237,0)</f>
        <v>-3.0000000000001137E-3</v>
      </c>
      <c r="D238" s="109">
        <f>IF(C238&lt;0,C238,"/")</f>
        <v>-3.0000000000001137E-3</v>
      </c>
      <c r="E238" s="109">
        <f ca="1">IF(表2_367162629303891213141516[[#This Row],[累计净值]]/MAX(INDIRECT("B21:B" &amp; ROW()))-1&lt;E237,表2_367162629303891213141516[[#This Row],[累计净值]]/MAX(INDIRECT("B21:B" &amp; ROW()))-1,E237)</f>
        <v>-1.1156782149148614E-2</v>
      </c>
      <c r="F238" s="110">
        <f>表2_367162629303891213141516[[#This Row],[累计净值]]</f>
        <v>1.714</v>
      </c>
      <c r="G238" s="20">
        <f>IF(表2_367162629303891213141516[[#This Row],[累计净值]]&gt;1.217,0.7*(表2_367162629303891213141516[[#This Row],[累计净值]]-1.217)/1.217,(表2_367162629303891213141516[[#This Row],[累计净值]]-1.217)/1.217)</f>
        <v>0.28586688578471642</v>
      </c>
    </row>
    <row r="239" spans="1:7">
      <c r="A239" s="15">
        <v>44277</v>
      </c>
      <c r="B239" s="112">
        <v>1.7170000000000001</v>
      </c>
      <c r="C239" s="108">
        <f>IFERROR(B239-B238,0)</f>
        <v>3.0000000000001137E-3</v>
      </c>
      <c r="D239" s="109" t="str">
        <f>IF(C239&lt;0,C239,"/")</f>
        <v>/</v>
      </c>
      <c r="E239" s="109">
        <f ca="1">IF(表2_367162629303891213141516[[#This Row],[累计净值]]/MAX(INDIRECT("B21:B" &amp; ROW()))-1&lt;E238,表2_367162629303891213141516[[#This Row],[累计净值]]/MAX(INDIRECT("B21:B" &amp; ROW()))-1,E238)</f>
        <v>-1.1156782149148614E-2</v>
      </c>
      <c r="F239" s="110">
        <f>表2_367162629303891213141516[[#This Row],[累计净值]]</f>
        <v>1.7170000000000001</v>
      </c>
      <c r="G239" s="20">
        <f>IF(表2_367162629303891213141516[[#This Row],[累计净值]]&gt;1.217,0.7*(表2_367162629303891213141516[[#This Row],[累计净值]]-1.217)/1.217,(表2_367162629303891213141516[[#This Row],[累计净值]]-1.217)/1.217)</f>
        <v>0.28759244042728016</v>
      </c>
    </row>
    <row r="240" spans="1:7">
      <c r="A240" s="15">
        <v>44278</v>
      </c>
      <c r="B240" s="112">
        <v>1.718</v>
      </c>
      <c r="C240" s="108">
        <f t="shared" ref="C240:C243" si="73">IFERROR(B240-B239,0)</f>
        <v>9.9999999999988987E-4</v>
      </c>
      <c r="D240" s="109" t="str">
        <f t="shared" ref="D240:D243" si="74">IF(C240&lt;0,C240,"/")</f>
        <v>/</v>
      </c>
      <c r="E240" s="109">
        <f ca="1">IF(表2_367162629303891213141516[[#This Row],[累计净值]]/MAX(INDIRECT("B21:B" &amp; ROW()))-1&lt;E239,表2_367162629303891213141516[[#This Row],[累计净值]]/MAX(INDIRECT("B21:B" &amp; ROW()))-1,E239)</f>
        <v>-1.1156782149148614E-2</v>
      </c>
      <c r="F240" s="110">
        <f>表2_367162629303891213141516[[#This Row],[累计净值]]</f>
        <v>1.718</v>
      </c>
      <c r="G240" s="20">
        <f>IF(表2_367162629303891213141516[[#This Row],[累计净值]]&gt;1.217,0.7*(表2_367162629303891213141516[[#This Row],[累计净值]]-1.217)/1.217,(表2_367162629303891213141516[[#This Row],[累计净值]]-1.217)/1.217)</f>
        <v>0.28816762530813467</v>
      </c>
    </row>
    <row r="241" spans="1:7">
      <c r="A241" s="15">
        <v>44279</v>
      </c>
      <c r="B241" s="112">
        <v>1.716</v>
      </c>
      <c r="C241" s="108">
        <f t="shared" si="73"/>
        <v>-2.0000000000000018E-3</v>
      </c>
      <c r="D241" s="109">
        <f t="shared" si="74"/>
        <v>-2.0000000000000018E-3</v>
      </c>
      <c r="E241" s="109">
        <f ca="1">IF(表2_367162629303891213141516[[#This Row],[累计净值]]/MAX(INDIRECT("B21:B" &amp; ROW()))-1&lt;E240,表2_367162629303891213141516[[#This Row],[累计净值]]/MAX(INDIRECT("B21:B" &amp; ROW()))-1,E240)</f>
        <v>-1.1156782149148614E-2</v>
      </c>
      <c r="F241" s="110">
        <f>表2_367162629303891213141516[[#This Row],[累计净值]]</f>
        <v>1.716</v>
      </c>
      <c r="G241" s="20">
        <f>IF(表2_367162629303891213141516[[#This Row],[累计净值]]&gt;1.217,0.7*(表2_367162629303891213141516[[#This Row],[累计净值]]-1.217)/1.217,(表2_367162629303891213141516[[#This Row],[累计净值]]-1.217)/1.217)</f>
        <v>0.28701725554642554</v>
      </c>
    </row>
    <row r="242" spans="1:7">
      <c r="A242" s="15">
        <v>44280</v>
      </c>
      <c r="B242" s="112">
        <v>1.718</v>
      </c>
      <c r="C242" s="108">
        <f t="shared" si="73"/>
        <v>2.0000000000000018E-3</v>
      </c>
      <c r="D242" s="109" t="str">
        <f t="shared" si="74"/>
        <v>/</v>
      </c>
      <c r="E242" s="109">
        <f ca="1">IF(表2_367162629303891213141516[[#This Row],[累计净值]]/MAX(INDIRECT("B21:B" &amp; ROW()))-1&lt;E241,表2_367162629303891213141516[[#This Row],[累计净值]]/MAX(INDIRECT("B21:B" &amp; ROW()))-1,E241)</f>
        <v>-1.1156782149148614E-2</v>
      </c>
      <c r="F242" s="110">
        <f>表2_367162629303891213141516[[#This Row],[累计净值]]</f>
        <v>1.718</v>
      </c>
      <c r="G242" s="20">
        <f>IF(表2_367162629303891213141516[[#This Row],[累计净值]]&gt;1.217,0.7*(表2_367162629303891213141516[[#This Row],[累计净值]]-1.217)/1.217,(表2_367162629303891213141516[[#This Row],[累计净值]]-1.217)/1.217)</f>
        <v>0.28816762530813467</v>
      </c>
    </row>
    <row r="243" spans="1:7">
      <c r="A243" s="15">
        <v>44281</v>
      </c>
      <c r="B243" s="112">
        <v>1.724</v>
      </c>
      <c r="C243" s="108">
        <f t="shared" si="73"/>
        <v>6.0000000000000053E-3</v>
      </c>
      <c r="D243" s="109" t="str">
        <f t="shared" si="74"/>
        <v>/</v>
      </c>
      <c r="E243" s="109">
        <f ca="1">IF(表2_367162629303891213141516[[#This Row],[累计净值]]/MAX(INDIRECT("B21:B" &amp; ROW()))-1&lt;E242,表2_367162629303891213141516[[#This Row],[累计净值]]/MAX(INDIRECT("B21:B" &amp; ROW()))-1,E242)</f>
        <v>-1.1156782149148614E-2</v>
      </c>
      <c r="F243" s="110">
        <f>表2_367162629303891213141516[[#This Row],[累计净值]]</f>
        <v>1.724</v>
      </c>
      <c r="G243" s="20">
        <f>IF(表2_367162629303891213141516[[#This Row],[累计净值]]&gt;1.217,0.7*(表2_367162629303891213141516[[#This Row],[累计净值]]-1.217)/1.217,(表2_367162629303891213141516[[#This Row],[累计净值]]-1.217)/1.217)</f>
        <v>0.29161873459326199</v>
      </c>
    </row>
    <row r="244" spans="1:7">
      <c r="A244" s="15">
        <v>44284</v>
      </c>
      <c r="B244" s="112">
        <v>1.724</v>
      </c>
      <c r="C244" s="108">
        <f t="shared" ref="C244:C250" si="75">IFERROR(B244-B243,0)</f>
        <v>0</v>
      </c>
      <c r="D244" s="109" t="str">
        <f t="shared" ref="D244:D250" si="76">IF(C244&lt;0,C244,"/")</f>
        <v>/</v>
      </c>
      <c r="E244" s="109">
        <f ca="1">IF(表2_367162629303891213141516[[#This Row],[累计净值]]/MAX(INDIRECT("B21:B" &amp; ROW()))-1&lt;E243,表2_367162629303891213141516[[#This Row],[累计净值]]/MAX(INDIRECT("B21:B" &amp; ROW()))-1,E243)</f>
        <v>-1.1156782149148614E-2</v>
      </c>
      <c r="F244" s="110">
        <f>表2_367162629303891213141516[[#This Row],[累计净值]]</f>
        <v>1.724</v>
      </c>
      <c r="G244" s="20">
        <f>IF(表2_367162629303891213141516[[#This Row],[累计净值]]&gt;1.217,0.7*(表2_367162629303891213141516[[#This Row],[累计净值]]-1.217)/1.217,(表2_367162629303891213141516[[#This Row],[累计净值]]-1.217)/1.217)</f>
        <v>0.29161873459326199</v>
      </c>
    </row>
    <row r="245" spans="1:7">
      <c r="A245" s="15">
        <v>44285</v>
      </c>
      <c r="B245" s="112">
        <v>1.726</v>
      </c>
      <c r="C245" s="108">
        <f t="shared" si="75"/>
        <v>2.0000000000000018E-3</v>
      </c>
      <c r="D245" s="109" t="str">
        <f t="shared" si="76"/>
        <v>/</v>
      </c>
      <c r="E245" s="109">
        <f ca="1">IF(表2_367162629303891213141516[[#This Row],[累计净值]]/MAX(INDIRECT("B21:B" &amp; ROW()))-1&lt;E244,表2_367162629303891213141516[[#This Row],[累计净值]]/MAX(INDIRECT("B21:B" &amp; ROW()))-1,E244)</f>
        <v>-1.1156782149148614E-2</v>
      </c>
      <c r="F245" s="110">
        <f>表2_367162629303891213141516[[#This Row],[累计净值]]</f>
        <v>1.726</v>
      </c>
      <c r="G245" s="20">
        <f>IF(表2_367162629303891213141516[[#This Row],[累计净值]]&gt;1.217,0.7*(表2_367162629303891213141516[[#This Row],[累计净值]]-1.217)/1.217,(表2_367162629303891213141516[[#This Row],[累计净值]]-1.217)/1.217)</f>
        <v>0.29276910435497111</v>
      </c>
    </row>
    <row r="246" spans="1:7">
      <c r="A246" s="15">
        <v>44286</v>
      </c>
      <c r="B246" s="112">
        <v>1.7270000000000001</v>
      </c>
      <c r="C246" s="108">
        <f t="shared" si="75"/>
        <v>1.0000000000001119E-3</v>
      </c>
      <c r="D246" s="109" t="str">
        <f t="shared" si="76"/>
        <v>/</v>
      </c>
      <c r="E246" s="109">
        <f ca="1">IF(表2_367162629303891213141516[[#This Row],[累计净值]]/MAX(INDIRECT("B21:B" &amp; ROW()))-1&lt;E245,表2_367162629303891213141516[[#This Row],[累计净值]]/MAX(INDIRECT("B21:B" &amp; ROW()))-1,E245)</f>
        <v>-1.1156782149148614E-2</v>
      </c>
      <c r="F246" s="110">
        <f>表2_367162629303891213141516[[#This Row],[累计净值]]</f>
        <v>1.7270000000000001</v>
      </c>
      <c r="G246" s="20">
        <f>IF(表2_367162629303891213141516[[#This Row],[累计净值]]&gt;1.217,0.7*(表2_367162629303891213141516[[#This Row],[累计净值]]-1.217)/1.217,(表2_367162629303891213141516[[#This Row],[累计净值]]-1.217)/1.217)</f>
        <v>0.29334428923582578</v>
      </c>
    </row>
    <row r="247" spans="1:7">
      <c r="A247" s="15">
        <v>44287</v>
      </c>
      <c r="B247" s="112">
        <v>1.73</v>
      </c>
      <c r="C247" s="108">
        <f t="shared" si="75"/>
        <v>2.9999999999998916E-3</v>
      </c>
      <c r="D247" s="109" t="str">
        <f t="shared" si="76"/>
        <v>/</v>
      </c>
      <c r="E247" s="109">
        <f ca="1">IF(表2_367162629303891213141516[[#This Row],[累计净值]]/MAX(INDIRECT("B21:B" &amp; ROW()))-1&lt;E246,表2_367162629303891213141516[[#This Row],[累计净值]]/MAX(INDIRECT("B21:B" &amp; ROW()))-1,E246)</f>
        <v>-1.1156782149148614E-2</v>
      </c>
      <c r="F247" s="110">
        <f>表2_367162629303891213141516[[#This Row],[累计净值]]</f>
        <v>1.73</v>
      </c>
      <c r="G247" s="20">
        <f>IF(表2_367162629303891213141516[[#This Row],[累计净值]]&gt;1.217,0.7*(表2_367162629303891213141516[[#This Row],[累计净值]]-1.217)/1.217,(表2_367162629303891213141516[[#This Row],[累计净值]]-1.217)/1.217)</f>
        <v>0.29506984387838942</v>
      </c>
    </row>
    <row r="248" spans="1:7">
      <c r="A248" s="15">
        <v>44288</v>
      </c>
      <c r="B248" s="112">
        <v>1.7330000000000001</v>
      </c>
      <c r="C248" s="108">
        <f t="shared" si="75"/>
        <v>3.0000000000001137E-3</v>
      </c>
      <c r="D248" s="109" t="str">
        <f t="shared" si="76"/>
        <v>/</v>
      </c>
      <c r="E248" s="109">
        <f ca="1">IF(表2_367162629303891213141516[[#This Row],[累计净值]]/MAX(INDIRECT("B21:B" &amp; ROW()))-1&lt;E247,表2_367162629303891213141516[[#This Row],[累计净值]]/MAX(INDIRECT("B21:B" &amp; ROW()))-1,E247)</f>
        <v>-1.1156782149148614E-2</v>
      </c>
      <c r="F248" s="110">
        <f>表2_367162629303891213141516[[#This Row],[累计净值]]</f>
        <v>1.7330000000000001</v>
      </c>
      <c r="G248" s="20">
        <f>IF(表2_367162629303891213141516[[#This Row],[累计净值]]&gt;1.217,0.7*(表2_367162629303891213141516[[#This Row],[累计净值]]-1.217)/1.217,(表2_367162629303891213141516[[#This Row],[累计净值]]-1.217)/1.217)</f>
        <v>0.2967953985209531</v>
      </c>
    </row>
    <row r="249" spans="1:7">
      <c r="A249" s="15">
        <v>44292</v>
      </c>
      <c r="B249" s="112">
        <v>1.732</v>
      </c>
      <c r="C249" s="108">
        <f t="shared" si="75"/>
        <v>-1.0000000000001119E-3</v>
      </c>
      <c r="D249" s="109">
        <f t="shared" si="76"/>
        <v>-1.0000000000001119E-3</v>
      </c>
      <c r="E249" s="109">
        <f ca="1">IF(表2_367162629303891213141516[[#This Row],[累计净值]]/MAX(INDIRECT("B21:B" &amp; ROW()))-1&lt;E248,表2_367162629303891213141516[[#This Row],[累计净值]]/MAX(INDIRECT("B21:B" &amp; ROW()))-1,E248)</f>
        <v>-1.1156782149148614E-2</v>
      </c>
      <c r="F249" s="110">
        <f>表2_367162629303891213141516[[#This Row],[累计净值]]</f>
        <v>1.732</v>
      </c>
      <c r="G249" s="20">
        <f>IF(表2_367162629303891213141516[[#This Row],[累计净值]]&gt;1.217,0.7*(表2_367162629303891213141516[[#This Row],[累计净值]]-1.217)/1.217,(表2_367162629303891213141516[[#This Row],[累计净值]]-1.217)/1.217)</f>
        <v>0.29622021364009854</v>
      </c>
    </row>
    <row r="250" spans="1:7">
      <c r="A250" s="15">
        <v>44293</v>
      </c>
      <c r="B250" s="112">
        <v>1.7330000000000001</v>
      </c>
      <c r="C250" s="108">
        <f t="shared" si="75"/>
        <v>1.0000000000001119E-3</v>
      </c>
      <c r="D250" s="109" t="str">
        <f t="shared" si="76"/>
        <v>/</v>
      </c>
      <c r="E250" s="109">
        <f ca="1">IF(表2_367162629303891213141516[[#This Row],[累计净值]]/MAX(INDIRECT("B21:B" &amp; ROW()))-1&lt;E249,表2_367162629303891213141516[[#This Row],[累计净值]]/MAX(INDIRECT("B21:B" &amp; ROW()))-1,E249)</f>
        <v>-1.1156782149148614E-2</v>
      </c>
      <c r="F250" s="110">
        <f>表2_367162629303891213141516[[#This Row],[累计净值]]</f>
        <v>1.7330000000000001</v>
      </c>
      <c r="G250" s="20">
        <f>IF(表2_367162629303891213141516[[#This Row],[累计净值]]&gt;1.217,0.7*(表2_367162629303891213141516[[#This Row],[累计净值]]-1.217)/1.217,(表2_367162629303891213141516[[#This Row],[累计净值]]-1.217)/1.217)</f>
        <v>0.2967953985209531</v>
      </c>
    </row>
    <row r="251" spans="1:7">
      <c r="A251" s="15">
        <v>44294</v>
      </c>
      <c r="B251" s="117">
        <v>1.738</v>
      </c>
      <c r="C251" s="108">
        <f t="shared" ref="C251:C256" si="77">IFERROR(B251-B250,0)</f>
        <v>4.9999999999998934E-3</v>
      </c>
      <c r="D251" s="109" t="str">
        <f t="shared" ref="D251:D256" si="78">IF(C251&lt;0,C251,"/")</f>
        <v>/</v>
      </c>
      <c r="E251" s="109">
        <f ca="1">IF(表2_367162629303891213141516[[#This Row],[累计净值]]/MAX(INDIRECT("B21:B" &amp; ROW()))-1&lt;E250,表2_367162629303891213141516[[#This Row],[累计净值]]/MAX(INDIRECT("B21:B" &amp; ROW()))-1,E250)</f>
        <v>-1.1156782149148614E-2</v>
      </c>
      <c r="F251" s="110">
        <f>表2_367162629303891213141516[[#This Row],[累计净值]]</f>
        <v>1.738</v>
      </c>
      <c r="G251" s="20">
        <f>IF(表2_367162629303891213141516[[#This Row],[累计净值]]&gt;1.217,0.7*(表2_367162629303891213141516[[#This Row],[累计净值]]-1.217)/1.217,(表2_367162629303891213141516[[#This Row],[累计净值]]-1.217)/1.217)</f>
        <v>0.29967132292522586</v>
      </c>
    </row>
    <row r="252" spans="1:7">
      <c r="A252" s="15">
        <v>44295</v>
      </c>
      <c r="B252" s="112">
        <v>1.736</v>
      </c>
      <c r="C252" s="108">
        <f t="shared" si="77"/>
        <v>-2.0000000000000018E-3</v>
      </c>
      <c r="D252" s="109">
        <f t="shared" si="78"/>
        <v>-2.0000000000000018E-3</v>
      </c>
      <c r="E252" s="109">
        <f ca="1">IF(表2_367162629303891213141516[[#This Row],[累计净值]]/MAX(INDIRECT("B21:B" &amp; ROW()))-1&lt;E251,表2_367162629303891213141516[[#This Row],[累计净值]]/MAX(INDIRECT("B21:B" &amp; ROW()))-1,E251)</f>
        <v>-1.1156782149148614E-2</v>
      </c>
      <c r="F252" s="110">
        <f>表2_367162629303891213141516[[#This Row],[累计净值]]</f>
        <v>1.736</v>
      </c>
      <c r="G252" s="20">
        <f>IF(表2_367162629303891213141516[[#This Row],[累计净值]]&gt;1.217,0.7*(表2_367162629303891213141516[[#This Row],[累计净值]]-1.217)/1.217,(表2_367162629303891213141516[[#This Row],[累计净值]]-1.217)/1.217)</f>
        <v>0.29852095316351673</v>
      </c>
    </row>
    <row r="253" spans="1:7">
      <c r="A253" s="15">
        <v>44298</v>
      </c>
      <c r="B253" s="112">
        <v>1.732</v>
      </c>
      <c r="C253" s="108">
        <f t="shared" si="77"/>
        <v>-4.0000000000000036E-3</v>
      </c>
      <c r="D253" s="109">
        <f t="shared" si="78"/>
        <v>-4.0000000000000036E-3</v>
      </c>
      <c r="E253" s="109">
        <f ca="1">IF(表2_367162629303891213141516[[#This Row],[累计净值]]/MAX(INDIRECT("B21:B" &amp; ROW()))-1&lt;E252,表2_367162629303891213141516[[#This Row],[累计净值]]/MAX(INDIRECT("B21:B" &amp; ROW()))-1,E252)</f>
        <v>-1.1156782149148614E-2</v>
      </c>
      <c r="F253" s="110">
        <f>表2_367162629303891213141516[[#This Row],[累计净值]]</f>
        <v>1.732</v>
      </c>
      <c r="G253" s="20">
        <f>IF(表2_367162629303891213141516[[#This Row],[累计净值]]&gt;1.217,0.7*(表2_367162629303891213141516[[#This Row],[累计净值]]-1.217)/1.217,(表2_367162629303891213141516[[#This Row],[累计净值]]-1.217)/1.217)</f>
        <v>0.29622021364009854</v>
      </c>
    </row>
    <row r="254" spans="1:7">
      <c r="A254" s="15">
        <v>44299</v>
      </c>
      <c r="B254" s="112">
        <v>1.7330000000000001</v>
      </c>
      <c r="C254" s="108">
        <f t="shared" si="77"/>
        <v>1.0000000000001119E-3</v>
      </c>
      <c r="D254" s="109" t="str">
        <f t="shared" si="78"/>
        <v>/</v>
      </c>
      <c r="E254" s="109">
        <f ca="1">IF(表2_367162629303891213141516[[#This Row],[累计净值]]/MAX(INDIRECT("B21:B" &amp; ROW()))-1&lt;E253,表2_367162629303891213141516[[#This Row],[累计净值]]/MAX(INDIRECT("B21:B" &amp; ROW()))-1,E253)</f>
        <v>-1.1156782149148614E-2</v>
      </c>
      <c r="F254" s="110">
        <f>表2_367162629303891213141516[[#This Row],[累计净值]]</f>
        <v>1.7330000000000001</v>
      </c>
      <c r="G254" s="20">
        <f>IF(表2_367162629303891213141516[[#This Row],[累计净值]]&gt;1.217,0.7*(表2_367162629303891213141516[[#This Row],[累计净值]]-1.217)/1.217,(表2_367162629303891213141516[[#This Row],[累计净值]]-1.217)/1.217)</f>
        <v>0.2967953985209531</v>
      </c>
    </row>
    <row r="255" spans="1:7">
      <c r="A255" s="15">
        <v>44300</v>
      </c>
      <c r="B255" s="112">
        <v>1.7350000000000001</v>
      </c>
      <c r="C255" s="108">
        <f t="shared" si="77"/>
        <v>2.0000000000000018E-3</v>
      </c>
      <c r="D255" s="109" t="str">
        <f t="shared" si="78"/>
        <v>/</v>
      </c>
      <c r="E255" s="109">
        <f ca="1">IF(表2_367162629303891213141516[[#This Row],[累计净值]]/MAX(INDIRECT("B21:B" &amp; ROW()))-1&lt;E254,表2_367162629303891213141516[[#This Row],[累计净值]]/MAX(INDIRECT("B21:B" &amp; ROW()))-1,E254)</f>
        <v>-1.1156782149148614E-2</v>
      </c>
      <c r="F255" s="110">
        <f>表2_367162629303891213141516[[#This Row],[累计净值]]</f>
        <v>1.7350000000000001</v>
      </c>
      <c r="G255" s="20">
        <f>IF(表2_367162629303891213141516[[#This Row],[累计净值]]&gt;1.217,0.7*(表2_367162629303891213141516[[#This Row],[累计净值]]-1.217)/1.217,(表2_367162629303891213141516[[#This Row],[累计净值]]-1.217)/1.217)</f>
        <v>0.29794576828266223</v>
      </c>
    </row>
    <row r="256" spans="1:7">
      <c r="A256" s="15">
        <v>44301</v>
      </c>
      <c r="B256" s="112">
        <v>1.7330000000000001</v>
      </c>
      <c r="C256" s="108">
        <f t="shared" si="77"/>
        <v>-2.0000000000000018E-3</v>
      </c>
      <c r="D256" s="109">
        <f t="shared" si="78"/>
        <v>-2.0000000000000018E-3</v>
      </c>
      <c r="E256" s="109">
        <f ca="1">IF(表2_367162629303891213141516[[#This Row],[累计净值]]/MAX(INDIRECT("B21:B" &amp; ROW()))-1&lt;E255,表2_367162629303891213141516[[#This Row],[累计净值]]/MAX(INDIRECT("B21:B" &amp; ROW()))-1,E255)</f>
        <v>-1.1156782149148614E-2</v>
      </c>
      <c r="F256" s="110">
        <f>表2_367162629303891213141516[[#This Row],[累计净值]]</f>
        <v>1.7330000000000001</v>
      </c>
      <c r="G256" s="20">
        <f>IF(表2_367162629303891213141516[[#This Row],[累计净值]]&gt;1.217,0.7*(表2_367162629303891213141516[[#This Row],[累计净值]]-1.217)/1.217,(表2_367162629303891213141516[[#This Row],[累计净值]]-1.217)/1.217)</f>
        <v>0.2967953985209531</v>
      </c>
    </row>
    <row r="257" spans="1:7">
      <c r="A257" s="15">
        <v>44302</v>
      </c>
      <c r="B257" s="112">
        <v>1.74</v>
      </c>
      <c r="C257" s="108">
        <f>IFERROR(B257-B256,0)</f>
        <v>6.9999999999998952E-3</v>
      </c>
      <c r="D257" s="109" t="str">
        <f>IF(C257&lt;0,C257,"/")</f>
        <v>/</v>
      </c>
      <c r="E257" s="109">
        <f ca="1">IF(表2_367162629303891213141516[[#This Row],[累计净值]]/MAX(INDIRECT("B21:B" &amp; ROW()))-1&lt;E256,表2_367162629303891213141516[[#This Row],[累计净值]]/MAX(INDIRECT("B21:B" &amp; ROW()))-1,E256)</f>
        <v>-1.1156782149148614E-2</v>
      </c>
      <c r="F257" s="110">
        <f>表2_367162629303891213141516[[#This Row],[累计净值]]</f>
        <v>1.74</v>
      </c>
      <c r="G257" s="20">
        <f>IF(表2_367162629303891213141516[[#This Row],[累计净值]]&gt;1.217,0.7*(表2_367162629303891213141516[[#This Row],[累计净值]]-1.217)/1.217,(表2_367162629303891213141516[[#This Row],[累计净值]]-1.217)/1.217)</f>
        <v>0.30082169268693498</v>
      </c>
    </row>
    <row r="258" spans="1:7">
      <c r="A258" s="15">
        <v>44305</v>
      </c>
      <c r="B258" s="112">
        <v>1.744</v>
      </c>
      <c r="C258" s="108">
        <f>IFERROR(B258-B257,0)</f>
        <v>4.0000000000000036E-3</v>
      </c>
      <c r="D258" s="109" t="str">
        <f>IF(C258&lt;0,C258,"/")</f>
        <v>/</v>
      </c>
      <c r="E258" s="109">
        <f ca="1">IF(表2_367162629303891213141516[[#This Row],[累计净值]]/MAX(INDIRECT("B21:B" &amp; ROW()))-1&lt;E257,表2_367162629303891213141516[[#This Row],[累计净值]]/MAX(INDIRECT("B21:B" &amp; ROW()))-1,E257)</f>
        <v>-1.1156782149148614E-2</v>
      </c>
      <c r="F258" s="110">
        <f>表2_367162629303891213141516[[#This Row],[累计净值]]</f>
        <v>1.744</v>
      </c>
      <c r="G258" s="20">
        <f>IF(表2_367162629303891213141516[[#This Row],[累计净值]]&gt;1.217,0.7*(表2_367162629303891213141516[[#This Row],[累计净值]]-1.217)/1.217,(表2_367162629303891213141516[[#This Row],[累计净值]]-1.217)/1.217)</f>
        <v>0.30312243221035323</v>
      </c>
    </row>
    <row r="259" spans="1:7">
      <c r="A259" s="15">
        <v>44306</v>
      </c>
      <c r="B259" s="112">
        <v>1.7450000000000001</v>
      </c>
      <c r="C259" s="108">
        <f>IFERROR(B259-B258,0)</f>
        <v>1.0000000000001119E-3</v>
      </c>
      <c r="D259" s="109" t="str">
        <f>IF(C259&lt;0,C259,"/")</f>
        <v>/</v>
      </c>
      <c r="E259" s="109">
        <f ca="1">IF(表2_367162629303891213141516[[#This Row],[累计净值]]/MAX(INDIRECT("B21:B" &amp; ROW()))-1&lt;E258,表2_367162629303891213141516[[#This Row],[累计净值]]/MAX(INDIRECT("B21:B" &amp; ROW()))-1,E258)</f>
        <v>-1.1156782149148614E-2</v>
      </c>
      <c r="F259" s="110">
        <f>表2_367162629303891213141516[[#This Row],[累计净值]]</f>
        <v>1.7450000000000001</v>
      </c>
      <c r="G259" s="20">
        <f>IF(表2_367162629303891213141516[[#This Row],[累计净值]]&gt;1.217,0.7*(表2_367162629303891213141516[[#This Row],[累计净值]]-1.217)/1.217,(表2_367162629303891213141516[[#This Row],[累计净值]]-1.217)/1.217)</f>
        <v>0.30369761709120785</v>
      </c>
    </row>
    <row r="260" spans="1:7">
      <c r="A260" s="15">
        <v>44307</v>
      </c>
      <c r="B260" s="112">
        <v>1.746</v>
      </c>
      <c r="C260" s="108">
        <f>IFERROR(B260-B259,0)</f>
        <v>9.9999999999988987E-4</v>
      </c>
      <c r="D260" s="109" t="str">
        <f>IF(C260&lt;0,C260,"/")</f>
        <v>/</v>
      </c>
      <c r="E260" s="109">
        <f ca="1">IF(表2_367162629303891213141516[[#This Row],[累计净值]]/MAX(INDIRECT("B21:B" &amp; ROW()))-1&lt;E259,表2_367162629303891213141516[[#This Row],[累计净值]]/MAX(INDIRECT("B21:B" &amp; ROW()))-1,E259)</f>
        <v>-1.1156782149148614E-2</v>
      </c>
      <c r="F260" s="110">
        <f>表2_367162629303891213141516[[#This Row],[累计净值]]</f>
        <v>1.746</v>
      </c>
      <c r="G260" s="20">
        <f>IF(表2_367162629303891213141516[[#This Row],[累计净值]]&gt;1.217,0.7*(表2_367162629303891213141516[[#This Row],[累计净值]]-1.217)/1.217,(表2_367162629303891213141516[[#This Row],[累计净值]]-1.217)/1.217)</f>
        <v>0.30427280197206236</v>
      </c>
    </row>
    <row r="261" spans="1:7">
      <c r="A261" s="15">
        <v>44308</v>
      </c>
      <c r="B261" s="112">
        <v>1.7470000000000001</v>
      </c>
      <c r="C261" s="108">
        <f>IFERROR(B261-B260,0)</f>
        <v>1.0000000000001119E-3</v>
      </c>
      <c r="D261" s="109" t="str">
        <f>IF(C261&lt;0,C261,"/")</f>
        <v>/</v>
      </c>
      <c r="E261" s="109">
        <f ca="1">IF(表2_367162629303891213141516[[#This Row],[累计净值]]/MAX(INDIRECT("B21:B" &amp; ROW()))-1&lt;E260,表2_367162629303891213141516[[#This Row],[累计净值]]/MAX(INDIRECT("B21:B" &amp; ROW()))-1,E260)</f>
        <v>-1.1156782149148614E-2</v>
      </c>
      <c r="F261" s="110">
        <f>表2_367162629303891213141516[[#This Row],[累计净值]]</f>
        <v>1.7470000000000001</v>
      </c>
      <c r="G261" s="20">
        <f>IF(表2_367162629303891213141516[[#This Row],[累计净值]]&gt;1.217,0.7*(表2_367162629303891213141516[[#This Row],[累计净值]]-1.217)/1.217,(表2_367162629303891213141516[[#This Row],[累计净值]]-1.217)/1.217)</f>
        <v>0.30484798685291697</v>
      </c>
    </row>
    <row r="262" spans="1:7">
      <c r="A262" s="15">
        <v>44309</v>
      </c>
      <c r="B262" s="112">
        <v>1.75</v>
      </c>
      <c r="C262" s="108">
        <f t="shared" ref="C262:C263" si="79">IFERROR(B262-B261,0)</f>
        <v>2.9999999999998916E-3</v>
      </c>
      <c r="D262" s="109" t="str">
        <f t="shared" ref="D262:D263" si="80">IF(C262&lt;0,C262,"/")</f>
        <v>/</v>
      </c>
      <c r="E262" s="109">
        <f ca="1">IF(表2_367162629303891213141516[[#This Row],[累计净值]]/MAX(INDIRECT("B21:B" &amp; ROW()))-1&lt;E261,表2_367162629303891213141516[[#This Row],[累计净值]]/MAX(INDIRECT("B21:B" &amp; ROW()))-1,E261)</f>
        <v>-1.1156782149148614E-2</v>
      </c>
      <c r="F262" s="110">
        <f>表2_367162629303891213141516[[#This Row],[累计净值]]</f>
        <v>1.75</v>
      </c>
      <c r="G262" s="20">
        <f>IF(表2_367162629303891213141516[[#This Row],[累计净值]]&gt;1.217,0.7*(表2_367162629303891213141516[[#This Row],[累计净值]]-1.217)/1.217,(表2_367162629303891213141516[[#This Row],[累计净值]]-1.217)/1.217)</f>
        <v>0.30657354149548061</v>
      </c>
    </row>
    <row r="263" spans="1:7">
      <c r="A263" s="15">
        <v>44312</v>
      </c>
      <c r="B263" s="112">
        <v>1.7509999999999999</v>
      </c>
      <c r="C263" s="108">
        <f t="shared" si="79"/>
        <v>9.9999999999988987E-4</v>
      </c>
      <c r="D263" s="109" t="str">
        <f t="shared" si="80"/>
        <v>/</v>
      </c>
      <c r="E263" s="109">
        <f ca="1">IF(表2_367162629303891213141516[[#This Row],[累计净值]]/MAX(INDIRECT("B21:B" &amp; ROW()))-1&lt;E262,表2_367162629303891213141516[[#This Row],[累计净值]]/MAX(INDIRECT("B21:B" &amp; ROW()))-1,E262)</f>
        <v>-1.1156782149148614E-2</v>
      </c>
      <c r="F263" s="110">
        <f>表2_367162629303891213141516[[#This Row],[累计净值]]</f>
        <v>1.7509999999999999</v>
      </c>
      <c r="G263" s="20">
        <f>IF(表2_367162629303891213141516[[#This Row],[累计净值]]&gt;1.217,0.7*(表2_367162629303891213141516[[#This Row],[累计净值]]-1.217)/1.217,(表2_367162629303891213141516[[#This Row],[累计净值]]-1.217)/1.217)</f>
        <v>0.30714872637633511</v>
      </c>
    </row>
    <row r="264" spans="1:7">
      <c r="A264" s="15">
        <v>44313</v>
      </c>
      <c r="B264" s="112">
        <v>1.756</v>
      </c>
      <c r="C264" s="108">
        <f>IFERROR(B264-B263,0)</f>
        <v>5.0000000000001155E-3</v>
      </c>
      <c r="D264" s="109" t="str">
        <f>IF(C264&lt;0,C264,"/")</f>
        <v>/</v>
      </c>
      <c r="E264" s="109">
        <f ca="1">IF(表2_367162629303891213141516[[#This Row],[累计净值]]/MAX(INDIRECT("B21:B" &amp; ROW()))-1&lt;E263,表2_367162629303891213141516[[#This Row],[累计净值]]/MAX(INDIRECT("B21:B" &amp; ROW()))-1,E263)</f>
        <v>-1.1156782149148614E-2</v>
      </c>
      <c r="F264" s="110">
        <f>表2_367162629303891213141516[[#This Row],[累计净值]]</f>
        <v>1.756</v>
      </c>
      <c r="G264" s="20">
        <f>IF(表2_367162629303891213141516[[#This Row],[累计净值]]&gt;1.217,0.7*(表2_367162629303891213141516[[#This Row],[累计净值]]-1.217)/1.217,(表2_367162629303891213141516[[#This Row],[累计净值]]-1.217)/1.217)</f>
        <v>0.31002465078060798</v>
      </c>
    </row>
    <row r="265" spans="1:7">
      <c r="A265" s="15">
        <v>44314</v>
      </c>
      <c r="B265" s="112">
        <v>1.758</v>
      </c>
      <c r="C265" s="108">
        <f>IFERROR(B265-B264,0)</f>
        <v>2.0000000000000018E-3</v>
      </c>
      <c r="D265" s="109" t="str">
        <f>IF(C265&lt;0,C265,"/")</f>
        <v>/</v>
      </c>
      <c r="E265" s="109">
        <f ca="1">IF(表2_367162629303891213141516[[#This Row],[累计净值]]/MAX(INDIRECT("B21:B" &amp; ROW()))-1&lt;E264,表2_367162629303891213141516[[#This Row],[累计净值]]/MAX(INDIRECT("B21:B" &amp; ROW()))-1,E264)</f>
        <v>-1.1156782149148614E-2</v>
      </c>
      <c r="F265" s="110">
        <f>表2_367162629303891213141516[[#This Row],[累计净值]]</f>
        <v>1.758</v>
      </c>
      <c r="G265" s="20">
        <f>IF(表2_367162629303891213141516[[#This Row],[累计净值]]&gt;1.217,0.7*(表2_367162629303891213141516[[#This Row],[累计净值]]-1.217)/1.217,(表2_367162629303891213141516[[#This Row],[累计净值]]-1.217)/1.217)</f>
        <v>0.3111750205423171</v>
      </c>
    </row>
    <row r="266" spans="1:7">
      <c r="A266" s="15">
        <v>44315</v>
      </c>
      <c r="B266" s="117">
        <v>1.7589999999999999</v>
      </c>
      <c r="C266" s="108">
        <f t="shared" ref="C266:C268" si="81">IFERROR(B266-B265,0)</f>
        <v>9.9999999999988987E-4</v>
      </c>
      <c r="D266" s="109" t="str">
        <f t="shared" ref="D266:D268" si="82">IF(C266&lt;0,C266,"/")</f>
        <v>/</v>
      </c>
      <c r="E266" s="109">
        <f ca="1">IF(表2_367162629303891213141516[[#This Row],[累计净值]]/MAX(INDIRECT("B21:B" &amp; ROW()))-1&lt;E265,表2_367162629303891213141516[[#This Row],[累计净值]]/MAX(INDIRECT("B21:B" &amp; ROW()))-1,E265)</f>
        <v>-1.1156782149148614E-2</v>
      </c>
      <c r="F266" s="110">
        <f>表2_367162629303891213141516[[#This Row],[累计净值]]</f>
        <v>1.7589999999999999</v>
      </c>
      <c r="G266" s="20">
        <f>IF(表2_367162629303891213141516[[#This Row],[累计净值]]&gt;1.217,0.7*(表2_367162629303891213141516[[#This Row],[累计净值]]-1.217)/1.217,(表2_367162629303891213141516[[#This Row],[累计净值]]-1.217)/1.217)</f>
        <v>0.31175020542317161</v>
      </c>
    </row>
    <row r="267" spans="1:7">
      <c r="A267" s="15">
        <v>44316</v>
      </c>
      <c r="B267" s="112">
        <v>1.7589999999999999</v>
      </c>
      <c r="C267" s="108">
        <f t="shared" si="81"/>
        <v>0</v>
      </c>
      <c r="D267" s="109" t="str">
        <f t="shared" si="82"/>
        <v>/</v>
      </c>
      <c r="E267" s="109">
        <f ca="1">IF(表2_367162629303891213141516[[#This Row],[累计净值]]/MAX(INDIRECT("B21:B" &amp; ROW()))-1&lt;E266,表2_367162629303891213141516[[#This Row],[累计净值]]/MAX(INDIRECT("B21:B" &amp; ROW()))-1,E266)</f>
        <v>-1.1156782149148614E-2</v>
      </c>
      <c r="F267" s="110">
        <f>表2_367162629303891213141516[[#This Row],[累计净值]]</f>
        <v>1.7589999999999999</v>
      </c>
      <c r="G267" s="20">
        <f>IF(表2_367162629303891213141516[[#This Row],[累计净值]]&gt;1.217,0.7*(表2_367162629303891213141516[[#This Row],[累计净值]]-1.217)/1.217,(表2_367162629303891213141516[[#This Row],[累计净值]]-1.217)/1.217)</f>
        <v>0.31175020542317161</v>
      </c>
    </row>
    <row r="268" spans="1:7">
      <c r="A268" s="15">
        <v>44322</v>
      </c>
      <c r="B268" s="112">
        <v>1.754</v>
      </c>
      <c r="C268" s="108">
        <f t="shared" si="81"/>
        <v>-4.9999999999998934E-3</v>
      </c>
      <c r="D268" s="109">
        <f t="shared" si="82"/>
        <v>-4.9999999999998934E-3</v>
      </c>
      <c r="E268" s="109">
        <f ca="1">IF(表2_367162629303891213141516[[#This Row],[累计净值]]/MAX(INDIRECT("B21:B" &amp; ROW()))-1&lt;E267,表2_367162629303891213141516[[#This Row],[累计净值]]/MAX(INDIRECT("B21:B" &amp; ROW()))-1,E267)</f>
        <v>-1.1156782149148614E-2</v>
      </c>
      <c r="F268" s="110">
        <f>表2_367162629303891213141516[[#This Row],[累计净值]]</f>
        <v>1.754</v>
      </c>
      <c r="G268" s="20">
        <f>IF(表2_367162629303891213141516[[#This Row],[累计净值]]&gt;1.217,0.7*(表2_367162629303891213141516[[#This Row],[累计净值]]-1.217)/1.217,(表2_367162629303891213141516[[#This Row],[累计净值]]-1.217)/1.217)</f>
        <v>0.30887428101889886</v>
      </c>
    </row>
    <row r="269" spans="1:7">
      <c r="A269" s="15">
        <v>44323</v>
      </c>
      <c r="B269" s="112">
        <v>1.7490000000000001</v>
      </c>
      <c r="C269" s="108">
        <f t="shared" ref="C269:C274" si="83">IFERROR(B269-B268,0)</f>
        <v>-4.9999999999998934E-3</v>
      </c>
      <c r="D269" s="109">
        <f t="shared" ref="D269:D274" si="84">IF(C269&lt;0,C269,"/")</f>
        <v>-4.9999999999998934E-3</v>
      </c>
      <c r="E269" s="109">
        <f ca="1">IF(表2_367162629303891213141516[[#This Row],[累计净值]]/MAX(INDIRECT("B21:B" &amp; ROW()))-1&lt;E268,表2_367162629303891213141516[[#This Row],[累计净值]]/MAX(INDIRECT("B21:B" &amp; ROW()))-1,E268)</f>
        <v>-1.1156782149148614E-2</v>
      </c>
      <c r="F269" s="110">
        <f>表2_367162629303891213141516[[#This Row],[累计净值]]</f>
        <v>1.7490000000000001</v>
      </c>
      <c r="G269" s="20">
        <f>IF(表2_367162629303891213141516[[#This Row],[累计净值]]&gt;1.217,0.7*(表2_367162629303891213141516[[#This Row],[累计净值]]-1.217)/1.217,(表2_367162629303891213141516[[#This Row],[累计净值]]-1.217)/1.217)</f>
        <v>0.3059983566146261</v>
      </c>
    </row>
    <row r="270" spans="1:7">
      <c r="A270" s="15">
        <v>44326</v>
      </c>
      <c r="B270" s="112">
        <v>1.7470000000000001</v>
      </c>
      <c r="C270" s="108">
        <f t="shared" si="83"/>
        <v>-2.0000000000000018E-3</v>
      </c>
      <c r="D270" s="109">
        <f t="shared" si="84"/>
        <v>-2.0000000000000018E-3</v>
      </c>
      <c r="E270" s="109">
        <f ca="1">IF(表2_367162629303891213141516[[#This Row],[累计净值]]/MAX(INDIRECT("B21:B" &amp; ROW()))-1&lt;E269,表2_367162629303891213141516[[#This Row],[累计净值]]/MAX(INDIRECT("B21:B" &amp; ROW()))-1,E269)</f>
        <v>-1.1156782149148614E-2</v>
      </c>
      <c r="F270" s="110">
        <f>表2_367162629303891213141516[[#This Row],[累计净值]]</f>
        <v>1.7470000000000001</v>
      </c>
      <c r="G270" s="20">
        <f>IF(表2_367162629303891213141516[[#This Row],[累计净值]]&gt;1.217,0.7*(表2_367162629303891213141516[[#This Row],[累计净值]]-1.217)/1.217,(表2_367162629303891213141516[[#This Row],[累计净值]]-1.217)/1.217)</f>
        <v>0.30484798685291697</v>
      </c>
    </row>
    <row r="271" spans="1:7">
      <c r="A271" s="15">
        <v>44327</v>
      </c>
      <c r="B271" s="112">
        <v>1.752</v>
      </c>
      <c r="C271" s="108">
        <f t="shared" si="83"/>
        <v>4.9999999999998934E-3</v>
      </c>
      <c r="D271" s="109" t="str">
        <f t="shared" si="84"/>
        <v>/</v>
      </c>
      <c r="E271" s="109">
        <f ca="1">IF(表2_367162629303891213141516[[#This Row],[累计净值]]/MAX(INDIRECT("B21:B" &amp; ROW()))-1&lt;E270,表2_367162629303891213141516[[#This Row],[累计净值]]/MAX(INDIRECT("B21:B" &amp; ROW()))-1,E270)</f>
        <v>-1.1156782149148614E-2</v>
      </c>
      <c r="F271" s="110">
        <f>表2_367162629303891213141516[[#This Row],[累计净值]]</f>
        <v>1.752</v>
      </c>
      <c r="G271" s="20">
        <f>IF(表2_367162629303891213141516[[#This Row],[累计净值]]&gt;1.217,0.7*(表2_367162629303891213141516[[#This Row],[累计净值]]-1.217)/1.217,(表2_367162629303891213141516[[#This Row],[累计净值]]-1.217)/1.217)</f>
        <v>0.30772391125718973</v>
      </c>
    </row>
    <row r="272" spans="1:7">
      <c r="A272" s="15">
        <v>44328</v>
      </c>
      <c r="B272" s="112">
        <v>1.7569999999999999</v>
      </c>
      <c r="C272" s="108">
        <f t="shared" si="83"/>
        <v>4.9999999999998934E-3</v>
      </c>
      <c r="D272" s="109" t="str">
        <f t="shared" si="84"/>
        <v>/</v>
      </c>
      <c r="E272" s="109">
        <f ca="1">IF(表2_367162629303891213141516[[#This Row],[累计净值]]/MAX(INDIRECT("B21:B" &amp; ROW()))-1&lt;E271,表2_367162629303891213141516[[#This Row],[累计净值]]/MAX(INDIRECT("B21:B" &amp; ROW()))-1,E271)</f>
        <v>-1.1156782149148614E-2</v>
      </c>
      <c r="F272" s="110">
        <f>表2_367162629303891213141516[[#This Row],[累计净值]]</f>
        <v>1.7569999999999999</v>
      </c>
      <c r="G272" s="20">
        <f>IF(表2_367162629303891213141516[[#This Row],[累计净值]]&gt;1.217,0.7*(表2_367162629303891213141516[[#This Row],[累计净值]]-1.217)/1.217,(表2_367162629303891213141516[[#This Row],[累计净值]]-1.217)/1.217)</f>
        <v>0.31059983566146243</v>
      </c>
    </row>
    <row r="273" spans="1:7">
      <c r="A273" s="15">
        <v>44329</v>
      </c>
      <c r="B273" s="112">
        <v>1.7549999999999999</v>
      </c>
      <c r="C273" s="108">
        <f t="shared" si="83"/>
        <v>-2.0000000000000018E-3</v>
      </c>
      <c r="D273" s="109">
        <f t="shared" si="84"/>
        <v>-2.0000000000000018E-3</v>
      </c>
      <c r="E273" s="109">
        <f ca="1">IF(表2_367162629303891213141516[[#This Row],[累计净值]]/MAX(INDIRECT("B21:B" &amp; ROW()))-1&lt;E272,表2_367162629303891213141516[[#This Row],[累计净值]]/MAX(INDIRECT("B21:B" &amp; ROW()))-1,E272)</f>
        <v>-1.1156782149148614E-2</v>
      </c>
      <c r="F273" s="110">
        <f>表2_367162629303891213141516[[#This Row],[累计净值]]</f>
        <v>1.7549999999999999</v>
      </c>
      <c r="G273" s="20">
        <f>IF(表2_367162629303891213141516[[#This Row],[累计净值]]&gt;1.217,0.7*(表2_367162629303891213141516[[#This Row],[累计净值]]-1.217)/1.217,(表2_367162629303891213141516[[#This Row],[累计净值]]-1.217)/1.217)</f>
        <v>0.30944946589975331</v>
      </c>
    </row>
    <row r="274" spans="1:7">
      <c r="A274" s="15">
        <v>44330</v>
      </c>
      <c r="B274" s="112">
        <v>1.7609999999999999</v>
      </c>
      <c r="C274" s="108">
        <f t="shared" si="83"/>
        <v>6.0000000000000053E-3</v>
      </c>
      <c r="D274" s="109" t="str">
        <f t="shared" si="84"/>
        <v>/</v>
      </c>
      <c r="E274" s="109">
        <f ca="1">IF(表2_367162629303891213141516[[#This Row],[累计净值]]/MAX(INDIRECT("B21:B" &amp; ROW()))-1&lt;E273,表2_367162629303891213141516[[#This Row],[累计净值]]/MAX(INDIRECT("B21:B" &amp; ROW()))-1,E273)</f>
        <v>-1.1156782149148614E-2</v>
      </c>
      <c r="F274" s="110">
        <f>表2_367162629303891213141516[[#This Row],[累计净值]]</f>
        <v>1.7609999999999999</v>
      </c>
      <c r="G274" s="20">
        <f>IF(表2_367162629303891213141516[[#This Row],[累计净值]]&gt;1.217,0.7*(表2_367162629303891213141516[[#This Row],[累计净值]]-1.217)/1.217,(表2_367162629303891213141516[[#This Row],[累计净值]]-1.217)/1.217)</f>
        <v>0.31290057518488074</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71"/>
  <sheetViews>
    <sheetView workbookViewId="0">
      <pane xSplit="1" ySplit="20" topLeftCell="B254" activePane="bottomRight" state="frozen"/>
      <selection pane="topRight" activeCell="B1" sqref="B1"/>
      <selection pane="bottomLeft" activeCell="A21" sqref="A21"/>
      <selection pane="bottomRight" activeCell="I269" sqref="I269"/>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COUNT(表2_36716262930389121314151617[每日盈亏])</f>
        <v>251</v>
      </c>
      <c r="C2" s="27"/>
      <c r="D2" s="3" t="s">
        <v>1</v>
      </c>
      <c r="E2" s="28"/>
      <c r="F2" s="1" t="s">
        <v>2</v>
      </c>
      <c r="G2" s="400" t="s">
        <v>3</v>
      </c>
    </row>
    <row r="3" spans="1:7">
      <c r="A3" s="25" t="s">
        <v>4</v>
      </c>
      <c r="B3" s="26">
        <f>COUNTIF(表2_36716262930389121314151617[每日盈亏],"&gt;0")</f>
        <v>160</v>
      </c>
      <c r="C3" s="29"/>
      <c r="D3" s="30" t="s">
        <v>5</v>
      </c>
      <c r="E3" s="31">
        <f>245^0.5*(B10-0.025/365)/E10</f>
        <v>4.7044046448493191</v>
      </c>
      <c r="G3" s="400"/>
    </row>
    <row r="4" spans="1:7">
      <c r="A4" s="25" t="s">
        <v>6</v>
      </c>
      <c r="B4" s="26">
        <f>COUNTIF(表2_36716262930389121314151617[每日盈亏],"&lt;0")</f>
        <v>76</v>
      </c>
      <c r="C4" s="29"/>
      <c r="D4" s="32" t="s">
        <v>7</v>
      </c>
      <c r="E4" s="31">
        <f ca="1">-B9/E8</f>
        <v>11.341974932115731</v>
      </c>
      <c r="G4" s="2">
        <f>LOOKUP(999^10,表2_36716262930389121314151617[累计净值])</f>
        <v>1.2143999999999999</v>
      </c>
    </row>
    <row r="5" spans="1:7">
      <c r="A5" s="25" t="s">
        <v>8</v>
      </c>
      <c r="B5" s="26">
        <f>B2-B3-B4</f>
        <v>15</v>
      </c>
      <c r="C5" s="29"/>
      <c r="D5" s="33" t="s">
        <v>9</v>
      </c>
      <c r="E5" s="4">
        <f>245^0.5*(B10-0.025/365)/E9</f>
        <v>7.4536154975420024</v>
      </c>
    </row>
    <row r="6" spans="1:7" ht="16" thickBot="1">
      <c r="A6" s="34"/>
      <c r="B6" s="35"/>
      <c r="C6" s="35"/>
      <c r="D6" s="35"/>
      <c r="E6" s="36"/>
    </row>
    <row r="7" spans="1:7" ht="16" thickBot="1">
      <c r="A7" s="5" t="s">
        <v>10</v>
      </c>
      <c r="B7" s="35"/>
      <c r="C7" s="35"/>
      <c r="D7" s="3" t="s">
        <v>11</v>
      </c>
      <c r="E7" s="37"/>
    </row>
    <row r="8" spans="1:7">
      <c r="A8" s="38" t="s">
        <v>12</v>
      </c>
      <c r="B8" s="39">
        <f>LOOKUP(999^10,表2_36716262930389121314151617[累计净值])/$B$21-1</f>
        <v>0.21452145214521434</v>
      </c>
      <c r="C8" s="40"/>
      <c r="D8" s="30" t="s">
        <v>13</v>
      </c>
      <c r="E8" s="41">
        <f ca="1">MIN(表2_36716262930389121314151617[最大回撤])</f>
        <v>-1.8461815561959583E-2</v>
      </c>
    </row>
    <row r="9" spans="1:7">
      <c r="A9" s="25" t="s">
        <v>14</v>
      </c>
      <c r="B9" s="32">
        <f>B8*245/B2</f>
        <v>0.20939344930508969</v>
      </c>
      <c r="C9" s="40"/>
      <c r="D9" s="33" t="s">
        <v>15</v>
      </c>
      <c r="E9" s="6">
        <f>STDEV(表2_36716262930389121314151617[下跌幅度])</f>
        <v>1.6457537067124874E-3</v>
      </c>
    </row>
    <row r="10" spans="1:7">
      <c r="A10" s="42" t="s">
        <v>16</v>
      </c>
      <c r="B10" s="43">
        <f>AVERAGE(表2_36716262930389121314151617[每日盈亏])</f>
        <v>8.5219123505976091E-4</v>
      </c>
      <c r="C10" s="44"/>
      <c r="D10" s="33" t="s">
        <v>17</v>
      </c>
      <c r="E10" s="6">
        <f>STDEV(表2_36716262930389121314151617[每日盈亏])</f>
        <v>2.6075170525392366E-3</v>
      </c>
    </row>
    <row r="11" spans="1:7">
      <c r="A11" s="7" t="s">
        <v>18</v>
      </c>
      <c r="B11" s="32">
        <f>B3/B2</f>
        <v>0.63745019920318724</v>
      </c>
      <c r="C11" s="40"/>
      <c r="D11" s="32" t="s">
        <v>19</v>
      </c>
      <c r="E11" s="41">
        <f>245^0.5*E10</f>
        <v>4.0814097673773364E-2</v>
      </c>
    </row>
    <row r="12" spans="1:7" ht="16" thickBot="1">
      <c r="A12" s="45" t="s">
        <v>20</v>
      </c>
      <c r="B12" s="46">
        <f>-(SUMIF(表2_36716262930389121314151617[每日盈亏],"&gt;=0")/B3)/(SUMIF(表2_36716262930389121314151617[每日盈亏],"&lt;0")/B4)</f>
        <v>1.2638392857142786</v>
      </c>
      <c r="C12" s="47"/>
      <c r="D12" s="48"/>
      <c r="E12" s="49"/>
    </row>
    <row r="14" spans="1:7" ht="32">
      <c r="A14" s="50" t="s">
        <v>21</v>
      </c>
      <c r="B14" s="50" t="s">
        <v>14</v>
      </c>
      <c r="C14" s="51" t="s">
        <v>19</v>
      </c>
      <c r="D14" s="51" t="s">
        <v>13</v>
      </c>
      <c r="E14" s="51" t="s">
        <v>5</v>
      </c>
      <c r="F14" s="51" t="s">
        <v>7</v>
      </c>
    </row>
    <row r="15" spans="1:7">
      <c r="A15" s="78">
        <f>B2</f>
        <v>251</v>
      </c>
      <c r="B15" s="53">
        <f>B9</f>
        <v>0.20939344930508969</v>
      </c>
      <c r="C15" s="53">
        <f>E11</f>
        <v>4.0814097673773364E-2</v>
      </c>
      <c r="D15" s="53">
        <f ca="1">E8</f>
        <v>-1.8461815561959583E-2</v>
      </c>
      <c r="E15" s="54">
        <f>E3</f>
        <v>4.7044046448493191</v>
      </c>
      <c r="F15" s="54">
        <f ca="1">E4</f>
        <v>11.341974932115731</v>
      </c>
    </row>
    <row r="19" spans="1:7">
      <c r="A19" s="8"/>
      <c r="B19" s="1" t="s">
        <v>22</v>
      </c>
    </row>
    <row r="20" spans="1:7" ht="16">
      <c r="A20" s="22" t="s">
        <v>23</v>
      </c>
      <c r="B20" s="22" t="s">
        <v>24</v>
      </c>
      <c r="C20" s="22" t="s">
        <v>25</v>
      </c>
      <c r="D20" s="22" t="s">
        <v>26</v>
      </c>
      <c r="E20" s="22" t="s">
        <v>27</v>
      </c>
      <c r="F20" s="22" t="s">
        <v>28</v>
      </c>
      <c r="G20" s="22" t="s">
        <v>29</v>
      </c>
    </row>
    <row r="21" spans="1:7">
      <c r="A21" s="15">
        <v>43951</v>
      </c>
      <c r="B21" s="16">
        <v>0.99990000000000001</v>
      </c>
      <c r="C21" s="11">
        <f>IFERROR(B21-B20,0)</f>
        <v>0</v>
      </c>
      <c r="D21" s="12" t="str">
        <f>IF(C21&lt;0,C21,"/")</f>
        <v>/</v>
      </c>
      <c r="E21" s="12">
        <f ca="1">IF(表2_36716262930389121314151617[[#This Row],[累计净值]]/MAX(INDIRECT("B21:B" &amp; ROW()))-1&lt;E20,表2_36716262930389121314151617[[#This Row],[累计净值]]/MAX(INDIRECT("B21:B" &amp; ROW()))-1,E20)</f>
        <v>0</v>
      </c>
      <c r="F21" s="13">
        <f>表2_36716262930389121314151617[[#This Row],[累计净值]]</f>
        <v>0.99990000000000001</v>
      </c>
      <c r="G21" s="14" t="s">
        <v>30</v>
      </c>
    </row>
    <row r="22" spans="1:7">
      <c r="A22" s="15">
        <v>43957</v>
      </c>
      <c r="B22" s="16">
        <v>0.99990000000000001</v>
      </c>
      <c r="C22" s="17">
        <f>IFERROR(B22-B21,0)</f>
        <v>0</v>
      </c>
      <c r="D22" s="18" t="str">
        <f>IF(C22&lt;0,C22,"/")</f>
        <v>/</v>
      </c>
      <c r="E22" s="18">
        <f ca="1">IF(表2_36716262930389121314151617[[#This Row],[累计净值]]/MAX(INDIRECT("B21:B" &amp; ROW()))-1&lt;E21,表2_36716262930389121314151617[[#This Row],[累计净值]]/MAX(INDIRECT("B21:B" &amp; ROW()))-1,E21)</f>
        <v>0</v>
      </c>
      <c r="F22" s="19">
        <f>表2_36716262930389121314151617[[#This Row],[累计净值]]</f>
        <v>0.99990000000000001</v>
      </c>
      <c r="G22" s="20">
        <f>IF(表2_36716262930389121314151617[[#This Row],[累计净值]]&gt;0.9999,0.7*(表2_36716262930389121314151617[[#This Row],[累计净值]]-0.9999),表2_36716262930389121314151617[[#This Row],[累计净值]]-0.9999)</f>
        <v>0</v>
      </c>
    </row>
    <row r="23" spans="1:7">
      <c r="A23" s="15">
        <v>43958</v>
      </c>
      <c r="B23" s="16">
        <v>0.99990000000000001</v>
      </c>
      <c r="C23" s="73">
        <f>IFERROR(B23-B22,0)</f>
        <v>0</v>
      </c>
      <c r="D23" s="18" t="str">
        <f t="shared" ref="D23:D28" si="0">IF(C23&lt;0,C23,"/")</f>
        <v>/</v>
      </c>
      <c r="E23" s="18">
        <f ca="1">IF(表2_36716262930389121314151617[[#This Row],[累计净值]]/MAX(INDIRECT("B21:B" &amp; ROW()))-1&lt;E22,表2_36716262930389121314151617[[#This Row],[累计净值]]/MAX(INDIRECT("B21:B" &amp; ROW()))-1,E22)</f>
        <v>0</v>
      </c>
      <c r="F23" s="62">
        <f>表2_36716262930389121314151617[[#This Row],[累计净值]]</f>
        <v>0.99990000000000001</v>
      </c>
      <c r="G23" s="20">
        <f>IF(表2_36716262930389121314151617[[#This Row],[累计净值]]&gt;0.9999,0.7*(表2_36716262930389121314151617[[#This Row],[累计净值]]-0.9999),表2_36716262930389121314151617[[#This Row],[累计净值]]-0.9999)</f>
        <v>0</v>
      </c>
    </row>
    <row r="24" spans="1:7">
      <c r="A24" s="15">
        <v>43959</v>
      </c>
      <c r="B24" s="16">
        <v>1</v>
      </c>
      <c r="C24" s="73">
        <f>IFERROR(B24-B23,0)</f>
        <v>9.9999999999988987E-5</v>
      </c>
      <c r="D24" s="18" t="str">
        <f t="shared" si="0"/>
        <v>/</v>
      </c>
      <c r="E24" s="18">
        <f ca="1">IF(表2_36716262930389121314151617[[#This Row],[累计净值]]/MAX(INDIRECT("B21:B" &amp; ROW()))-1&lt;E23,表2_36716262930389121314151617[[#This Row],[累计净值]]/MAX(INDIRECT("B21:B" &amp; ROW()))-1,E23)</f>
        <v>0</v>
      </c>
      <c r="F24" s="62">
        <f>表2_36716262930389121314151617[[#This Row],[累计净值]]</f>
        <v>1</v>
      </c>
      <c r="G24" s="20">
        <f>IF(表2_36716262930389121314151617[[#This Row],[累计净值]]&gt;0.9999,0.7*(表2_36716262930389121314151617[[#This Row],[累计净值]]-0.9999),表2_36716262930389121314151617[[#This Row],[累计净值]]-0.9999)</f>
        <v>6.9999999999992282E-5</v>
      </c>
    </row>
    <row r="25" spans="1:7">
      <c r="A25" s="15">
        <v>43962</v>
      </c>
      <c r="B25" s="96">
        <v>1.0005999999999999</v>
      </c>
      <c r="C25" s="94">
        <f>IFERROR(B25-#REF!,0)</f>
        <v>0</v>
      </c>
      <c r="D25" s="95" t="str">
        <f t="shared" si="0"/>
        <v>/</v>
      </c>
      <c r="E25" s="18">
        <f ca="1">IF(表2_36716262930389121314151617[[#This Row],[累计净值]]/MAX(INDIRECT("B21:B" &amp; ROW()))-1&lt;E24,表2_36716262930389121314151617[[#This Row],[累计净值]]/MAX(INDIRECT("B21:B" &amp; ROW()))-1,E24)</f>
        <v>0</v>
      </c>
      <c r="F25" s="97">
        <f>表2_36716262930389121314151617[[#This Row],[累计净值]]</f>
        <v>1.0005999999999999</v>
      </c>
      <c r="G25" s="20">
        <f>IF(表2_36716262930389121314151617[[#This Row],[累计净值]]&gt;0.9999,0.7*(表2_36716262930389121314151617[[#This Row],[累计净值]]-0.9999),表2_36716262930389121314151617[[#This Row],[累计净值]]-0.9999)</f>
        <v>4.8999999999994599E-4</v>
      </c>
    </row>
    <row r="26" spans="1:7">
      <c r="A26" s="15">
        <v>43963</v>
      </c>
      <c r="B26" s="104">
        <v>1.0011000000000001</v>
      </c>
      <c r="C26" s="101">
        <f t="shared" ref="C26:C32" si="1">IFERROR(B26-B25,0)</f>
        <v>5.0000000000016698E-4</v>
      </c>
      <c r="D26" s="102" t="str">
        <f t="shared" si="0"/>
        <v>/</v>
      </c>
      <c r="E26" s="102">
        <f ca="1">IF(表2_36716262930389121314151617[[#This Row],[累计净值]]/MAX(INDIRECT("B21:B" &amp; ROW()))-1&lt;E25,表2_36716262930389121314151617[[#This Row],[累计净值]]/MAX(INDIRECT("B21:B" &amp; ROW()))-1,E25)</f>
        <v>0</v>
      </c>
      <c r="F26" s="103">
        <f>表2_36716262930389121314151617[[#This Row],[累计净值]]</f>
        <v>1.0011000000000001</v>
      </c>
      <c r="G26" s="20">
        <f>IF(表2_36716262930389121314151617[[#This Row],[累计净值]]&gt;0.9999,0.7*(表2_36716262930389121314151617[[#This Row],[累计净值]]-0.9999),表2_36716262930389121314151617[[#This Row],[累计净值]]-0.9999)</f>
        <v>8.4000000000006292E-4</v>
      </c>
    </row>
    <row r="27" spans="1:7">
      <c r="A27" s="15">
        <v>43964</v>
      </c>
      <c r="B27" s="104">
        <v>1.0013000000000001</v>
      </c>
      <c r="C27" s="101">
        <f t="shared" si="1"/>
        <v>1.9999999999997797E-4</v>
      </c>
      <c r="D27" s="102" t="str">
        <f t="shared" si="0"/>
        <v>/</v>
      </c>
      <c r="E27" s="102">
        <f ca="1">IF(表2_36716262930389121314151617[[#This Row],[累计净值]]/MAX(INDIRECT("B21:B" &amp; ROW()))-1&lt;E26,表2_36716262930389121314151617[[#This Row],[累计净值]]/MAX(INDIRECT("B21:B" &amp; ROW()))-1,E26)</f>
        <v>0</v>
      </c>
      <c r="F27" s="103">
        <f>表2_36716262930389121314151617[[#This Row],[累计净值]]</f>
        <v>1.0013000000000001</v>
      </c>
      <c r="G27" s="20">
        <f>IF(表2_36716262930389121314151617[[#This Row],[累计净值]]&gt;0.9999,0.7*(表2_36716262930389121314151617[[#This Row],[累计净值]]-0.9999),表2_36716262930389121314151617[[#This Row],[累计净值]]-0.9999)</f>
        <v>9.8000000000004746E-4</v>
      </c>
    </row>
    <row r="28" spans="1:7">
      <c r="A28" s="15">
        <v>43965</v>
      </c>
      <c r="B28" s="104">
        <v>1.0018</v>
      </c>
      <c r="C28" s="101">
        <f t="shared" si="1"/>
        <v>4.9999999999994493E-4</v>
      </c>
      <c r="D28" s="102" t="str">
        <f t="shared" si="0"/>
        <v>/</v>
      </c>
      <c r="E28" s="102">
        <f ca="1">IF(表2_36716262930389121314151617[[#This Row],[累计净值]]/MAX(INDIRECT("B21:B" &amp; ROW()))-1&lt;E27,表2_36716262930389121314151617[[#This Row],[累计净值]]/MAX(INDIRECT("B21:B" &amp; ROW()))-1,E27)</f>
        <v>0</v>
      </c>
      <c r="F28" s="103">
        <f>表2_36716262930389121314151617[[#This Row],[累计净值]]</f>
        <v>1.0018</v>
      </c>
      <c r="G28" s="20">
        <f>IF(表2_36716262930389121314151617[[#This Row],[累计净值]]&gt;0.9999,0.7*(表2_36716262930389121314151617[[#This Row],[累计净值]]-0.9999),表2_36716262930389121314151617[[#This Row],[累计净值]]-0.9999)</f>
        <v>1.3300000000000089E-3</v>
      </c>
    </row>
    <row r="29" spans="1:7">
      <c r="A29" s="15">
        <v>43966</v>
      </c>
      <c r="B29" s="104">
        <v>1.0036</v>
      </c>
      <c r="C29" s="101">
        <f t="shared" si="1"/>
        <v>1.8000000000000238E-3</v>
      </c>
      <c r="D29" s="102" t="str">
        <f t="shared" ref="D29:D34" si="2">IF(C29&lt;0,C29,"/")</f>
        <v>/</v>
      </c>
      <c r="E29" s="102">
        <f ca="1">IF(表2_36716262930389121314151617[[#This Row],[累计净值]]/MAX(INDIRECT("B21:B" &amp; ROW()))-1&lt;E28,表2_36716262930389121314151617[[#This Row],[累计净值]]/MAX(INDIRECT("B21:B" &amp; ROW()))-1,E28)</f>
        <v>0</v>
      </c>
      <c r="F29" s="103">
        <f>表2_36716262930389121314151617[[#This Row],[累计净值]]</f>
        <v>1.0036</v>
      </c>
      <c r="G29" s="20">
        <f>IF(表2_36716262930389121314151617[[#This Row],[累计净值]]&gt;0.9999,0.7*(表2_36716262930389121314151617[[#This Row],[累计净值]]-0.9999),表2_36716262930389121314151617[[#This Row],[累计净值]]-0.9999)</f>
        <v>2.5900000000000254E-3</v>
      </c>
    </row>
    <row r="30" spans="1:7">
      <c r="A30" s="15">
        <v>43969</v>
      </c>
      <c r="B30" s="104">
        <v>1.0044999999999999</v>
      </c>
      <c r="C30" s="101">
        <f t="shared" si="1"/>
        <v>8.9999999999990088E-4</v>
      </c>
      <c r="D30" s="102" t="str">
        <f t="shared" si="2"/>
        <v>/</v>
      </c>
      <c r="E30" s="102">
        <f ca="1">IF(表2_36716262930389121314151617[[#This Row],[累计净值]]/MAX(INDIRECT("B21:B" &amp; ROW()))-1&lt;E29,表2_36716262930389121314151617[[#This Row],[累计净值]]/MAX(INDIRECT("B21:B" &amp; ROW()))-1,E29)</f>
        <v>0</v>
      </c>
      <c r="F30" s="103">
        <f>表2_36716262930389121314151617[[#This Row],[累计净值]]</f>
        <v>1.0044999999999999</v>
      </c>
      <c r="G30" s="20">
        <f>IF(表2_36716262930389121314151617[[#This Row],[累计净值]]&gt;0.9999,0.7*(表2_36716262930389121314151617[[#This Row],[累计净值]]-0.9999),表2_36716262930389121314151617[[#This Row],[累计净值]]-0.9999)</f>
        <v>3.219999999999956E-3</v>
      </c>
    </row>
    <row r="31" spans="1:7">
      <c r="A31" s="15">
        <v>43970</v>
      </c>
      <c r="B31" s="104">
        <v>1.0032000000000001</v>
      </c>
      <c r="C31" s="101">
        <f t="shared" si="1"/>
        <v>-1.2999999999998568E-3</v>
      </c>
      <c r="D31" s="102">
        <f t="shared" si="2"/>
        <v>-1.2999999999998568E-3</v>
      </c>
      <c r="E31" s="102">
        <f ca="1">IF(表2_36716262930389121314151617[[#This Row],[累计净值]]/MAX(INDIRECT("B21:B" &amp; ROW()))-1&lt;E30,表2_36716262930389121314151617[[#This Row],[累计净值]]/MAX(INDIRECT("B21:B" &amp; ROW()))-1,E30)</f>
        <v>-1.2941762070680651E-3</v>
      </c>
      <c r="F31" s="103">
        <f>表2_36716262930389121314151617[[#This Row],[累计净值]]</f>
        <v>1.0032000000000001</v>
      </c>
      <c r="G31" s="20">
        <f>IF(表2_36716262930389121314151617[[#This Row],[累计净值]]&gt;0.9999,0.7*(表2_36716262930389121314151617[[#This Row],[累计净值]]-0.9999),表2_36716262930389121314151617[[#This Row],[累计净值]]-0.9999)</f>
        <v>2.3100000000000564E-3</v>
      </c>
    </row>
    <row r="32" spans="1:7">
      <c r="A32" s="15">
        <v>43971</v>
      </c>
      <c r="B32" s="104">
        <v>1.0049999999999999</v>
      </c>
      <c r="C32" s="101">
        <f t="shared" si="1"/>
        <v>1.7999999999998018E-3</v>
      </c>
      <c r="D32" s="102" t="str">
        <f t="shared" si="2"/>
        <v>/</v>
      </c>
      <c r="E32" s="102">
        <f ca="1">IF(表2_36716262930389121314151617[[#This Row],[累计净值]]/MAX(INDIRECT("B21:B" &amp; ROW()))-1&lt;E31,表2_36716262930389121314151617[[#This Row],[累计净值]]/MAX(INDIRECT("B21:B" &amp; ROW()))-1,E31)</f>
        <v>-1.2941762070680651E-3</v>
      </c>
      <c r="F32" s="103">
        <f>表2_36716262930389121314151617[[#This Row],[累计净值]]</f>
        <v>1.0049999999999999</v>
      </c>
      <c r="G32" s="20">
        <f>IF(表2_36716262930389121314151617[[#This Row],[累计净值]]&gt;0.9999,0.7*(表2_36716262930389121314151617[[#This Row],[累计净值]]-0.9999),表2_36716262930389121314151617[[#This Row],[累计净值]]-0.9999)</f>
        <v>3.5699999999999174E-3</v>
      </c>
    </row>
    <row r="33" spans="1:10">
      <c r="A33" s="15">
        <v>43972</v>
      </c>
      <c r="B33" s="112">
        <v>1.0044</v>
      </c>
      <c r="C33" s="108">
        <f t="shared" ref="C33:C38" si="3">IFERROR(B33-B32,0)</f>
        <v>-5.9999999999993392E-4</v>
      </c>
      <c r="D33" s="109">
        <f t="shared" si="2"/>
        <v>-5.9999999999993392E-4</v>
      </c>
      <c r="E33" s="109">
        <f ca="1">IF(表2_36716262930389121314151617[[#This Row],[累计净值]]/MAX(INDIRECT("B21:B" &amp; ROW()))-1&lt;E32,表2_36716262930389121314151617[[#This Row],[累计净值]]/MAX(INDIRECT("B21:B" &amp; ROW()))-1,E32)</f>
        <v>-1.2941762070680651E-3</v>
      </c>
      <c r="F33" s="110">
        <f>表2_36716262930389121314151617[[#This Row],[累计净值]]</f>
        <v>1.0044</v>
      </c>
      <c r="G33" s="20">
        <f>IF(表2_36716262930389121314151617[[#This Row],[累计净值]]&gt;0.9999,0.7*(表2_36716262930389121314151617[[#This Row],[累计净值]]-0.9999),表2_36716262930389121314151617[[#This Row],[累计净值]]-0.9999)</f>
        <v>3.1499999999999636E-3</v>
      </c>
    </row>
    <row r="34" spans="1:10">
      <c r="A34" s="15">
        <v>43973</v>
      </c>
      <c r="B34" s="112">
        <v>1.0063</v>
      </c>
      <c r="C34" s="108">
        <f t="shared" si="3"/>
        <v>1.9000000000000128E-3</v>
      </c>
      <c r="D34" s="109" t="str">
        <f t="shared" si="2"/>
        <v>/</v>
      </c>
      <c r="E34" s="109">
        <f ca="1">IF(表2_36716262930389121314151617[[#This Row],[累计净值]]/MAX(INDIRECT("B21:B" &amp; ROW()))-1&lt;E33,表2_36716262930389121314151617[[#This Row],[累计净值]]/MAX(INDIRECT("B21:B" &amp; ROW()))-1,E33)</f>
        <v>-1.2941762070680651E-3</v>
      </c>
      <c r="F34" s="110">
        <f>表2_36716262930389121314151617[[#This Row],[累计净值]]</f>
        <v>1.0063</v>
      </c>
      <c r="G34" s="20">
        <f>IF(表2_36716262930389121314151617[[#This Row],[累计净值]]&gt;0.9999,0.7*(表2_36716262930389121314151617[[#This Row],[累计净值]]-0.9999),表2_36716262930389121314151617[[#This Row],[累计净值]]-0.9999)</f>
        <v>4.4799999999999727E-3</v>
      </c>
    </row>
    <row r="35" spans="1:10">
      <c r="A35" s="15">
        <v>43976</v>
      </c>
      <c r="B35" s="112">
        <v>1.0051000000000001</v>
      </c>
      <c r="C35" s="108">
        <f t="shared" si="3"/>
        <v>-1.1999999999998678E-3</v>
      </c>
      <c r="D35" s="109">
        <f t="shared" ref="D35:D40" si="4">IF(C35&lt;0,C35,"/")</f>
        <v>-1.1999999999998678E-3</v>
      </c>
      <c r="E35" s="109">
        <f ca="1">IF(表2_36716262930389121314151617[[#This Row],[累计净值]]/MAX(INDIRECT("B21:B" &amp; ROW()))-1&lt;E34,表2_36716262930389121314151617[[#This Row],[累计净值]]/MAX(INDIRECT("B21:B" &amp; ROW()))-1,E34)</f>
        <v>-1.2941762070680651E-3</v>
      </c>
      <c r="F35" s="110">
        <f>表2_36716262930389121314151617[[#This Row],[累计净值]]</f>
        <v>1.0051000000000001</v>
      </c>
      <c r="G35" s="20">
        <f>IF(表2_36716262930389121314151617[[#This Row],[累计净值]]&gt;0.9999,0.7*(表2_36716262930389121314151617[[#This Row],[累计净值]]-0.9999),表2_36716262930389121314151617[[#This Row],[累计净值]]-0.9999)</f>
        <v>3.6400000000000651E-3</v>
      </c>
    </row>
    <row r="36" spans="1:10">
      <c r="A36" s="15">
        <v>43977</v>
      </c>
      <c r="B36" s="112">
        <v>1.0065999999999999</v>
      </c>
      <c r="C36" s="108">
        <f t="shared" si="3"/>
        <v>1.4999999999998348E-3</v>
      </c>
      <c r="D36" s="109" t="str">
        <f t="shared" si="4"/>
        <v>/</v>
      </c>
      <c r="E36" s="109">
        <f ca="1">IF(表2_36716262930389121314151617[[#This Row],[累计净值]]/MAX(INDIRECT("B21:B" &amp; ROW()))-1&lt;E35,表2_36716262930389121314151617[[#This Row],[累计净值]]/MAX(INDIRECT("B21:B" &amp; ROW()))-1,E35)</f>
        <v>-1.2941762070680651E-3</v>
      </c>
      <c r="F36" s="110">
        <f>表2_36716262930389121314151617[[#This Row],[累计净值]]</f>
        <v>1.0065999999999999</v>
      </c>
      <c r="G36" s="20">
        <f>IF(表2_36716262930389121314151617[[#This Row],[累计净值]]&gt;0.9999,0.7*(表2_36716262930389121314151617[[#This Row],[累计净值]]-0.9999),表2_36716262930389121314151617[[#This Row],[累计净值]]-0.9999)</f>
        <v>4.6899999999999494E-3</v>
      </c>
    </row>
    <row r="37" spans="1:10">
      <c r="A37" s="15">
        <v>43978</v>
      </c>
      <c r="B37" s="112">
        <v>1.0068999999999999</v>
      </c>
      <c r="C37" s="108">
        <f t="shared" si="3"/>
        <v>2.9999999999996696E-4</v>
      </c>
      <c r="D37" s="109" t="str">
        <f t="shared" si="4"/>
        <v>/</v>
      </c>
      <c r="E37" s="109">
        <f ca="1">IF(表2_36716262930389121314151617[[#This Row],[累计净值]]/MAX(INDIRECT("B21:B" &amp; ROW()))-1&lt;E36,表2_36716262930389121314151617[[#This Row],[累计净值]]/MAX(INDIRECT("B21:B" &amp; ROW()))-1,E36)</f>
        <v>-1.2941762070680651E-3</v>
      </c>
      <c r="F37" s="110">
        <f>表2_36716262930389121314151617[[#This Row],[累计净值]]</f>
        <v>1.0068999999999999</v>
      </c>
      <c r="G37" s="20">
        <f>IF(表2_36716262930389121314151617[[#This Row],[累计净值]]&gt;0.9999,0.7*(表2_36716262930389121314151617[[#This Row],[累计净值]]-0.9999),表2_36716262930389121314151617[[#This Row],[累计净值]]-0.9999)</f>
        <v>4.8999999999999261E-3</v>
      </c>
    </row>
    <row r="38" spans="1:10">
      <c r="A38" s="15">
        <v>43979</v>
      </c>
      <c r="B38" s="112">
        <v>1.008</v>
      </c>
      <c r="C38" s="108">
        <f t="shared" si="3"/>
        <v>1.1000000000001009E-3</v>
      </c>
      <c r="D38" s="109" t="str">
        <f t="shared" si="4"/>
        <v>/</v>
      </c>
      <c r="E38" s="109">
        <f ca="1">IF(表2_36716262930389121314151617[[#This Row],[累计净值]]/MAX(INDIRECT("B21:B" &amp; ROW()))-1&lt;E37,表2_36716262930389121314151617[[#This Row],[累计净值]]/MAX(INDIRECT("B21:B" &amp; ROW()))-1,E37)</f>
        <v>-1.2941762070680651E-3</v>
      </c>
      <c r="F38" s="110">
        <f>表2_36716262930389121314151617[[#This Row],[累计净值]]</f>
        <v>1.008</v>
      </c>
      <c r="G38" s="20">
        <f>IF(表2_36716262930389121314151617[[#This Row],[累计净值]]&gt;0.9999,0.7*(表2_36716262930389121314151617[[#This Row],[累计净值]]-0.9999),表2_36716262930389121314151617[[#This Row],[累计净值]]-0.9999)</f>
        <v>5.6699999999999971E-3</v>
      </c>
    </row>
    <row r="39" spans="1:10">
      <c r="A39" s="15">
        <v>43980</v>
      </c>
      <c r="B39" s="112">
        <v>1.0068999999999999</v>
      </c>
      <c r="C39" s="108">
        <f t="shared" ref="C39:C45" si="5">IFERROR(B39-B38,0)</f>
        <v>-1.1000000000001009E-3</v>
      </c>
      <c r="D39" s="109">
        <f t="shared" si="4"/>
        <v>-1.1000000000001009E-3</v>
      </c>
      <c r="E39" s="109">
        <f ca="1">IF(表2_36716262930389121314151617[[#This Row],[累计净值]]/MAX(INDIRECT("B21:B" &amp; ROW()))-1&lt;E38,表2_36716262930389121314151617[[#This Row],[累计净值]]/MAX(INDIRECT("B21:B" &amp; ROW()))-1,E38)</f>
        <v>-1.2941762070680651E-3</v>
      </c>
      <c r="F39" s="110">
        <f>表2_36716262930389121314151617[[#This Row],[累计净值]]</f>
        <v>1.0068999999999999</v>
      </c>
      <c r="G39" s="20">
        <f>IF(表2_36716262930389121314151617[[#This Row],[累计净值]]&gt;0.9999,0.7*(表2_36716262930389121314151617[[#This Row],[累计净值]]-0.9999),表2_36716262930389121314151617[[#This Row],[累计净值]]-0.9999)</f>
        <v>4.8999999999999261E-3</v>
      </c>
    </row>
    <row r="40" spans="1:10">
      <c r="A40" s="15">
        <v>43983</v>
      </c>
      <c r="B40" s="112">
        <v>1.0106999999999999</v>
      </c>
      <c r="C40" s="108">
        <f t="shared" si="5"/>
        <v>3.8000000000000256E-3</v>
      </c>
      <c r="D40" s="109" t="str">
        <f t="shared" si="4"/>
        <v>/</v>
      </c>
      <c r="E40" s="109">
        <f ca="1">IF(表2_36716262930389121314151617[[#This Row],[累计净值]]/MAX(INDIRECT("B21:B" &amp; ROW()))-1&lt;E39,表2_36716262930389121314151617[[#This Row],[累计净值]]/MAX(INDIRECT("B21:B" &amp; ROW()))-1,E39)</f>
        <v>-1.2941762070680651E-3</v>
      </c>
      <c r="F40" s="110">
        <f>表2_36716262930389121314151617[[#This Row],[累计净值]]</f>
        <v>1.0106999999999999</v>
      </c>
      <c r="G40" s="20">
        <f>IF(表2_36716262930389121314151617[[#This Row],[累计净值]]&gt;0.9999,0.7*(表2_36716262930389121314151617[[#This Row],[累计净值]]-0.9999),表2_36716262930389121314151617[[#This Row],[累计净值]]-0.9999)</f>
        <v>7.5599999999999444E-3</v>
      </c>
    </row>
    <row r="41" spans="1:10">
      <c r="A41" s="15">
        <v>43984</v>
      </c>
      <c r="B41" s="112">
        <v>1.0082</v>
      </c>
      <c r="C41" s="108">
        <f t="shared" si="5"/>
        <v>-2.4999999999999467E-3</v>
      </c>
      <c r="D41" s="109">
        <f t="shared" ref="D41:D47" si="6">IF(C41&lt;0,C41,"/")</f>
        <v>-2.4999999999999467E-3</v>
      </c>
      <c r="E41" s="109">
        <f ca="1">IF(表2_36716262930389121314151617[[#This Row],[累计净值]]/MAX(INDIRECT("B21:B" &amp; ROW()))-1&lt;E40,表2_36716262930389121314151617[[#This Row],[累计净值]]/MAX(INDIRECT("B21:B" &amp; ROW()))-1,E40)</f>
        <v>-2.4735331948154693E-3</v>
      </c>
      <c r="F41" s="110">
        <f>表2_36716262930389121314151617[[#This Row],[累计净值]]</f>
        <v>1.0082</v>
      </c>
      <c r="G41" s="20">
        <f>IF(表2_36716262930389121314151617[[#This Row],[累计净值]]&gt;0.9999,0.7*(表2_36716262930389121314151617[[#This Row],[累计净值]]-0.9999),表2_36716262930389121314151617[[#This Row],[累计净值]]-0.9999)</f>
        <v>5.8099999999999818E-3</v>
      </c>
    </row>
    <row r="42" spans="1:10">
      <c r="A42" s="15">
        <v>43985</v>
      </c>
      <c r="B42" s="112">
        <v>1.0065999999999999</v>
      </c>
      <c r="C42" s="108">
        <f t="shared" si="5"/>
        <v>-1.6000000000000458E-3</v>
      </c>
      <c r="D42" s="109">
        <f t="shared" si="6"/>
        <v>-1.6000000000000458E-3</v>
      </c>
      <c r="E42" s="109">
        <f ca="1">IF(表2_36716262930389121314151617[[#This Row],[累计净值]]/MAX(INDIRECT("B21:B" &amp; ROW()))-1&lt;E41,表2_36716262930389121314151617[[#This Row],[累计净值]]/MAX(INDIRECT("B21:B" &amp; ROW()))-1,E41)</f>
        <v>-4.0565944394973519E-3</v>
      </c>
      <c r="F42" s="110">
        <f>表2_36716262930389121314151617[[#This Row],[累计净值]]</f>
        <v>1.0065999999999999</v>
      </c>
      <c r="G42" s="20">
        <f>IF(表2_36716262930389121314151617[[#This Row],[累计净值]]&gt;0.9999,0.7*(表2_36716262930389121314151617[[#This Row],[累计净值]]-0.9999),表2_36716262930389121314151617[[#This Row],[累计净值]]-0.9999)</f>
        <v>4.6899999999999494E-3</v>
      </c>
    </row>
    <row r="43" spans="1:10">
      <c r="A43" s="15">
        <v>43986</v>
      </c>
      <c r="B43" s="112">
        <v>1.0059</v>
      </c>
      <c r="C43" s="108">
        <f t="shared" si="5"/>
        <v>-6.9999999999992291E-4</v>
      </c>
      <c r="D43" s="109">
        <f t="shared" si="6"/>
        <v>-6.9999999999992291E-4</v>
      </c>
      <c r="E43" s="109">
        <f ca="1">IF(表2_36716262930389121314151617[[#This Row],[累计净值]]/MAX(INDIRECT("B21:B" &amp; ROW()))-1&lt;E42,表2_36716262930389121314151617[[#This Row],[累计净值]]/MAX(INDIRECT("B21:B" &amp; ROW()))-1,E42)</f>
        <v>-4.7491837340456478E-3</v>
      </c>
      <c r="F43" s="110">
        <f>表2_36716262930389121314151617[[#This Row],[累计净值]]</f>
        <v>1.0059</v>
      </c>
      <c r="G43" s="20">
        <f>IF(表2_36716262930389121314151617[[#This Row],[累计净值]]&gt;0.9999,0.7*(表2_36716262930389121314151617[[#This Row],[累计净值]]-0.9999),表2_36716262930389121314151617[[#This Row],[累计净值]]-0.9999)</f>
        <v>4.2000000000000032E-3</v>
      </c>
    </row>
    <row r="44" spans="1:10">
      <c r="A44" s="15">
        <v>43987</v>
      </c>
      <c r="B44" s="112">
        <v>1.0067999999999999</v>
      </c>
      <c r="C44" s="108">
        <f t="shared" si="5"/>
        <v>8.9999999999990088E-4</v>
      </c>
      <c r="D44" s="109" t="str">
        <f t="shared" si="6"/>
        <v>/</v>
      </c>
      <c r="E44" s="109">
        <f ca="1">IF(表2_36716262930389121314151617[[#This Row],[累计净值]]/MAX(INDIRECT("B21:B" &amp; ROW()))-1&lt;E43,表2_36716262930389121314151617[[#This Row],[累计净值]]/MAX(INDIRECT("B21:B" &amp; ROW()))-1,E43)</f>
        <v>-4.7491837340456478E-3</v>
      </c>
      <c r="F44" s="110">
        <f>表2_36716262930389121314151617[[#This Row],[累计净值]]</f>
        <v>1.0067999999999999</v>
      </c>
      <c r="G44" s="20">
        <f>IF(表2_36716262930389121314151617[[#This Row],[累计净值]]&gt;0.9999,0.7*(表2_36716262930389121314151617[[#This Row],[累计净值]]-0.9999),表2_36716262930389121314151617[[#This Row],[累计净值]]-0.9999)</f>
        <v>4.8299999999999342E-3</v>
      </c>
      <c r="J44" s="60"/>
    </row>
    <row r="45" spans="1:10">
      <c r="A45" s="15">
        <v>43990</v>
      </c>
      <c r="B45" s="112">
        <v>1.0084</v>
      </c>
      <c r="C45" s="108">
        <f t="shared" si="5"/>
        <v>1.6000000000000458E-3</v>
      </c>
      <c r="D45" s="109" t="str">
        <f t="shared" si="6"/>
        <v>/</v>
      </c>
      <c r="E45" s="109">
        <f ca="1">IF(表2_36716262930389121314151617[[#This Row],[累计净值]]/MAX(INDIRECT("B21:B" &amp; ROW()))-1&lt;E44,表2_36716262930389121314151617[[#This Row],[累计净值]]/MAX(INDIRECT("B21:B" &amp; ROW()))-1,E44)</f>
        <v>-4.7491837340456478E-3</v>
      </c>
      <c r="F45" s="110">
        <f>表2_36716262930389121314151617[[#This Row],[累计净值]]</f>
        <v>1.0084</v>
      </c>
      <c r="G45" s="20">
        <f>IF(表2_36716262930389121314151617[[#This Row],[累计净值]]&gt;0.9999,0.7*(表2_36716262930389121314151617[[#This Row],[累计净值]]-0.9999),表2_36716262930389121314151617[[#This Row],[累计净值]]-0.9999)</f>
        <v>5.9499999999999657E-3</v>
      </c>
    </row>
    <row r="46" spans="1:10">
      <c r="A46" s="15">
        <v>43991</v>
      </c>
      <c r="B46" s="112">
        <v>1.0086999999999999</v>
      </c>
      <c r="C46" s="108">
        <f t="shared" ref="C46:C51" si="7">IFERROR(B46-B45,0)</f>
        <v>2.9999999999996696E-4</v>
      </c>
      <c r="D46" s="109" t="str">
        <f t="shared" si="6"/>
        <v>/</v>
      </c>
      <c r="E46" s="109">
        <f ca="1">IF(表2_36716262930389121314151617[[#This Row],[累计净值]]/MAX(INDIRECT("B21:B" &amp; ROW()))-1&lt;E45,表2_36716262930389121314151617[[#This Row],[累计净值]]/MAX(INDIRECT("B21:B" &amp; ROW()))-1,E45)</f>
        <v>-4.7491837340456478E-3</v>
      </c>
      <c r="F46" s="110">
        <f>表2_36716262930389121314151617[[#This Row],[累计净值]]</f>
        <v>1.0086999999999999</v>
      </c>
      <c r="G46" s="20">
        <f>IF(表2_36716262930389121314151617[[#This Row],[累计净值]]&gt;0.9999,0.7*(表2_36716262930389121314151617[[#This Row],[累计净值]]-0.9999),表2_36716262930389121314151617[[#This Row],[累计净值]]-0.9999)</f>
        <v>6.1599999999999433E-3</v>
      </c>
    </row>
    <row r="47" spans="1:10">
      <c r="A47" s="15">
        <v>43992</v>
      </c>
      <c r="B47" s="112">
        <v>1.0097</v>
      </c>
      <c r="C47" s="108">
        <f t="shared" si="7"/>
        <v>1.0000000000001119E-3</v>
      </c>
      <c r="D47" s="109" t="str">
        <f t="shared" si="6"/>
        <v>/</v>
      </c>
      <c r="E47" s="109">
        <f ca="1">IF(表2_36716262930389121314151617[[#This Row],[累计净值]]/MAX(INDIRECT("B21:B" &amp; ROW()))-1&lt;E46,表2_36716262930389121314151617[[#This Row],[累计净值]]/MAX(INDIRECT("B21:B" &amp; ROW()))-1,E46)</f>
        <v>-4.7491837340456478E-3</v>
      </c>
      <c r="F47" s="110">
        <f>表2_36716262930389121314151617[[#This Row],[累计净值]]</f>
        <v>1.0097</v>
      </c>
      <c r="G47" s="20">
        <f>IF(表2_36716262930389121314151617[[#This Row],[累计净值]]&gt;0.9999,0.7*(表2_36716262930389121314151617[[#This Row],[累计净值]]-0.9999),表2_36716262930389121314151617[[#This Row],[累计净值]]-0.9999)</f>
        <v>6.8600000000000215E-3</v>
      </c>
    </row>
    <row r="48" spans="1:10">
      <c r="A48" s="15">
        <v>43993</v>
      </c>
      <c r="B48" s="112">
        <v>1.0099</v>
      </c>
      <c r="C48" s="108">
        <f t="shared" si="7"/>
        <v>1.9999999999997797E-4</v>
      </c>
      <c r="D48" s="109" t="str">
        <f t="shared" ref="D48:D53" si="8">IF(C48&lt;0,C48,"/")</f>
        <v>/</v>
      </c>
      <c r="E48" s="109">
        <f ca="1">IF(表2_36716262930389121314151617[[#This Row],[累计净值]]/MAX(INDIRECT("B21:B" &amp; ROW()))-1&lt;E47,表2_36716262930389121314151617[[#This Row],[累计净值]]/MAX(INDIRECT("B21:B" &amp; ROW()))-1,E47)</f>
        <v>-4.7491837340456478E-3</v>
      </c>
      <c r="F48" s="110">
        <f>表2_36716262930389121314151617[[#This Row],[累计净值]]</f>
        <v>1.0099</v>
      </c>
      <c r="G48" s="20">
        <f>IF(表2_36716262930389121314151617[[#This Row],[累计净值]]&gt;0.9999,0.7*(表2_36716262930389121314151617[[#This Row],[累计净值]]-0.9999),表2_36716262930389121314151617[[#This Row],[累计净值]]-0.9999)</f>
        <v>7.0000000000000053E-3</v>
      </c>
    </row>
    <row r="49" spans="1:7">
      <c r="A49" s="15">
        <v>43994</v>
      </c>
      <c r="B49" s="112">
        <v>1.0082</v>
      </c>
      <c r="C49" s="108">
        <f t="shared" si="7"/>
        <v>-1.7000000000000348E-3</v>
      </c>
      <c r="D49" s="109">
        <f t="shared" si="8"/>
        <v>-1.7000000000000348E-3</v>
      </c>
      <c r="E49" s="109">
        <f ca="1">IF(表2_36716262930389121314151617[[#This Row],[累计净值]]/MAX(INDIRECT("B21:B" &amp; ROW()))-1&lt;E48,表2_36716262930389121314151617[[#This Row],[累计净值]]/MAX(INDIRECT("B21:B" &amp; ROW()))-1,E48)</f>
        <v>-4.7491837340456478E-3</v>
      </c>
      <c r="F49" s="110">
        <f>表2_36716262930389121314151617[[#This Row],[累计净值]]</f>
        <v>1.0082</v>
      </c>
      <c r="G49" s="20">
        <f>IF(表2_36716262930389121314151617[[#This Row],[累计净值]]&gt;0.9999,0.7*(表2_36716262930389121314151617[[#This Row],[累计净值]]-0.9999),表2_36716262930389121314151617[[#This Row],[累计净值]]-0.9999)</f>
        <v>5.8099999999999818E-3</v>
      </c>
    </row>
    <row r="50" spans="1:7">
      <c r="A50" s="15">
        <v>43997</v>
      </c>
      <c r="B50" s="112">
        <v>1.0107999999999999</v>
      </c>
      <c r="C50" s="108">
        <f t="shared" si="7"/>
        <v>2.5999999999999357E-3</v>
      </c>
      <c r="D50" s="109" t="str">
        <f t="shared" si="8"/>
        <v>/</v>
      </c>
      <c r="E50" s="109">
        <f ca="1">IF(表2_36716262930389121314151617[[#This Row],[累计净值]]/MAX(INDIRECT("B21:B" &amp; ROW()))-1&lt;E49,表2_36716262930389121314151617[[#This Row],[累计净值]]/MAX(INDIRECT("B21:B" &amp; ROW()))-1,E49)</f>
        <v>-4.7491837340456478E-3</v>
      </c>
      <c r="F50" s="110">
        <f>表2_36716262930389121314151617[[#This Row],[累计净值]]</f>
        <v>1.0107999999999999</v>
      </c>
      <c r="G50" s="20">
        <f>IF(表2_36716262930389121314151617[[#This Row],[累计净值]]&gt;0.9999,0.7*(表2_36716262930389121314151617[[#This Row],[累计净值]]-0.9999),表2_36716262930389121314151617[[#This Row],[累计净值]]-0.9999)</f>
        <v>7.6299999999999363E-3</v>
      </c>
    </row>
    <row r="51" spans="1:7">
      <c r="A51" s="15">
        <v>43998</v>
      </c>
      <c r="B51" s="112">
        <v>1.0130999999999999</v>
      </c>
      <c r="C51" s="108">
        <f t="shared" si="7"/>
        <v>2.2999999999999687E-3</v>
      </c>
      <c r="D51" s="109" t="str">
        <f t="shared" si="8"/>
        <v>/</v>
      </c>
      <c r="E51" s="109">
        <f ca="1">IF(表2_36716262930389121314151617[[#This Row],[累计净值]]/MAX(INDIRECT("B21:B" &amp; ROW()))-1&lt;E50,表2_36716262930389121314151617[[#This Row],[累计净值]]/MAX(INDIRECT("B21:B" &amp; ROW()))-1,E50)</f>
        <v>-4.7491837340456478E-3</v>
      </c>
      <c r="F51" s="110">
        <f>表2_36716262930389121314151617[[#This Row],[累计净值]]</f>
        <v>1.0130999999999999</v>
      </c>
      <c r="G51" s="20">
        <f>IF(表2_36716262930389121314151617[[#This Row],[累计净值]]&gt;0.9999,0.7*(表2_36716262930389121314151617[[#This Row],[累计净值]]-0.9999),表2_36716262930389121314151617[[#This Row],[累计净值]]-0.9999)</f>
        <v>9.2399999999999149E-3</v>
      </c>
    </row>
    <row r="52" spans="1:7">
      <c r="A52" s="15">
        <v>43999</v>
      </c>
      <c r="B52" s="112">
        <v>1.0137</v>
      </c>
      <c r="C52" s="108">
        <f t="shared" ref="C52:C57" si="9">IFERROR(B52-B51,0)</f>
        <v>6.0000000000015596E-4</v>
      </c>
      <c r="D52" s="109" t="str">
        <f t="shared" si="8"/>
        <v>/</v>
      </c>
      <c r="E52" s="109">
        <f ca="1">IF(表2_36716262930389121314151617[[#This Row],[累计净值]]/MAX(INDIRECT("B21:B" &amp; ROW()))-1&lt;E51,表2_36716262930389121314151617[[#This Row],[累计净值]]/MAX(INDIRECT("B21:B" &amp; ROW()))-1,E51)</f>
        <v>-4.7491837340456478E-3</v>
      </c>
      <c r="F52" s="110">
        <f>表2_36716262930389121314151617[[#This Row],[累计净值]]</f>
        <v>1.0137</v>
      </c>
      <c r="G52" s="20">
        <f>IF(表2_36716262930389121314151617[[#This Row],[累计净值]]&gt;0.9999,0.7*(表2_36716262930389121314151617[[#This Row],[累计净值]]-0.9999),表2_36716262930389121314151617[[#This Row],[累计净值]]-0.9999)</f>
        <v>9.6600000000000227E-3</v>
      </c>
    </row>
    <row r="53" spans="1:7">
      <c r="A53" s="15">
        <v>44000</v>
      </c>
      <c r="B53" s="112">
        <v>1.0136000000000001</v>
      </c>
      <c r="C53" s="108">
        <f t="shared" si="9"/>
        <v>-9.9999999999988987E-5</v>
      </c>
      <c r="D53" s="109">
        <f t="shared" si="8"/>
        <v>-9.9999999999988987E-5</v>
      </c>
      <c r="E53" s="109">
        <f ca="1">IF(表2_36716262930389121314151617[[#This Row],[累计净值]]/MAX(INDIRECT("B21:B" &amp; ROW()))-1&lt;E52,表2_36716262930389121314151617[[#This Row],[累计净值]]/MAX(INDIRECT("B21:B" &amp; ROW()))-1,E52)</f>
        <v>-4.7491837340456478E-3</v>
      </c>
      <c r="F53" s="110">
        <f>表2_36716262930389121314151617[[#This Row],[累计净值]]</f>
        <v>1.0136000000000001</v>
      </c>
      <c r="G53" s="20">
        <f>IF(表2_36716262930389121314151617[[#This Row],[累计净值]]&gt;0.9999,0.7*(表2_36716262930389121314151617[[#This Row],[累计净值]]-0.9999),表2_36716262930389121314151617[[#This Row],[累计净值]]-0.9999)</f>
        <v>9.5900000000000308E-3</v>
      </c>
    </row>
    <row r="54" spans="1:7">
      <c r="A54" s="15">
        <v>44001</v>
      </c>
      <c r="B54" s="112">
        <v>1.0105</v>
      </c>
      <c r="C54" s="108">
        <f t="shared" si="9"/>
        <v>-3.1000000000001027E-3</v>
      </c>
      <c r="D54" s="109">
        <f t="shared" ref="D54:D59" si="10">IF(C54&lt;0,C54,"/")</f>
        <v>-3.1000000000001027E-3</v>
      </c>
      <c r="E54" s="109">
        <f ca="1">IF(表2_36716262930389121314151617[[#This Row],[累计净值]]/MAX(INDIRECT("B21:B" &amp; ROW()))-1&lt;E53,表2_36716262930389121314151617[[#This Row],[累计净值]]/MAX(INDIRECT("B21:B" &amp; ROW()))-1,E53)</f>
        <v>-4.7491837340456478E-3</v>
      </c>
      <c r="F54" s="110">
        <f>表2_36716262930389121314151617[[#This Row],[累计净值]]</f>
        <v>1.0105</v>
      </c>
      <c r="G54" s="20">
        <f>IF(表2_36716262930389121314151617[[#This Row],[累计净值]]&gt;0.9999,0.7*(表2_36716262930389121314151617[[#This Row],[累计净值]]-0.9999),表2_36716262930389121314151617[[#This Row],[累计净值]]-0.9999)</f>
        <v>7.4199999999999596E-3</v>
      </c>
    </row>
    <row r="55" spans="1:7">
      <c r="A55" s="15">
        <v>44004</v>
      </c>
      <c r="B55" s="112">
        <v>1.0102</v>
      </c>
      <c r="C55" s="108">
        <f t="shared" si="9"/>
        <v>-2.9999999999996696E-4</v>
      </c>
      <c r="D55" s="109">
        <f t="shared" si="10"/>
        <v>-2.9999999999996696E-4</v>
      </c>
      <c r="E55" s="109">
        <f ca="1">IF(表2_36716262930389121314151617[[#This Row],[累计净值]]/MAX(INDIRECT("B21:B" &amp; ROW()))-1&lt;E54,表2_36716262930389121314151617[[#This Row],[累计净值]]/MAX(INDIRECT("B21:B" &amp; ROW()))-1,E54)</f>
        <v>-4.7491837340456478E-3</v>
      </c>
      <c r="F55" s="110">
        <f>表2_36716262930389121314151617[[#This Row],[累计净值]]</f>
        <v>1.0102</v>
      </c>
      <c r="G55" s="20">
        <f>IF(表2_36716262930389121314151617[[#This Row],[累计净值]]&gt;0.9999,0.7*(表2_36716262930389121314151617[[#This Row],[累计净值]]-0.9999),表2_36716262930389121314151617[[#This Row],[累计净值]]-0.9999)</f>
        <v>7.2099999999999829E-3</v>
      </c>
    </row>
    <row r="56" spans="1:7">
      <c r="A56" s="15">
        <v>44005</v>
      </c>
      <c r="B56" s="112">
        <v>1.0133000000000001</v>
      </c>
      <c r="C56" s="108">
        <f t="shared" si="9"/>
        <v>3.1000000000001027E-3</v>
      </c>
      <c r="D56" s="109" t="str">
        <f t="shared" si="10"/>
        <v>/</v>
      </c>
      <c r="E56" s="109">
        <f ca="1">IF(表2_36716262930389121314151617[[#This Row],[累计净值]]/MAX(INDIRECT("B21:B" &amp; ROW()))-1&lt;E55,表2_36716262930389121314151617[[#This Row],[累计净值]]/MAX(INDIRECT("B21:B" &amp; ROW()))-1,E55)</f>
        <v>-4.7491837340456478E-3</v>
      </c>
      <c r="F56" s="110">
        <f>表2_36716262930389121314151617[[#This Row],[累计净值]]</f>
        <v>1.0133000000000001</v>
      </c>
      <c r="G56" s="20">
        <f>IF(表2_36716262930389121314151617[[#This Row],[累计净值]]&gt;0.9999,0.7*(表2_36716262930389121314151617[[#This Row],[累计净值]]-0.9999),表2_36716262930389121314151617[[#This Row],[累计净值]]-0.9999)</f>
        <v>9.380000000000055E-3</v>
      </c>
    </row>
    <row r="57" spans="1:7">
      <c r="A57" s="15">
        <v>44006</v>
      </c>
      <c r="B57" s="113">
        <v>1.0158</v>
      </c>
      <c r="C57" s="108">
        <f t="shared" si="9"/>
        <v>2.4999999999999467E-3</v>
      </c>
      <c r="D57" s="109" t="str">
        <f t="shared" si="10"/>
        <v>/</v>
      </c>
      <c r="E57" s="109">
        <f ca="1">IF(表2_36716262930389121314151617[[#This Row],[累计净值]]/MAX(INDIRECT("B21:B" &amp; ROW()))-1&lt;E56,表2_36716262930389121314151617[[#This Row],[累计净值]]/MAX(INDIRECT("B21:B" &amp; ROW()))-1,E56)</f>
        <v>-4.7491837340456478E-3</v>
      </c>
      <c r="F57" s="110">
        <f>表2_36716262930389121314151617[[#This Row],[累计净值]]</f>
        <v>1.0158</v>
      </c>
      <c r="G57" s="20">
        <f>IF(表2_36716262930389121314151617[[#This Row],[累计净值]]&gt;0.9999,0.7*(表2_36716262930389121314151617[[#This Row],[累计净值]]-0.9999),表2_36716262930389121314151617[[#This Row],[累计净值]]-0.9999)</f>
        <v>1.1130000000000017E-2</v>
      </c>
    </row>
    <row r="58" spans="1:7">
      <c r="A58" s="15">
        <v>44011</v>
      </c>
      <c r="B58" s="113">
        <v>1.0158</v>
      </c>
      <c r="C58" s="108">
        <f t="shared" ref="C58:C63" si="11">IFERROR(B58-B57,0)</f>
        <v>0</v>
      </c>
      <c r="D58" s="109" t="str">
        <f t="shared" si="10"/>
        <v>/</v>
      </c>
      <c r="E58" s="109">
        <f ca="1">IF(表2_36716262930389121314151617[[#This Row],[累计净值]]/MAX(INDIRECT("B21:B" &amp; ROW()))-1&lt;E57,表2_36716262930389121314151617[[#This Row],[累计净值]]/MAX(INDIRECT("B21:B" &amp; ROW()))-1,E57)</f>
        <v>-4.7491837340456478E-3</v>
      </c>
      <c r="F58" s="110">
        <f>表2_36716262930389121314151617[[#This Row],[累计净值]]</f>
        <v>1.0158</v>
      </c>
      <c r="G58" s="20">
        <f>IF(表2_36716262930389121314151617[[#This Row],[累计净值]]&gt;0.9999,0.7*(表2_36716262930389121314151617[[#This Row],[累计净值]]-0.9999),表2_36716262930389121314151617[[#This Row],[累计净值]]-0.9999)</f>
        <v>1.1130000000000017E-2</v>
      </c>
    </row>
    <row r="59" spans="1:7">
      <c r="A59" s="15">
        <v>44012</v>
      </c>
      <c r="B59" s="113">
        <v>1.0161</v>
      </c>
      <c r="C59" s="108">
        <f t="shared" si="11"/>
        <v>2.9999999999996696E-4</v>
      </c>
      <c r="D59" s="109" t="str">
        <f t="shared" si="10"/>
        <v>/</v>
      </c>
      <c r="E59" s="109">
        <f ca="1">IF(表2_36716262930389121314151617[[#This Row],[累计净值]]/MAX(INDIRECT("B21:B" &amp; ROW()))-1&lt;E58,表2_36716262930389121314151617[[#This Row],[累计净值]]/MAX(INDIRECT("B21:B" &amp; ROW()))-1,E58)</f>
        <v>-4.7491837340456478E-3</v>
      </c>
      <c r="F59" s="110">
        <f>表2_36716262930389121314151617[[#This Row],[累计净值]]</f>
        <v>1.0161</v>
      </c>
      <c r="G59" s="20">
        <f>IF(表2_36716262930389121314151617[[#This Row],[累计净值]]&gt;0.9999,0.7*(表2_36716262930389121314151617[[#This Row],[累计净值]]-0.9999),表2_36716262930389121314151617[[#This Row],[累计净值]]-0.9999)</f>
        <v>1.1339999999999994E-2</v>
      </c>
    </row>
    <row r="60" spans="1:7">
      <c r="A60" s="15">
        <v>44013</v>
      </c>
      <c r="B60" s="113">
        <v>1.0161</v>
      </c>
      <c r="C60" s="108">
        <f t="shared" si="11"/>
        <v>0</v>
      </c>
      <c r="D60" s="109" t="str">
        <f>IF(C60&lt;0,C60,"/")</f>
        <v>/</v>
      </c>
      <c r="E60" s="109">
        <f ca="1">IF(表2_36716262930389121314151617[[#This Row],[累计净值]]/MAX(INDIRECT("B21:B" &amp; ROW()))-1&lt;E59,表2_36716262930389121314151617[[#This Row],[累计净值]]/MAX(INDIRECT("B21:B" &amp; ROW()))-1,E59)</f>
        <v>-4.7491837340456478E-3</v>
      </c>
      <c r="F60" s="110">
        <f>表2_36716262930389121314151617[[#This Row],[累计净值]]</f>
        <v>1.0161</v>
      </c>
      <c r="G60" s="20">
        <f>IF(表2_36716262930389121314151617[[#This Row],[累计净值]]&gt;0.9999,0.7*(表2_36716262930389121314151617[[#This Row],[累计净值]]-0.9999),表2_36716262930389121314151617[[#This Row],[累计净值]]-0.9999)</f>
        <v>1.1339999999999994E-2</v>
      </c>
    </row>
    <row r="61" spans="1:7">
      <c r="A61" s="15">
        <v>44014</v>
      </c>
      <c r="B61" s="113">
        <v>1.0147999999999999</v>
      </c>
      <c r="C61" s="108">
        <f t="shared" si="11"/>
        <v>-1.3000000000000789E-3</v>
      </c>
      <c r="D61" s="109">
        <f>IF(C61&lt;0,C61,"/")</f>
        <v>-1.3000000000000789E-3</v>
      </c>
      <c r="E61" s="109">
        <f ca="1">IF(表2_36716262930389121314151617[[#This Row],[累计净值]]/MAX(INDIRECT("B21:B" &amp; ROW()))-1&lt;E60,表2_36716262930389121314151617[[#This Row],[累计净值]]/MAX(INDIRECT("B21:B" &amp; ROW()))-1,E60)</f>
        <v>-4.7491837340456478E-3</v>
      </c>
      <c r="F61" s="110">
        <f>表2_36716262930389121314151617[[#This Row],[累计净值]]</f>
        <v>1.0147999999999999</v>
      </c>
      <c r="G61" s="20">
        <f>IF(表2_36716262930389121314151617[[#This Row],[累计净值]]&gt;0.9999,0.7*(表2_36716262930389121314151617[[#This Row],[累计净值]]-0.9999),表2_36716262930389121314151617[[#This Row],[累计净值]]-0.9999)</f>
        <v>1.0429999999999939E-2</v>
      </c>
    </row>
    <row r="62" spans="1:7">
      <c r="A62" s="15">
        <v>44015</v>
      </c>
      <c r="B62" s="113">
        <v>1.0159</v>
      </c>
      <c r="C62" s="108">
        <f t="shared" si="11"/>
        <v>1.1000000000001009E-3</v>
      </c>
      <c r="D62" s="109" t="str">
        <f>IF(C62&lt;0,C62,"/")</f>
        <v>/</v>
      </c>
      <c r="E62" s="109">
        <f ca="1">IF(表2_36716262930389121314151617[[#This Row],[累计净值]]/MAX(INDIRECT("B21:B" &amp; ROW()))-1&lt;E61,表2_36716262930389121314151617[[#This Row],[累计净值]]/MAX(INDIRECT("B21:B" &amp; ROW()))-1,E61)</f>
        <v>-4.7491837340456478E-3</v>
      </c>
      <c r="F62" s="110">
        <f>表2_36716262930389121314151617[[#This Row],[累计净值]]</f>
        <v>1.0159</v>
      </c>
      <c r="G62" s="20">
        <f>IF(表2_36716262930389121314151617[[#This Row],[累计净值]]&gt;0.9999,0.7*(表2_36716262930389121314151617[[#This Row],[累计净值]]-0.9999),表2_36716262930389121314151617[[#This Row],[累计净值]]-0.9999)</f>
        <v>1.1200000000000009E-2</v>
      </c>
    </row>
    <row r="63" spans="1:7">
      <c r="A63" s="15">
        <v>44018</v>
      </c>
      <c r="B63" s="113">
        <v>1.0181</v>
      </c>
      <c r="C63" s="108">
        <f t="shared" si="11"/>
        <v>2.1999999999999797E-3</v>
      </c>
      <c r="D63" s="109" t="str">
        <f>IF(C63&lt;0,C63,"/")</f>
        <v>/</v>
      </c>
      <c r="E63" s="109">
        <f ca="1">IF(表2_36716262930389121314151617[[#This Row],[累计净值]]/MAX(INDIRECT("B21:B" &amp; ROW()))-1&lt;E62,表2_36716262930389121314151617[[#This Row],[累计净值]]/MAX(INDIRECT("B21:B" &amp; ROW()))-1,E62)</f>
        <v>-4.7491837340456478E-3</v>
      </c>
      <c r="F63" s="110">
        <f>表2_36716262930389121314151617[[#This Row],[累计净值]]</f>
        <v>1.0181</v>
      </c>
      <c r="G63" s="20">
        <f>IF(表2_36716262930389121314151617[[#This Row],[累计净值]]&gt;0.9999,0.7*(表2_36716262930389121314151617[[#This Row],[累计净值]]-0.9999),表2_36716262930389121314151617[[#This Row],[累计净值]]-0.9999)</f>
        <v>1.2739999999999994E-2</v>
      </c>
    </row>
    <row r="64" spans="1:7">
      <c r="A64" s="15">
        <v>44019</v>
      </c>
      <c r="B64" s="113">
        <v>1.0258</v>
      </c>
      <c r="C64" s="108">
        <f t="shared" ref="C64:C69" si="12">IFERROR(B64-B63,0)</f>
        <v>7.7000000000000401E-3</v>
      </c>
      <c r="D64" s="109" t="str">
        <f t="shared" ref="D64:D69" si="13">IF(C64&lt;0,C64,"/")</f>
        <v>/</v>
      </c>
      <c r="E64" s="109">
        <f ca="1">IF(表2_36716262930389121314151617[[#This Row],[累计净值]]/MAX(INDIRECT("B21:B" &amp; ROW()))-1&lt;E63,表2_36716262930389121314151617[[#This Row],[累计净值]]/MAX(INDIRECT("B21:B" &amp; ROW()))-1,E63)</f>
        <v>-4.7491837340456478E-3</v>
      </c>
      <c r="F64" s="110">
        <f>表2_36716262930389121314151617[[#This Row],[累计净值]]</f>
        <v>1.0258</v>
      </c>
      <c r="G64" s="20">
        <f>IF(表2_36716262930389121314151617[[#This Row],[累计净值]]&gt;0.9999,0.7*(表2_36716262930389121314151617[[#This Row],[累计净值]]-0.9999),表2_36716262930389121314151617[[#This Row],[累计净值]]-0.9999)</f>
        <v>1.8130000000000021E-2</v>
      </c>
    </row>
    <row r="65" spans="1:7">
      <c r="A65" s="15">
        <v>44020</v>
      </c>
      <c r="B65" s="113">
        <v>1.0293000000000001</v>
      </c>
      <c r="C65" s="108">
        <f t="shared" si="12"/>
        <v>3.5000000000000586E-3</v>
      </c>
      <c r="D65" s="109" t="str">
        <f t="shared" si="13"/>
        <v>/</v>
      </c>
      <c r="E65" s="109">
        <f ca="1">IF(表2_36716262930389121314151617[[#This Row],[累计净值]]/MAX(INDIRECT("B21:B" &amp; ROW()))-1&lt;E64,表2_36716262930389121314151617[[#This Row],[累计净值]]/MAX(INDIRECT("B21:B" &amp; ROW()))-1,E64)</f>
        <v>-4.7491837340456478E-3</v>
      </c>
      <c r="F65" s="110">
        <f>表2_36716262930389121314151617[[#This Row],[累计净值]]</f>
        <v>1.0293000000000001</v>
      </c>
      <c r="G65" s="20">
        <f>IF(表2_36716262930389121314151617[[#This Row],[累计净值]]&gt;0.9999,0.7*(表2_36716262930389121314151617[[#This Row],[累计净值]]-0.9999),表2_36716262930389121314151617[[#This Row],[累计净值]]-0.9999)</f>
        <v>2.0580000000000064E-2</v>
      </c>
    </row>
    <row r="66" spans="1:7">
      <c r="A66" s="15">
        <v>44021</v>
      </c>
      <c r="B66" s="113">
        <v>1.0301</v>
      </c>
      <c r="C66" s="108">
        <f t="shared" si="12"/>
        <v>7.9999999999991189E-4</v>
      </c>
      <c r="D66" s="109" t="str">
        <f t="shared" si="13"/>
        <v>/</v>
      </c>
      <c r="E66" s="109">
        <f ca="1">IF(表2_36716262930389121314151617[[#This Row],[累计净值]]/MAX(INDIRECT("B21:B" &amp; ROW()))-1&lt;E65,表2_36716262930389121314151617[[#This Row],[累计净值]]/MAX(INDIRECT("B21:B" &amp; ROW()))-1,E65)</f>
        <v>-4.7491837340456478E-3</v>
      </c>
      <c r="F66" s="110">
        <f>表2_36716262930389121314151617[[#This Row],[累计净值]]</f>
        <v>1.0301</v>
      </c>
      <c r="G66" s="20">
        <f>IF(表2_36716262930389121314151617[[#This Row],[累计净值]]&gt;0.9999,0.7*(表2_36716262930389121314151617[[#This Row],[累计净值]]-0.9999),表2_36716262930389121314151617[[#This Row],[累计净值]]-0.9999)</f>
        <v>2.1140000000000003E-2</v>
      </c>
    </row>
    <row r="67" spans="1:7">
      <c r="A67" s="15">
        <v>44022</v>
      </c>
      <c r="B67" s="113">
        <v>1.0324</v>
      </c>
      <c r="C67" s="108">
        <f t="shared" si="12"/>
        <v>2.2999999999999687E-3</v>
      </c>
      <c r="D67" s="109" t="str">
        <f t="shared" si="13"/>
        <v>/</v>
      </c>
      <c r="E67" s="109">
        <f ca="1">IF(表2_36716262930389121314151617[[#This Row],[累计净值]]/MAX(INDIRECT("B21:B" &amp; ROW()))-1&lt;E66,表2_36716262930389121314151617[[#This Row],[累计净值]]/MAX(INDIRECT("B21:B" &amp; ROW()))-1,E66)</f>
        <v>-4.7491837340456478E-3</v>
      </c>
      <c r="F67" s="110">
        <f>表2_36716262930389121314151617[[#This Row],[累计净值]]</f>
        <v>1.0324</v>
      </c>
      <c r="G67" s="20">
        <f>IF(表2_36716262930389121314151617[[#This Row],[累计净值]]&gt;0.9999,0.7*(表2_36716262930389121314151617[[#This Row],[累计净值]]-0.9999),表2_36716262930389121314151617[[#This Row],[累计净值]]-0.9999)</f>
        <v>2.2749999999999979E-2</v>
      </c>
    </row>
    <row r="68" spans="1:7">
      <c r="A68" s="15">
        <v>44025</v>
      </c>
      <c r="B68" s="113">
        <v>1.0327</v>
      </c>
      <c r="C68" s="108">
        <f t="shared" si="12"/>
        <v>2.9999999999996696E-4</v>
      </c>
      <c r="D68" s="109" t="str">
        <f t="shared" si="13"/>
        <v>/</v>
      </c>
      <c r="E68" s="109">
        <f ca="1">IF(表2_36716262930389121314151617[[#This Row],[累计净值]]/MAX(INDIRECT("B21:B" &amp; ROW()))-1&lt;E67,表2_36716262930389121314151617[[#This Row],[累计净值]]/MAX(INDIRECT("B21:B" &amp; ROW()))-1,E67)</f>
        <v>-4.7491837340456478E-3</v>
      </c>
      <c r="F68" s="110">
        <f>表2_36716262930389121314151617[[#This Row],[累计净值]]</f>
        <v>1.0327</v>
      </c>
      <c r="G68" s="20">
        <f>IF(表2_36716262930389121314151617[[#This Row],[累计净值]]&gt;0.9999,0.7*(表2_36716262930389121314151617[[#This Row],[累计净值]]-0.9999),表2_36716262930389121314151617[[#This Row],[累计净值]]-0.9999)</f>
        <v>2.2959999999999956E-2</v>
      </c>
    </row>
    <row r="69" spans="1:7">
      <c r="A69" s="15">
        <v>44026</v>
      </c>
      <c r="B69" s="113">
        <v>1.0363</v>
      </c>
      <c r="C69" s="108">
        <f t="shared" si="12"/>
        <v>3.6000000000000476E-3</v>
      </c>
      <c r="D69" s="109" t="str">
        <f t="shared" si="13"/>
        <v>/</v>
      </c>
      <c r="E69" s="109">
        <f ca="1">IF(表2_36716262930389121314151617[[#This Row],[累计净值]]/MAX(INDIRECT("B21:B" &amp; ROW()))-1&lt;E68,表2_36716262930389121314151617[[#This Row],[累计净值]]/MAX(INDIRECT("B21:B" &amp; ROW()))-1,E68)</f>
        <v>-4.7491837340456478E-3</v>
      </c>
      <c r="F69" s="110">
        <f>表2_36716262930389121314151617[[#This Row],[累计净值]]</f>
        <v>1.0363</v>
      </c>
      <c r="G69" s="20">
        <f>IF(表2_36716262930389121314151617[[#This Row],[累计净值]]&gt;0.9999,0.7*(表2_36716262930389121314151617[[#This Row],[累计净值]]-0.9999),表2_36716262930389121314151617[[#This Row],[累计净值]]-0.9999)</f>
        <v>2.5479999999999989E-2</v>
      </c>
    </row>
    <row r="70" spans="1:7">
      <c r="A70" s="15">
        <v>44027</v>
      </c>
      <c r="B70" s="112">
        <v>1.0376000000000001</v>
      </c>
      <c r="C70" s="108">
        <f t="shared" ref="C70:C76" si="14">IFERROR(B70-B69,0)</f>
        <v>1.3000000000000789E-3</v>
      </c>
      <c r="D70" s="109" t="str">
        <f t="shared" ref="D70:D76" si="15">IF(C70&lt;0,C70,"/")</f>
        <v>/</v>
      </c>
      <c r="E70" s="109">
        <f ca="1">IF(表2_36716262930389121314151617[[#This Row],[累计净值]]/MAX(INDIRECT("B21:B" &amp; ROW()))-1&lt;E69,表2_36716262930389121314151617[[#This Row],[累计净值]]/MAX(INDIRECT("B21:B" &amp; ROW()))-1,E69)</f>
        <v>-4.7491837340456478E-3</v>
      </c>
      <c r="F70" s="110">
        <f>表2_36716262930389121314151617[[#This Row],[累计净值]]</f>
        <v>1.0376000000000001</v>
      </c>
      <c r="G70" s="20">
        <f>IF(表2_36716262930389121314151617[[#This Row],[累计净值]]&gt;0.9999,0.7*(表2_36716262930389121314151617[[#This Row],[累计净值]]-0.9999),表2_36716262930389121314151617[[#This Row],[累计净值]]-0.9999)</f>
        <v>2.6390000000000045E-2</v>
      </c>
    </row>
    <row r="71" spans="1:7">
      <c r="A71" s="15">
        <v>44028</v>
      </c>
      <c r="B71" s="112">
        <v>1.0468999999999999</v>
      </c>
      <c r="C71" s="108">
        <f t="shared" si="14"/>
        <v>9.2999999999998639E-3</v>
      </c>
      <c r="D71" s="109" t="str">
        <f t="shared" si="15"/>
        <v>/</v>
      </c>
      <c r="E71" s="109">
        <f ca="1">IF(表2_36716262930389121314151617[[#This Row],[累计净值]]/MAX(INDIRECT("B21:B" &amp; ROW()))-1&lt;E70,表2_36716262930389121314151617[[#This Row],[累计净值]]/MAX(INDIRECT("B21:B" &amp; ROW()))-1,E70)</f>
        <v>-4.7491837340456478E-3</v>
      </c>
      <c r="F71" s="110">
        <f>表2_36716262930389121314151617[[#This Row],[累计净值]]</f>
        <v>1.0468999999999999</v>
      </c>
      <c r="G71" s="20">
        <f>IF(表2_36716262930389121314151617[[#This Row],[累计净值]]&gt;0.9999,0.7*(表2_36716262930389121314151617[[#This Row],[累计净值]]-0.9999),表2_36716262930389121314151617[[#This Row],[累计净值]]-0.9999)</f>
        <v>3.289999999999995E-2</v>
      </c>
    </row>
    <row r="72" spans="1:7">
      <c r="A72" s="15">
        <v>44029</v>
      </c>
      <c r="B72" s="112">
        <v>1.0504</v>
      </c>
      <c r="C72" s="108">
        <f t="shared" si="14"/>
        <v>3.5000000000000586E-3</v>
      </c>
      <c r="D72" s="109" t="str">
        <f t="shared" si="15"/>
        <v>/</v>
      </c>
      <c r="E72" s="109">
        <f ca="1">IF(表2_36716262930389121314151617[[#This Row],[累计净值]]/MAX(INDIRECT("B21:B" &amp; ROW()))-1&lt;E71,表2_36716262930389121314151617[[#This Row],[累计净值]]/MAX(INDIRECT("B21:B" &amp; ROW()))-1,E71)</f>
        <v>-4.7491837340456478E-3</v>
      </c>
      <c r="F72" s="110">
        <f>表2_36716262930389121314151617[[#This Row],[累计净值]]</f>
        <v>1.0504</v>
      </c>
      <c r="G72" s="20">
        <f>IF(表2_36716262930389121314151617[[#This Row],[累计净值]]&gt;0.9999,0.7*(表2_36716262930389121314151617[[#This Row],[累计净值]]-0.9999),表2_36716262930389121314151617[[#This Row],[累计净值]]-0.9999)</f>
        <v>3.5349999999999993E-2</v>
      </c>
    </row>
    <row r="73" spans="1:7">
      <c r="A73" s="15">
        <v>44032</v>
      </c>
      <c r="B73" s="112">
        <v>1.0515000000000001</v>
      </c>
      <c r="C73" s="108">
        <f t="shared" si="14"/>
        <v>1.1000000000001009E-3</v>
      </c>
      <c r="D73" s="109" t="str">
        <f t="shared" si="15"/>
        <v>/</v>
      </c>
      <c r="E73" s="109">
        <f ca="1">IF(表2_36716262930389121314151617[[#This Row],[累计净值]]/MAX(INDIRECT("B21:B" &amp; ROW()))-1&lt;E72,表2_36716262930389121314151617[[#This Row],[累计净值]]/MAX(INDIRECT("B21:B" &amp; ROW()))-1,E72)</f>
        <v>-4.7491837340456478E-3</v>
      </c>
      <c r="F73" s="110">
        <f>表2_36716262930389121314151617[[#This Row],[累计净值]]</f>
        <v>1.0515000000000001</v>
      </c>
      <c r="G73" s="20">
        <f>IF(表2_36716262930389121314151617[[#This Row],[累计净值]]&gt;0.9999,0.7*(表2_36716262930389121314151617[[#This Row],[累计净值]]-0.9999),表2_36716262930389121314151617[[#This Row],[累计净值]]-0.9999)</f>
        <v>3.6120000000000062E-2</v>
      </c>
    </row>
    <row r="74" spans="1:7">
      <c r="A74" s="15">
        <v>44033</v>
      </c>
      <c r="B74" s="112">
        <v>1.054</v>
      </c>
      <c r="C74" s="108">
        <f t="shared" si="14"/>
        <v>2.4999999999999467E-3</v>
      </c>
      <c r="D74" s="109" t="str">
        <f t="shared" si="15"/>
        <v>/</v>
      </c>
      <c r="E74" s="109">
        <f ca="1">IF(表2_36716262930389121314151617[[#This Row],[累计净值]]/MAX(INDIRECT("B21:B" &amp; ROW()))-1&lt;E73,表2_36716262930389121314151617[[#This Row],[累计净值]]/MAX(INDIRECT("B21:B" &amp; ROW()))-1,E73)</f>
        <v>-4.7491837340456478E-3</v>
      </c>
      <c r="F74" s="110">
        <f>表2_36716262930389121314151617[[#This Row],[累计净值]]</f>
        <v>1.054</v>
      </c>
      <c r="G74" s="20">
        <f>IF(表2_36716262930389121314151617[[#This Row],[累计净值]]&gt;0.9999,0.7*(表2_36716262930389121314151617[[#This Row],[累计净值]]-0.9999),表2_36716262930389121314151617[[#This Row],[累计净值]]-0.9999)</f>
        <v>3.7870000000000022E-2</v>
      </c>
    </row>
    <row r="75" spans="1:7">
      <c r="A75" s="15">
        <v>44034</v>
      </c>
      <c r="B75" s="112">
        <v>1.0551999999999999</v>
      </c>
      <c r="C75" s="108">
        <f t="shared" si="14"/>
        <v>1.1999999999998678E-3</v>
      </c>
      <c r="D75" s="109" t="str">
        <f t="shared" si="15"/>
        <v>/</v>
      </c>
      <c r="E75" s="109">
        <f ca="1">IF(表2_36716262930389121314151617[[#This Row],[累计净值]]/MAX(INDIRECT("B21:B" &amp; ROW()))-1&lt;E74,表2_36716262930389121314151617[[#This Row],[累计净值]]/MAX(INDIRECT("B21:B" &amp; ROW()))-1,E74)</f>
        <v>-4.7491837340456478E-3</v>
      </c>
      <c r="F75" s="110">
        <f>表2_36716262930389121314151617[[#This Row],[累计净值]]</f>
        <v>1.0551999999999999</v>
      </c>
      <c r="G75" s="20">
        <f>IF(表2_36716262930389121314151617[[#This Row],[累计净值]]&gt;0.9999,0.7*(表2_36716262930389121314151617[[#This Row],[累计净值]]-0.9999),表2_36716262930389121314151617[[#This Row],[累计净值]]-0.9999)</f>
        <v>3.8709999999999932E-2</v>
      </c>
    </row>
    <row r="76" spans="1:7">
      <c r="A76" s="15">
        <v>44035</v>
      </c>
      <c r="B76" s="112">
        <v>1.0599000000000001</v>
      </c>
      <c r="C76" s="108">
        <f t="shared" si="14"/>
        <v>4.7000000000001485E-3</v>
      </c>
      <c r="D76" s="109" t="str">
        <f t="shared" si="15"/>
        <v>/</v>
      </c>
      <c r="E76" s="109">
        <f ca="1">IF(表2_36716262930389121314151617[[#This Row],[累计净值]]/MAX(INDIRECT("B21:B" &amp; ROW()))-1&lt;E75,表2_36716262930389121314151617[[#This Row],[累计净值]]/MAX(INDIRECT("B21:B" &amp; ROW()))-1,E75)</f>
        <v>-4.7491837340456478E-3</v>
      </c>
      <c r="F76" s="110">
        <f>表2_36716262930389121314151617[[#This Row],[累计净值]]</f>
        <v>1.0599000000000001</v>
      </c>
      <c r="G76" s="20">
        <f>IF(表2_36716262930389121314151617[[#This Row],[累计净值]]&gt;0.9999,0.7*(表2_36716262930389121314151617[[#This Row],[累计净值]]-0.9999),表2_36716262930389121314151617[[#This Row],[累计净值]]-0.9999)</f>
        <v>4.2000000000000037E-2</v>
      </c>
    </row>
    <row r="77" spans="1:7">
      <c r="A77" s="15">
        <v>44036</v>
      </c>
      <c r="B77" s="112">
        <v>1.0636000000000001</v>
      </c>
      <c r="C77" s="108">
        <f t="shared" ref="C77:C82" si="16">IFERROR(B77-B76,0)</f>
        <v>3.7000000000000366E-3</v>
      </c>
      <c r="D77" s="109" t="str">
        <f t="shared" ref="D77:D82" si="17">IF(C77&lt;0,C77,"/")</f>
        <v>/</v>
      </c>
      <c r="E77" s="109">
        <f ca="1">IF(表2_36716262930389121314151617[[#This Row],[累计净值]]/MAX(INDIRECT("B21:B" &amp; ROW()))-1&lt;E76,表2_36716262930389121314151617[[#This Row],[累计净值]]/MAX(INDIRECT("B21:B" &amp; ROW()))-1,E76)</f>
        <v>-4.7491837340456478E-3</v>
      </c>
      <c r="F77" s="110">
        <f>表2_36716262930389121314151617[[#This Row],[累计净值]]</f>
        <v>1.0636000000000001</v>
      </c>
      <c r="G77" s="20">
        <f>IF(表2_36716262930389121314151617[[#This Row],[累计净值]]&gt;0.9999,0.7*(表2_36716262930389121314151617[[#This Row],[累计净值]]-0.9999),表2_36716262930389121314151617[[#This Row],[累计净值]]-0.9999)</f>
        <v>4.459000000000006E-2</v>
      </c>
    </row>
    <row r="78" spans="1:7">
      <c r="A78" s="15">
        <v>44039</v>
      </c>
      <c r="B78" s="112">
        <v>1.0642</v>
      </c>
      <c r="C78" s="108">
        <f t="shared" si="16"/>
        <v>5.9999999999993392E-4</v>
      </c>
      <c r="D78" s="109" t="str">
        <f t="shared" si="17"/>
        <v>/</v>
      </c>
      <c r="E78" s="109">
        <f ca="1">IF(表2_36716262930389121314151617[[#This Row],[累计净值]]/MAX(INDIRECT("B21:B" &amp; ROW()))-1&lt;E77,表2_36716262930389121314151617[[#This Row],[累计净值]]/MAX(INDIRECT("B21:B" &amp; ROW()))-1,E77)</f>
        <v>-4.7491837340456478E-3</v>
      </c>
      <c r="F78" s="110">
        <f>表2_36716262930389121314151617[[#This Row],[累计净值]]</f>
        <v>1.0642</v>
      </c>
      <c r="G78" s="20">
        <f>IF(表2_36716262930389121314151617[[#This Row],[累计净值]]&gt;0.9999,0.7*(表2_36716262930389121314151617[[#This Row],[累计净值]]-0.9999),表2_36716262930389121314151617[[#This Row],[累计净值]]-0.9999)</f>
        <v>4.5010000000000015E-2</v>
      </c>
    </row>
    <row r="79" spans="1:7">
      <c r="A79" s="15">
        <v>44040</v>
      </c>
      <c r="B79" s="112">
        <v>1.0634999999999999</v>
      </c>
      <c r="C79" s="108">
        <f t="shared" si="16"/>
        <v>-7.0000000000014495E-4</v>
      </c>
      <c r="D79" s="109">
        <f t="shared" si="17"/>
        <v>-7.0000000000014495E-4</v>
      </c>
      <c r="E79" s="109">
        <f ca="1">IF(表2_36716262930389121314151617[[#This Row],[累计净值]]/MAX(INDIRECT("B21:B" &amp; ROW()))-1&lt;E78,表2_36716262930389121314151617[[#This Row],[累计净值]]/MAX(INDIRECT("B21:B" &amp; ROW()))-1,E78)</f>
        <v>-4.7491837340456478E-3</v>
      </c>
      <c r="F79" s="110">
        <f>表2_36716262930389121314151617[[#This Row],[累计净值]]</f>
        <v>1.0634999999999999</v>
      </c>
      <c r="G79" s="20">
        <f>IF(表2_36716262930389121314151617[[#This Row],[累计净值]]&gt;0.9999,0.7*(表2_36716262930389121314151617[[#This Row],[累计净值]]-0.9999),表2_36716262930389121314151617[[#This Row],[累计净值]]-0.9999)</f>
        <v>4.4519999999999914E-2</v>
      </c>
    </row>
    <row r="80" spans="1:7">
      <c r="A80" s="15">
        <v>44041</v>
      </c>
      <c r="B80" s="112">
        <v>1.0638000000000001</v>
      </c>
      <c r="C80" s="108">
        <f t="shared" si="16"/>
        <v>3.00000000000189E-4</v>
      </c>
      <c r="D80" s="109" t="str">
        <f t="shared" si="17"/>
        <v>/</v>
      </c>
      <c r="E80" s="109">
        <f ca="1">IF(表2_36716262930389121314151617[[#This Row],[累计净值]]/MAX(INDIRECT("B21:B" &amp; ROW()))-1&lt;E79,表2_36716262930389121314151617[[#This Row],[累计净值]]/MAX(INDIRECT("B21:B" &amp; ROW()))-1,E79)</f>
        <v>-4.7491837340456478E-3</v>
      </c>
      <c r="F80" s="110">
        <f>表2_36716262930389121314151617[[#This Row],[累计净值]]</f>
        <v>1.0638000000000001</v>
      </c>
      <c r="G80" s="20">
        <f>IF(表2_36716262930389121314151617[[#This Row],[累计净值]]&gt;0.9999,0.7*(表2_36716262930389121314151617[[#This Row],[累计净值]]-0.9999),表2_36716262930389121314151617[[#This Row],[累计净值]]-0.9999)</f>
        <v>4.4730000000000047E-2</v>
      </c>
    </row>
    <row r="81" spans="1:7">
      <c r="A81" s="15">
        <v>44042</v>
      </c>
      <c r="B81" s="112">
        <v>1.0645</v>
      </c>
      <c r="C81" s="108">
        <f t="shared" si="16"/>
        <v>6.9999999999992291E-4</v>
      </c>
      <c r="D81" s="109" t="str">
        <f t="shared" si="17"/>
        <v>/</v>
      </c>
      <c r="E81" s="109">
        <f ca="1">IF(表2_36716262930389121314151617[[#This Row],[累计净值]]/MAX(INDIRECT("B21:B" &amp; ROW()))-1&lt;E80,表2_36716262930389121314151617[[#This Row],[累计净值]]/MAX(INDIRECT("B21:B" &amp; ROW()))-1,E80)</f>
        <v>-4.7491837340456478E-3</v>
      </c>
      <c r="F81" s="110">
        <f>表2_36716262930389121314151617[[#This Row],[累计净值]]</f>
        <v>1.0645</v>
      </c>
      <c r="G81" s="20">
        <f>IF(表2_36716262930389121314151617[[#This Row],[累计净值]]&gt;0.9999,0.7*(表2_36716262930389121314151617[[#This Row],[累计净值]]-0.9999),表2_36716262930389121314151617[[#This Row],[累计净值]]-0.9999)</f>
        <v>4.5219999999999989E-2</v>
      </c>
    </row>
    <row r="82" spans="1:7">
      <c r="A82" s="15">
        <v>44043</v>
      </c>
      <c r="B82" s="112">
        <v>1.0680000000000001</v>
      </c>
      <c r="C82" s="108">
        <f t="shared" si="16"/>
        <v>3.5000000000000586E-3</v>
      </c>
      <c r="D82" s="109" t="str">
        <f t="shared" si="17"/>
        <v>/</v>
      </c>
      <c r="E82" s="109">
        <f ca="1">IF(表2_36716262930389121314151617[[#This Row],[累计净值]]/MAX(INDIRECT("B21:B" &amp; ROW()))-1&lt;E81,表2_36716262930389121314151617[[#This Row],[累计净值]]/MAX(INDIRECT("B21:B" &amp; ROW()))-1,E81)</f>
        <v>-4.7491837340456478E-3</v>
      </c>
      <c r="F82" s="110">
        <f>表2_36716262930389121314151617[[#This Row],[累计净值]]</f>
        <v>1.0680000000000001</v>
      </c>
      <c r="G82" s="20">
        <f>IF(表2_36716262930389121314151617[[#This Row],[累计净值]]&gt;0.9999,0.7*(表2_36716262930389121314151617[[#This Row],[累计净值]]-0.9999),表2_36716262930389121314151617[[#This Row],[累计净值]]-0.9999)</f>
        <v>4.7670000000000032E-2</v>
      </c>
    </row>
    <row r="83" spans="1:7">
      <c r="A83" s="15">
        <v>44046</v>
      </c>
      <c r="B83" s="112">
        <v>1.0680000000000001</v>
      </c>
      <c r="C83" s="108">
        <f t="shared" ref="C83:C88" si="18">IFERROR(B83-B82,0)</f>
        <v>0</v>
      </c>
      <c r="D83" s="109" t="str">
        <f t="shared" ref="D83:D88" si="19">IF(C83&lt;0,C83,"/")</f>
        <v>/</v>
      </c>
      <c r="E83" s="109">
        <f ca="1">IF(表2_36716262930389121314151617[[#This Row],[累计净值]]/MAX(INDIRECT("B21:B" &amp; ROW()))-1&lt;E82,表2_36716262930389121314151617[[#This Row],[累计净值]]/MAX(INDIRECT("B21:B" &amp; ROW()))-1,E82)</f>
        <v>-4.7491837340456478E-3</v>
      </c>
      <c r="F83" s="110">
        <f>表2_36716262930389121314151617[[#This Row],[累计净值]]</f>
        <v>1.0680000000000001</v>
      </c>
      <c r="G83" s="20">
        <f>IF(表2_36716262930389121314151617[[#This Row],[累计净值]]&gt;0.9999,0.7*(表2_36716262930389121314151617[[#This Row],[累计净值]]-0.9999),表2_36716262930389121314151617[[#This Row],[累计净值]]-0.9999)</f>
        <v>4.7670000000000032E-2</v>
      </c>
    </row>
    <row r="84" spans="1:7">
      <c r="A84" s="15">
        <v>44047</v>
      </c>
      <c r="B84" s="112">
        <v>1.0652999999999999</v>
      </c>
      <c r="C84" s="108">
        <f t="shared" si="18"/>
        <v>-2.7000000000001467E-3</v>
      </c>
      <c r="D84" s="109">
        <f t="shared" si="19"/>
        <v>-2.7000000000001467E-3</v>
      </c>
      <c r="E84" s="109">
        <f ca="1">IF(表2_36716262930389121314151617[[#This Row],[累计净值]]/MAX(INDIRECT("B21:B" &amp; ROW()))-1&lt;E83,表2_36716262930389121314151617[[#This Row],[累计净值]]/MAX(INDIRECT("B21:B" &amp; ROW()))-1,E83)</f>
        <v>-4.7491837340456478E-3</v>
      </c>
      <c r="F84" s="110">
        <f>表2_36716262930389121314151617[[#This Row],[累计净值]]</f>
        <v>1.0652999999999999</v>
      </c>
      <c r="G84" s="20">
        <f>IF(表2_36716262930389121314151617[[#This Row],[累计净值]]&gt;0.9999,0.7*(表2_36716262930389121314151617[[#This Row],[累计净值]]-0.9999),表2_36716262930389121314151617[[#This Row],[累计净值]]-0.9999)</f>
        <v>4.5779999999999932E-2</v>
      </c>
    </row>
    <row r="85" spans="1:7">
      <c r="A85" s="15">
        <v>44048</v>
      </c>
      <c r="B85" s="112">
        <v>1.0662</v>
      </c>
      <c r="C85" s="108">
        <f t="shared" si="18"/>
        <v>9.0000000000012292E-4</v>
      </c>
      <c r="D85" s="109" t="str">
        <f t="shared" si="19"/>
        <v>/</v>
      </c>
      <c r="E85" s="109">
        <f ca="1">IF(表2_36716262930389121314151617[[#This Row],[累计净值]]/MAX(INDIRECT("B21:B" &amp; ROW()))-1&lt;E84,表2_36716262930389121314151617[[#This Row],[累计净值]]/MAX(INDIRECT("B21:B" &amp; ROW()))-1,E84)</f>
        <v>-4.7491837340456478E-3</v>
      </c>
      <c r="F85" s="110">
        <f>表2_36716262930389121314151617[[#This Row],[累计净值]]</f>
        <v>1.0662</v>
      </c>
      <c r="G85" s="20">
        <f>IF(表2_36716262930389121314151617[[#This Row],[累计净值]]&gt;0.9999,0.7*(表2_36716262930389121314151617[[#This Row],[累计净值]]-0.9999),表2_36716262930389121314151617[[#This Row],[累计净值]]-0.9999)</f>
        <v>4.6410000000000014E-2</v>
      </c>
    </row>
    <row r="86" spans="1:7">
      <c r="A86" s="15">
        <v>44049</v>
      </c>
      <c r="B86" s="112">
        <v>1.0671999999999999</v>
      </c>
      <c r="C86" s="108">
        <f t="shared" si="18"/>
        <v>9.9999999999988987E-4</v>
      </c>
      <c r="D86" s="109" t="str">
        <f t="shared" si="19"/>
        <v>/</v>
      </c>
      <c r="E86" s="109">
        <f ca="1">IF(表2_36716262930389121314151617[[#This Row],[累计净值]]/MAX(INDIRECT("B21:B" &amp; ROW()))-1&lt;E85,表2_36716262930389121314151617[[#This Row],[累计净值]]/MAX(INDIRECT("B21:B" &amp; ROW()))-1,E85)</f>
        <v>-4.7491837340456478E-3</v>
      </c>
      <c r="F86" s="110">
        <f>表2_36716262930389121314151617[[#This Row],[累计净值]]</f>
        <v>1.0671999999999999</v>
      </c>
      <c r="G86" s="20">
        <f>IF(表2_36716262930389121314151617[[#This Row],[累计净值]]&gt;0.9999,0.7*(表2_36716262930389121314151617[[#This Row],[累计净值]]-0.9999),表2_36716262930389121314151617[[#This Row],[累计净值]]-0.9999)</f>
        <v>4.7109999999999937E-2</v>
      </c>
    </row>
    <row r="87" spans="1:7">
      <c r="A87" s="15">
        <v>44050</v>
      </c>
      <c r="B87" s="112">
        <v>1.0650999999999999</v>
      </c>
      <c r="C87" s="108">
        <f t="shared" si="18"/>
        <v>-2.0999999999999908E-3</v>
      </c>
      <c r="D87" s="109">
        <f t="shared" si="19"/>
        <v>-2.0999999999999908E-3</v>
      </c>
      <c r="E87" s="109">
        <f ca="1">IF(表2_36716262930389121314151617[[#This Row],[累计净值]]/MAX(INDIRECT("B21:B" &amp; ROW()))-1&lt;E86,表2_36716262930389121314151617[[#This Row],[累计净值]]/MAX(INDIRECT("B21:B" &amp; ROW()))-1,E86)</f>
        <v>-4.7491837340456478E-3</v>
      </c>
      <c r="F87" s="110">
        <f>表2_36716262930389121314151617[[#This Row],[累计净值]]</f>
        <v>1.0650999999999999</v>
      </c>
      <c r="G87" s="20">
        <f>IF(表2_36716262930389121314151617[[#This Row],[累计净值]]&gt;0.9999,0.7*(表2_36716262930389121314151617[[#This Row],[累计净值]]-0.9999),表2_36716262930389121314151617[[#This Row],[累计净值]]-0.9999)</f>
        <v>4.5639999999999945E-2</v>
      </c>
    </row>
    <row r="88" spans="1:7">
      <c r="A88" s="15">
        <v>44053</v>
      </c>
      <c r="B88" s="112">
        <v>1.0651999999999999</v>
      </c>
      <c r="C88" s="108">
        <f t="shared" si="18"/>
        <v>9.9999999999988987E-5</v>
      </c>
      <c r="D88" s="109" t="str">
        <f t="shared" si="19"/>
        <v>/</v>
      </c>
      <c r="E88" s="109">
        <f ca="1">IF(表2_36716262930389121314151617[[#This Row],[累计净值]]/MAX(INDIRECT("B21:B" &amp; ROW()))-1&lt;E87,表2_36716262930389121314151617[[#This Row],[累计净值]]/MAX(INDIRECT("B21:B" &amp; ROW()))-1,E87)</f>
        <v>-4.7491837340456478E-3</v>
      </c>
      <c r="F88" s="110">
        <f>表2_36716262930389121314151617[[#This Row],[累计净值]]</f>
        <v>1.0651999999999999</v>
      </c>
      <c r="G88" s="20">
        <f>IF(表2_36716262930389121314151617[[#This Row],[累计净值]]&gt;0.9999,0.7*(表2_36716262930389121314151617[[#This Row],[累计净值]]-0.9999),表2_36716262930389121314151617[[#This Row],[累计净值]]-0.9999)</f>
        <v>4.5709999999999938E-2</v>
      </c>
    </row>
    <row r="89" spans="1:7">
      <c r="A89" s="15">
        <v>44054</v>
      </c>
      <c r="B89" s="112">
        <v>1.0632999999999999</v>
      </c>
      <c r="C89" s="108">
        <f t="shared" ref="C89:C94" si="20">IFERROR(B89-B88,0)</f>
        <v>-1.9000000000000128E-3</v>
      </c>
      <c r="D89" s="109">
        <f t="shared" ref="D89:D94" si="21">IF(C89&lt;0,C89,"/")</f>
        <v>-1.9000000000000128E-3</v>
      </c>
      <c r="E89" s="109">
        <f ca="1">IF(表2_36716262930389121314151617[[#This Row],[累计净值]]/MAX(INDIRECT("B21:B" &amp; ROW()))-1&lt;E88,表2_36716262930389121314151617[[#This Row],[累计净值]]/MAX(INDIRECT("B21:B" &amp; ROW()))-1,E88)</f>
        <v>-4.7491837340456478E-3</v>
      </c>
      <c r="F89" s="110">
        <f>表2_36716262930389121314151617[[#This Row],[累计净值]]</f>
        <v>1.0632999999999999</v>
      </c>
      <c r="G89" s="20">
        <f>IF(表2_36716262930389121314151617[[#This Row],[累计净值]]&gt;0.9999,0.7*(表2_36716262930389121314151617[[#This Row],[累计净值]]-0.9999),表2_36716262930389121314151617[[#This Row],[累计净值]]-0.9999)</f>
        <v>4.4379999999999926E-2</v>
      </c>
    </row>
    <row r="90" spans="1:7">
      <c r="A90" s="15">
        <v>44055</v>
      </c>
      <c r="B90" s="112">
        <v>1.0686</v>
      </c>
      <c r="C90" s="108">
        <f t="shared" si="20"/>
        <v>5.3000000000000824E-3</v>
      </c>
      <c r="D90" s="109" t="str">
        <f t="shared" si="21"/>
        <v>/</v>
      </c>
      <c r="E90" s="109">
        <f ca="1">IF(表2_36716262930389121314151617[[#This Row],[累计净值]]/MAX(INDIRECT("B21:B" &amp; ROW()))-1&lt;E89,表2_36716262930389121314151617[[#This Row],[累计净值]]/MAX(INDIRECT("B21:B" &amp; ROW()))-1,E89)</f>
        <v>-4.7491837340456478E-3</v>
      </c>
      <c r="F90" s="110">
        <f>表2_36716262930389121314151617[[#This Row],[累计净值]]</f>
        <v>1.0686</v>
      </c>
      <c r="G90" s="20">
        <f>IF(表2_36716262930389121314151617[[#This Row],[累计净值]]&gt;0.9999,0.7*(表2_36716262930389121314151617[[#This Row],[累计净值]]-0.9999),表2_36716262930389121314151617[[#This Row],[累计净值]]-0.9999)</f>
        <v>4.8089999999999987E-2</v>
      </c>
    </row>
    <row r="91" spans="1:7">
      <c r="A91" s="15">
        <v>44056</v>
      </c>
      <c r="B91" s="112">
        <v>1.0690999999999999</v>
      </c>
      <c r="C91" s="108">
        <f t="shared" si="20"/>
        <v>4.9999999999994493E-4</v>
      </c>
      <c r="D91" s="109" t="str">
        <f t="shared" si="21"/>
        <v>/</v>
      </c>
      <c r="E91" s="109">
        <f ca="1">IF(表2_36716262930389121314151617[[#This Row],[累计净值]]/MAX(INDIRECT("B21:B" &amp; ROW()))-1&lt;E90,表2_36716262930389121314151617[[#This Row],[累计净值]]/MAX(INDIRECT("B21:B" &amp; ROW()))-1,E90)</f>
        <v>-4.7491837340456478E-3</v>
      </c>
      <c r="F91" s="110">
        <f>表2_36716262930389121314151617[[#This Row],[累计净值]]</f>
        <v>1.0690999999999999</v>
      </c>
      <c r="G91" s="20">
        <f>IF(表2_36716262930389121314151617[[#This Row],[累计净值]]&gt;0.9999,0.7*(表2_36716262930389121314151617[[#This Row],[累计净值]]-0.9999),表2_36716262930389121314151617[[#This Row],[累计净值]]-0.9999)</f>
        <v>4.8439999999999948E-2</v>
      </c>
    </row>
    <row r="92" spans="1:7">
      <c r="A92" s="15">
        <v>44057</v>
      </c>
      <c r="B92" s="117">
        <v>1.0703</v>
      </c>
      <c r="C92" s="108">
        <f t="shared" si="20"/>
        <v>1.2000000000000899E-3</v>
      </c>
      <c r="D92" s="109" t="str">
        <f t="shared" si="21"/>
        <v>/</v>
      </c>
      <c r="E92" s="109">
        <f ca="1">IF(表2_36716262930389121314151617[[#This Row],[累计净值]]/MAX(INDIRECT("B21:B" &amp; ROW()))-1&lt;E91,表2_36716262930389121314151617[[#This Row],[累计净值]]/MAX(INDIRECT("B21:B" &amp; ROW()))-1,E91)</f>
        <v>-4.7491837340456478E-3</v>
      </c>
      <c r="F92" s="110">
        <f>表2_36716262930389121314151617[[#This Row],[累计净值]]</f>
        <v>1.0703</v>
      </c>
      <c r="G92" s="20">
        <f>IF(表2_36716262930389121314151617[[#This Row],[累计净值]]&gt;0.9999,0.7*(表2_36716262930389121314151617[[#This Row],[累计净值]]-0.9999),表2_36716262930389121314151617[[#This Row],[累计净值]]-0.9999)</f>
        <v>4.9280000000000011E-2</v>
      </c>
    </row>
    <row r="93" spans="1:7">
      <c r="A93" s="15">
        <v>44060</v>
      </c>
      <c r="B93" s="112">
        <v>1.0653999999999999</v>
      </c>
      <c r="C93" s="108">
        <f t="shared" si="20"/>
        <v>-4.9000000000001265E-3</v>
      </c>
      <c r="D93" s="109">
        <f t="shared" si="21"/>
        <v>-4.9000000000001265E-3</v>
      </c>
      <c r="E93" s="109">
        <f ca="1">IF(表2_36716262930389121314151617[[#This Row],[累计净值]]/MAX(INDIRECT("B21:B" &amp; ROW()))-1&lt;E92,表2_36716262930389121314151617[[#This Row],[累计净值]]/MAX(INDIRECT("B21:B" &amp; ROW()))-1,E92)</f>
        <v>-4.7491837340456478E-3</v>
      </c>
      <c r="F93" s="110">
        <f>表2_36716262930389121314151617[[#This Row],[累计净值]]</f>
        <v>1.0653999999999999</v>
      </c>
      <c r="G93" s="20">
        <f>IF(表2_36716262930389121314151617[[#This Row],[累计净值]]&gt;0.9999,0.7*(表2_36716262930389121314151617[[#This Row],[累计净值]]-0.9999),表2_36716262930389121314151617[[#This Row],[累计净值]]-0.9999)</f>
        <v>4.5849999999999919E-2</v>
      </c>
    </row>
    <row r="94" spans="1:7">
      <c r="A94" s="15">
        <v>44061</v>
      </c>
      <c r="B94" s="112">
        <v>1.0598000000000001</v>
      </c>
      <c r="C94" s="108">
        <f t="shared" si="20"/>
        <v>-5.5999999999998273E-3</v>
      </c>
      <c r="D94" s="109">
        <f t="shared" si="21"/>
        <v>-5.5999999999998273E-3</v>
      </c>
      <c r="E94" s="109">
        <f ca="1">IF(表2_36716262930389121314151617[[#This Row],[累计净值]]/MAX(INDIRECT("B21:B" &amp; ROW()))-1&lt;E93,表2_36716262930389121314151617[[#This Row],[累计净值]]/MAX(INDIRECT("B21:B" &amp; ROW()))-1,E93)</f>
        <v>-9.8103335513407552E-3</v>
      </c>
      <c r="F94" s="110">
        <f>表2_36716262930389121314151617[[#This Row],[累计净值]]</f>
        <v>1.0598000000000001</v>
      </c>
      <c r="G94" s="20">
        <f>IF(表2_36716262930389121314151617[[#This Row],[累计净值]]&gt;0.9999,0.7*(表2_36716262930389121314151617[[#This Row],[累计净值]]-0.9999),表2_36716262930389121314151617[[#This Row],[累计净值]]-0.9999)</f>
        <v>4.1930000000000044E-2</v>
      </c>
    </row>
    <row r="95" spans="1:7">
      <c r="A95" s="15">
        <v>44062</v>
      </c>
      <c r="B95" s="112">
        <v>1.0593999999999999</v>
      </c>
      <c r="C95" s="108">
        <f t="shared" ref="C95:C100" si="22">IFERROR(B95-B94,0)</f>
        <v>-4.0000000000017799E-4</v>
      </c>
      <c r="D95" s="109">
        <f t="shared" ref="D95:D100" si="23">IF(C95&lt;0,C95,"/")</f>
        <v>-4.0000000000017799E-4</v>
      </c>
      <c r="E95" s="109">
        <f ca="1">IF(表2_36716262930389121314151617[[#This Row],[累计净值]]/MAX(INDIRECT("B21:B" &amp; ROW()))-1&lt;E94,表2_36716262930389121314151617[[#This Row],[累计净值]]/MAX(INDIRECT("B21:B" &amp; ROW()))-1,E94)</f>
        <v>-1.0184060543772855E-2</v>
      </c>
      <c r="F95" s="110">
        <f>表2_36716262930389121314151617[[#This Row],[累计净值]]</f>
        <v>1.0593999999999999</v>
      </c>
      <c r="G95" s="20">
        <f>IF(表2_36716262930389121314151617[[#This Row],[累计净值]]&gt;0.9999,0.7*(表2_36716262930389121314151617[[#This Row],[累计净值]]-0.9999),表2_36716262930389121314151617[[#This Row],[累计净值]]-0.9999)</f>
        <v>4.1649999999999916E-2</v>
      </c>
    </row>
    <row r="96" spans="1:7">
      <c r="A96" s="15">
        <v>44063</v>
      </c>
      <c r="B96" s="112">
        <v>1.0593999999999999</v>
      </c>
      <c r="C96" s="108">
        <f t="shared" si="22"/>
        <v>0</v>
      </c>
      <c r="D96" s="109" t="str">
        <f t="shared" si="23"/>
        <v>/</v>
      </c>
      <c r="E96" s="109">
        <f ca="1">IF(表2_36716262930389121314151617[[#This Row],[累计净值]]/MAX(INDIRECT("B21:B" &amp; ROW()))-1&lt;E95,表2_36716262930389121314151617[[#This Row],[累计净值]]/MAX(INDIRECT("B21:B" &amp; ROW()))-1,E95)</f>
        <v>-1.0184060543772855E-2</v>
      </c>
      <c r="F96" s="110">
        <f>表2_36716262930389121314151617[[#This Row],[累计净值]]</f>
        <v>1.0593999999999999</v>
      </c>
      <c r="G96" s="20">
        <f>IF(表2_36716262930389121314151617[[#This Row],[累计净值]]&gt;0.9999,0.7*(表2_36716262930389121314151617[[#This Row],[累计净值]]-0.9999),表2_36716262930389121314151617[[#This Row],[累计净值]]-0.9999)</f>
        <v>4.1649999999999916E-2</v>
      </c>
    </row>
    <row r="97" spans="1:7">
      <c r="A97" s="15">
        <v>44064</v>
      </c>
      <c r="B97" s="112">
        <v>1.0609</v>
      </c>
      <c r="C97" s="108">
        <f t="shared" si="22"/>
        <v>1.5000000000000568E-3</v>
      </c>
      <c r="D97" s="109" t="str">
        <f t="shared" si="23"/>
        <v>/</v>
      </c>
      <c r="E97" s="109">
        <f ca="1">IF(表2_36716262930389121314151617[[#This Row],[累计净值]]/MAX(INDIRECT("B21:B" &amp; ROW()))-1&lt;E96,表2_36716262930389121314151617[[#This Row],[累计净值]]/MAX(INDIRECT("B21:B" &amp; ROW()))-1,E96)</f>
        <v>-1.0184060543772855E-2</v>
      </c>
      <c r="F97" s="110">
        <f>表2_36716262930389121314151617[[#This Row],[累计净值]]</f>
        <v>1.0609</v>
      </c>
      <c r="G97" s="20">
        <f>IF(表2_36716262930389121314151617[[#This Row],[累计净值]]&gt;0.9999,0.7*(表2_36716262930389121314151617[[#This Row],[累计净值]]-0.9999),表2_36716262930389121314151617[[#This Row],[累计净值]]-0.9999)</f>
        <v>4.269999999999996E-2</v>
      </c>
    </row>
    <row r="98" spans="1:7">
      <c r="A98" s="15">
        <v>44067</v>
      </c>
      <c r="B98" s="112">
        <v>1.0622</v>
      </c>
      <c r="C98" s="108">
        <f t="shared" si="22"/>
        <v>1.3000000000000789E-3</v>
      </c>
      <c r="D98" s="109" t="str">
        <f t="shared" si="23"/>
        <v>/</v>
      </c>
      <c r="E98" s="109">
        <f ca="1">IF(表2_36716262930389121314151617[[#This Row],[累计净值]]/MAX(INDIRECT("B21:B" &amp; ROW()))-1&lt;E97,表2_36716262930389121314151617[[#This Row],[累计净值]]/MAX(INDIRECT("B21:B" &amp; ROW()))-1,E97)</f>
        <v>-1.0184060543772855E-2</v>
      </c>
      <c r="F98" s="110">
        <f>表2_36716262930389121314151617[[#This Row],[累计净值]]</f>
        <v>1.0622</v>
      </c>
      <c r="G98" s="20">
        <f>IF(表2_36716262930389121314151617[[#This Row],[累计净值]]&gt;0.9999,0.7*(表2_36716262930389121314151617[[#This Row],[累计净值]]-0.9999),表2_36716262930389121314151617[[#This Row],[累计净值]]-0.9999)</f>
        <v>4.361000000000001E-2</v>
      </c>
    </row>
    <row r="99" spans="1:7">
      <c r="A99" s="15">
        <v>44068</v>
      </c>
      <c r="B99" s="112">
        <v>1.0629</v>
      </c>
      <c r="C99" s="108">
        <f t="shared" si="22"/>
        <v>6.9999999999992291E-4</v>
      </c>
      <c r="D99" s="109" t="str">
        <f t="shared" si="23"/>
        <v>/</v>
      </c>
      <c r="E99" s="109">
        <f ca="1">IF(表2_36716262930389121314151617[[#This Row],[累计净值]]/MAX(INDIRECT("B21:B" &amp; ROW()))-1&lt;E98,表2_36716262930389121314151617[[#This Row],[累计净值]]/MAX(INDIRECT("B21:B" &amp; ROW()))-1,E98)</f>
        <v>-1.0184060543772855E-2</v>
      </c>
      <c r="F99" s="110">
        <f>表2_36716262930389121314151617[[#This Row],[累计净值]]</f>
        <v>1.0629</v>
      </c>
      <c r="G99" s="20">
        <f>IF(表2_36716262930389121314151617[[#This Row],[累计净值]]&gt;0.9999,0.7*(表2_36716262930389121314151617[[#This Row],[累计净值]]-0.9999),表2_36716262930389121314151617[[#This Row],[累计净值]]-0.9999)</f>
        <v>4.4099999999999959E-2</v>
      </c>
    </row>
    <row r="100" spans="1:7">
      <c r="A100" s="15">
        <v>44069</v>
      </c>
      <c r="B100" s="112">
        <v>1.0629999999999999</v>
      </c>
      <c r="C100" s="108">
        <f t="shared" si="22"/>
        <v>9.9999999999988987E-5</v>
      </c>
      <c r="D100" s="109" t="str">
        <f t="shared" si="23"/>
        <v>/</v>
      </c>
      <c r="E100" s="109">
        <f ca="1">IF(表2_36716262930389121314151617[[#This Row],[累计净值]]/MAX(INDIRECT("B21:B" &amp; ROW()))-1&lt;E99,表2_36716262930389121314151617[[#This Row],[累计净值]]/MAX(INDIRECT("B21:B" &amp; ROW()))-1,E99)</f>
        <v>-1.0184060543772855E-2</v>
      </c>
      <c r="F100" s="110">
        <f>表2_36716262930389121314151617[[#This Row],[累计净值]]</f>
        <v>1.0629999999999999</v>
      </c>
      <c r="G100" s="20">
        <f>IF(表2_36716262930389121314151617[[#This Row],[累计净值]]&gt;0.9999,0.7*(表2_36716262930389121314151617[[#This Row],[累计净值]]-0.9999),表2_36716262930389121314151617[[#This Row],[累计净值]]-0.9999)</f>
        <v>4.4169999999999952E-2</v>
      </c>
    </row>
    <row r="101" spans="1:7">
      <c r="A101" s="15">
        <v>44070</v>
      </c>
      <c r="B101" s="112">
        <v>1.0629999999999999</v>
      </c>
      <c r="C101" s="108">
        <f t="shared" ref="C101:C106" si="24">IFERROR(B101-B100,0)</f>
        <v>0</v>
      </c>
      <c r="D101" s="109" t="str">
        <f t="shared" ref="D101:D106" si="25">IF(C101&lt;0,C101,"/")</f>
        <v>/</v>
      </c>
      <c r="E101" s="109">
        <f ca="1">IF(表2_36716262930389121314151617[[#This Row],[累计净值]]/MAX(INDIRECT("B21:B" &amp; ROW()))-1&lt;E100,表2_36716262930389121314151617[[#This Row],[累计净值]]/MAX(INDIRECT("B21:B" &amp; ROW()))-1,E100)</f>
        <v>-1.0184060543772855E-2</v>
      </c>
      <c r="F101" s="110">
        <f>表2_36716262930389121314151617[[#This Row],[累计净值]]</f>
        <v>1.0629999999999999</v>
      </c>
      <c r="G101" s="20">
        <f>IF(表2_36716262930389121314151617[[#This Row],[累计净值]]&gt;0.9999,0.7*(表2_36716262930389121314151617[[#This Row],[累计净值]]-0.9999),表2_36716262930389121314151617[[#This Row],[累计净值]]-0.9999)</f>
        <v>4.4169999999999952E-2</v>
      </c>
    </row>
    <row r="102" spans="1:7">
      <c r="A102" s="15">
        <v>44071</v>
      </c>
      <c r="B102" s="112">
        <v>1.0638000000000001</v>
      </c>
      <c r="C102" s="108">
        <f t="shared" si="24"/>
        <v>8.0000000000013394E-4</v>
      </c>
      <c r="D102" s="109" t="str">
        <f t="shared" si="25"/>
        <v>/</v>
      </c>
      <c r="E102" s="109">
        <f ca="1">IF(表2_36716262930389121314151617[[#This Row],[累计净值]]/MAX(INDIRECT("B21:B" &amp; ROW()))-1&lt;E101,表2_36716262930389121314151617[[#This Row],[累计净值]]/MAX(INDIRECT("B21:B" &amp; ROW()))-1,E101)</f>
        <v>-1.0184060543772855E-2</v>
      </c>
      <c r="F102" s="110">
        <f>表2_36716262930389121314151617[[#This Row],[累计净值]]</f>
        <v>1.0638000000000001</v>
      </c>
      <c r="G102" s="20">
        <f>IF(表2_36716262930389121314151617[[#This Row],[累计净值]]&gt;0.9999,0.7*(表2_36716262930389121314151617[[#This Row],[累计净值]]-0.9999),表2_36716262930389121314151617[[#This Row],[累计净值]]-0.9999)</f>
        <v>4.4730000000000047E-2</v>
      </c>
    </row>
    <row r="103" spans="1:7">
      <c r="A103" s="15">
        <v>44074</v>
      </c>
      <c r="B103" s="112">
        <v>1.0636000000000001</v>
      </c>
      <c r="C103" s="108">
        <f t="shared" si="24"/>
        <v>-1.9999999999997797E-4</v>
      </c>
      <c r="D103" s="109">
        <f t="shared" si="25"/>
        <v>-1.9999999999997797E-4</v>
      </c>
      <c r="E103" s="109">
        <f ca="1">IF(表2_36716262930389121314151617[[#This Row],[累计净值]]/MAX(INDIRECT("B21:B" &amp; ROW()))-1&lt;E102,表2_36716262930389121314151617[[#This Row],[累计净值]]/MAX(INDIRECT("B21:B" &amp; ROW()))-1,E102)</f>
        <v>-1.0184060543772855E-2</v>
      </c>
      <c r="F103" s="110">
        <f>表2_36716262930389121314151617[[#This Row],[累计净值]]</f>
        <v>1.0636000000000001</v>
      </c>
      <c r="G103" s="20">
        <f>IF(表2_36716262930389121314151617[[#This Row],[累计净值]]&gt;0.9999,0.7*(表2_36716262930389121314151617[[#This Row],[累计净值]]-0.9999),表2_36716262930389121314151617[[#This Row],[累计净值]]-0.9999)</f>
        <v>4.459000000000006E-2</v>
      </c>
    </row>
    <row r="104" spans="1:7">
      <c r="A104" s="15">
        <v>44075</v>
      </c>
      <c r="B104" s="112">
        <v>1.0641</v>
      </c>
      <c r="C104" s="108">
        <f t="shared" si="24"/>
        <v>4.9999999999994493E-4</v>
      </c>
      <c r="D104" s="109" t="str">
        <f t="shared" si="25"/>
        <v>/</v>
      </c>
      <c r="E104" s="109">
        <f ca="1">IF(表2_36716262930389121314151617[[#This Row],[累计净值]]/MAX(INDIRECT("B21:B" &amp; ROW()))-1&lt;E103,表2_36716262930389121314151617[[#This Row],[累计净值]]/MAX(INDIRECT("B21:B" &amp; ROW()))-1,E103)</f>
        <v>-1.0184060543772855E-2</v>
      </c>
      <c r="F104" s="110">
        <f>表2_36716262930389121314151617[[#This Row],[累计净值]]</f>
        <v>1.0641</v>
      </c>
      <c r="G104" s="20">
        <f>IF(表2_36716262930389121314151617[[#This Row],[累计净值]]&gt;0.9999,0.7*(表2_36716262930389121314151617[[#This Row],[累计净值]]-0.9999),表2_36716262930389121314151617[[#This Row],[累计净值]]-0.9999)</f>
        <v>4.4940000000000022E-2</v>
      </c>
    </row>
    <row r="105" spans="1:7">
      <c r="A105" s="15">
        <v>44076</v>
      </c>
      <c r="B105" s="112">
        <v>1.0629</v>
      </c>
      <c r="C105" s="108">
        <f t="shared" si="24"/>
        <v>-1.2000000000000899E-3</v>
      </c>
      <c r="D105" s="109">
        <f t="shared" si="25"/>
        <v>-1.2000000000000899E-3</v>
      </c>
      <c r="E105" s="109">
        <f ca="1">IF(表2_36716262930389121314151617[[#This Row],[累计净值]]/MAX(INDIRECT("B21:B" &amp; ROW()))-1&lt;E104,表2_36716262930389121314151617[[#This Row],[累计净值]]/MAX(INDIRECT("B21:B" &amp; ROW()))-1,E104)</f>
        <v>-1.0184060543772855E-2</v>
      </c>
      <c r="F105" s="110">
        <f>表2_36716262930389121314151617[[#This Row],[累计净值]]</f>
        <v>1.0629</v>
      </c>
      <c r="G105" s="20">
        <f>IF(表2_36716262930389121314151617[[#This Row],[累计净值]]&gt;0.9999,0.7*(表2_36716262930389121314151617[[#This Row],[累计净值]]-0.9999),表2_36716262930389121314151617[[#This Row],[累计净值]]-0.9999)</f>
        <v>4.4099999999999959E-2</v>
      </c>
    </row>
    <row r="106" spans="1:7">
      <c r="A106" s="15">
        <v>44077</v>
      </c>
      <c r="B106" s="112">
        <v>1.0658000000000001</v>
      </c>
      <c r="C106" s="108">
        <f t="shared" si="24"/>
        <v>2.9000000000001247E-3</v>
      </c>
      <c r="D106" s="109" t="str">
        <f t="shared" si="25"/>
        <v>/</v>
      </c>
      <c r="E106" s="109">
        <f ca="1">IF(表2_36716262930389121314151617[[#This Row],[累计净值]]/MAX(INDIRECT("B21:B" &amp; ROW()))-1&lt;E105,表2_36716262930389121314151617[[#This Row],[累计净值]]/MAX(INDIRECT("B21:B" &amp; ROW()))-1,E105)</f>
        <v>-1.0184060543772855E-2</v>
      </c>
      <c r="F106" s="110">
        <f>表2_36716262930389121314151617[[#This Row],[累计净值]]</f>
        <v>1.0658000000000001</v>
      </c>
      <c r="G106" s="20">
        <f>IF(表2_36716262930389121314151617[[#This Row],[累计净值]]&gt;0.9999,0.7*(表2_36716262930389121314151617[[#This Row],[累计净值]]-0.9999),表2_36716262930389121314151617[[#This Row],[累计净值]]-0.9999)</f>
        <v>4.6130000000000046E-2</v>
      </c>
    </row>
    <row r="107" spans="1:7">
      <c r="A107" s="15">
        <v>44078</v>
      </c>
      <c r="B107" s="112">
        <v>1.0666</v>
      </c>
      <c r="C107" s="108">
        <f t="shared" ref="C107:C112" si="26">IFERROR(B107-B106,0)</f>
        <v>7.9999999999991189E-4</v>
      </c>
      <c r="D107" s="109" t="str">
        <f t="shared" ref="D107:D112" si="27">IF(C107&lt;0,C107,"/")</f>
        <v>/</v>
      </c>
      <c r="E107" s="109">
        <f ca="1">IF(表2_36716262930389121314151617[[#This Row],[累计净值]]/MAX(INDIRECT("B21:B" &amp; ROW()))-1&lt;E106,表2_36716262930389121314151617[[#This Row],[累计净值]]/MAX(INDIRECT("B21:B" &amp; ROW()))-1,E106)</f>
        <v>-1.0184060543772855E-2</v>
      </c>
      <c r="F107" s="110">
        <f>表2_36716262930389121314151617[[#This Row],[累计净值]]</f>
        <v>1.0666</v>
      </c>
      <c r="G107" s="20">
        <f>IF(表2_36716262930389121314151617[[#This Row],[累计净值]]&gt;0.9999,0.7*(表2_36716262930389121314151617[[#This Row],[累计净值]]-0.9999),表2_36716262930389121314151617[[#This Row],[累计净值]]-0.9999)</f>
        <v>4.6689999999999982E-2</v>
      </c>
    </row>
    <row r="108" spans="1:7">
      <c r="A108" s="15">
        <v>44081</v>
      </c>
      <c r="B108" s="112">
        <v>1.0673999999999999</v>
      </c>
      <c r="C108" s="108">
        <f t="shared" si="26"/>
        <v>7.9999999999991189E-4</v>
      </c>
      <c r="D108" s="109" t="str">
        <f t="shared" si="27"/>
        <v>/</v>
      </c>
      <c r="E108" s="109">
        <f ca="1">IF(表2_36716262930389121314151617[[#This Row],[累计净值]]/MAX(INDIRECT("B21:B" &amp; ROW()))-1&lt;E107,表2_36716262930389121314151617[[#This Row],[累计净值]]/MAX(INDIRECT("B21:B" &amp; ROW()))-1,E107)</f>
        <v>-1.0184060543772855E-2</v>
      </c>
      <c r="F108" s="110">
        <f>表2_36716262930389121314151617[[#This Row],[累计净值]]</f>
        <v>1.0673999999999999</v>
      </c>
      <c r="G108" s="20">
        <f>IF(表2_36716262930389121314151617[[#This Row],[累计净值]]&gt;0.9999,0.7*(表2_36716262930389121314151617[[#This Row],[累计净值]]-0.9999),表2_36716262930389121314151617[[#This Row],[累计净值]]-0.9999)</f>
        <v>4.7249999999999924E-2</v>
      </c>
    </row>
    <row r="109" spans="1:7">
      <c r="A109" s="15">
        <v>44082</v>
      </c>
      <c r="B109" s="112">
        <v>1.0663</v>
      </c>
      <c r="C109" s="108">
        <f t="shared" si="26"/>
        <v>-1.0999999999998789E-3</v>
      </c>
      <c r="D109" s="109">
        <f t="shared" si="27"/>
        <v>-1.0999999999998789E-3</v>
      </c>
      <c r="E109" s="109">
        <f ca="1">IF(表2_36716262930389121314151617[[#This Row],[累计净值]]/MAX(INDIRECT("B21:B" &amp; ROW()))-1&lt;E108,表2_36716262930389121314151617[[#This Row],[累计净值]]/MAX(INDIRECT("B21:B" &amp; ROW()))-1,E108)</f>
        <v>-1.0184060543772855E-2</v>
      </c>
      <c r="F109" s="110">
        <f>表2_36716262930389121314151617[[#This Row],[累计净值]]</f>
        <v>1.0663</v>
      </c>
      <c r="G109" s="20">
        <f>IF(表2_36716262930389121314151617[[#This Row],[累计净值]]&gt;0.9999,0.7*(表2_36716262930389121314151617[[#This Row],[累计净值]]-0.9999),表2_36716262930389121314151617[[#This Row],[累计净值]]-0.9999)</f>
        <v>4.6480000000000007E-2</v>
      </c>
    </row>
    <row r="110" spans="1:7">
      <c r="A110" s="15">
        <v>44083</v>
      </c>
      <c r="B110" s="112">
        <v>1.0699000000000001</v>
      </c>
      <c r="C110" s="108">
        <f t="shared" si="26"/>
        <v>3.6000000000000476E-3</v>
      </c>
      <c r="D110" s="109" t="str">
        <f t="shared" si="27"/>
        <v>/</v>
      </c>
      <c r="E110" s="109">
        <f ca="1">IF(表2_36716262930389121314151617[[#This Row],[累计净值]]/MAX(INDIRECT("B21:B" &amp; ROW()))-1&lt;E109,表2_36716262930389121314151617[[#This Row],[累计净值]]/MAX(INDIRECT("B21:B" &amp; ROW()))-1,E109)</f>
        <v>-1.0184060543772855E-2</v>
      </c>
      <c r="F110" s="110">
        <f>表2_36716262930389121314151617[[#This Row],[累计净值]]</f>
        <v>1.0699000000000001</v>
      </c>
      <c r="G110" s="20">
        <f>IF(表2_36716262930389121314151617[[#This Row],[累计净值]]&gt;0.9999,0.7*(表2_36716262930389121314151617[[#This Row],[累计净值]]-0.9999),表2_36716262930389121314151617[[#This Row],[累计净值]]-0.9999)</f>
        <v>4.9000000000000044E-2</v>
      </c>
    </row>
    <row r="111" spans="1:7">
      <c r="A111" s="15">
        <v>44084</v>
      </c>
      <c r="B111" s="112">
        <v>1.0676000000000001</v>
      </c>
      <c r="C111" s="108">
        <f t="shared" si="26"/>
        <v>-2.2999999999999687E-3</v>
      </c>
      <c r="D111" s="109">
        <f t="shared" si="27"/>
        <v>-2.2999999999999687E-3</v>
      </c>
      <c r="E111" s="109">
        <f ca="1">IF(表2_36716262930389121314151617[[#This Row],[累计净值]]/MAX(INDIRECT("B21:B" &amp; ROW()))-1&lt;E110,表2_36716262930389121314151617[[#This Row],[累计净值]]/MAX(INDIRECT("B21:B" &amp; ROW()))-1,E110)</f>
        <v>-1.0184060543772855E-2</v>
      </c>
      <c r="F111" s="110">
        <f>表2_36716262930389121314151617[[#This Row],[累计净值]]</f>
        <v>1.0676000000000001</v>
      </c>
      <c r="G111" s="20">
        <f>IF(表2_36716262930389121314151617[[#This Row],[累计净值]]&gt;0.9999,0.7*(表2_36716262930389121314151617[[#This Row],[累计净值]]-0.9999),表2_36716262930389121314151617[[#This Row],[累计净值]]-0.9999)</f>
        <v>4.7390000000000064E-2</v>
      </c>
    </row>
    <row r="112" spans="1:7">
      <c r="A112" s="15">
        <v>44085</v>
      </c>
      <c r="B112" s="112">
        <v>1.0699000000000001</v>
      </c>
      <c r="C112" s="108">
        <f t="shared" si="26"/>
        <v>2.2999999999999687E-3</v>
      </c>
      <c r="D112" s="109" t="str">
        <f t="shared" si="27"/>
        <v>/</v>
      </c>
      <c r="E112" s="109">
        <f ca="1">IF(表2_36716262930389121314151617[[#This Row],[累计净值]]/MAX(INDIRECT("B21:B" &amp; ROW()))-1&lt;E111,表2_36716262930389121314151617[[#This Row],[累计净值]]/MAX(INDIRECT("B21:B" &amp; ROW()))-1,E111)</f>
        <v>-1.0184060543772855E-2</v>
      </c>
      <c r="F112" s="110">
        <f>表2_36716262930389121314151617[[#This Row],[累计净值]]</f>
        <v>1.0699000000000001</v>
      </c>
      <c r="G112" s="20">
        <f>IF(表2_36716262930389121314151617[[#This Row],[累计净值]]&gt;0.9999,0.7*(表2_36716262930389121314151617[[#This Row],[累计净值]]-0.9999),表2_36716262930389121314151617[[#This Row],[累计净值]]-0.9999)</f>
        <v>4.9000000000000044E-2</v>
      </c>
    </row>
    <row r="113" spans="1:7">
      <c r="A113" s="15">
        <v>44088</v>
      </c>
      <c r="B113" s="112">
        <v>1.0703</v>
      </c>
      <c r="C113" s="108">
        <f t="shared" ref="C113:C118" si="28">IFERROR(B113-B112,0)</f>
        <v>3.9999999999995595E-4</v>
      </c>
      <c r="D113" s="109" t="str">
        <f t="shared" ref="D113:D118" si="29">IF(C113&lt;0,C113,"/")</f>
        <v>/</v>
      </c>
      <c r="E113" s="109">
        <f ca="1">IF(表2_36716262930389121314151617[[#This Row],[累计净值]]/MAX(INDIRECT("B21:B" &amp; ROW()))-1&lt;E112,表2_36716262930389121314151617[[#This Row],[累计净值]]/MAX(INDIRECT("B21:B" &amp; ROW()))-1,E112)</f>
        <v>-1.0184060543772855E-2</v>
      </c>
      <c r="F113" s="110">
        <f>表2_36716262930389121314151617[[#This Row],[累计净值]]</f>
        <v>1.0703</v>
      </c>
      <c r="G113" s="20">
        <f>IF(表2_36716262930389121314151617[[#This Row],[累计净值]]&gt;0.9999,0.7*(表2_36716262930389121314151617[[#This Row],[累计净值]]-0.9999),表2_36716262930389121314151617[[#This Row],[累计净值]]-0.9999)</f>
        <v>4.9280000000000011E-2</v>
      </c>
    </row>
    <row r="114" spans="1:7">
      <c r="A114" s="15">
        <v>44089</v>
      </c>
      <c r="B114" s="112">
        <v>1.0696000000000001</v>
      </c>
      <c r="C114" s="108">
        <f t="shared" si="28"/>
        <v>-6.9999999999992291E-4</v>
      </c>
      <c r="D114" s="109">
        <f t="shared" si="29"/>
        <v>-6.9999999999992291E-4</v>
      </c>
      <c r="E114" s="109">
        <f ca="1">IF(表2_36716262930389121314151617[[#This Row],[累计净值]]/MAX(INDIRECT("B21:B" &amp; ROW()))-1&lt;E113,表2_36716262930389121314151617[[#This Row],[累计净值]]/MAX(INDIRECT("B21:B" &amp; ROW()))-1,E113)</f>
        <v>-1.0184060543772855E-2</v>
      </c>
      <c r="F114" s="110">
        <f>表2_36716262930389121314151617[[#This Row],[累计净值]]</f>
        <v>1.0696000000000001</v>
      </c>
      <c r="G114" s="20">
        <f>IF(表2_36716262930389121314151617[[#This Row],[累计净值]]&gt;0.9999,0.7*(表2_36716262930389121314151617[[#This Row],[累计净值]]-0.9999),表2_36716262930389121314151617[[#This Row],[累计净值]]-0.9999)</f>
        <v>4.8790000000000062E-2</v>
      </c>
    </row>
    <row r="115" spans="1:7">
      <c r="A115" s="15">
        <v>44090</v>
      </c>
      <c r="B115" s="112">
        <v>1.069</v>
      </c>
      <c r="C115" s="108">
        <f t="shared" si="28"/>
        <v>-6.0000000000015596E-4</v>
      </c>
      <c r="D115" s="109">
        <f t="shared" si="29"/>
        <v>-6.0000000000015596E-4</v>
      </c>
      <c r="E115" s="109">
        <f ca="1">IF(表2_36716262930389121314151617[[#This Row],[累计净值]]/MAX(INDIRECT("B21:B" &amp; ROW()))-1&lt;E114,表2_36716262930389121314151617[[#This Row],[累计净值]]/MAX(INDIRECT("B21:B" &amp; ROW()))-1,E114)</f>
        <v>-1.0184060543772855E-2</v>
      </c>
      <c r="F115" s="110">
        <f>表2_36716262930389121314151617[[#This Row],[累计净值]]</f>
        <v>1.069</v>
      </c>
      <c r="G115" s="20">
        <f>IF(表2_36716262930389121314151617[[#This Row],[累计净值]]&gt;0.9999,0.7*(表2_36716262930389121314151617[[#This Row],[累计净值]]-0.9999),表2_36716262930389121314151617[[#This Row],[累计净值]]-0.9999)</f>
        <v>4.8369999999999955E-2</v>
      </c>
    </row>
    <row r="116" spans="1:7">
      <c r="A116" s="15">
        <v>44091</v>
      </c>
      <c r="B116" s="112">
        <v>1.0710999999999999</v>
      </c>
      <c r="C116" s="108">
        <f t="shared" si="28"/>
        <v>2.0999999999999908E-3</v>
      </c>
      <c r="D116" s="109" t="str">
        <f t="shared" si="29"/>
        <v>/</v>
      </c>
      <c r="E116" s="109">
        <f ca="1">IF(表2_36716262930389121314151617[[#This Row],[累计净值]]/MAX(INDIRECT("B21:B" &amp; ROW()))-1&lt;E115,表2_36716262930389121314151617[[#This Row],[累计净值]]/MAX(INDIRECT("B21:B" &amp; ROW()))-1,E115)</f>
        <v>-1.0184060543772855E-2</v>
      </c>
      <c r="F116" s="110">
        <f>表2_36716262930389121314151617[[#This Row],[累计净值]]</f>
        <v>1.0710999999999999</v>
      </c>
      <c r="G116" s="20">
        <f>IF(表2_36716262930389121314151617[[#This Row],[累计净值]]&gt;0.9999,0.7*(表2_36716262930389121314151617[[#This Row],[累计净值]]-0.9999),表2_36716262930389121314151617[[#This Row],[累计净值]]-0.9999)</f>
        <v>4.9839999999999947E-2</v>
      </c>
    </row>
    <row r="117" spans="1:7">
      <c r="A117" s="15">
        <v>44092</v>
      </c>
      <c r="B117" s="112">
        <v>1.0708</v>
      </c>
      <c r="C117" s="108">
        <f t="shared" si="28"/>
        <v>-2.9999999999996696E-4</v>
      </c>
      <c r="D117" s="109">
        <f t="shared" si="29"/>
        <v>-2.9999999999996696E-4</v>
      </c>
      <c r="E117" s="109">
        <f ca="1">IF(表2_36716262930389121314151617[[#This Row],[累计净值]]/MAX(INDIRECT("B21:B" &amp; ROW()))-1&lt;E116,表2_36716262930389121314151617[[#This Row],[累计净值]]/MAX(INDIRECT("B21:B" &amp; ROW()))-1,E116)</f>
        <v>-1.0184060543772855E-2</v>
      </c>
      <c r="F117" s="110">
        <f>表2_36716262930389121314151617[[#This Row],[累计净值]]</f>
        <v>1.0708</v>
      </c>
      <c r="G117" s="20">
        <f>IF(表2_36716262930389121314151617[[#This Row],[累计净值]]&gt;0.9999,0.7*(表2_36716262930389121314151617[[#This Row],[累计净值]]-0.9999),表2_36716262930389121314151617[[#This Row],[累计净值]]-0.9999)</f>
        <v>4.9629999999999973E-2</v>
      </c>
    </row>
    <row r="118" spans="1:7">
      <c r="A118" s="15">
        <v>44095</v>
      </c>
      <c r="B118" s="112">
        <v>1.0710999999999999</v>
      </c>
      <c r="C118" s="108">
        <f t="shared" si="28"/>
        <v>2.9999999999996696E-4</v>
      </c>
      <c r="D118" s="109" t="str">
        <f t="shared" si="29"/>
        <v>/</v>
      </c>
      <c r="E118" s="109">
        <f ca="1">IF(表2_36716262930389121314151617[[#This Row],[累计净值]]/MAX(INDIRECT("B21:B" &amp; ROW()))-1&lt;E117,表2_36716262930389121314151617[[#This Row],[累计净值]]/MAX(INDIRECT("B21:B" &amp; ROW()))-1,E117)</f>
        <v>-1.0184060543772855E-2</v>
      </c>
      <c r="F118" s="110">
        <f>表2_36716262930389121314151617[[#This Row],[累计净值]]</f>
        <v>1.0710999999999999</v>
      </c>
      <c r="G118" s="20">
        <f>IF(表2_36716262930389121314151617[[#This Row],[累计净值]]&gt;0.9999,0.7*(表2_36716262930389121314151617[[#This Row],[累计净值]]-0.9999),表2_36716262930389121314151617[[#This Row],[累计净值]]-0.9999)</f>
        <v>4.9839999999999947E-2</v>
      </c>
    </row>
    <row r="119" spans="1:7">
      <c r="A119" s="15">
        <v>44096</v>
      </c>
      <c r="B119" s="112">
        <v>1.0720000000000001</v>
      </c>
      <c r="C119" s="108">
        <f t="shared" ref="C119:C123" si="30">IFERROR(B119-B118,0)</f>
        <v>9.0000000000012292E-4</v>
      </c>
      <c r="D119" s="109" t="str">
        <f t="shared" ref="D119:D123" si="31">IF(C119&lt;0,C119,"/")</f>
        <v>/</v>
      </c>
      <c r="E119" s="109">
        <f ca="1">IF(表2_36716262930389121314151617[[#This Row],[累计净值]]/MAX(INDIRECT("B21:B" &amp; ROW()))-1&lt;E118,表2_36716262930389121314151617[[#This Row],[累计净值]]/MAX(INDIRECT("B21:B" &amp; ROW()))-1,E118)</f>
        <v>-1.0184060543772855E-2</v>
      </c>
      <c r="F119" s="110">
        <f>表2_36716262930389121314151617[[#This Row],[累计净值]]</f>
        <v>1.0720000000000001</v>
      </c>
      <c r="G119" s="20">
        <f>IF(表2_36716262930389121314151617[[#This Row],[累计净值]]&gt;0.9999,0.7*(表2_36716262930389121314151617[[#This Row],[累计净值]]-0.9999),表2_36716262930389121314151617[[#This Row],[累计净值]]-0.9999)</f>
        <v>5.0470000000000036E-2</v>
      </c>
    </row>
    <row r="120" spans="1:7">
      <c r="A120" s="15">
        <v>44097</v>
      </c>
      <c r="B120" s="112">
        <v>1.0720000000000001</v>
      </c>
      <c r="C120" s="108">
        <f t="shared" si="30"/>
        <v>0</v>
      </c>
      <c r="D120" s="109" t="str">
        <f t="shared" si="31"/>
        <v>/</v>
      </c>
      <c r="E120" s="109">
        <f ca="1">IF(表2_36716262930389121314151617[[#This Row],[累计净值]]/MAX(INDIRECT("B21:B" &amp; ROW()))-1&lt;E119,表2_36716262930389121314151617[[#This Row],[累计净值]]/MAX(INDIRECT("B21:B" &amp; ROW()))-1,E119)</f>
        <v>-1.0184060543772855E-2</v>
      </c>
      <c r="F120" s="110">
        <f>表2_36716262930389121314151617[[#This Row],[累计净值]]</f>
        <v>1.0720000000000001</v>
      </c>
      <c r="G120" s="20">
        <f>IF(表2_36716262930389121314151617[[#This Row],[累计净值]]&gt;0.9999,0.7*(表2_36716262930389121314151617[[#This Row],[累计净值]]-0.9999),表2_36716262930389121314151617[[#This Row],[累计净值]]-0.9999)</f>
        <v>5.0470000000000036E-2</v>
      </c>
    </row>
    <row r="121" spans="1:7">
      <c r="A121" s="15">
        <v>44098</v>
      </c>
      <c r="B121" s="112">
        <v>1.0716000000000001</v>
      </c>
      <c r="C121" s="108">
        <f t="shared" si="30"/>
        <v>-3.9999999999995595E-4</v>
      </c>
      <c r="D121" s="109">
        <f t="shared" si="31"/>
        <v>-3.9999999999995595E-4</v>
      </c>
      <c r="E121" s="109">
        <f ca="1">IF(表2_36716262930389121314151617[[#This Row],[累计净值]]/MAX(INDIRECT("B21:B" &amp; ROW()))-1&lt;E120,表2_36716262930389121314151617[[#This Row],[累计净值]]/MAX(INDIRECT("B21:B" &amp; ROW()))-1,E120)</f>
        <v>-1.0184060543772855E-2</v>
      </c>
      <c r="F121" s="110">
        <f>表2_36716262930389121314151617[[#This Row],[累计净值]]</f>
        <v>1.0716000000000001</v>
      </c>
      <c r="G121" s="20">
        <f>IF(表2_36716262930389121314151617[[#This Row],[累计净值]]&gt;0.9999,0.7*(表2_36716262930389121314151617[[#This Row],[累计净值]]-0.9999),表2_36716262930389121314151617[[#This Row],[累计净值]]-0.9999)</f>
        <v>5.0190000000000068E-2</v>
      </c>
    </row>
    <row r="122" spans="1:7">
      <c r="A122" s="15">
        <v>44099</v>
      </c>
      <c r="B122" s="112">
        <v>1.0709</v>
      </c>
      <c r="C122" s="108">
        <f t="shared" si="30"/>
        <v>-7.0000000000014495E-4</v>
      </c>
      <c r="D122" s="109">
        <f t="shared" si="31"/>
        <v>-7.0000000000014495E-4</v>
      </c>
      <c r="E122" s="109">
        <f ca="1">IF(表2_36716262930389121314151617[[#This Row],[累计净值]]/MAX(INDIRECT("B21:B" &amp; ROW()))-1&lt;E121,表2_36716262930389121314151617[[#This Row],[累计净值]]/MAX(INDIRECT("B21:B" &amp; ROW()))-1,E121)</f>
        <v>-1.0184060543772855E-2</v>
      </c>
      <c r="F122" s="110">
        <f>表2_36716262930389121314151617[[#This Row],[累计净值]]</f>
        <v>1.0709</v>
      </c>
      <c r="G122" s="20">
        <f>IF(表2_36716262930389121314151617[[#This Row],[累计净值]]&gt;0.9999,0.7*(表2_36716262930389121314151617[[#This Row],[累计净值]]-0.9999),表2_36716262930389121314151617[[#This Row],[累计净值]]-0.9999)</f>
        <v>4.9699999999999966E-2</v>
      </c>
    </row>
    <row r="123" spans="1:7">
      <c r="A123" s="15">
        <v>44102</v>
      </c>
      <c r="B123" s="112">
        <v>1.0713999999999999</v>
      </c>
      <c r="C123" s="108">
        <f t="shared" si="30"/>
        <v>4.9999999999994493E-4</v>
      </c>
      <c r="D123" s="109" t="str">
        <f t="shared" si="31"/>
        <v>/</v>
      </c>
      <c r="E123" s="109">
        <f ca="1">IF(表2_36716262930389121314151617[[#This Row],[累计净值]]/MAX(INDIRECT("B21:B" &amp; ROW()))-1&lt;E122,表2_36716262930389121314151617[[#This Row],[累计净值]]/MAX(INDIRECT("B21:B" &amp; ROW()))-1,E122)</f>
        <v>-1.0184060543772855E-2</v>
      </c>
      <c r="F123" s="110">
        <f>表2_36716262930389121314151617[[#This Row],[累计净值]]</f>
        <v>1.0713999999999999</v>
      </c>
      <c r="G123" s="20">
        <f>IF(表2_36716262930389121314151617[[#This Row],[累计净值]]&gt;0.9999,0.7*(表2_36716262930389121314151617[[#This Row],[累计净值]]-0.9999),表2_36716262930389121314151617[[#This Row],[累计净值]]-0.9999)</f>
        <v>5.0049999999999928E-2</v>
      </c>
    </row>
    <row r="124" spans="1:7">
      <c r="A124" s="15">
        <v>44103</v>
      </c>
      <c r="B124" s="112">
        <v>1.0719000000000001</v>
      </c>
      <c r="C124" s="108">
        <f t="shared" ref="C124:C125" si="32">IFERROR(B124-B123,0)</f>
        <v>5.0000000000016698E-4</v>
      </c>
      <c r="D124" s="109" t="str">
        <f t="shared" ref="D124:D125" si="33">IF(C124&lt;0,C124,"/")</f>
        <v>/</v>
      </c>
      <c r="E124" s="109">
        <f ca="1">IF(表2_36716262930389121314151617[[#This Row],[累计净值]]/MAX(INDIRECT("B21:B" &amp; ROW()))-1&lt;E123,表2_36716262930389121314151617[[#This Row],[累计净值]]/MAX(INDIRECT("B21:B" &amp; ROW()))-1,E123)</f>
        <v>-1.0184060543772855E-2</v>
      </c>
      <c r="F124" s="110">
        <f>表2_36716262930389121314151617[[#This Row],[累计净值]]</f>
        <v>1.0719000000000001</v>
      </c>
      <c r="G124" s="20">
        <f>IF(表2_36716262930389121314151617[[#This Row],[累计净值]]&gt;0.9999,0.7*(表2_36716262930389121314151617[[#This Row],[累计净值]]-0.9999),表2_36716262930389121314151617[[#This Row],[累计净值]]-0.9999)</f>
        <v>5.0400000000000042E-2</v>
      </c>
    </row>
    <row r="125" spans="1:7">
      <c r="A125" s="15">
        <v>44104</v>
      </c>
      <c r="B125" s="112">
        <v>1.0718000000000001</v>
      </c>
      <c r="C125" s="108">
        <f t="shared" si="32"/>
        <v>-9.9999999999988987E-5</v>
      </c>
      <c r="D125" s="109">
        <f t="shared" si="33"/>
        <v>-9.9999999999988987E-5</v>
      </c>
      <c r="E125" s="109">
        <f ca="1">IF(表2_36716262930389121314151617[[#This Row],[累计净值]]/MAX(INDIRECT("B21:B" &amp; ROW()))-1&lt;E124,表2_36716262930389121314151617[[#This Row],[累计净值]]/MAX(INDIRECT("B21:B" &amp; ROW()))-1,E124)</f>
        <v>-1.0184060543772855E-2</v>
      </c>
      <c r="F125" s="110">
        <f>表2_36716262930389121314151617[[#This Row],[累计净值]]</f>
        <v>1.0718000000000001</v>
      </c>
      <c r="G125" s="20">
        <f>IF(表2_36716262930389121314151617[[#This Row],[累计净值]]&gt;0.9999,0.7*(表2_36716262930389121314151617[[#This Row],[累计净值]]-0.9999),表2_36716262930389121314151617[[#This Row],[累计净值]]-0.9999)</f>
        <v>5.0330000000000048E-2</v>
      </c>
    </row>
    <row r="126" spans="1:7">
      <c r="A126" s="15">
        <v>44113</v>
      </c>
      <c r="B126" s="112">
        <v>1.0729</v>
      </c>
      <c r="C126" s="108">
        <f t="shared" ref="C126:C131" si="34">IFERROR(B126-B125,0)</f>
        <v>1.0999999999998789E-3</v>
      </c>
      <c r="D126" s="109" t="str">
        <f t="shared" ref="D126:D131" si="35">IF(C126&lt;0,C126,"/")</f>
        <v>/</v>
      </c>
      <c r="E126" s="109">
        <f ca="1">IF(表2_36716262930389121314151617[[#This Row],[累计净值]]/MAX(INDIRECT("B21:B" &amp; ROW()))-1&lt;E125,表2_36716262930389121314151617[[#This Row],[累计净值]]/MAX(INDIRECT("B21:B" &amp; ROW()))-1,E125)</f>
        <v>-1.0184060543772855E-2</v>
      </c>
      <c r="F126" s="110">
        <f>表2_36716262930389121314151617[[#This Row],[累计净值]]</f>
        <v>1.0729</v>
      </c>
      <c r="G126" s="20">
        <f>IF(表2_36716262930389121314151617[[#This Row],[累计净值]]&gt;0.9999,0.7*(表2_36716262930389121314151617[[#This Row],[累计净值]]-0.9999),表2_36716262930389121314151617[[#This Row],[累计净值]]-0.9999)</f>
        <v>5.1099999999999965E-2</v>
      </c>
    </row>
    <row r="127" spans="1:7">
      <c r="A127" s="15">
        <v>44116</v>
      </c>
      <c r="B127" s="112">
        <v>1.0738000000000001</v>
      </c>
      <c r="C127" s="108">
        <f t="shared" si="34"/>
        <v>9.0000000000012292E-4</v>
      </c>
      <c r="D127" s="109" t="str">
        <f t="shared" si="35"/>
        <v>/</v>
      </c>
      <c r="E127" s="109">
        <f ca="1">IF(表2_36716262930389121314151617[[#This Row],[累计净值]]/MAX(INDIRECT("B21:B" &amp; ROW()))-1&lt;E126,表2_36716262930389121314151617[[#This Row],[累计净值]]/MAX(INDIRECT("B21:B" &amp; ROW()))-1,E126)</f>
        <v>-1.0184060543772855E-2</v>
      </c>
      <c r="F127" s="110">
        <f>表2_36716262930389121314151617[[#This Row],[累计净值]]</f>
        <v>1.0738000000000001</v>
      </c>
      <c r="G127" s="20">
        <f>IF(表2_36716262930389121314151617[[#This Row],[累计净值]]&gt;0.9999,0.7*(表2_36716262930389121314151617[[#This Row],[累计净值]]-0.9999),表2_36716262930389121314151617[[#This Row],[累计净值]]-0.9999)</f>
        <v>5.1730000000000054E-2</v>
      </c>
    </row>
    <row r="128" spans="1:7">
      <c r="A128" s="15">
        <v>44117</v>
      </c>
      <c r="B128" s="112">
        <v>1.075</v>
      </c>
      <c r="C128" s="108">
        <f t="shared" si="34"/>
        <v>1.1999999999998678E-3</v>
      </c>
      <c r="D128" s="109" t="str">
        <f t="shared" si="35"/>
        <v>/</v>
      </c>
      <c r="E128" s="109">
        <f ca="1">IF(表2_36716262930389121314151617[[#This Row],[累计净值]]/MAX(INDIRECT("B21:B" &amp; ROW()))-1&lt;E127,表2_36716262930389121314151617[[#This Row],[累计净值]]/MAX(INDIRECT("B21:B" &amp; ROW()))-1,E127)</f>
        <v>-1.0184060543772855E-2</v>
      </c>
      <c r="F128" s="110">
        <f>表2_36716262930389121314151617[[#This Row],[累计净值]]</f>
        <v>1.075</v>
      </c>
      <c r="G128" s="20">
        <f>IF(表2_36716262930389121314151617[[#This Row],[累计净值]]&gt;0.9999,0.7*(表2_36716262930389121314151617[[#This Row],[累计净值]]-0.9999),表2_36716262930389121314151617[[#This Row],[累计净值]]-0.9999)</f>
        <v>5.2569999999999957E-2</v>
      </c>
    </row>
    <row r="129" spans="1:7">
      <c r="A129" s="15">
        <v>44118</v>
      </c>
      <c r="B129" s="112">
        <v>1.075</v>
      </c>
      <c r="C129" s="108">
        <f t="shared" si="34"/>
        <v>0</v>
      </c>
      <c r="D129" s="109" t="str">
        <f t="shared" si="35"/>
        <v>/</v>
      </c>
      <c r="E129" s="109">
        <f ca="1">IF(表2_36716262930389121314151617[[#This Row],[累计净值]]/MAX(INDIRECT("B21:B" &amp; ROW()))-1&lt;E128,表2_36716262930389121314151617[[#This Row],[累计净值]]/MAX(INDIRECT("B21:B" &amp; ROW()))-1,E128)</f>
        <v>-1.0184060543772855E-2</v>
      </c>
      <c r="F129" s="110">
        <f>表2_36716262930389121314151617[[#This Row],[累计净值]]</f>
        <v>1.075</v>
      </c>
      <c r="G129" s="20">
        <f>IF(表2_36716262930389121314151617[[#This Row],[累计净值]]&gt;0.9999,0.7*(表2_36716262930389121314151617[[#This Row],[累计净值]]-0.9999),表2_36716262930389121314151617[[#This Row],[累计净值]]-0.9999)</f>
        <v>5.2569999999999957E-2</v>
      </c>
    </row>
    <row r="130" spans="1:7">
      <c r="A130" s="15">
        <v>44119</v>
      </c>
      <c r="B130" s="112">
        <v>1.0755999999999999</v>
      </c>
      <c r="C130" s="108">
        <f t="shared" si="34"/>
        <v>5.9999999999993392E-4</v>
      </c>
      <c r="D130" s="109" t="str">
        <f t="shared" si="35"/>
        <v>/</v>
      </c>
      <c r="E130" s="109">
        <f ca="1">IF(表2_36716262930389121314151617[[#This Row],[累计净值]]/MAX(INDIRECT("B21:B" &amp; ROW()))-1&lt;E129,表2_36716262930389121314151617[[#This Row],[累计净值]]/MAX(INDIRECT("B21:B" &amp; ROW()))-1,E129)</f>
        <v>-1.0184060543772855E-2</v>
      </c>
      <c r="F130" s="110">
        <f>表2_36716262930389121314151617[[#This Row],[累计净值]]</f>
        <v>1.0755999999999999</v>
      </c>
      <c r="G130" s="20">
        <f>IF(表2_36716262930389121314151617[[#This Row],[累计净值]]&gt;0.9999,0.7*(表2_36716262930389121314151617[[#This Row],[累计净值]]-0.9999),表2_36716262930389121314151617[[#This Row],[累计净值]]-0.9999)</f>
        <v>5.2989999999999912E-2</v>
      </c>
    </row>
    <row r="131" spans="1:7">
      <c r="A131" s="15">
        <v>44120</v>
      </c>
      <c r="B131" s="112">
        <v>1.0782</v>
      </c>
      <c r="C131" s="108">
        <f t="shared" si="34"/>
        <v>2.6000000000001577E-3</v>
      </c>
      <c r="D131" s="109" t="str">
        <f t="shared" si="35"/>
        <v>/</v>
      </c>
      <c r="E131" s="109">
        <f ca="1">IF(表2_36716262930389121314151617[[#This Row],[累计净值]]/MAX(INDIRECT("B21:B" &amp; ROW()))-1&lt;E130,表2_36716262930389121314151617[[#This Row],[累计净值]]/MAX(INDIRECT("B21:B" &amp; ROW()))-1,E130)</f>
        <v>-1.0184060543772855E-2</v>
      </c>
      <c r="F131" s="110">
        <f>表2_36716262930389121314151617[[#This Row],[累计净值]]</f>
        <v>1.0782</v>
      </c>
      <c r="G131" s="20">
        <f>IF(表2_36716262930389121314151617[[#This Row],[累计净值]]&gt;0.9999,0.7*(表2_36716262930389121314151617[[#This Row],[累计净值]]-0.9999),表2_36716262930389121314151617[[#This Row],[累计净值]]-0.9999)</f>
        <v>5.4810000000000018E-2</v>
      </c>
    </row>
    <row r="132" spans="1:7">
      <c r="A132" s="15">
        <v>44123</v>
      </c>
      <c r="B132" s="112">
        <v>1.0769</v>
      </c>
      <c r="C132" s="108">
        <f t="shared" ref="C132:C137" si="36">IFERROR(B132-B131,0)</f>
        <v>-1.3000000000000789E-3</v>
      </c>
      <c r="D132" s="109">
        <f t="shared" ref="D132:D137" si="37">IF(C132&lt;0,C132,"/")</f>
        <v>-1.3000000000000789E-3</v>
      </c>
      <c r="E132" s="109">
        <f ca="1">IF(表2_36716262930389121314151617[[#This Row],[累计净值]]/MAX(INDIRECT("B21:B" &amp; ROW()))-1&lt;E131,表2_36716262930389121314151617[[#This Row],[累计净值]]/MAX(INDIRECT("B21:B" &amp; ROW()))-1,E131)</f>
        <v>-1.0184060543772855E-2</v>
      </c>
      <c r="F132" s="110">
        <f>表2_36716262930389121314151617[[#This Row],[累计净值]]</f>
        <v>1.0769</v>
      </c>
      <c r="G132" s="20">
        <f>IF(表2_36716262930389121314151617[[#This Row],[累计净值]]&gt;0.9999,0.7*(表2_36716262930389121314151617[[#This Row],[累计净值]]-0.9999),表2_36716262930389121314151617[[#This Row],[累计净值]]-0.9999)</f>
        <v>5.3899999999999969E-2</v>
      </c>
    </row>
    <row r="133" spans="1:7">
      <c r="A133" s="15">
        <v>44124</v>
      </c>
      <c r="B133" s="112">
        <v>1.0762</v>
      </c>
      <c r="C133" s="108">
        <f t="shared" si="36"/>
        <v>-6.9999999999992291E-4</v>
      </c>
      <c r="D133" s="109">
        <f t="shared" si="37"/>
        <v>-6.9999999999992291E-4</v>
      </c>
      <c r="E133" s="109">
        <f ca="1">IF(表2_36716262930389121314151617[[#This Row],[累计净值]]/MAX(INDIRECT("B21:B" &amp; ROW()))-1&lt;E132,表2_36716262930389121314151617[[#This Row],[累计净值]]/MAX(INDIRECT("B21:B" &amp; ROW()))-1,E132)</f>
        <v>-1.0184060543772855E-2</v>
      </c>
      <c r="F133" s="110">
        <f>表2_36716262930389121314151617[[#This Row],[累计净值]]</f>
        <v>1.0762</v>
      </c>
      <c r="G133" s="20">
        <f>IF(表2_36716262930389121314151617[[#This Row],[累计净值]]&gt;0.9999,0.7*(表2_36716262930389121314151617[[#This Row],[累计净值]]-0.9999),表2_36716262930389121314151617[[#This Row],[累计净值]]-0.9999)</f>
        <v>5.341000000000002E-2</v>
      </c>
    </row>
    <row r="134" spans="1:7">
      <c r="A134" s="15">
        <v>44125</v>
      </c>
      <c r="B134" s="112">
        <v>1.077</v>
      </c>
      <c r="C134" s="108">
        <f t="shared" si="36"/>
        <v>7.9999999999991189E-4</v>
      </c>
      <c r="D134" s="109" t="str">
        <f t="shared" si="37"/>
        <v>/</v>
      </c>
      <c r="E134" s="109">
        <f ca="1">IF(表2_36716262930389121314151617[[#This Row],[累计净值]]/MAX(INDIRECT("B21:B" &amp; ROW()))-1&lt;E133,表2_36716262930389121314151617[[#This Row],[累计净值]]/MAX(INDIRECT("B21:B" &amp; ROW()))-1,E133)</f>
        <v>-1.0184060543772855E-2</v>
      </c>
      <c r="F134" s="110">
        <f>表2_36716262930389121314151617[[#This Row],[累计净值]]</f>
        <v>1.077</v>
      </c>
      <c r="G134" s="20">
        <f>IF(表2_36716262930389121314151617[[#This Row],[累计净值]]&gt;0.9999,0.7*(表2_36716262930389121314151617[[#This Row],[累计净值]]-0.9999),表2_36716262930389121314151617[[#This Row],[累计净值]]-0.9999)</f>
        <v>5.3969999999999962E-2</v>
      </c>
    </row>
    <row r="135" spans="1:7">
      <c r="A135" s="15">
        <v>44126</v>
      </c>
      <c r="B135" s="112">
        <v>1.0786</v>
      </c>
      <c r="C135" s="108">
        <f t="shared" si="36"/>
        <v>1.6000000000000458E-3</v>
      </c>
      <c r="D135" s="109" t="str">
        <f t="shared" si="37"/>
        <v>/</v>
      </c>
      <c r="E135" s="109">
        <f ca="1">IF(表2_36716262930389121314151617[[#This Row],[累计净值]]/MAX(INDIRECT("B21:B" &amp; ROW()))-1&lt;E134,表2_36716262930389121314151617[[#This Row],[累计净值]]/MAX(INDIRECT("B21:B" &amp; ROW()))-1,E134)</f>
        <v>-1.0184060543772855E-2</v>
      </c>
      <c r="F135" s="110">
        <f>表2_36716262930389121314151617[[#This Row],[累计净值]]</f>
        <v>1.0786</v>
      </c>
      <c r="G135" s="20">
        <f>IF(表2_36716262930389121314151617[[#This Row],[累计净值]]&gt;0.9999,0.7*(表2_36716262930389121314151617[[#This Row],[累计净值]]-0.9999),表2_36716262930389121314151617[[#This Row],[累计净值]]-0.9999)</f>
        <v>5.5089999999999993E-2</v>
      </c>
    </row>
    <row r="136" spans="1:7">
      <c r="A136" s="15">
        <v>44127</v>
      </c>
      <c r="B136" s="112">
        <v>1.0775999999999999</v>
      </c>
      <c r="C136" s="108">
        <f t="shared" si="36"/>
        <v>-1.0000000000001119E-3</v>
      </c>
      <c r="D136" s="109">
        <f t="shared" si="37"/>
        <v>-1.0000000000001119E-3</v>
      </c>
      <c r="E136" s="109">
        <f ca="1">IF(表2_36716262930389121314151617[[#This Row],[累计净值]]/MAX(INDIRECT("B21:B" &amp; ROW()))-1&lt;E135,表2_36716262930389121314151617[[#This Row],[累计净值]]/MAX(INDIRECT("B21:B" &amp; ROW()))-1,E135)</f>
        <v>-1.0184060543772855E-2</v>
      </c>
      <c r="F136" s="110">
        <f>表2_36716262930389121314151617[[#This Row],[累计净值]]</f>
        <v>1.0775999999999999</v>
      </c>
      <c r="G136" s="20">
        <f>IF(表2_36716262930389121314151617[[#This Row],[累计净值]]&gt;0.9999,0.7*(表2_36716262930389121314151617[[#This Row],[累计净值]]-0.9999),表2_36716262930389121314151617[[#This Row],[累计净值]]-0.9999)</f>
        <v>5.4389999999999911E-2</v>
      </c>
    </row>
    <row r="137" spans="1:7">
      <c r="A137" s="15">
        <v>44130</v>
      </c>
      <c r="B137" s="112">
        <v>1.08</v>
      </c>
      <c r="C137" s="108">
        <f t="shared" si="36"/>
        <v>2.4000000000001798E-3</v>
      </c>
      <c r="D137" s="109" t="str">
        <f t="shared" si="37"/>
        <v>/</v>
      </c>
      <c r="E137" s="109">
        <f ca="1">IF(表2_36716262930389121314151617[[#This Row],[累计净值]]/MAX(INDIRECT("B21:B" &amp; ROW()))-1&lt;E136,表2_36716262930389121314151617[[#This Row],[累计净值]]/MAX(INDIRECT("B21:B" &amp; ROW()))-1,E136)</f>
        <v>-1.0184060543772855E-2</v>
      </c>
      <c r="F137" s="110">
        <f>表2_36716262930389121314151617[[#This Row],[累计净值]]</f>
        <v>1.08</v>
      </c>
      <c r="G137" s="20">
        <f>IF(表2_36716262930389121314151617[[#This Row],[累计净值]]&gt;0.9999,0.7*(表2_36716262930389121314151617[[#This Row],[累计净值]]-0.9999),表2_36716262930389121314151617[[#This Row],[累计净值]]-0.9999)</f>
        <v>5.6070000000000036E-2</v>
      </c>
    </row>
    <row r="138" spans="1:7">
      <c r="A138" s="15">
        <v>44131</v>
      </c>
      <c r="B138" s="112">
        <v>1.0808</v>
      </c>
      <c r="C138" s="108">
        <f t="shared" ref="C138:C143" si="38">IFERROR(B138-B137,0)</f>
        <v>7.9999999999991189E-4</v>
      </c>
      <c r="D138" s="109" t="str">
        <f t="shared" ref="D138:D143" si="39">IF(C138&lt;0,C138,"/")</f>
        <v>/</v>
      </c>
      <c r="E138" s="109">
        <f ca="1">IF(表2_36716262930389121314151617[[#This Row],[累计净值]]/MAX(INDIRECT("B21:B" &amp; ROW()))-1&lt;E137,表2_36716262930389121314151617[[#This Row],[累计净值]]/MAX(INDIRECT("B21:B" &amp; ROW()))-1,E137)</f>
        <v>-1.0184060543772855E-2</v>
      </c>
      <c r="F138" s="110">
        <f>表2_36716262930389121314151617[[#This Row],[累计净值]]</f>
        <v>1.0808</v>
      </c>
      <c r="G138" s="20">
        <f>IF(表2_36716262930389121314151617[[#This Row],[累计净值]]&gt;0.9999,0.7*(表2_36716262930389121314151617[[#This Row],[累计净值]]-0.9999),表2_36716262930389121314151617[[#This Row],[累计净值]]-0.9999)</f>
        <v>5.6629999999999979E-2</v>
      </c>
    </row>
    <row r="139" spans="1:7">
      <c r="A139" s="15">
        <v>44132</v>
      </c>
      <c r="B139" s="112">
        <v>1.0817000000000001</v>
      </c>
      <c r="C139" s="108">
        <f t="shared" si="38"/>
        <v>9.0000000000012292E-4</v>
      </c>
      <c r="D139" s="109" t="str">
        <f t="shared" si="39"/>
        <v>/</v>
      </c>
      <c r="E139" s="109">
        <f ca="1">IF(表2_36716262930389121314151617[[#This Row],[累计净值]]/MAX(INDIRECT("B21:B" &amp; ROW()))-1&lt;E138,表2_36716262930389121314151617[[#This Row],[累计净值]]/MAX(INDIRECT("B21:B" &amp; ROW()))-1,E138)</f>
        <v>-1.0184060543772855E-2</v>
      </c>
      <c r="F139" s="110">
        <f>表2_36716262930389121314151617[[#This Row],[累计净值]]</f>
        <v>1.0817000000000001</v>
      </c>
      <c r="G139" s="20">
        <f>IF(表2_36716262930389121314151617[[#This Row],[累计净值]]&gt;0.9999,0.7*(表2_36716262930389121314151617[[#This Row],[累计净值]]-0.9999),表2_36716262930389121314151617[[#This Row],[累计净值]]-0.9999)</f>
        <v>5.7260000000000061E-2</v>
      </c>
    </row>
    <row r="140" spans="1:7">
      <c r="A140" s="15">
        <v>44133</v>
      </c>
      <c r="B140" s="112">
        <v>1.0853999999999999</v>
      </c>
      <c r="C140" s="108">
        <f t="shared" si="38"/>
        <v>3.6999999999998145E-3</v>
      </c>
      <c r="D140" s="109" t="str">
        <f t="shared" si="39"/>
        <v>/</v>
      </c>
      <c r="E140" s="109">
        <f ca="1">IF(表2_36716262930389121314151617[[#This Row],[累计净值]]/MAX(INDIRECT("B21:B" &amp; ROW()))-1&lt;E139,表2_36716262930389121314151617[[#This Row],[累计净值]]/MAX(INDIRECT("B21:B" &amp; ROW()))-1,E139)</f>
        <v>-1.0184060543772855E-2</v>
      </c>
      <c r="F140" s="110">
        <f>表2_36716262930389121314151617[[#This Row],[累计净值]]</f>
        <v>1.0853999999999999</v>
      </c>
      <c r="G140" s="20">
        <f>IF(表2_36716262930389121314151617[[#This Row],[累计净值]]&gt;0.9999,0.7*(表2_36716262930389121314151617[[#This Row],[累计净值]]-0.9999),表2_36716262930389121314151617[[#This Row],[累计净值]]-0.9999)</f>
        <v>5.9849999999999931E-2</v>
      </c>
    </row>
    <row r="141" spans="1:7">
      <c r="A141" s="15">
        <v>44134</v>
      </c>
      <c r="B141" s="112">
        <v>1.0864</v>
      </c>
      <c r="C141" s="108">
        <f t="shared" si="38"/>
        <v>1.0000000000001119E-3</v>
      </c>
      <c r="D141" s="109" t="str">
        <f t="shared" si="39"/>
        <v>/</v>
      </c>
      <c r="E141" s="109">
        <f ca="1">IF(表2_36716262930389121314151617[[#This Row],[累计净值]]/MAX(INDIRECT("B21:B" &amp; ROW()))-1&lt;E140,表2_36716262930389121314151617[[#This Row],[累计净值]]/MAX(INDIRECT("B21:B" &amp; ROW()))-1,E140)</f>
        <v>-1.0184060543772855E-2</v>
      </c>
      <c r="F141" s="110">
        <f>表2_36716262930389121314151617[[#This Row],[累计净值]]</f>
        <v>1.0864</v>
      </c>
      <c r="G141" s="20">
        <f>IF(表2_36716262930389121314151617[[#This Row],[累计净值]]&gt;0.9999,0.7*(表2_36716262930389121314151617[[#This Row],[累计净值]]-0.9999),表2_36716262930389121314151617[[#This Row],[累计净值]]-0.9999)</f>
        <v>6.0550000000000014E-2</v>
      </c>
    </row>
    <row r="142" spans="1:7">
      <c r="A142" s="15">
        <v>44137</v>
      </c>
      <c r="B142" s="112">
        <v>1.0867</v>
      </c>
      <c r="C142" s="108">
        <f t="shared" si="38"/>
        <v>2.9999999999996696E-4</v>
      </c>
      <c r="D142" s="109" t="str">
        <f t="shared" si="39"/>
        <v>/</v>
      </c>
      <c r="E142" s="109">
        <f ca="1">IF(表2_36716262930389121314151617[[#This Row],[累计净值]]/MAX(INDIRECT("B21:B" &amp; ROW()))-1&lt;E141,表2_36716262930389121314151617[[#This Row],[累计净值]]/MAX(INDIRECT("B21:B" &amp; ROW()))-1,E141)</f>
        <v>-1.0184060543772855E-2</v>
      </c>
      <c r="F142" s="110">
        <f>表2_36716262930389121314151617[[#This Row],[累计净值]]</f>
        <v>1.0867</v>
      </c>
      <c r="G142" s="20">
        <f>IF(表2_36716262930389121314151617[[#This Row],[累计净值]]&gt;0.9999,0.7*(表2_36716262930389121314151617[[#This Row],[累计净值]]-0.9999),表2_36716262930389121314151617[[#This Row],[累计净值]]-0.9999)</f>
        <v>6.0759999999999988E-2</v>
      </c>
    </row>
    <row r="143" spans="1:7">
      <c r="A143" s="15">
        <v>44138</v>
      </c>
      <c r="B143" s="112">
        <v>1.0888</v>
      </c>
      <c r="C143" s="108">
        <f t="shared" si="38"/>
        <v>2.0999999999999908E-3</v>
      </c>
      <c r="D143" s="109" t="str">
        <f t="shared" si="39"/>
        <v>/</v>
      </c>
      <c r="E143" s="109">
        <f ca="1">IF(表2_36716262930389121314151617[[#This Row],[累计净值]]/MAX(INDIRECT("B21:B" &amp; ROW()))-1&lt;E142,表2_36716262930389121314151617[[#This Row],[累计净值]]/MAX(INDIRECT("B21:B" &amp; ROW()))-1,E142)</f>
        <v>-1.0184060543772855E-2</v>
      </c>
      <c r="F143" s="110">
        <f>表2_36716262930389121314151617[[#This Row],[累计净值]]</f>
        <v>1.0888</v>
      </c>
      <c r="G143" s="20">
        <f>IF(表2_36716262930389121314151617[[#This Row],[累计净值]]&gt;0.9999,0.7*(表2_36716262930389121314151617[[#This Row],[累计净值]]-0.9999),表2_36716262930389121314151617[[#This Row],[累计净值]]-0.9999)</f>
        <v>6.222999999999998E-2</v>
      </c>
    </row>
    <row r="144" spans="1:7">
      <c r="A144" s="15">
        <v>44139</v>
      </c>
      <c r="B144" s="112">
        <v>1.0893999999999999</v>
      </c>
      <c r="C144" s="108">
        <f t="shared" ref="C144:C149" si="40">IFERROR(B144-B143,0)</f>
        <v>5.9999999999993392E-4</v>
      </c>
      <c r="D144" s="109" t="str">
        <f t="shared" ref="D144:D149" si="41">IF(C144&lt;0,C144,"/")</f>
        <v>/</v>
      </c>
      <c r="E144" s="109">
        <f ca="1">IF(表2_36716262930389121314151617[[#This Row],[累计净值]]/MAX(INDIRECT("B21:B" &amp; ROW()))-1&lt;E143,表2_36716262930389121314151617[[#This Row],[累计净值]]/MAX(INDIRECT("B21:B" &amp; ROW()))-1,E143)</f>
        <v>-1.0184060543772855E-2</v>
      </c>
      <c r="F144" s="110">
        <f>表2_36716262930389121314151617[[#This Row],[累计净值]]</f>
        <v>1.0893999999999999</v>
      </c>
      <c r="G144" s="20">
        <f>IF(表2_36716262930389121314151617[[#This Row],[累计净值]]&gt;0.9999,0.7*(表2_36716262930389121314151617[[#This Row],[累计净值]]-0.9999),表2_36716262930389121314151617[[#This Row],[累计净值]]-0.9999)</f>
        <v>6.2649999999999942E-2</v>
      </c>
    </row>
    <row r="145" spans="1:7">
      <c r="A145" s="15">
        <v>44140</v>
      </c>
      <c r="B145" s="112">
        <v>1.0904</v>
      </c>
      <c r="C145" s="108">
        <f t="shared" si="40"/>
        <v>1.0000000000001119E-3</v>
      </c>
      <c r="D145" s="109" t="str">
        <f t="shared" si="41"/>
        <v>/</v>
      </c>
      <c r="E145" s="109">
        <f ca="1">IF(表2_36716262930389121314151617[[#This Row],[累计净值]]/MAX(INDIRECT("B21:B" &amp; ROW()))-1&lt;E144,表2_36716262930389121314151617[[#This Row],[累计净值]]/MAX(INDIRECT("B21:B" &amp; ROW()))-1,E144)</f>
        <v>-1.0184060543772855E-2</v>
      </c>
      <c r="F145" s="110">
        <f>表2_36716262930389121314151617[[#This Row],[累计净值]]</f>
        <v>1.0904</v>
      </c>
      <c r="G145" s="20">
        <f>IF(表2_36716262930389121314151617[[#This Row],[累计净值]]&gt;0.9999,0.7*(表2_36716262930389121314151617[[#This Row],[累计净值]]-0.9999),表2_36716262930389121314151617[[#This Row],[累计净值]]-0.9999)</f>
        <v>6.3350000000000017E-2</v>
      </c>
    </row>
    <row r="146" spans="1:7">
      <c r="A146" s="15">
        <v>44141</v>
      </c>
      <c r="B146" s="112">
        <v>1.091</v>
      </c>
      <c r="C146" s="108">
        <f t="shared" si="40"/>
        <v>5.9999999999993392E-4</v>
      </c>
      <c r="D146" s="109" t="str">
        <f t="shared" si="41"/>
        <v>/</v>
      </c>
      <c r="E146" s="109">
        <f ca="1">IF(表2_36716262930389121314151617[[#This Row],[累计净值]]/MAX(INDIRECT("B21:B" &amp; ROW()))-1&lt;E145,表2_36716262930389121314151617[[#This Row],[累计净值]]/MAX(INDIRECT("B21:B" &amp; ROW()))-1,E145)</f>
        <v>-1.0184060543772855E-2</v>
      </c>
      <c r="F146" s="110">
        <f>表2_36716262930389121314151617[[#This Row],[累计净值]]</f>
        <v>1.091</v>
      </c>
      <c r="G146" s="20">
        <f>IF(表2_36716262930389121314151617[[#This Row],[累计净值]]&gt;0.9999,0.7*(表2_36716262930389121314151617[[#This Row],[累计净值]]-0.9999),表2_36716262930389121314151617[[#This Row],[累计净值]]-0.9999)</f>
        <v>6.3769999999999966E-2</v>
      </c>
    </row>
    <row r="147" spans="1:7">
      <c r="A147" s="15">
        <v>44144</v>
      </c>
      <c r="B147" s="112">
        <v>1.0940000000000001</v>
      </c>
      <c r="C147" s="108">
        <f t="shared" si="40"/>
        <v>3.0000000000001137E-3</v>
      </c>
      <c r="D147" s="109" t="str">
        <f t="shared" si="41"/>
        <v>/</v>
      </c>
      <c r="E147" s="109">
        <f ca="1">IF(表2_36716262930389121314151617[[#This Row],[累计净值]]/MAX(INDIRECT("B21:B" &amp; ROW()))-1&lt;E146,表2_36716262930389121314151617[[#This Row],[累计净值]]/MAX(INDIRECT("B21:B" &amp; ROW()))-1,E146)</f>
        <v>-1.0184060543772855E-2</v>
      </c>
      <c r="F147" s="110">
        <f>表2_36716262930389121314151617[[#This Row],[累计净值]]</f>
        <v>1.0940000000000001</v>
      </c>
      <c r="G147" s="20">
        <f>IF(表2_36716262930389121314151617[[#This Row],[累计净值]]&gt;0.9999,0.7*(表2_36716262930389121314151617[[#This Row],[累计净值]]-0.9999),表2_36716262930389121314151617[[#This Row],[累计净值]]-0.9999)</f>
        <v>6.587000000000004E-2</v>
      </c>
    </row>
    <row r="148" spans="1:7">
      <c r="A148" s="15">
        <v>44145</v>
      </c>
      <c r="B148" s="112">
        <v>1.097</v>
      </c>
      <c r="C148" s="108">
        <f t="shared" si="40"/>
        <v>2.9999999999998916E-3</v>
      </c>
      <c r="D148" s="109" t="str">
        <f t="shared" si="41"/>
        <v>/</v>
      </c>
      <c r="E148" s="109">
        <f ca="1">IF(表2_36716262930389121314151617[[#This Row],[累计净值]]/MAX(INDIRECT("B21:B" &amp; ROW()))-1&lt;E147,表2_36716262930389121314151617[[#This Row],[累计净值]]/MAX(INDIRECT("B21:B" &amp; ROW()))-1,E147)</f>
        <v>-1.0184060543772855E-2</v>
      </c>
      <c r="F148" s="110">
        <f>表2_36716262930389121314151617[[#This Row],[累计净值]]</f>
        <v>1.097</v>
      </c>
      <c r="G148" s="20">
        <f>IF(表2_36716262930389121314151617[[#This Row],[累计净值]]&gt;0.9999,0.7*(表2_36716262930389121314151617[[#This Row],[累计净值]]-0.9999),表2_36716262930389121314151617[[#This Row],[累计净值]]-0.9999)</f>
        <v>6.7969999999999975E-2</v>
      </c>
    </row>
    <row r="149" spans="1:7">
      <c r="A149" s="15">
        <v>44146</v>
      </c>
      <c r="B149" s="112">
        <v>1.0980000000000001</v>
      </c>
      <c r="C149" s="108">
        <f t="shared" si="40"/>
        <v>1.0000000000001119E-3</v>
      </c>
      <c r="D149" s="109" t="str">
        <f t="shared" si="41"/>
        <v>/</v>
      </c>
      <c r="E149" s="109">
        <f ca="1">IF(表2_36716262930389121314151617[[#This Row],[累计净值]]/MAX(INDIRECT("B21:B" &amp; ROW()))-1&lt;E148,表2_36716262930389121314151617[[#This Row],[累计净值]]/MAX(INDIRECT("B21:B" &amp; ROW()))-1,E148)</f>
        <v>-1.0184060543772855E-2</v>
      </c>
      <c r="F149" s="110">
        <f>表2_36716262930389121314151617[[#This Row],[累计净值]]</f>
        <v>1.0980000000000001</v>
      </c>
      <c r="G149" s="20">
        <f>IF(表2_36716262930389121314151617[[#This Row],[累计净值]]&gt;0.9999,0.7*(表2_36716262930389121314151617[[#This Row],[累计净值]]-0.9999),表2_36716262930389121314151617[[#This Row],[累计净值]]-0.9999)</f>
        <v>6.867000000000005E-2</v>
      </c>
    </row>
    <row r="150" spans="1:7">
      <c r="A150" s="15">
        <v>44147</v>
      </c>
      <c r="B150" s="112">
        <v>1.0975999999999999</v>
      </c>
      <c r="C150" s="108">
        <f t="shared" ref="C150:C155" si="42">IFERROR(B150-B149,0)</f>
        <v>-4.0000000000017799E-4</v>
      </c>
      <c r="D150" s="109">
        <f t="shared" ref="D150:D155" si="43">IF(C150&lt;0,C150,"/")</f>
        <v>-4.0000000000017799E-4</v>
      </c>
      <c r="E150" s="109">
        <f ca="1">IF(表2_36716262930389121314151617[[#This Row],[累计净值]]/MAX(INDIRECT("B21:B" &amp; ROW()))-1&lt;E149,表2_36716262930389121314151617[[#This Row],[累计净值]]/MAX(INDIRECT("B21:B" &amp; ROW()))-1,E149)</f>
        <v>-1.0184060543772855E-2</v>
      </c>
      <c r="F150" s="110">
        <f>表2_36716262930389121314151617[[#This Row],[累计净值]]</f>
        <v>1.0975999999999999</v>
      </c>
      <c r="G150" s="20">
        <f>IF(表2_36716262930389121314151617[[#This Row],[累计净值]]&gt;0.9999,0.7*(表2_36716262930389121314151617[[#This Row],[累计净值]]-0.9999),表2_36716262930389121314151617[[#This Row],[累计净值]]-0.9999)</f>
        <v>6.8389999999999923E-2</v>
      </c>
    </row>
    <row r="151" spans="1:7">
      <c r="A151" s="15">
        <v>44148</v>
      </c>
      <c r="B151" s="112">
        <v>1.0981000000000001</v>
      </c>
      <c r="C151" s="108">
        <f t="shared" si="42"/>
        <v>5.0000000000016698E-4</v>
      </c>
      <c r="D151" s="109" t="str">
        <f t="shared" si="43"/>
        <v>/</v>
      </c>
      <c r="E151" s="109">
        <f ca="1">IF(表2_36716262930389121314151617[[#This Row],[累计净值]]/MAX(INDIRECT("B21:B" &amp; ROW()))-1&lt;E150,表2_36716262930389121314151617[[#This Row],[累计净值]]/MAX(INDIRECT("B21:B" &amp; ROW()))-1,E150)</f>
        <v>-1.0184060543772855E-2</v>
      </c>
      <c r="F151" s="110">
        <f>表2_36716262930389121314151617[[#This Row],[累计净值]]</f>
        <v>1.0981000000000001</v>
      </c>
      <c r="G151" s="20">
        <f>IF(表2_36716262930389121314151617[[#This Row],[累计净值]]&gt;0.9999,0.7*(表2_36716262930389121314151617[[#This Row],[累计净值]]-0.9999),表2_36716262930389121314151617[[#This Row],[累计净值]]-0.9999)</f>
        <v>6.8740000000000037E-2</v>
      </c>
    </row>
    <row r="152" spans="1:7">
      <c r="A152" s="15">
        <v>44151</v>
      </c>
      <c r="B152" s="112">
        <v>1.0972</v>
      </c>
      <c r="C152" s="108">
        <f t="shared" si="42"/>
        <v>-9.0000000000012292E-4</v>
      </c>
      <c r="D152" s="109">
        <f t="shared" si="43"/>
        <v>-9.0000000000012292E-4</v>
      </c>
      <c r="E152" s="109">
        <f ca="1">IF(表2_36716262930389121314151617[[#This Row],[累计净值]]/MAX(INDIRECT("B21:B" &amp; ROW()))-1&lt;E151,表2_36716262930389121314151617[[#This Row],[累计净值]]/MAX(INDIRECT("B21:B" &amp; ROW()))-1,E151)</f>
        <v>-1.0184060543772855E-2</v>
      </c>
      <c r="F152" s="110">
        <f>表2_36716262930389121314151617[[#This Row],[累计净值]]</f>
        <v>1.0972</v>
      </c>
      <c r="G152" s="20">
        <f>IF(表2_36716262930389121314151617[[#This Row],[累计净值]]&gt;0.9999,0.7*(表2_36716262930389121314151617[[#This Row],[累计净值]]-0.9999),表2_36716262930389121314151617[[#This Row],[累计净值]]-0.9999)</f>
        <v>6.8109999999999948E-2</v>
      </c>
    </row>
    <row r="153" spans="1:7">
      <c r="A153" s="15">
        <v>44152</v>
      </c>
      <c r="B153" s="112">
        <v>1.1032999999999999</v>
      </c>
      <c r="C153" s="108">
        <f t="shared" si="42"/>
        <v>6.0999999999999943E-3</v>
      </c>
      <c r="D153" s="109" t="str">
        <f t="shared" si="43"/>
        <v>/</v>
      </c>
      <c r="E153" s="109">
        <f ca="1">IF(表2_36716262930389121314151617[[#This Row],[累计净值]]/MAX(INDIRECT("B21:B" &amp; ROW()))-1&lt;E152,表2_36716262930389121314151617[[#This Row],[累计净值]]/MAX(INDIRECT("B21:B" &amp; ROW()))-1,E152)</f>
        <v>-1.0184060543772855E-2</v>
      </c>
      <c r="F153" s="110">
        <f>表2_36716262930389121314151617[[#This Row],[累计净值]]</f>
        <v>1.1032999999999999</v>
      </c>
      <c r="G153" s="20">
        <f>IF(表2_36716262930389121314151617[[#This Row],[累计净值]]&gt;0.9999,0.7*(表2_36716262930389121314151617[[#This Row],[累计净值]]-0.9999),表2_36716262930389121314151617[[#This Row],[累计净值]]-0.9999)</f>
        <v>7.2379999999999944E-2</v>
      </c>
    </row>
    <row r="154" spans="1:7">
      <c r="A154" s="15">
        <v>44153</v>
      </c>
      <c r="B154" s="112">
        <v>1.1004</v>
      </c>
      <c r="C154" s="108">
        <f t="shared" si="42"/>
        <v>-2.8999999999999027E-3</v>
      </c>
      <c r="D154" s="109">
        <f t="shared" si="43"/>
        <v>-2.8999999999999027E-3</v>
      </c>
      <c r="E154" s="109">
        <f ca="1">IF(表2_36716262930389121314151617[[#This Row],[累计净值]]/MAX(INDIRECT("B21:B" &amp; ROW()))-1&lt;E153,表2_36716262930389121314151617[[#This Row],[累计净值]]/MAX(INDIRECT("B21:B" &amp; ROW()))-1,E153)</f>
        <v>-1.0184060543772855E-2</v>
      </c>
      <c r="F154" s="110">
        <f>表2_36716262930389121314151617[[#This Row],[累计净值]]</f>
        <v>1.1004</v>
      </c>
      <c r="G154" s="20">
        <f>IF(表2_36716262930389121314151617[[#This Row],[累计净值]]&gt;0.9999,0.7*(表2_36716262930389121314151617[[#This Row],[累计净值]]-0.9999),表2_36716262930389121314151617[[#This Row],[累计净值]]-0.9999)</f>
        <v>7.0350000000000024E-2</v>
      </c>
    </row>
    <row r="155" spans="1:7">
      <c r="A155" s="15">
        <v>44154</v>
      </c>
      <c r="B155" s="112">
        <v>1.1028</v>
      </c>
      <c r="C155" s="108">
        <f t="shared" si="42"/>
        <v>2.3999999999999577E-3</v>
      </c>
      <c r="D155" s="109" t="str">
        <f t="shared" si="43"/>
        <v>/</v>
      </c>
      <c r="E155" s="109">
        <f ca="1">IF(表2_36716262930389121314151617[[#This Row],[累计净值]]/MAX(INDIRECT("B21:B" &amp; ROW()))-1&lt;E154,表2_36716262930389121314151617[[#This Row],[累计净值]]/MAX(INDIRECT("B21:B" &amp; ROW()))-1,E154)</f>
        <v>-1.0184060543772855E-2</v>
      </c>
      <c r="F155" s="110">
        <f>表2_36716262930389121314151617[[#This Row],[累计净值]]</f>
        <v>1.1028</v>
      </c>
      <c r="G155" s="20">
        <f>IF(表2_36716262930389121314151617[[#This Row],[累计净值]]&gt;0.9999,0.7*(表2_36716262930389121314151617[[#This Row],[累计净值]]-0.9999),表2_36716262930389121314151617[[#This Row],[累计净值]]-0.9999)</f>
        <v>7.2029999999999983E-2</v>
      </c>
    </row>
    <row r="156" spans="1:7">
      <c r="A156" s="15">
        <v>44155</v>
      </c>
      <c r="B156" s="112">
        <v>1.1028</v>
      </c>
      <c r="C156" s="108">
        <f t="shared" ref="C156:C161" si="44">IFERROR(B156-B155,0)</f>
        <v>0</v>
      </c>
      <c r="D156" s="109" t="str">
        <f t="shared" ref="D156:D161" si="45">IF(C156&lt;0,C156,"/")</f>
        <v>/</v>
      </c>
      <c r="E156" s="109">
        <f ca="1">IF(表2_36716262930389121314151617[[#This Row],[累计净值]]/MAX(INDIRECT("B21:B" &amp; ROW()))-1&lt;E155,表2_36716262930389121314151617[[#This Row],[累计净值]]/MAX(INDIRECT("B21:B" &amp; ROW()))-1,E155)</f>
        <v>-1.0184060543772855E-2</v>
      </c>
      <c r="F156" s="110">
        <f>表2_36716262930389121314151617[[#This Row],[累计净值]]</f>
        <v>1.1028</v>
      </c>
      <c r="G156" s="20">
        <f>IF(表2_36716262930389121314151617[[#This Row],[累计净值]]&gt;0.9999,0.7*(表2_36716262930389121314151617[[#This Row],[累计净值]]-0.9999),表2_36716262930389121314151617[[#This Row],[累计净值]]-0.9999)</f>
        <v>7.2029999999999983E-2</v>
      </c>
    </row>
    <row r="157" spans="1:7">
      <c r="A157" s="15">
        <v>44158</v>
      </c>
      <c r="B157" s="112">
        <v>1.0993999999999999</v>
      </c>
      <c r="C157" s="108">
        <f t="shared" si="44"/>
        <v>-3.4000000000000696E-3</v>
      </c>
      <c r="D157" s="109">
        <f t="shared" si="45"/>
        <v>-3.4000000000000696E-3</v>
      </c>
      <c r="E157" s="109">
        <f ca="1">IF(表2_36716262930389121314151617[[#This Row],[累计净值]]/MAX(INDIRECT("B21:B" &amp; ROW()))-1&lt;E156,表2_36716262930389121314151617[[#This Row],[累计净值]]/MAX(INDIRECT("B21:B" &amp; ROW()))-1,E156)</f>
        <v>-1.0184060543772855E-2</v>
      </c>
      <c r="F157" s="110">
        <f>表2_36716262930389121314151617[[#This Row],[累计净值]]</f>
        <v>1.0993999999999999</v>
      </c>
      <c r="G157" s="20">
        <f>IF(表2_36716262930389121314151617[[#This Row],[累计净值]]&gt;0.9999,0.7*(表2_36716262930389121314151617[[#This Row],[累计净值]]-0.9999),表2_36716262930389121314151617[[#This Row],[累计净值]]-0.9999)</f>
        <v>6.9649999999999934E-2</v>
      </c>
    </row>
    <row r="158" spans="1:7">
      <c r="A158" s="15">
        <v>44159</v>
      </c>
      <c r="B158" s="112">
        <v>1.1017999999999999</v>
      </c>
      <c r="C158" s="108">
        <f t="shared" si="44"/>
        <v>2.3999999999999577E-3</v>
      </c>
      <c r="D158" s="109" t="str">
        <f t="shared" si="45"/>
        <v>/</v>
      </c>
      <c r="E158" s="109">
        <f ca="1">IF(表2_36716262930389121314151617[[#This Row],[累计净值]]/MAX(INDIRECT("B21:B" &amp; ROW()))-1&lt;E157,表2_36716262930389121314151617[[#This Row],[累计净值]]/MAX(INDIRECT("B21:B" &amp; ROW()))-1,E157)</f>
        <v>-1.0184060543772855E-2</v>
      </c>
      <c r="F158" s="110">
        <f>表2_36716262930389121314151617[[#This Row],[累计净值]]</f>
        <v>1.1017999999999999</v>
      </c>
      <c r="G158" s="20">
        <f>IF(表2_36716262930389121314151617[[#This Row],[累计净值]]&gt;0.9999,0.7*(表2_36716262930389121314151617[[#This Row],[累计净值]]-0.9999),表2_36716262930389121314151617[[#This Row],[累计净值]]-0.9999)</f>
        <v>7.1329999999999907E-2</v>
      </c>
    </row>
    <row r="159" spans="1:7">
      <c r="A159" s="15">
        <v>44160</v>
      </c>
      <c r="B159" s="112">
        <v>1.0956999999999999</v>
      </c>
      <c r="C159" s="108">
        <f t="shared" si="44"/>
        <v>-6.0999999999999943E-3</v>
      </c>
      <c r="D159" s="109">
        <f t="shared" si="45"/>
        <v>-6.0999999999999943E-3</v>
      </c>
      <c r="E159" s="109">
        <f ca="1">IF(表2_36716262930389121314151617[[#This Row],[累计净值]]/MAX(INDIRECT("B21:B" &amp; ROW()))-1&lt;E158,表2_36716262930389121314151617[[#This Row],[累计净值]]/MAX(INDIRECT("B21:B" &amp; ROW()))-1,E158)</f>
        <v>-1.0184060543772855E-2</v>
      </c>
      <c r="F159" s="110">
        <f>表2_36716262930389121314151617[[#This Row],[累计净值]]</f>
        <v>1.0956999999999999</v>
      </c>
      <c r="G159" s="20">
        <f>IF(表2_36716262930389121314151617[[#This Row],[累计净值]]&gt;0.9999,0.7*(表2_36716262930389121314151617[[#This Row],[累计净值]]-0.9999),表2_36716262930389121314151617[[#This Row],[累计净值]]-0.9999)</f>
        <v>6.7059999999999911E-2</v>
      </c>
    </row>
    <row r="160" spans="1:7">
      <c r="A160" s="15">
        <v>44161</v>
      </c>
      <c r="B160" s="112">
        <v>1.1032</v>
      </c>
      <c r="C160" s="108">
        <f t="shared" si="44"/>
        <v>7.5000000000000622E-3</v>
      </c>
      <c r="D160" s="109" t="str">
        <f t="shared" si="45"/>
        <v>/</v>
      </c>
      <c r="E160" s="109">
        <f ca="1">IF(表2_36716262930389121314151617[[#This Row],[累计净值]]/MAX(INDIRECT("B21:B" &amp; ROW()))-1&lt;E159,表2_36716262930389121314151617[[#This Row],[累计净值]]/MAX(INDIRECT("B21:B" &amp; ROW()))-1,E159)</f>
        <v>-1.0184060543772855E-2</v>
      </c>
      <c r="F160" s="110">
        <f>表2_36716262930389121314151617[[#This Row],[累计净值]]</f>
        <v>1.1032</v>
      </c>
      <c r="G160" s="20">
        <f>IF(表2_36716262930389121314151617[[#This Row],[累计净值]]&gt;0.9999,0.7*(表2_36716262930389121314151617[[#This Row],[累计净值]]-0.9999),表2_36716262930389121314151617[[#This Row],[累计净值]]-0.9999)</f>
        <v>7.2309999999999958E-2</v>
      </c>
    </row>
    <row r="161" spans="1:7">
      <c r="A161" s="15">
        <v>44162</v>
      </c>
      <c r="B161" s="112">
        <v>1.1032999999999999</v>
      </c>
      <c r="C161" s="108">
        <f t="shared" si="44"/>
        <v>9.9999999999988987E-5</v>
      </c>
      <c r="D161" s="109" t="str">
        <f t="shared" si="45"/>
        <v>/</v>
      </c>
      <c r="E161" s="109">
        <f ca="1">IF(表2_36716262930389121314151617[[#This Row],[累计净值]]/MAX(INDIRECT("B21:B" &amp; ROW()))-1&lt;E160,表2_36716262930389121314151617[[#This Row],[累计净值]]/MAX(INDIRECT("B21:B" &amp; ROW()))-1,E160)</f>
        <v>-1.0184060543772855E-2</v>
      </c>
      <c r="F161" s="110">
        <f>表2_36716262930389121314151617[[#This Row],[累计净值]]</f>
        <v>1.1032999999999999</v>
      </c>
      <c r="G161" s="20">
        <f>IF(表2_36716262930389121314151617[[#This Row],[累计净值]]&gt;0.9999,0.7*(表2_36716262930389121314151617[[#This Row],[累计净值]]-0.9999),表2_36716262930389121314151617[[#This Row],[累计净值]]-0.9999)</f>
        <v>7.2379999999999944E-2</v>
      </c>
    </row>
    <row r="162" spans="1:7">
      <c r="A162" s="15">
        <v>44165</v>
      </c>
      <c r="B162" s="117">
        <v>1.1104000000000001</v>
      </c>
      <c r="C162" s="108">
        <f t="shared" ref="C162:C167" si="46">IFERROR(B162-B161,0)</f>
        <v>7.1000000000001062E-3</v>
      </c>
      <c r="D162" s="109" t="str">
        <f t="shared" ref="D162:D167" si="47">IF(C162&lt;0,C162,"/")</f>
        <v>/</v>
      </c>
      <c r="E162" s="109">
        <f ca="1">IF(表2_36716262930389121314151617[[#This Row],[累计净值]]/MAX(INDIRECT("B21:B" &amp; ROW()))-1&lt;E161,表2_36716262930389121314151617[[#This Row],[累计净值]]/MAX(INDIRECT("B21:B" &amp; ROW()))-1,E161)</f>
        <v>-1.0184060543772855E-2</v>
      </c>
      <c r="F162" s="110">
        <f>表2_36716262930389121314151617[[#This Row],[累计净值]]</f>
        <v>1.1104000000000001</v>
      </c>
      <c r="G162" s="20">
        <f>IF(表2_36716262930389121314151617[[#This Row],[累计净值]]&gt;0.9999,0.7*(表2_36716262930389121314151617[[#This Row],[累计净值]]-0.9999),表2_36716262930389121314151617[[#This Row],[累计净值]]-0.9999)</f>
        <v>7.735000000000003E-2</v>
      </c>
    </row>
    <row r="163" spans="1:7">
      <c r="A163" s="15">
        <v>44166</v>
      </c>
      <c r="B163" s="112">
        <v>1.1052</v>
      </c>
      <c r="C163" s="108">
        <f t="shared" si="46"/>
        <v>-5.2000000000000934E-3</v>
      </c>
      <c r="D163" s="109">
        <f t="shared" si="47"/>
        <v>-5.2000000000000934E-3</v>
      </c>
      <c r="E163" s="109">
        <f ca="1">IF(表2_36716262930389121314151617[[#This Row],[累计净值]]/MAX(INDIRECT("B21:B" &amp; ROW()))-1&lt;E162,表2_36716262930389121314151617[[#This Row],[累计净值]]/MAX(INDIRECT("B21:B" &amp; ROW()))-1,E162)</f>
        <v>-1.0184060543772855E-2</v>
      </c>
      <c r="F163" s="110">
        <f>表2_36716262930389121314151617[[#This Row],[累计净值]]</f>
        <v>1.1052</v>
      </c>
      <c r="G163" s="20">
        <f>IF(表2_36716262930389121314151617[[#This Row],[累计净值]]&gt;0.9999,0.7*(表2_36716262930389121314151617[[#This Row],[累计净值]]-0.9999),表2_36716262930389121314151617[[#This Row],[累计净值]]-0.9999)</f>
        <v>7.3709999999999956E-2</v>
      </c>
    </row>
    <row r="164" spans="1:7">
      <c r="A164" s="15">
        <v>44167</v>
      </c>
      <c r="B164" s="112">
        <v>1.1007</v>
      </c>
      <c r="C164" s="108">
        <f t="shared" si="46"/>
        <v>-4.4999999999999485E-3</v>
      </c>
      <c r="D164" s="109">
        <f t="shared" si="47"/>
        <v>-4.4999999999999485E-3</v>
      </c>
      <c r="E164" s="109">
        <f ca="1">IF(表2_36716262930389121314151617[[#This Row],[累计净值]]/MAX(INDIRECT("B21:B" &amp; ROW()))-1&lt;E163,表2_36716262930389121314151617[[#This Row],[累计净值]]/MAX(INDIRECT("B21:B" &amp; ROW()))-1,E163)</f>
        <v>-1.0184060543772855E-2</v>
      </c>
      <c r="F164" s="110">
        <f>表2_36716262930389121314151617[[#This Row],[累计净值]]</f>
        <v>1.1007</v>
      </c>
      <c r="G164" s="20">
        <f>IF(表2_36716262930389121314151617[[#This Row],[累计净值]]&gt;0.9999,0.7*(表2_36716262930389121314151617[[#This Row],[累计净值]]-0.9999),表2_36716262930389121314151617[[#This Row],[累计净值]]-0.9999)</f>
        <v>7.0559999999999998E-2</v>
      </c>
    </row>
    <row r="165" spans="1:7">
      <c r="A165" s="15">
        <v>44168</v>
      </c>
      <c r="B165" s="112">
        <v>1.1023000000000001</v>
      </c>
      <c r="C165" s="108">
        <f t="shared" si="46"/>
        <v>1.6000000000000458E-3</v>
      </c>
      <c r="D165" s="109" t="str">
        <f t="shared" si="47"/>
        <v>/</v>
      </c>
      <c r="E165" s="109">
        <f ca="1">IF(表2_36716262930389121314151617[[#This Row],[累计净值]]/MAX(INDIRECT("B21:B" &amp; ROW()))-1&lt;E164,表2_36716262930389121314151617[[#This Row],[累计净值]]/MAX(INDIRECT("B21:B" &amp; ROW()))-1,E164)</f>
        <v>-1.0184060543772855E-2</v>
      </c>
      <c r="F165" s="110">
        <f>表2_36716262930389121314151617[[#This Row],[累计净值]]</f>
        <v>1.1023000000000001</v>
      </c>
      <c r="G165" s="20">
        <f>IF(表2_36716262930389121314151617[[#This Row],[累计净值]]&gt;0.9999,0.7*(表2_36716262930389121314151617[[#This Row],[累计净值]]-0.9999),表2_36716262930389121314151617[[#This Row],[累计净值]]-0.9999)</f>
        <v>7.1680000000000021E-2</v>
      </c>
    </row>
    <row r="166" spans="1:7">
      <c r="A166" s="15">
        <v>44169</v>
      </c>
      <c r="B166" s="112">
        <v>1.099</v>
      </c>
      <c r="C166" s="108">
        <f t="shared" si="46"/>
        <v>-3.3000000000000806E-3</v>
      </c>
      <c r="D166" s="109">
        <f t="shared" si="47"/>
        <v>-3.3000000000000806E-3</v>
      </c>
      <c r="E166" s="109">
        <f ca="1">IF(表2_36716262930389121314151617[[#This Row],[累计净值]]/MAX(INDIRECT("B21:B" &amp; ROW()))-1&lt;E165,表2_36716262930389121314151617[[#This Row],[累计净值]]/MAX(INDIRECT("B21:B" &amp; ROW()))-1,E165)</f>
        <v>-1.0266570605187431E-2</v>
      </c>
      <c r="F166" s="110">
        <f>表2_36716262930389121314151617[[#This Row],[累计净值]]-0.09</f>
        <v>1.0089999999999999</v>
      </c>
      <c r="G166" s="20">
        <f>IF(表2_36716262930389121314151617[[#This Row],[累计净值]]&gt;0.9999,0.7*(表2_36716262930389121314151617[[#This Row],[累计净值]]-0.9999),表2_36716262930389121314151617[[#This Row],[累计净值]]-0.9999)</f>
        <v>6.9369999999999973E-2</v>
      </c>
    </row>
    <row r="167" spans="1:7">
      <c r="A167" s="15">
        <v>44172</v>
      </c>
      <c r="B167" s="112">
        <v>1.0942000000000001</v>
      </c>
      <c r="C167" s="108">
        <f t="shared" si="46"/>
        <v>-4.7999999999999154E-3</v>
      </c>
      <c r="D167" s="109">
        <f t="shared" si="47"/>
        <v>-4.7999999999999154E-3</v>
      </c>
      <c r="E167" s="109">
        <f ca="1">IF(表2_36716262930389121314151617[[#This Row],[累计净值]]/MAX(INDIRECT("B21:B" &amp; ROW()))-1&lt;E166,表2_36716262930389121314151617[[#This Row],[累计净值]]/MAX(INDIRECT("B21:B" &amp; ROW()))-1,E166)</f>
        <v>-1.4589337175792472E-2</v>
      </c>
      <c r="F167" s="110">
        <f>表2_36716262930389121314151617[[#This Row],[累计净值]]-0.09</f>
        <v>1.0042</v>
      </c>
      <c r="G167" s="20">
        <f>IF(表2_36716262930389121314151617[[#This Row],[累计净值]]&gt;0.9999,0.7*(表2_36716262930389121314151617[[#This Row],[累计净值]]-0.9999),表2_36716262930389121314151617[[#This Row],[累计净值]]-0.9999)</f>
        <v>6.6010000000000027E-2</v>
      </c>
    </row>
    <row r="168" spans="1:7">
      <c r="A168" s="15">
        <v>44173</v>
      </c>
      <c r="B168" s="112">
        <v>1.0899000000000001</v>
      </c>
      <c r="C168" s="108">
        <f t="shared" ref="C168:C173" si="48">IFERROR(B168-B167,0)</f>
        <v>-4.2999999999999705E-3</v>
      </c>
      <c r="D168" s="109">
        <f t="shared" ref="D168:D173" si="49">IF(C168&lt;0,C168,"/")</f>
        <v>-4.2999999999999705E-3</v>
      </c>
      <c r="E168" s="109">
        <f ca="1">IF(表2_36716262930389121314151617[[#This Row],[累计净值]]/MAX(INDIRECT("B21:B" &amp; ROW()))-1&lt;E167,表2_36716262930389121314151617[[#This Row],[累计净值]]/MAX(INDIRECT("B21:B" &amp; ROW()))-1,E167)</f>
        <v>-1.8461815561959583E-2</v>
      </c>
      <c r="F168" s="110">
        <f>表2_36716262930389121314151617[[#This Row],[累计净值]]-0.09</f>
        <v>0.99990000000000012</v>
      </c>
      <c r="G168" s="20">
        <f>IF(表2_36716262930389121314151617[[#This Row],[累计净值]]&gt;0.9999,0.7*(表2_36716262930389121314151617[[#This Row],[累计净值]]-0.9999),表2_36716262930389121314151617[[#This Row],[累计净值]]-0.9999)</f>
        <v>6.3000000000000056E-2</v>
      </c>
    </row>
    <row r="169" spans="1:7">
      <c r="A169" s="15">
        <v>44174</v>
      </c>
      <c r="B169" s="112">
        <v>1.0908</v>
      </c>
      <c r="C169" s="108">
        <f t="shared" si="48"/>
        <v>8.9999999999990088E-4</v>
      </c>
      <c r="D169" s="109" t="str">
        <f t="shared" si="49"/>
        <v>/</v>
      </c>
      <c r="E169" s="109">
        <f ca="1">IF(表2_36716262930389121314151617[[#This Row],[累计净值]]/MAX(INDIRECT("B21:B" &amp; ROW()))-1&lt;E168,表2_36716262930389121314151617[[#This Row],[累计净值]]/MAX(INDIRECT("B21:B" &amp; ROW()))-1,E168)</f>
        <v>-1.8461815561959583E-2</v>
      </c>
      <c r="F169" s="110">
        <f>表2_36716262930389121314151617[[#This Row],[累计净值]]-0.09</f>
        <v>1.0007999999999999</v>
      </c>
      <c r="G169" s="20">
        <f>IF(表2_36716262930389121314151617[[#This Row],[累计净值]]&gt;0.9999,0.7*(表2_36716262930389121314151617[[#This Row],[累计净值]]-0.9999),表2_36716262930389121314151617[[#This Row],[累计净值]]-0.9999)</f>
        <v>6.3629999999999978E-2</v>
      </c>
    </row>
    <row r="170" spans="1:7">
      <c r="A170" s="15">
        <v>44175</v>
      </c>
      <c r="B170" s="112">
        <v>1.0943000000000001</v>
      </c>
      <c r="C170" s="108">
        <f t="shared" si="48"/>
        <v>3.5000000000000586E-3</v>
      </c>
      <c r="D170" s="109" t="str">
        <f t="shared" si="49"/>
        <v>/</v>
      </c>
      <c r="E170" s="109">
        <f ca="1">IF(表2_36716262930389121314151617[[#This Row],[累计净值]]/MAX(INDIRECT("B21:B" &amp; ROW()))-1&lt;E169,表2_36716262930389121314151617[[#This Row],[累计净值]]/MAX(INDIRECT("B21:B" &amp; ROW()))-1,E169)</f>
        <v>-1.8461815561959583E-2</v>
      </c>
      <c r="F170" s="110">
        <f>表2_36716262930389121314151617[[#This Row],[累计净值]]-0.09</f>
        <v>1.0043</v>
      </c>
      <c r="G170" s="20">
        <f>IF(表2_36716262930389121314151617[[#This Row],[累计净值]]&gt;0.9999,0.7*(表2_36716262930389121314151617[[#This Row],[累计净值]]-0.9999),表2_36716262930389121314151617[[#This Row],[累计净值]]-0.9999)</f>
        <v>6.6080000000000028E-2</v>
      </c>
    </row>
    <row r="171" spans="1:7">
      <c r="A171" s="15">
        <v>44176</v>
      </c>
      <c r="B171" s="112">
        <v>1.105</v>
      </c>
      <c r="C171" s="108">
        <f t="shared" si="48"/>
        <v>1.0699999999999932E-2</v>
      </c>
      <c r="D171" s="109" t="str">
        <f t="shared" si="49"/>
        <v>/</v>
      </c>
      <c r="E171" s="109">
        <f ca="1">IF(表2_36716262930389121314151617[[#This Row],[累计净值]]/MAX(INDIRECT("B21:B" &amp; ROW()))-1&lt;E170,表2_36716262930389121314151617[[#This Row],[累计净值]]/MAX(INDIRECT("B21:B" &amp; ROW()))-1,E170)</f>
        <v>-1.8461815561959583E-2</v>
      </c>
      <c r="F171" s="110">
        <f>表2_36716262930389121314151617[[#This Row],[累计净值]]-0.09</f>
        <v>1.0149999999999999</v>
      </c>
      <c r="G171" s="20">
        <f>IF(表2_36716262930389121314151617[[#This Row],[累计净值]]&gt;0.9999,0.7*(表2_36716262930389121314151617[[#This Row],[累计净值]]-0.9999),表2_36716262930389121314151617[[#This Row],[累计净值]]-0.9999)</f>
        <v>7.3569999999999969E-2</v>
      </c>
    </row>
    <row r="172" spans="1:7">
      <c r="A172" s="15">
        <v>44179</v>
      </c>
      <c r="B172" s="112">
        <v>1.1015999999999999</v>
      </c>
      <c r="C172" s="108">
        <f t="shared" si="48"/>
        <v>-3.4000000000000696E-3</v>
      </c>
      <c r="D172" s="109">
        <f t="shared" si="49"/>
        <v>-3.4000000000000696E-3</v>
      </c>
      <c r="E172" s="109">
        <f ca="1">IF(表2_36716262930389121314151617[[#This Row],[累计净值]]/MAX(INDIRECT("B21:B" &amp; ROW()))-1&lt;E171,表2_36716262930389121314151617[[#This Row],[累计净值]]/MAX(INDIRECT("B21:B" &amp; ROW()))-1,E171)</f>
        <v>-1.8461815561959583E-2</v>
      </c>
      <c r="F172" s="110">
        <f>表2_36716262930389121314151617[[#This Row],[累计净值]]-0.09</f>
        <v>1.0115999999999998</v>
      </c>
      <c r="G172" s="20">
        <f>IF(表2_36716262930389121314151617[[#This Row],[累计净值]]&gt;0.9999,0.7*(表2_36716262930389121314151617[[#This Row],[累计净值]]-0.9999),表2_36716262930389121314151617[[#This Row],[累计净值]]-0.9999)</f>
        <v>7.118999999999992E-2</v>
      </c>
    </row>
    <row r="173" spans="1:7">
      <c r="A173" s="15">
        <v>44180</v>
      </c>
      <c r="B173" s="112">
        <v>1.1046</v>
      </c>
      <c r="C173" s="108">
        <f t="shared" si="48"/>
        <v>3.0000000000001137E-3</v>
      </c>
      <c r="D173" s="109" t="str">
        <f t="shared" si="49"/>
        <v>/</v>
      </c>
      <c r="E173" s="109">
        <f ca="1">IF(表2_36716262930389121314151617[[#This Row],[累计净值]]/MAX(INDIRECT("B21:B" &amp; ROW()))-1&lt;E172,表2_36716262930389121314151617[[#This Row],[累计净值]]/MAX(INDIRECT("B21:B" &amp; ROW()))-1,E172)</f>
        <v>-1.8461815561959583E-2</v>
      </c>
      <c r="F173" s="110">
        <f>表2_36716262930389121314151617[[#This Row],[累计净值]]-0.09</f>
        <v>1.0145999999999999</v>
      </c>
      <c r="G173" s="20">
        <f>IF(表2_36716262930389121314151617[[#This Row],[累计净值]]&gt;0.9999,0.7*(表2_36716262930389121314151617[[#This Row],[累计净值]]-0.9999),表2_36716262930389121314151617[[#This Row],[累计净值]]-0.9999)</f>
        <v>7.3290000000000008E-2</v>
      </c>
    </row>
    <row r="174" spans="1:7">
      <c r="A174" s="15">
        <v>44181</v>
      </c>
      <c r="B174" s="112">
        <v>1.1077999999999999</v>
      </c>
      <c r="C174" s="108">
        <f t="shared" ref="C174:C179" si="50">IFERROR(B174-B173,0)</f>
        <v>3.1999999999998696E-3</v>
      </c>
      <c r="D174" s="109" t="str">
        <f t="shared" ref="D174:D179" si="51">IF(C174&lt;0,C174,"/")</f>
        <v>/</v>
      </c>
      <c r="E174" s="109">
        <f ca="1">IF(表2_36716262930389121314151617[[#This Row],[累计净值]]/MAX(INDIRECT("B21:B" &amp; ROW()))-1&lt;E173,表2_36716262930389121314151617[[#This Row],[累计净值]]/MAX(INDIRECT("B21:B" &amp; ROW()))-1,E173)</f>
        <v>-1.8461815561959583E-2</v>
      </c>
      <c r="F174" s="110">
        <f>表2_36716262930389121314151617[[#This Row],[累计净值]]-0.09</f>
        <v>1.0177999999999998</v>
      </c>
      <c r="G174" s="20">
        <f>IF(表2_36716262930389121314151617[[#This Row],[累计净值]]&gt;0.9999,0.7*(表2_36716262930389121314151617[[#This Row],[累计净值]]-0.9999),表2_36716262930389121314151617[[#This Row],[累计净值]]-0.9999)</f>
        <v>7.5529999999999917E-2</v>
      </c>
    </row>
    <row r="175" spans="1:7">
      <c r="A175" s="15">
        <v>44182</v>
      </c>
      <c r="B175" s="112">
        <v>1.1096999999999999</v>
      </c>
      <c r="C175" s="108">
        <f t="shared" si="50"/>
        <v>1.9000000000000128E-3</v>
      </c>
      <c r="D175" s="109" t="str">
        <f t="shared" si="51"/>
        <v>/</v>
      </c>
      <c r="E175" s="109">
        <f ca="1">IF(表2_36716262930389121314151617[[#This Row],[累计净值]]/MAX(INDIRECT("B21:B" &amp; ROW()))-1&lt;E174,表2_36716262930389121314151617[[#This Row],[累计净值]]/MAX(INDIRECT("B21:B" &amp; ROW()))-1,E174)</f>
        <v>-1.8461815561959583E-2</v>
      </c>
      <c r="F175" s="110">
        <f>表2_36716262930389121314151617[[#This Row],[累计净值]]-0.09</f>
        <v>1.0196999999999998</v>
      </c>
      <c r="G175" s="20">
        <f>IF(表2_36716262930389121314151617[[#This Row],[累计净值]]&gt;0.9999,0.7*(表2_36716262930389121314151617[[#This Row],[累计净值]]-0.9999),表2_36716262930389121314151617[[#This Row],[累计净值]]-0.9999)</f>
        <v>7.6859999999999928E-2</v>
      </c>
    </row>
    <row r="176" spans="1:7">
      <c r="A176" s="15">
        <v>44183</v>
      </c>
      <c r="B176" s="112">
        <v>1.1117999999999999</v>
      </c>
      <c r="C176" s="108">
        <f t="shared" si="50"/>
        <v>2.0999999999999908E-3</v>
      </c>
      <c r="D176" s="109" t="str">
        <f t="shared" si="51"/>
        <v>/</v>
      </c>
      <c r="E176" s="109">
        <f ca="1">IF(表2_36716262930389121314151617[[#This Row],[累计净值]]/MAX(INDIRECT("B21:B" &amp; ROW()))-1&lt;E175,表2_36716262930389121314151617[[#This Row],[累计净值]]/MAX(INDIRECT("B21:B" &amp; ROW()))-1,E175)</f>
        <v>-1.8461815561959583E-2</v>
      </c>
      <c r="F176" s="110">
        <f>表2_36716262930389121314151617[[#This Row],[累计净值]]-0.09</f>
        <v>1.0217999999999998</v>
      </c>
      <c r="G176" s="20">
        <f>IF(表2_36716262930389121314151617[[#This Row],[累计净值]]&gt;0.9999,0.7*(表2_36716262930389121314151617[[#This Row],[累计净值]]-0.9999),表2_36716262930389121314151617[[#This Row],[累计净值]]-0.9999)</f>
        <v>7.8329999999999914E-2</v>
      </c>
    </row>
    <row r="177" spans="1:7">
      <c r="A177" s="15">
        <v>44186</v>
      </c>
      <c r="B177" s="112">
        <v>1.1189</v>
      </c>
      <c r="C177" s="108">
        <f t="shared" si="50"/>
        <v>7.1000000000001062E-3</v>
      </c>
      <c r="D177" s="109" t="str">
        <f t="shared" si="51"/>
        <v>/</v>
      </c>
      <c r="E177" s="109">
        <f ca="1">IF(表2_36716262930389121314151617[[#This Row],[累计净值]]/MAX(INDIRECT("B21:B" &amp; ROW()))-1&lt;E176,表2_36716262930389121314151617[[#This Row],[累计净值]]/MAX(INDIRECT("B21:B" &amp; ROW()))-1,E176)</f>
        <v>-1.8461815561959583E-2</v>
      </c>
      <c r="F177" s="110">
        <f>表2_36716262930389121314151617[[#This Row],[累计净值]]-0.09</f>
        <v>1.0288999999999999</v>
      </c>
      <c r="G177" s="20">
        <f>IF(表2_36716262930389121314151617[[#This Row],[累计净值]]&gt;0.9999,0.7*(表2_36716262930389121314151617[[#This Row],[累计净值]]-0.9999),表2_36716262930389121314151617[[#This Row],[累计净值]]-0.9999)</f>
        <v>8.3299999999999985E-2</v>
      </c>
    </row>
    <row r="178" spans="1:7">
      <c r="A178" s="15">
        <v>44187</v>
      </c>
      <c r="B178" s="112">
        <v>1.1243000000000001</v>
      </c>
      <c r="C178" s="108">
        <f t="shared" si="50"/>
        <v>5.4000000000000714E-3</v>
      </c>
      <c r="D178" s="109" t="str">
        <f t="shared" si="51"/>
        <v>/</v>
      </c>
      <c r="E178" s="109">
        <f ca="1">IF(表2_36716262930389121314151617[[#This Row],[累计净值]]/MAX(INDIRECT("B21:B" &amp; ROW()))-1&lt;E177,表2_36716262930389121314151617[[#This Row],[累计净值]]/MAX(INDIRECT("B21:B" &amp; ROW()))-1,E177)</f>
        <v>-1.8461815561959583E-2</v>
      </c>
      <c r="F178" s="110">
        <f>表2_36716262930389121314151617[[#This Row],[累计净值]]-0.09</f>
        <v>1.0343</v>
      </c>
      <c r="G178" s="20">
        <f>IF(表2_36716262930389121314151617[[#This Row],[累计净值]]&gt;0.9999,0.7*(表2_36716262930389121314151617[[#This Row],[累计净值]]-0.9999),表2_36716262930389121314151617[[#This Row],[累计净值]]-0.9999)</f>
        <v>8.7080000000000046E-2</v>
      </c>
    </row>
    <row r="179" spans="1:7">
      <c r="A179" s="15">
        <v>44188</v>
      </c>
      <c r="B179" s="112">
        <v>1.1315</v>
      </c>
      <c r="C179" s="108">
        <f t="shared" si="50"/>
        <v>7.1999999999998732E-3</v>
      </c>
      <c r="D179" s="109" t="str">
        <f t="shared" si="51"/>
        <v>/</v>
      </c>
      <c r="E179" s="109">
        <f ca="1">IF(表2_36716262930389121314151617[[#This Row],[累计净值]]/MAX(INDIRECT("B21:B" &amp; ROW()))-1&lt;E178,表2_36716262930389121314151617[[#This Row],[累计净值]]/MAX(INDIRECT("B21:B" &amp; ROW()))-1,E178)</f>
        <v>-1.8461815561959583E-2</v>
      </c>
      <c r="F179" s="110">
        <f>表2_36716262930389121314151617[[#This Row],[累计净值]]-0.09</f>
        <v>1.0414999999999999</v>
      </c>
      <c r="G179" s="20">
        <f>IF(表2_36716262930389121314151617[[#This Row],[累计净值]]&gt;0.9999,0.7*(表2_36716262930389121314151617[[#This Row],[累计净值]]-0.9999),表2_36716262930389121314151617[[#This Row],[累计净值]]-0.9999)</f>
        <v>9.2119999999999952E-2</v>
      </c>
    </row>
    <row r="180" spans="1:7">
      <c r="A180" s="15">
        <v>44189</v>
      </c>
      <c r="B180" s="112">
        <v>1.1308</v>
      </c>
      <c r="C180" s="108">
        <f t="shared" ref="C180:C181" si="52">IFERROR(B180-B179,0)</f>
        <v>-6.9999999999992291E-4</v>
      </c>
      <c r="D180" s="109">
        <f t="shared" ref="D180:D181" si="53">IF(C180&lt;0,C180,"/")</f>
        <v>-6.9999999999992291E-4</v>
      </c>
      <c r="E180" s="109">
        <f ca="1">IF(表2_36716262930389121314151617[[#This Row],[累计净值]]/MAX(INDIRECT("B21:B" &amp; ROW()))-1&lt;E179,表2_36716262930389121314151617[[#This Row],[累计净值]]/MAX(INDIRECT("B21:B" &amp; ROW()))-1,E179)</f>
        <v>-1.8461815561959583E-2</v>
      </c>
      <c r="F180" s="110">
        <f>表2_36716262930389121314151617[[#This Row],[累计净值]]-0.09</f>
        <v>1.0407999999999999</v>
      </c>
      <c r="G180" s="20">
        <f>IF(表2_36716262930389121314151617[[#This Row],[累计净值]]&gt;0.9999,0.7*(表2_36716262930389121314151617[[#This Row],[累计净值]]-0.9999),表2_36716262930389121314151617[[#This Row],[累计净值]]-0.9999)</f>
        <v>9.1630000000000003E-2</v>
      </c>
    </row>
    <row r="181" spans="1:7">
      <c r="A181" s="15">
        <v>44190</v>
      </c>
      <c r="B181" s="112">
        <v>1.1291</v>
      </c>
      <c r="C181" s="108">
        <f t="shared" si="52"/>
        <v>-1.7000000000000348E-3</v>
      </c>
      <c r="D181" s="109">
        <f t="shared" si="53"/>
        <v>-1.7000000000000348E-3</v>
      </c>
      <c r="E181" s="109">
        <f ca="1">IF(表2_36716262930389121314151617[[#This Row],[累计净值]]/MAX(INDIRECT("B21:B" &amp; ROW()))-1&lt;E180,表2_36716262930389121314151617[[#This Row],[累计净值]]/MAX(INDIRECT("B21:B" &amp; ROW()))-1,E180)</f>
        <v>-1.8461815561959583E-2</v>
      </c>
      <c r="F181" s="110">
        <f>表2_36716262930389121314151617[[#This Row],[累计净值]]-0.09</f>
        <v>1.0390999999999999</v>
      </c>
      <c r="G181" s="20">
        <f>IF(表2_36716262930389121314151617[[#This Row],[累计净值]]&gt;0.9999,0.7*(表2_36716262930389121314151617[[#This Row],[累计净值]]-0.9999),表2_36716262930389121314151617[[#This Row],[累计净值]]-0.9999)</f>
        <v>9.0439999999999979E-2</v>
      </c>
    </row>
    <row r="182" spans="1:7">
      <c r="A182" s="15">
        <v>44193</v>
      </c>
      <c r="B182" s="112">
        <v>1.1304000000000001</v>
      </c>
      <c r="C182" s="108">
        <f t="shared" ref="C182:C187" si="54">IFERROR(B182-B181,0)</f>
        <v>1.3000000000000789E-3</v>
      </c>
      <c r="D182" s="109" t="str">
        <f t="shared" ref="D182:D187" si="55">IF(C182&lt;0,C182,"/")</f>
        <v>/</v>
      </c>
      <c r="E182" s="109">
        <f ca="1">IF(表2_36716262930389121314151617[[#This Row],[累计净值]]/MAX(INDIRECT("B21:B" &amp; ROW()))-1&lt;E181,表2_36716262930389121314151617[[#This Row],[累计净值]]/MAX(INDIRECT("B21:B" &amp; ROW()))-1,E181)</f>
        <v>-1.8461815561959583E-2</v>
      </c>
      <c r="F182" s="110">
        <f>表2_36716262930389121314151617[[#This Row],[累计净值]]-0.09</f>
        <v>1.0404</v>
      </c>
      <c r="G182" s="20">
        <f>IF(表2_36716262930389121314151617[[#This Row],[累计净值]]&gt;0.9999,0.7*(表2_36716262930389121314151617[[#This Row],[累计净值]]-0.9999),表2_36716262930389121314151617[[#This Row],[累计净值]]-0.9999)</f>
        <v>9.1350000000000042E-2</v>
      </c>
    </row>
    <row r="183" spans="1:7">
      <c r="A183" s="15">
        <v>44194</v>
      </c>
      <c r="B183" s="112">
        <v>1.1302000000000001</v>
      </c>
      <c r="C183" s="108">
        <f t="shared" si="54"/>
        <v>-1.9999999999997797E-4</v>
      </c>
      <c r="D183" s="109">
        <f t="shared" si="55"/>
        <v>-1.9999999999997797E-4</v>
      </c>
      <c r="E183" s="109">
        <f ca="1">IF(表2_36716262930389121314151617[[#This Row],[累计净值]]/MAX(INDIRECT("B21:B" &amp; ROW()))-1&lt;E182,表2_36716262930389121314151617[[#This Row],[累计净值]]/MAX(INDIRECT("B21:B" &amp; ROW()))-1,E182)</f>
        <v>-1.8461815561959583E-2</v>
      </c>
      <c r="F183" s="110">
        <f>表2_36716262930389121314151617[[#This Row],[累计净值]]-0.09</f>
        <v>1.0402</v>
      </c>
      <c r="G183" s="20">
        <f>IF(表2_36716262930389121314151617[[#This Row],[累计净值]]&gt;0.9999,0.7*(表2_36716262930389121314151617[[#This Row],[累计净值]]-0.9999),表2_36716262930389121314151617[[#This Row],[累计净值]]-0.9999)</f>
        <v>9.1210000000000055E-2</v>
      </c>
    </row>
    <row r="184" spans="1:7">
      <c r="A184" s="15">
        <v>44195</v>
      </c>
      <c r="B184" s="112">
        <v>1.1317999999999999</v>
      </c>
      <c r="C184" s="108">
        <f t="shared" si="54"/>
        <v>1.5999999999998238E-3</v>
      </c>
      <c r="D184" s="109" t="str">
        <f t="shared" si="55"/>
        <v>/</v>
      </c>
      <c r="E184" s="109">
        <f ca="1">IF(表2_36716262930389121314151617[[#This Row],[累计净值]]/MAX(INDIRECT("B21:B" &amp; ROW()))-1&lt;E183,表2_36716262930389121314151617[[#This Row],[累计净值]]/MAX(INDIRECT("B21:B" &amp; ROW()))-1,E183)</f>
        <v>-1.8461815561959583E-2</v>
      </c>
      <c r="F184" s="110">
        <f>表2_36716262930389121314151617[[#This Row],[累计净值]]-0.09</f>
        <v>1.0417999999999998</v>
      </c>
      <c r="G184" s="20">
        <f>IF(表2_36716262930389121314151617[[#This Row],[累计净值]]&gt;0.9999,0.7*(表2_36716262930389121314151617[[#This Row],[累计净值]]-0.9999),表2_36716262930389121314151617[[#This Row],[累计净值]]-0.9999)</f>
        <v>9.2329999999999926E-2</v>
      </c>
    </row>
    <row r="185" spans="1:7">
      <c r="A185" s="15">
        <v>44196</v>
      </c>
      <c r="B185" s="112">
        <v>1.1341000000000001</v>
      </c>
      <c r="C185" s="108">
        <f t="shared" si="54"/>
        <v>2.3000000000001908E-3</v>
      </c>
      <c r="D185" s="109" t="str">
        <f t="shared" si="55"/>
        <v>/</v>
      </c>
      <c r="E185" s="109">
        <f ca="1">IF(表2_36716262930389121314151617[[#This Row],[累计净值]]/MAX(INDIRECT("B21:B" &amp; ROW()))-1&lt;E184,表2_36716262930389121314151617[[#This Row],[累计净值]]/MAX(INDIRECT("B21:B" &amp; ROW()))-1,E184)</f>
        <v>-1.8461815561959583E-2</v>
      </c>
      <c r="F185" s="110">
        <f>表2_36716262930389121314151617[[#This Row],[累计净值]]-0.09</f>
        <v>1.0441</v>
      </c>
      <c r="G185" s="20">
        <f>IF(表2_36716262930389121314151617[[#This Row],[累计净值]]&gt;0.9999,0.7*(表2_36716262930389121314151617[[#This Row],[累计净值]]-0.9999),表2_36716262930389121314151617[[#This Row],[累计净值]]-0.9999)</f>
        <v>9.3940000000000065E-2</v>
      </c>
    </row>
    <row r="186" spans="1:7">
      <c r="A186" s="15">
        <v>44200</v>
      </c>
      <c r="B186" s="112">
        <v>1.1318999999999999</v>
      </c>
      <c r="C186" s="108">
        <f t="shared" si="54"/>
        <v>-2.2000000000002018E-3</v>
      </c>
      <c r="D186" s="109">
        <f t="shared" si="55"/>
        <v>-2.2000000000002018E-3</v>
      </c>
      <c r="E186" s="109">
        <f ca="1">IF(表2_36716262930389121314151617[[#This Row],[累计净值]]/MAX(INDIRECT("B21:B" &amp; ROW()))-1&lt;E185,表2_36716262930389121314151617[[#This Row],[累计净值]]/MAX(INDIRECT("B21:B" &amp; ROW()))-1,E185)</f>
        <v>-1.8461815561959583E-2</v>
      </c>
      <c r="F186" s="110">
        <f>表2_36716262930389121314151617[[#This Row],[累计净值]]-0.09</f>
        <v>1.0418999999999998</v>
      </c>
      <c r="G186" s="20">
        <f>IF(表2_36716262930389121314151617[[#This Row],[累计净值]]&gt;0.9999,0.7*(表2_36716262930389121314151617[[#This Row],[累计净值]]-0.9999),表2_36716262930389121314151617[[#This Row],[累计净值]]-0.9999)</f>
        <v>9.2399999999999927E-2</v>
      </c>
    </row>
    <row r="187" spans="1:7">
      <c r="A187" s="15">
        <v>44201</v>
      </c>
      <c r="B187" s="112">
        <v>1.1321000000000001</v>
      </c>
      <c r="C187" s="108">
        <f t="shared" si="54"/>
        <v>2.0000000000020002E-4</v>
      </c>
      <c r="D187" s="109" t="str">
        <f t="shared" si="55"/>
        <v>/</v>
      </c>
      <c r="E187" s="109">
        <f ca="1">IF(表2_36716262930389121314151617[[#This Row],[累计净值]]/MAX(INDIRECT("B21:B" &amp; ROW()))-1&lt;E186,表2_36716262930389121314151617[[#This Row],[累计净值]]/MAX(INDIRECT("B21:B" &amp; ROW()))-1,E186)</f>
        <v>-1.8461815561959583E-2</v>
      </c>
      <c r="F187" s="110">
        <f>表2_36716262930389121314151617[[#This Row],[累计净值]]-0.09</f>
        <v>1.0421</v>
      </c>
      <c r="G187" s="20">
        <f>IF(表2_36716262930389121314151617[[#This Row],[累计净值]]&gt;0.9999,0.7*(表2_36716262930389121314151617[[#This Row],[累计净值]]-0.9999),表2_36716262930389121314151617[[#This Row],[累计净值]]-0.9999)</f>
        <v>9.2540000000000067E-2</v>
      </c>
    </row>
    <row r="188" spans="1:7">
      <c r="A188" s="15">
        <v>44202</v>
      </c>
      <c r="B188" s="112">
        <v>1.1344000000000001</v>
      </c>
      <c r="C188" s="108">
        <f>IFERROR(B188-B187,0)</f>
        <v>2.2999999999999687E-3</v>
      </c>
      <c r="D188" s="109" t="str">
        <f>IF(C188&lt;0,C188,"/")</f>
        <v>/</v>
      </c>
      <c r="E188" s="109">
        <f ca="1">IF(表2_36716262930389121314151617[[#This Row],[累计净值]]/MAX(INDIRECT("B21:B" &amp; ROW()))-1&lt;E187,表2_36716262930389121314151617[[#This Row],[累计净值]]/MAX(INDIRECT("B21:B" &amp; ROW()))-1,E187)</f>
        <v>-1.8461815561959583E-2</v>
      </c>
      <c r="F188" s="110">
        <f>表2_36716262930389121314151617[[#This Row],[累计净值]]-0.09</f>
        <v>1.0444</v>
      </c>
      <c r="G188" s="20">
        <f>IF(表2_36716262930389121314151617[[#This Row],[累计净值]]&gt;0.9999,0.7*(表2_36716262930389121314151617[[#This Row],[累计净值]]-0.9999),表2_36716262930389121314151617[[#This Row],[累计净值]]-0.9999)</f>
        <v>9.4150000000000039E-2</v>
      </c>
    </row>
    <row r="189" spans="1:7">
      <c r="A189" s="15">
        <v>44203</v>
      </c>
      <c r="B189" s="112">
        <v>1.1351</v>
      </c>
      <c r="C189" s="108">
        <f t="shared" ref="C189:C190" si="56">IFERROR(B189-B188,0)</f>
        <v>6.9999999999992291E-4</v>
      </c>
      <c r="D189" s="109" t="str">
        <f t="shared" ref="D189:D190" si="57">IF(C189&lt;0,C189,"/")</f>
        <v>/</v>
      </c>
      <c r="E189" s="109">
        <f ca="1">IF(表2_36716262930389121314151617[[#This Row],[累计净值]]/MAX(INDIRECT("B21:B" &amp; ROW()))-1&lt;E188,表2_36716262930389121314151617[[#This Row],[累计净值]]/MAX(INDIRECT("B21:B" &amp; ROW()))-1,E188)</f>
        <v>-1.8461815561959583E-2</v>
      </c>
      <c r="F189" s="110">
        <f>表2_36716262930389121314151617[[#This Row],[累计净值]]-0.09</f>
        <v>1.0450999999999999</v>
      </c>
      <c r="G189" s="20">
        <f>IF(表2_36716262930389121314151617[[#This Row],[累计净值]]&gt;0.9999,0.7*(表2_36716262930389121314151617[[#This Row],[累计净值]]-0.9999),表2_36716262930389121314151617[[#This Row],[累计净值]]-0.9999)</f>
        <v>9.4639999999999988E-2</v>
      </c>
    </row>
    <row r="190" spans="1:7">
      <c r="A190" s="15">
        <v>44204</v>
      </c>
      <c r="B190" s="112">
        <v>1.1279999999999999</v>
      </c>
      <c r="C190" s="108">
        <f t="shared" si="56"/>
        <v>-7.1000000000001062E-3</v>
      </c>
      <c r="D190" s="109">
        <f t="shared" si="57"/>
        <v>-7.1000000000001062E-3</v>
      </c>
      <c r="E190" s="109">
        <f ca="1">IF(表2_36716262930389121314151617[[#This Row],[累计净值]]/MAX(INDIRECT("B21:B" &amp; ROW()))-1&lt;E189,表2_36716262930389121314151617[[#This Row],[累计净值]]/MAX(INDIRECT("B21:B" &amp; ROW()))-1,E189)</f>
        <v>-1.8461815561959583E-2</v>
      </c>
      <c r="F190" s="110">
        <f>表2_36716262930389121314151617[[#This Row],[累计净值]]-0.09</f>
        <v>1.0379999999999998</v>
      </c>
      <c r="G190" s="20">
        <f>IF(表2_36716262930389121314151617[[#This Row],[累计净值]]&gt;0.9999,0.7*(表2_36716262930389121314151617[[#This Row],[累计净值]]-0.9999),表2_36716262930389121314151617[[#This Row],[累计净值]]-0.9999)</f>
        <v>8.9669999999999916E-2</v>
      </c>
    </row>
    <row r="191" spans="1:7">
      <c r="A191" s="15">
        <v>44207</v>
      </c>
      <c r="B191" s="112">
        <v>1.1374</v>
      </c>
      <c r="C191" s="108">
        <f t="shared" ref="C191:C196" si="58">IFERROR(B191-B190,0)</f>
        <v>9.400000000000075E-3</v>
      </c>
      <c r="D191" s="109" t="str">
        <f t="shared" ref="D191:D196" si="59">IF(C191&lt;0,C191,"/")</f>
        <v>/</v>
      </c>
      <c r="E191" s="109">
        <f ca="1">IF(表2_36716262930389121314151617[[#This Row],[累计净值]]/MAX(INDIRECT("B21:B" &amp; ROW()))-1&lt;E190,表2_36716262930389121314151617[[#This Row],[累计净值]]/MAX(INDIRECT("B21:B" &amp; ROW()))-1,E190)</f>
        <v>-1.8461815561959583E-2</v>
      </c>
      <c r="F191" s="110">
        <f>表2_36716262930389121314151617[[#This Row],[累计净值]]-0.09</f>
        <v>1.0473999999999999</v>
      </c>
      <c r="G191" s="20">
        <f>IF(表2_36716262930389121314151617[[#This Row],[累计净值]]&gt;0.9999,0.7*(表2_36716262930389121314151617[[#This Row],[累计净值]]-0.9999),表2_36716262930389121314151617[[#This Row],[累计净值]]-0.9999)</f>
        <v>9.6249999999999961E-2</v>
      </c>
    </row>
    <row r="192" spans="1:7">
      <c r="A192" s="15">
        <v>44208</v>
      </c>
      <c r="B192" s="112">
        <v>1.1419999999999999</v>
      </c>
      <c r="C192" s="108">
        <f t="shared" si="58"/>
        <v>4.5999999999999375E-3</v>
      </c>
      <c r="D192" s="109" t="str">
        <f t="shared" si="59"/>
        <v>/</v>
      </c>
      <c r="E192" s="109">
        <f ca="1">IF(表2_36716262930389121314151617[[#This Row],[累计净值]]/MAX(INDIRECT("B21:B" &amp; ROW()))-1&lt;E191,表2_36716262930389121314151617[[#This Row],[累计净值]]/MAX(INDIRECT("B21:B" &amp; ROW()))-1,E191)</f>
        <v>-1.8461815561959583E-2</v>
      </c>
      <c r="F192" s="110">
        <f>表2_36716262930389121314151617[[#This Row],[累计净值]]-0.09</f>
        <v>1.0519999999999998</v>
      </c>
      <c r="G192" s="20">
        <f>IF(表2_36716262930389121314151617[[#This Row],[累计净值]]&gt;0.9999,0.7*(表2_36716262930389121314151617[[#This Row],[累计净值]]-0.9999),表2_36716262930389121314151617[[#This Row],[累计净值]]-0.9999)</f>
        <v>9.946999999999992E-2</v>
      </c>
    </row>
    <row r="193" spans="1:7">
      <c r="A193" s="15">
        <v>44209</v>
      </c>
      <c r="B193" s="112">
        <v>1.137</v>
      </c>
      <c r="C193" s="108">
        <f t="shared" si="58"/>
        <v>-4.9999999999998934E-3</v>
      </c>
      <c r="D193" s="109">
        <f t="shared" si="59"/>
        <v>-4.9999999999998934E-3</v>
      </c>
      <c r="E193" s="109">
        <f ca="1">IF(表2_36716262930389121314151617[[#This Row],[累计净值]]/MAX(INDIRECT("B21:B" &amp; ROW()))-1&lt;E192,表2_36716262930389121314151617[[#This Row],[累计净值]]/MAX(INDIRECT("B21:B" &amp; ROW()))-1,E192)</f>
        <v>-1.8461815561959583E-2</v>
      </c>
      <c r="F193" s="110">
        <f>表2_36716262930389121314151617[[#This Row],[累计净值]]-0.09</f>
        <v>1.0469999999999999</v>
      </c>
      <c r="G193" s="20">
        <f>IF(表2_36716262930389121314151617[[#This Row],[累计净值]]&gt;0.9999,0.7*(表2_36716262930389121314151617[[#This Row],[累计净值]]-0.9999),表2_36716262930389121314151617[[#This Row],[累计净值]]-0.9999)</f>
        <v>9.597E-2</v>
      </c>
    </row>
    <row r="194" spans="1:7">
      <c r="A194" s="15">
        <v>44210</v>
      </c>
      <c r="B194" s="112">
        <v>1.1437999999999999</v>
      </c>
      <c r="C194" s="108">
        <f t="shared" si="58"/>
        <v>6.7999999999999172E-3</v>
      </c>
      <c r="D194" s="109" t="str">
        <f t="shared" si="59"/>
        <v>/</v>
      </c>
      <c r="E194" s="109">
        <f ca="1">IF(表2_36716262930389121314151617[[#This Row],[累计净值]]/MAX(INDIRECT("B21:B" &amp; ROW()))-1&lt;E193,表2_36716262930389121314151617[[#This Row],[累计净值]]/MAX(INDIRECT("B21:B" &amp; ROW()))-1,E193)</f>
        <v>-1.8461815561959583E-2</v>
      </c>
      <c r="F194" s="110">
        <f>表2_36716262930389121314151617[[#This Row],[累计净值]]-0.09</f>
        <v>1.0537999999999998</v>
      </c>
      <c r="G194" s="20">
        <f>IF(表2_36716262930389121314151617[[#This Row],[累计净值]]&gt;0.9999,0.7*(表2_36716262930389121314151617[[#This Row],[累计净值]]-0.9999),表2_36716262930389121314151617[[#This Row],[累计净值]]-0.9999)</f>
        <v>0.10072999999999993</v>
      </c>
    </row>
    <row r="195" spans="1:7">
      <c r="A195" s="15">
        <v>44211</v>
      </c>
      <c r="B195" s="112">
        <v>1.1493</v>
      </c>
      <c r="C195" s="108">
        <f t="shared" si="58"/>
        <v>5.5000000000000604E-3</v>
      </c>
      <c r="D195" s="109" t="str">
        <f t="shared" si="59"/>
        <v>/</v>
      </c>
      <c r="E195" s="109">
        <f ca="1">IF(表2_36716262930389121314151617[[#This Row],[累计净值]]/MAX(INDIRECT("B21:B" &amp; ROW()))-1&lt;E194,表2_36716262930389121314151617[[#This Row],[累计净值]]/MAX(INDIRECT("B21:B" &amp; ROW()))-1,E194)</f>
        <v>-1.8461815561959583E-2</v>
      </c>
      <c r="F195" s="110">
        <f>表2_36716262930389121314151617[[#This Row],[累计净值]]-0.09</f>
        <v>1.0592999999999999</v>
      </c>
      <c r="G195" s="20">
        <f>IF(表2_36716262930389121314151617[[#This Row],[累计净值]]&gt;0.9999,0.7*(表2_36716262930389121314151617[[#This Row],[累计净值]]-0.9999),表2_36716262930389121314151617[[#This Row],[累计净值]]-0.9999)</f>
        <v>0.10457999999999998</v>
      </c>
    </row>
    <row r="196" spans="1:7">
      <c r="A196" s="15">
        <v>44214</v>
      </c>
      <c r="B196" s="112">
        <v>1.1480999999999999</v>
      </c>
      <c r="C196" s="108">
        <f t="shared" si="58"/>
        <v>-1.2000000000000899E-3</v>
      </c>
      <c r="D196" s="109">
        <f t="shared" si="59"/>
        <v>-1.2000000000000899E-3</v>
      </c>
      <c r="E196" s="109">
        <f ca="1">IF(表2_36716262930389121314151617[[#This Row],[累计净值]]/MAX(INDIRECT("B21:B" &amp; ROW()))-1&lt;E195,表2_36716262930389121314151617[[#This Row],[累计净值]]/MAX(INDIRECT("B21:B" &amp; ROW()))-1,E195)</f>
        <v>-1.8461815561959583E-2</v>
      </c>
      <c r="F196" s="110">
        <f>表2_36716262930389121314151617[[#This Row],[累计净值]]-0.09</f>
        <v>1.0580999999999998</v>
      </c>
      <c r="G196" s="20">
        <f>IF(表2_36716262930389121314151617[[#This Row],[累计净值]]&gt;0.9999,0.7*(表2_36716262930389121314151617[[#This Row],[累计净值]]-0.9999),表2_36716262930389121314151617[[#This Row],[累计净值]]-0.9999)</f>
        <v>0.10373999999999992</v>
      </c>
    </row>
    <row r="197" spans="1:7">
      <c r="A197" s="15">
        <v>44215</v>
      </c>
      <c r="B197" s="112">
        <v>1.1456</v>
      </c>
      <c r="C197" s="108">
        <f t="shared" ref="C197:C202" si="60">IFERROR(B197-B196,0)</f>
        <v>-2.4999999999999467E-3</v>
      </c>
      <c r="D197" s="109">
        <f t="shared" ref="D197:D202" si="61">IF(C197&lt;0,C197,"/")</f>
        <v>-2.4999999999999467E-3</v>
      </c>
      <c r="E197" s="109">
        <f ca="1">IF(表2_36716262930389121314151617[[#This Row],[累计净值]]/MAX(INDIRECT("B21:B" &amp; ROW()))-1&lt;E196,表2_36716262930389121314151617[[#This Row],[累计净值]]/MAX(INDIRECT("B21:B" &amp; ROW()))-1,E196)</f>
        <v>-1.8461815561959583E-2</v>
      </c>
      <c r="F197" s="110">
        <f>表2_36716262930389121314151617[[#This Row],[累计净值]]-0.09</f>
        <v>1.0555999999999999</v>
      </c>
      <c r="G197" s="20">
        <f>IF(表2_36716262930389121314151617[[#This Row],[累计净值]]&gt;0.9999,0.7*(表2_36716262930389121314151617[[#This Row],[累计净值]]-0.9999),表2_36716262930389121314151617[[#This Row],[累计净值]]-0.9999)</f>
        <v>0.10198999999999996</v>
      </c>
    </row>
    <row r="198" spans="1:7">
      <c r="A198" s="15">
        <v>44216</v>
      </c>
      <c r="B198" s="112">
        <v>1.1464000000000001</v>
      </c>
      <c r="C198" s="108">
        <f t="shared" si="60"/>
        <v>8.0000000000013394E-4</v>
      </c>
      <c r="D198" s="109" t="str">
        <f t="shared" si="61"/>
        <v>/</v>
      </c>
      <c r="E198" s="109">
        <f ca="1">IF(表2_36716262930389121314151617[[#This Row],[累计净值]]/MAX(INDIRECT("B21:B" &amp; ROW()))-1&lt;E197,表2_36716262930389121314151617[[#This Row],[累计净值]]/MAX(INDIRECT("B21:B" &amp; ROW()))-1,E197)</f>
        <v>-1.8461815561959583E-2</v>
      </c>
      <c r="F198" s="110">
        <f>表2_36716262930389121314151617[[#This Row],[累计净值]]-0.09</f>
        <v>1.0564</v>
      </c>
      <c r="G198" s="20">
        <f>IF(表2_36716262930389121314151617[[#This Row],[累计净值]]&gt;0.9999,0.7*(表2_36716262930389121314151617[[#This Row],[累计净值]]-0.9999),表2_36716262930389121314151617[[#This Row],[累计净值]]-0.9999)</f>
        <v>0.10255000000000004</v>
      </c>
    </row>
    <row r="199" spans="1:7">
      <c r="A199" s="15">
        <v>44217</v>
      </c>
      <c r="B199" s="112">
        <v>1.1484000000000001</v>
      </c>
      <c r="C199" s="108">
        <f t="shared" si="60"/>
        <v>2.0000000000000018E-3</v>
      </c>
      <c r="D199" s="109" t="str">
        <f t="shared" si="61"/>
        <v>/</v>
      </c>
      <c r="E199" s="109">
        <f ca="1">IF(表2_36716262930389121314151617[[#This Row],[累计净值]]/MAX(INDIRECT("B21:B" &amp; ROW()))-1&lt;E198,表2_36716262930389121314151617[[#This Row],[累计净值]]/MAX(INDIRECT("B21:B" &amp; ROW()))-1,E198)</f>
        <v>-1.8461815561959583E-2</v>
      </c>
      <c r="F199" s="110">
        <f>表2_36716262930389121314151617[[#This Row],[累计净值]]-0.09</f>
        <v>1.0584</v>
      </c>
      <c r="G199" s="20">
        <f>IF(表2_36716262930389121314151617[[#This Row],[累计净值]]&gt;0.9999,0.7*(表2_36716262930389121314151617[[#This Row],[累计净值]]-0.9999),表2_36716262930389121314151617[[#This Row],[累计净值]]-0.9999)</f>
        <v>0.10395000000000004</v>
      </c>
    </row>
    <row r="200" spans="1:7">
      <c r="A200" s="15">
        <v>44218</v>
      </c>
      <c r="B200" s="112">
        <v>1.1471</v>
      </c>
      <c r="C200" s="108">
        <f t="shared" si="60"/>
        <v>-1.3000000000000789E-3</v>
      </c>
      <c r="D200" s="109">
        <f t="shared" si="61"/>
        <v>-1.3000000000000789E-3</v>
      </c>
      <c r="E200" s="109">
        <f ca="1">IF(表2_36716262930389121314151617[[#This Row],[累计净值]]/MAX(INDIRECT("B21:B" &amp; ROW()))-1&lt;E199,表2_36716262930389121314151617[[#This Row],[累计净值]]/MAX(INDIRECT("B21:B" &amp; ROW()))-1,E199)</f>
        <v>-1.8461815561959583E-2</v>
      </c>
      <c r="F200" s="110">
        <f>表2_36716262930389121314151617[[#This Row],[累计净值]]-0.09</f>
        <v>1.0570999999999999</v>
      </c>
      <c r="G200" s="20">
        <f>IF(表2_36716262930389121314151617[[#This Row],[累计净值]]&gt;0.9999,0.7*(表2_36716262930389121314151617[[#This Row],[累计净值]]-0.9999),表2_36716262930389121314151617[[#This Row],[累计净值]]-0.9999)</f>
        <v>0.10303999999999999</v>
      </c>
    </row>
    <row r="201" spans="1:7">
      <c r="A201" s="15">
        <v>44221</v>
      </c>
      <c r="B201" s="112">
        <v>1.1569</v>
      </c>
      <c r="C201" s="108">
        <f t="shared" si="60"/>
        <v>9.8000000000000309E-3</v>
      </c>
      <c r="D201" s="109" t="str">
        <f t="shared" si="61"/>
        <v>/</v>
      </c>
      <c r="E201" s="109">
        <f ca="1">IF(表2_36716262930389121314151617[[#This Row],[累计净值]]/MAX(INDIRECT("B21:B" &amp; ROW()))-1&lt;E200,表2_36716262930389121314151617[[#This Row],[累计净值]]/MAX(INDIRECT("B21:B" &amp; ROW()))-1,E200)</f>
        <v>-1.8461815561959583E-2</v>
      </c>
      <c r="F201" s="110">
        <f>表2_36716262930389121314151617[[#This Row],[累计净值]]-0.09</f>
        <v>1.0669</v>
      </c>
      <c r="G201" s="20">
        <f>IF(表2_36716262930389121314151617[[#This Row],[累计净值]]&gt;0.9999,0.7*(表2_36716262930389121314151617[[#This Row],[累计净值]]-0.9999),表2_36716262930389121314151617[[#This Row],[累计净值]]-0.9999)</f>
        <v>0.10990000000000001</v>
      </c>
    </row>
    <row r="202" spans="1:7">
      <c r="A202" s="15">
        <v>44222</v>
      </c>
      <c r="B202" s="112">
        <v>1.1577</v>
      </c>
      <c r="C202" s="108">
        <f t="shared" si="60"/>
        <v>7.9999999999991189E-4</v>
      </c>
      <c r="D202" s="109" t="str">
        <f t="shared" si="61"/>
        <v>/</v>
      </c>
      <c r="E202" s="109">
        <f ca="1">IF(表2_36716262930389121314151617[[#This Row],[累计净值]]/MAX(INDIRECT("B21:B" &amp; ROW()))-1&lt;E201,表2_36716262930389121314151617[[#This Row],[累计净值]]/MAX(INDIRECT("B21:B" &amp; ROW()))-1,E201)</f>
        <v>-1.8461815561959583E-2</v>
      </c>
      <c r="F202" s="110">
        <f>表2_36716262930389121314151617[[#This Row],[累计净值]]-0.09</f>
        <v>1.0676999999999999</v>
      </c>
      <c r="G202" s="20">
        <f>IF(表2_36716262930389121314151617[[#This Row],[累计净值]]&gt;0.9999,0.7*(表2_36716262930389121314151617[[#This Row],[累计净值]]-0.9999),表2_36716262930389121314151617[[#This Row],[累计净值]]-0.9999)</f>
        <v>0.11045999999999995</v>
      </c>
    </row>
    <row r="203" spans="1:7">
      <c r="A203" s="15">
        <v>44223</v>
      </c>
      <c r="B203" s="112">
        <v>1.1586000000000001</v>
      </c>
      <c r="C203" s="108">
        <f t="shared" ref="C203:C208" si="62">IFERROR(B203-B202,0)</f>
        <v>9.0000000000012292E-4</v>
      </c>
      <c r="D203" s="109" t="str">
        <f t="shared" ref="D203:D208" si="63">IF(C203&lt;0,C203,"/")</f>
        <v>/</v>
      </c>
      <c r="E203" s="109">
        <f ca="1">IF(表2_36716262930389121314151617[[#This Row],[累计净值]]/MAX(INDIRECT("B21:B" &amp; ROW()))-1&lt;E202,表2_36716262930389121314151617[[#This Row],[累计净值]]/MAX(INDIRECT("B21:B" &amp; ROW()))-1,E202)</f>
        <v>-1.8461815561959583E-2</v>
      </c>
      <c r="F203" s="110">
        <f>表2_36716262930389121314151617[[#This Row],[累计净值]]-0.09</f>
        <v>1.0686</v>
      </c>
      <c r="G203" s="20">
        <f>IF(表2_36716262930389121314151617[[#This Row],[累计净值]]&gt;0.9999,0.7*(表2_36716262930389121314151617[[#This Row],[累计净值]]-0.9999),表2_36716262930389121314151617[[#This Row],[累计净值]]-0.9999)</f>
        <v>0.11109000000000004</v>
      </c>
    </row>
    <row r="204" spans="1:7">
      <c r="A204" s="15">
        <v>44224</v>
      </c>
      <c r="B204" s="112">
        <v>1.1581999999999999</v>
      </c>
      <c r="C204" s="108">
        <f t="shared" si="62"/>
        <v>-4.0000000000017799E-4</v>
      </c>
      <c r="D204" s="109">
        <f t="shared" si="63"/>
        <v>-4.0000000000017799E-4</v>
      </c>
      <c r="E204" s="109">
        <f ca="1">IF(表2_36716262930389121314151617[[#This Row],[累计净值]]/MAX(INDIRECT("B21:B" &amp; ROW()))-1&lt;E203,表2_36716262930389121314151617[[#This Row],[累计净值]]/MAX(INDIRECT("B21:B" &amp; ROW()))-1,E203)</f>
        <v>-1.8461815561959583E-2</v>
      </c>
      <c r="F204" s="110">
        <f>表2_36716262930389121314151617[[#This Row],[累计净值]]-0.09</f>
        <v>1.0681999999999998</v>
      </c>
      <c r="G204" s="20">
        <f>IF(表2_36716262930389121314151617[[#This Row],[累计净值]]&gt;0.9999,0.7*(表2_36716262930389121314151617[[#This Row],[累计净值]]-0.9999),表2_36716262930389121314151617[[#This Row],[累计净值]]-0.9999)</f>
        <v>0.11080999999999991</v>
      </c>
    </row>
    <row r="205" spans="1:7">
      <c r="A205" s="15">
        <v>44225</v>
      </c>
      <c r="B205" s="112">
        <v>1.1597</v>
      </c>
      <c r="C205" s="108">
        <f t="shared" si="62"/>
        <v>1.5000000000000568E-3</v>
      </c>
      <c r="D205" s="109" t="str">
        <f t="shared" si="63"/>
        <v>/</v>
      </c>
      <c r="E205" s="109">
        <f ca="1">IF(表2_36716262930389121314151617[[#This Row],[累计净值]]/MAX(INDIRECT("B21:B" &amp; ROW()))-1&lt;E204,表2_36716262930389121314151617[[#This Row],[累计净值]]/MAX(INDIRECT("B21:B" &amp; ROW()))-1,E204)</f>
        <v>-1.8461815561959583E-2</v>
      </c>
      <c r="F205" s="110">
        <f>表2_36716262930389121314151617[[#This Row],[累计净值]]-0.09</f>
        <v>1.0696999999999999</v>
      </c>
      <c r="G205" s="20">
        <f>IF(表2_36716262930389121314151617[[#This Row],[累计净值]]&gt;0.9999,0.7*(表2_36716262930389121314151617[[#This Row],[累计净值]]-0.9999),表2_36716262930389121314151617[[#This Row],[累计净值]]-0.9999)</f>
        <v>0.11185999999999995</v>
      </c>
    </row>
    <row r="206" spans="1:7">
      <c r="A206" s="15">
        <v>44228</v>
      </c>
      <c r="B206" s="112">
        <v>1.1597</v>
      </c>
      <c r="C206" s="108">
        <f t="shared" si="62"/>
        <v>0</v>
      </c>
      <c r="D206" s="109" t="str">
        <f t="shared" si="63"/>
        <v>/</v>
      </c>
      <c r="E206" s="109">
        <f ca="1">IF(表2_36716262930389121314151617[[#This Row],[累计净值]]/MAX(INDIRECT("B21:B" &amp; ROW()))-1&lt;E205,表2_36716262930389121314151617[[#This Row],[累计净值]]/MAX(INDIRECT("B21:B" &amp; ROW()))-1,E205)</f>
        <v>-1.8461815561959583E-2</v>
      </c>
      <c r="F206" s="110">
        <f>表2_36716262930389121314151617[[#This Row],[累计净值]]-0.09</f>
        <v>1.0696999999999999</v>
      </c>
      <c r="G206" s="20">
        <f>IF(表2_36716262930389121314151617[[#This Row],[累计净值]]&gt;0.9999,0.7*(表2_36716262930389121314151617[[#This Row],[累计净值]]-0.9999),表2_36716262930389121314151617[[#This Row],[累计净值]]-0.9999)</f>
        <v>0.11185999999999995</v>
      </c>
    </row>
    <row r="207" spans="1:7">
      <c r="A207" s="15">
        <v>44229</v>
      </c>
      <c r="B207" s="112">
        <v>1.1597</v>
      </c>
      <c r="C207" s="108">
        <f t="shared" si="62"/>
        <v>0</v>
      </c>
      <c r="D207" s="109" t="str">
        <f t="shared" si="63"/>
        <v>/</v>
      </c>
      <c r="E207" s="109">
        <f ca="1">IF(表2_36716262930389121314151617[[#This Row],[累计净值]]/MAX(INDIRECT("B21:B" &amp; ROW()))-1&lt;E206,表2_36716262930389121314151617[[#This Row],[累计净值]]/MAX(INDIRECT("B21:B" &amp; ROW()))-1,E206)</f>
        <v>-1.8461815561959583E-2</v>
      </c>
      <c r="F207" s="110">
        <f>表2_36716262930389121314151617[[#This Row],[累计净值]]-0.09</f>
        <v>1.0696999999999999</v>
      </c>
      <c r="G207" s="20">
        <f>IF(表2_36716262930389121314151617[[#This Row],[累计净值]]&gt;0.9999,0.7*(表2_36716262930389121314151617[[#This Row],[累计净值]]-0.9999),表2_36716262930389121314151617[[#This Row],[累计净值]]-0.9999)</f>
        <v>0.11185999999999995</v>
      </c>
    </row>
    <row r="208" spans="1:7">
      <c r="A208" s="15">
        <v>44230</v>
      </c>
      <c r="B208" s="112">
        <v>1.1596</v>
      </c>
      <c r="C208" s="108">
        <f t="shared" si="62"/>
        <v>-9.9999999999988987E-5</v>
      </c>
      <c r="D208" s="109">
        <f t="shared" si="63"/>
        <v>-9.9999999999988987E-5</v>
      </c>
      <c r="E208" s="109">
        <f ca="1">IF(表2_36716262930389121314151617[[#This Row],[累计净值]]/MAX(INDIRECT("B21:B" &amp; ROW()))-1&lt;E207,表2_36716262930389121314151617[[#This Row],[累计净值]]/MAX(INDIRECT("B21:B" &amp; ROW()))-1,E207)</f>
        <v>-1.8461815561959583E-2</v>
      </c>
      <c r="F208" s="110">
        <f>表2_36716262930389121314151617[[#This Row],[累计净值]]-0.09</f>
        <v>1.0695999999999999</v>
      </c>
      <c r="G208" s="20">
        <f>IF(表2_36716262930389121314151617[[#This Row],[累计净值]]&gt;0.9999,0.7*(表2_36716262930389121314151617[[#This Row],[累计净值]]-0.9999),表2_36716262930389121314151617[[#This Row],[累计净值]]-0.9999)</f>
        <v>0.11178999999999996</v>
      </c>
    </row>
    <row r="209" spans="1:7">
      <c r="A209" s="15">
        <v>44231</v>
      </c>
      <c r="B209" s="112">
        <v>1.1595</v>
      </c>
      <c r="C209" s="108">
        <f>IFERROR(B209-B208,0)</f>
        <v>-9.9999999999988987E-5</v>
      </c>
      <c r="D209" s="109">
        <f>IF(C209&lt;0,C209,"/")</f>
        <v>-9.9999999999988987E-5</v>
      </c>
      <c r="E209" s="109">
        <f ca="1">IF(表2_36716262930389121314151617[[#This Row],[累计净值]]/MAX(INDIRECT("B21:B" &amp; ROW()))-1&lt;E208,表2_36716262930389121314151617[[#This Row],[累计净值]]/MAX(INDIRECT("B21:B" &amp; ROW()))-1,E208)</f>
        <v>-1.8461815561959583E-2</v>
      </c>
      <c r="F209" s="110">
        <f>表2_36716262930389121314151617[[#This Row],[累计净值]]-0.09</f>
        <v>1.0694999999999999</v>
      </c>
      <c r="G209" s="20">
        <f>IF(表2_36716262930389121314151617[[#This Row],[累计净值]]&gt;0.9999,0.7*(表2_36716262930389121314151617[[#This Row],[累计净值]]-0.9999),表2_36716262930389121314151617[[#This Row],[累计净值]]-0.9999)</f>
        <v>0.11171999999999997</v>
      </c>
    </row>
    <row r="210" spans="1:7">
      <c r="A210" s="15">
        <v>44232</v>
      </c>
      <c r="B210" s="112">
        <v>1.1592</v>
      </c>
      <c r="C210" s="108">
        <f>IFERROR(B210-B209,0)</f>
        <v>-2.9999999999996696E-4</v>
      </c>
      <c r="D210" s="109">
        <f>IF(C210&lt;0,C210,"/")</f>
        <v>-2.9999999999996696E-4</v>
      </c>
      <c r="E210" s="109">
        <f ca="1">IF(表2_36716262930389121314151617[[#This Row],[累计净值]]/MAX(INDIRECT("B21:B" &amp; ROW()))-1&lt;E209,表2_36716262930389121314151617[[#This Row],[累计净值]]/MAX(INDIRECT("B21:B" &amp; ROW()))-1,E209)</f>
        <v>-1.8461815561959583E-2</v>
      </c>
      <c r="F210" s="110">
        <f>表2_36716262930389121314151617[[#This Row],[累计净值]]-0.09</f>
        <v>1.0691999999999999</v>
      </c>
      <c r="G210" s="20">
        <f>IF(表2_36716262930389121314151617[[#This Row],[累计净值]]&gt;0.9999,0.7*(表2_36716262930389121314151617[[#This Row],[累计净值]]-0.9999),表2_36716262930389121314151617[[#This Row],[累计净值]]-0.9999)</f>
        <v>0.11150999999999998</v>
      </c>
    </row>
    <row r="211" spans="1:7">
      <c r="A211" s="15">
        <v>44235</v>
      </c>
      <c r="B211" s="112">
        <v>1.1588000000000001</v>
      </c>
      <c r="C211" s="108">
        <f>IFERROR(B211-B210,0)</f>
        <v>-3.9999999999995595E-4</v>
      </c>
      <c r="D211" s="109">
        <f>IF(C211&lt;0,C211,"/")</f>
        <v>-3.9999999999995595E-4</v>
      </c>
      <c r="E211" s="109">
        <f ca="1">IF(表2_36716262930389121314151617[[#This Row],[累计净值]]/MAX(INDIRECT("B21:B" &amp; ROW()))-1&lt;E210,表2_36716262930389121314151617[[#This Row],[累计净值]]/MAX(INDIRECT("B21:B" &amp; ROW()))-1,E210)</f>
        <v>-1.8461815561959583E-2</v>
      </c>
      <c r="F211" s="110">
        <f>表2_36716262930389121314151617[[#This Row],[累计净值]]-0.09</f>
        <v>1.0688</v>
      </c>
      <c r="G211" s="20">
        <f>IF(表2_36716262930389121314151617[[#This Row],[累计净值]]&gt;0.9999,0.7*(表2_36716262930389121314151617[[#This Row],[累计净值]]-0.9999),表2_36716262930389121314151617[[#This Row],[累计净值]]-0.9999)</f>
        <v>0.11123000000000002</v>
      </c>
    </row>
    <row r="212" spans="1:7">
      <c r="A212" s="15">
        <v>44236</v>
      </c>
      <c r="B212" s="112">
        <v>1.1588000000000001</v>
      </c>
      <c r="C212" s="108">
        <f t="shared" ref="C212:C214" si="64">IFERROR(B212-B211,0)</f>
        <v>0</v>
      </c>
      <c r="D212" s="109" t="str">
        <f t="shared" ref="D212:D214" si="65">IF(C212&lt;0,C212,"/")</f>
        <v>/</v>
      </c>
      <c r="E212" s="109">
        <f ca="1">IF(表2_36716262930389121314151617[[#This Row],[累计净值]]/MAX(INDIRECT("B21:B" &amp; ROW()))-1&lt;E211,表2_36716262930389121314151617[[#This Row],[累计净值]]/MAX(INDIRECT("B21:B" &amp; ROW()))-1,E211)</f>
        <v>-1.8461815561959583E-2</v>
      </c>
      <c r="F212" s="110">
        <f>表2_36716262930389121314151617[[#This Row],[累计净值]]-0.09</f>
        <v>1.0688</v>
      </c>
      <c r="G212" s="20">
        <f>IF(表2_36716262930389121314151617[[#This Row],[累计净值]]&gt;0.9999,0.7*(表2_36716262930389121314151617[[#This Row],[累计净值]]-0.9999),表2_36716262930389121314151617[[#This Row],[累计净值]]-0.9999)</f>
        <v>0.11123000000000002</v>
      </c>
    </row>
    <row r="213" spans="1:7">
      <c r="A213" s="15">
        <v>44237</v>
      </c>
      <c r="B213" s="112">
        <v>1.1587000000000001</v>
      </c>
      <c r="C213" s="108">
        <f t="shared" si="64"/>
        <v>-9.9999999999988987E-5</v>
      </c>
      <c r="D213" s="109">
        <f t="shared" si="65"/>
        <v>-9.9999999999988987E-5</v>
      </c>
      <c r="E213" s="109">
        <f ca="1">IF(表2_36716262930389121314151617[[#This Row],[累计净值]]/MAX(INDIRECT("B21:B" &amp; ROW()))-1&lt;E212,表2_36716262930389121314151617[[#This Row],[累计净值]]/MAX(INDIRECT("B21:B" &amp; ROW()))-1,E212)</f>
        <v>-1.8461815561959583E-2</v>
      </c>
      <c r="F213" s="110">
        <f>表2_36716262930389121314151617[[#This Row],[累计净值]]-0.09</f>
        <v>1.0687</v>
      </c>
      <c r="G213" s="20">
        <f>IF(表2_36716262930389121314151617[[#This Row],[累计净值]]&gt;0.9999,0.7*(表2_36716262930389121314151617[[#This Row],[累计净值]]-0.9999),表2_36716262930389121314151617[[#This Row],[累计净值]]-0.9999)</f>
        <v>0.11116000000000002</v>
      </c>
    </row>
    <row r="214" spans="1:7">
      <c r="A214" s="15">
        <v>44245</v>
      </c>
      <c r="B214" s="112">
        <v>1.1588000000000001</v>
      </c>
      <c r="C214" s="108">
        <f t="shared" si="64"/>
        <v>9.9999999999988987E-5</v>
      </c>
      <c r="D214" s="109" t="str">
        <f t="shared" si="65"/>
        <v>/</v>
      </c>
      <c r="E214" s="109">
        <f ca="1">IF(表2_36716262930389121314151617[[#This Row],[累计净值]]/MAX(INDIRECT("B21:B" &amp; ROW()))-1&lt;E213,表2_36716262930389121314151617[[#This Row],[累计净值]]/MAX(INDIRECT("B21:B" &amp; ROW()))-1,E213)</f>
        <v>-1.8461815561959583E-2</v>
      </c>
      <c r="F214" s="110">
        <f>表2_36716262930389121314151617[[#This Row],[累计净值]]-0.09</f>
        <v>1.0688</v>
      </c>
      <c r="G214" s="20">
        <f>IF(表2_36716262930389121314151617[[#This Row],[累计净值]]&gt;0.9999,0.7*(表2_36716262930389121314151617[[#This Row],[累计净值]]-0.9999),表2_36716262930389121314151617[[#This Row],[累计净值]]-0.9999)</f>
        <v>0.11123000000000002</v>
      </c>
    </row>
    <row r="215" spans="1:7">
      <c r="A215" s="15">
        <v>44246</v>
      </c>
      <c r="B215" s="112">
        <v>1.1597999999999999</v>
      </c>
      <c r="C215" s="108">
        <f>IFERROR(B215-B214,0)</f>
        <v>9.9999999999988987E-4</v>
      </c>
      <c r="D215" s="109" t="str">
        <f>IF(C215&lt;0,C215,"/")</f>
        <v>/</v>
      </c>
      <c r="E215" s="109">
        <f ca="1">IF(表2_36716262930389121314151617[[#This Row],[累计净值]]/MAX(INDIRECT("B21:B" &amp; ROW()))-1&lt;E214,表2_36716262930389121314151617[[#This Row],[累计净值]]/MAX(INDIRECT("B21:B" &amp; ROW()))-1,E214)</f>
        <v>-1.8461815561959583E-2</v>
      </c>
      <c r="F215" s="110">
        <f>表2_36716262930389121314151617[[#This Row],[累计净值]]-0.09</f>
        <v>1.0697999999999999</v>
      </c>
      <c r="G215" s="20">
        <f>IF(表2_36716262930389121314151617[[#This Row],[累计净值]]&gt;0.9999,0.7*(表2_36716262930389121314151617[[#This Row],[累计净值]]-0.9999),表2_36716262930389121314151617[[#This Row],[累计净值]]-0.9999)</f>
        <v>0.11192999999999995</v>
      </c>
    </row>
    <row r="216" spans="1:7">
      <c r="A216" s="15">
        <v>44249</v>
      </c>
      <c r="B216" s="112">
        <v>1.1596</v>
      </c>
      <c r="C216" s="108">
        <f>IFERROR(B216-B215,0)</f>
        <v>-1.9999999999997797E-4</v>
      </c>
      <c r="D216" s="109">
        <f>IF(C216&lt;0,C216,"/")</f>
        <v>-1.9999999999997797E-4</v>
      </c>
      <c r="E216" s="109">
        <f ca="1">IF(表2_36716262930389121314151617[[#This Row],[累计净值]]/MAX(INDIRECT("B21:B" &amp; ROW()))-1&lt;E215,表2_36716262930389121314151617[[#This Row],[累计净值]]/MAX(INDIRECT("B21:B" &amp; ROW()))-1,E215)</f>
        <v>-1.8461815561959583E-2</v>
      </c>
      <c r="F216" s="110">
        <f>表2_36716262930389121314151617[[#This Row],[累计净值]]-0.09</f>
        <v>1.0695999999999999</v>
      </c>
      <c r="G216" s="20">
        <f>IF(表2_36716262930389121314151617[[#This Row],[累计净值]]&gt;0.9999,0.7*(表2_36716262930389121314151617[[#This Row],[累计净值]]-0.9999),表2_36716262930389121314151617[[#This Row],[累计净值]]-0.9999)</f>
        <v>0.11178999999999996</v>
      </c>
    </row>
    <row r="217" spans="1:7">
      <c r="A217" s="15">
        <v>44250</v>
      </c>
      <c r="B217" s="112">
        <v>1.1651</v>
      </c>
      <c r="C217" s="108">
        <f>IFERROR(B217-B216,0)</f>
        <v>5.5000000000000604E-3</v>
      </c>
      <c r="D217" s="109" t="str">
        <f>IF(C217&lt;0,C217,"/")</f>
        <v>/</v>
      </c>
      <c r="E217" s="109">
        <f ca="1">IF(表2_36716262930389121314151617[[#This Row],[累计净值]]/MAX(INDIRECT("B21:B" &amp; ROW()))-1&lt;E216,表2_36716262930389121314151617[[#This Row],[累计净值]]/MAX(INDIRECT("B21:B" &amp; ROW()))-1,E216)</f>
        <v>-1.8461815561959583E-2</v>
      </c>
      <c r="F217" s="110">
        <f>表2_36716262930389121314151617[[#This Row],[累计净值]]-0.09</f>
        <v>1.0750999999999999</v>
      </c>
      <c r="G217" s="20">
        <f>IF(表2_36716262930389121314151617[[#This Row],[累计净值]]&gt;0.9999,0.7*(表2_36716262930389121314151617[[#This Row],[累计净值]]-0.9999),表2_36716262930389121314151617[[#This Row],[累计净值]]-0.9999)</f>
        <v>0.11564000000000001</v>
      </c>
    </row>
    <row r="218" spans="1:7">
      <c r="A218" s="15">
        <v>44251</v>
      </c>
      <c r="B218" s="226">
        <v>1.1672</v>
      </c>
      <c r="C218" s="108">
        <f t="shared" ref="C218:C221" si="66">IFERROR(B218-B217,0)</f>
        <v>2.0999999999999908E-3</v>
      </c>
      <c r="D218" s="109" t="str">
        <f t="shared" ref="D218:D221" si="67">IF(C218&lt;0,C218,"/")</f>
        <v>/</v>
      </c>
      <c r="E218" s="109">
        <f ca="1">IF(表2_36716262930389121314151617[[#This Row],[累计净值]]/MAX(INDIRECT("B21:B" &amp; ROW()))-1&lt;E217,表2_36716262930389121314151617[[#This Row],[累计净值]]/MAX(INDIRECT("B21:B" &amp; ROW()))-1,E217)</f>
        <v>-1.8461815561959583E-2</v>
      </c>
      <c r="F218" s="110">
        <f>表2_36716262930389121314151617[[#This Row],[累计净值]]-0.09</f>
        <v>1.0771999999999999</v>
      </c>
      <c r="G218" s="20">
        <f>IF(表2_36716262930389121314151617[[#This Row],[累计净值]]&gt;0.9999,0.7*(表2_36716262930389121314151617[[#This Row],[累计净值]]-0.9999),表2_36716262930389121314151617[[#This Row],[累计净值]]-0.9999)</f>
        <v>0.11710999999999999</v>
      </c>
    </row>
    <row r="219" spans="1:7">
      <c r="A219" s="15">
        <v>44252</v>
      </c>
      <c r="B219" s="112">
        <v>1.167</v>
      </c>
      <c r="C219" s="108">
        <f t="shared" si="66"/>
        <v>-1.9999999999997797E-4</v>
      </c>
      <c r="D219" s="109">
        <f t="shared" si="67"/>
        <v>-1.9999999999997797E-4</v>
      </c>
      <c r="E219" s="109">
        <f ca="1">IF(表2_36716262930389121314151617[[#This Row],[累计净值]]/MAX(INDIRECT("B21:B" &amp; ROW()))-1&lt;E218,表2_36716262930389121314151617[[#This Row],[累计净值]]/MAX(INDIRECT("B21:B" &amp; ROW()))-1,E218)</f>
        <v>-1.8461815561959583E-2</v>
      </c>
      <c r="F219" s="110">
        <f>表2_36716262930389121314151617[[#This Row],[累计净值]]-0.09</f>
        <v>1.077</v>
      </c>
      <c r="G219" s="20">
        <f>IF(表2_36716262930389121314151617[[#This Row],[累计净值]]&gt;0.9999,0.7*(表2_36716262930389121314151617[[#This Row],[累计净值]]-0.9999),表2_36716262930389121314151617[[#This Row],[累计净值]]-0.9999)</f>
        <v>0.11697</v>
      </c>
    </row>
    <row r="220" spans="1:7">
      <c r="A220" s="15">
        <v>44253</v>
      </c>
      <c r="B220" s="112">
        <v>1.1716</v>
      </c>
      <c r="C220" s="108">
        <f t="shared" si="66"/>
        <v>4.5999999999999375E-3</v>
      </c>
      <c r="D220" s="109" t="str">
        <f t="shared" si="67"/>
        <v>/</v>
      </c>
      <c r="E220" s="109">
        <f ca="1">IF(表2_36716262930389121314151617[[#This Row],[累计净值]]/MAX(INDIRECT("B21:B" &amp; ROW()))-1&lt;E219,表2_36716262930389121314151617[[#This Row],[累计净值]]/MAX(INDIRECT("B21:B" &amp; ROW()))-1,E219)</f>
        <v>-1.8461815561959583E-2</v>
      </c>
      <c r="F220" s="110">
        <f>表2_36716262930389121314151617[[#This Row],[累计净值]]-0.09</f>
        <v>1.0815999999999999</v>
      </c>
      <c r="G220" s="20">
        <f>IF(表2_36716262930389121314151617[[#This Row],[累计净值]]&gt;0.9999,0.7*(表2_36716262930389121314151617[[#This Row],[累计净值]]-0.9999),表2_36716262930389121314151617[[#This Row],[累计净值]]-0.9999)</f>
        <v>0.12018999999999996</v>
      </c>
    </row>
    <row r="221" spans="1:7">
      <c r="A221" s="15">
        <v>44256</v>
      </c>
      <c r="B221" s="112">
        <v>1.1756</v>
      </c>
      <c r="C221" s="108">
        <f t="shared" si="66"/>
        <v>4.0000000000000036E-3</v>
      </c>
      <c r="D221" s="109" t="str">
        <f t="shared" si="67"/>
        <v>/</v>
      </c>
      <c r="E221" s="109">
        <f ca="1">IF(表2_36716262930389121314151617[[#This Row],[累计净值]]/MAX(INDIRECT("B21:B" &amp; ROW()))-1&lt;E220,表2_36716262930389121314151617[[#This Row],[累计净值]]/MAX(INDIRECT("B21:B" &amp; ROW()))-1,E220)</f>
        <v>-1.8461815561959583E-2</v>
      </c>
      <c r="F221" s="110">
        <f>表2_36716262930389121314151617[[#This Row],[累计净值]]-0.09</f>
        <v>1.0855999999999999</v>
      </c>
      <c r="G221" s="20">
        <f>IF(表2_36716262930389121314151617[[#This Row],[累计净值]]&gt;0.9999,0.7*(表2_36716262930389121314151617[[#This Row],[累计净值]]-0.9999),表2_36716262930389121314151617[[#This Row],[累计净值]]-0.9999)</f>
        <v>0.12298999999999997</v>
      </c>
    </row>
    <row r="222" spans="1:7">
      <c r="A222" s="15">
        <v>44257</v>
      </c>
      <c r="B222" s="112">
        <v>1.1737</v>
      </c>
      <c r="C222" s="108">
        <f t="shared" ref="C222:C223" si="68">IFERROR(B222-B221,0)</f>
        <v>-1.9000000000000128E-3</v>
      </c>
      <c r="D222" s="109">
        <f t="shared" ref="D222:D223" si="69">IF(C222&lt;0,C222,"/")</f>
        <v>-1.9000000000000128E-3</v>
      </c>
      <c r="E222" s="109">
        <f ca="1">IF(表2_36716262930389121314151617[[#This Row],[累计净值]]/MAX(INDIRECT("B21:B" &amp; ROW()))-1&lt;E221,表2_36716262930389121314151617[[#This Row],[累计净值]]/MAX(INDIRECT("B21:B" &amp; ROW()))-1,E221)</f>
        <v>-1.8461815561959583E-2</v>
      </c>
      <c r="F222" s="110">
        <f>表2_36716262930389121314151617[[#This Row],[累计净值]]-0.09</f>
        <v>1.0836999999999999</v>
      </c>
      <c r="G222" s="20">
        <f>IF(表2_36716262930389121314151617[[#This Row],[累计净值]]&gt;0.9999,0.7*(表2_36716262930389121314151617[[#This Row],[累计净值]]-0.9999),表2_36716262930389121314151617[[#This Row],[累计净值]]-0.9999)</f>
        <v>0.12165999999999996</v>
      </c>
    </row>
    <row r="223" spans="1:7">
      <c r="A223" s="15">
        <v>44258</v>
      </c>
      <c r="B223" s="112">
        <v>1.1714</v>
      </c>
      <c r="C223" s="108">
        <f t="shared" si="68"/>
        <v>-2.2999999999999687E-3</v>
      </c>
      <c r="D223" s="109">
        <f t="shared" si="69"/>
        <v>-2.2999999999999687E-3</v>
      </c>
      <c r="E223" s="109">
        <f ca="1">IF(表2_36716262930389121314151617[[#This Row],[累计净值]]/MAX(INDIRECT("B21:B" &amp; ROW()))-1&lt;E222,表2_36716262930389121314151617[[#This Row],[累计净值]]/MAX(INDIRECT("B21:B" &amp; ROW()))-1,E222)</f>
        <v>-1.8461815561959583E-2</v>
      </c>
      <c r="F223" s="110">
        <f>表2_36716262930389121314151617[[#This Row],[累计净值]]-0.09</f>
        <v>1.0813999999999999</v>
      </c>
      <c r="G223" s="20">
        <f>IF(表2_36716262930389121314151617[[#This Row],[累计净值]]&gt;0.9999,0.7*(表2_36716262930389121314151617[[#This Row],[累计净值]]-0.9999),表2_36716262930389121314151617[[#This Row],[累计净值]]-0.9999)</f>
        <v>0.12004999999999998</v>
      </c>
    </row>
    <row r="224" spans="1:7">
      <c r="A224" s="15">
        <v>44259</v>
      </c>
      <c r="B224" s="112">
        <v>1.1718</v>
      </c>
      <c r="C224" s="108">
        <f t="shared" ref="C224:C228" si="70">IFERROR(B224-B223,0)</f>
        <v>3.9999999999995595E-4</v>
      </c>
      <c r="D224" s="109" t="str">
        <f t="shared" ref="D224:D228" si="71">IF(C224&lt;0,C224,"/")</f>
        <v>/</v>
      </c>
      <c r="E224" s="109">
        <f ca="1">IF(表2_36716262930389121314151617[[#This Row],[累计净值]]/MAX(INDIRECT("B21:B" &amp; ROW()))-1&lt;E223,表2_36716262930389121314151617[[#This Row],[累计净值]]/MAX(INDIRECT("B21:B" &amp; ROW()))-1,E223)</f>
        <v>-1.8461815561959583E-2</v>
      </c>
      <c r="F224" s="110">
        <f>表2_36716262930389121314151617[[#This Row],[累计净值]]-0.09</f>
        <v>1.0817999999999999</v>
      </c>
      <c r="G224" s="20">
        <f>IF(表2_36716262930389121314151617[[#This Row],[累计净值]]&gt;0.9999,0.7*(表2_36716262930389121314151617[[#This Row],[累计净值]]-0.9999),表2_36716262930389121314151617[[#This Row],[累计净值]]-0.9999)</f>
        <v>0.12032999999999995</v>
      </c>
    </row>
    <row r="225" spans="1:7">
      <c r="A225" s="15">
        <v>44260</v>
      </c>
      <c r="B225" s="112">
        <v>1.1727000000000001</v>
      </c>
      <c r="C225" s="108">
        <f t="shared" si="70"/>
        <v>9.0000000000012292E-4</v>
      </c>
      <c r="D225" s="109" t="str">
        <f t="shared" si="71"/>
        <v>/</v>
      </c>
      <c r="E225" s="109">
        <f ca="1">IF(表2_36716262930389121314151617[[#This Row],[累计净值]]/MAX(INDIRECT("B21:B" &amp; ROW()))-1&lt;E224,表2_36716262930389121314151617[[#This Row],[累计净值]]/MAX(INDIRECT("B21:B" &amp; ROW()))-1,E224)</f>
        <v>-1.8461815561959583E-2</v>
      </c>
      <c r="F225" s="110">
        <f>表2_36716262930389121314151617[[#This Row],[累计净值]]-0.09</f>
        <v>1.0827</v>
      </c>
      <c r="G225" s="20">
        <f>IF(表2_36716262930389121314151617[[#This Row],[累计净值]]&gt;0.9999,0.7*(表2_36716262930389121314151617[[#This Row],[累计净值]]-0.9999),表2_36716262930389121314151617[[#This Row],[累计净值]]-0.9999)</f>
        <v>0.12096000000000004</v>
      </c>
    </row>
    <row r="226" spans="1:7">
      <c r="A226" s="15">
        <v>44263</v>
      </c>
      <c r="B226" s="112">
        <v>1.1751</v>
      </c>
      <c r="C226" s="108">
        <f t="shared" si="70"/>
        <v>2.3999999999999577E-3</v>
      </c>
      <c r="D226" s="109" t="str">
        <f t="shared" si="71"/>
        <v>/</v>
      </c>
      <c r="E226" s="109">
        <f ca="1">IF(表2_36716262930389121314151617[[#This Row],[累计净值]]/MAX(INDIRECT("B21:B" &amp; ROW()))-1&lt;E225,表2_36716262930389121314151617[[#This Row],[累计净值]]/MAX(INDIRECT("B21:B" &amp; ROW()))-1,E225)</f>
        <v>-1.8461815561959583E-2</v>
      </c>
      <c r="F226" s="110">
        <f>表2_36716262930389121314151617[[#This Row],[累计净值]]-0.09</f>
        <v>1.0851</v>
      </c>
      <c r="G226" s="20">
        <f>IF(表2_36716262930389121314151617[[#This Row],[累计净值]]&gt;0.9999,0.7*(表2_36716262930389121314151617[[#This Row],[累计净值]]-0.9999),表2_36716262930389121314151617[[#This Row],[累计净值]]-0.9999)</f>
        <v>0.12264000000000001</v>
      </c>
    </row>
    <row r="227" spans="1:7">
      <c r="A227" s="15">
        <v>44264</v>
      </c>
      <c r="B227" s="112">
        <v>1.177</v>
      </c>
      <c r="C227" s="108">
        <f t="shared" si="70"/>
        <v>1.9000000000000128E-3</v>
      </c>
      <c r="D227" s="109" t="str">
        <f t="shared" si="71"/>
        <v>/</v>
      </c>
      <c r="E227" s="109">
        <f ca="1">IF(表2_36716262930389121314151617[[#This Row],[累计净值]]/MAX(INDIRECT("B21:B" &amp; ROW()))-1&lt;E226,表2_36716262930389121314151617[[#This Row],[累计净值]]/MAX(INDIRECT("B21:B" &amp; ROW()))-1,E226)</f>
        <v>-1.8461815561959583E-2</v>
      </c>
      <c r="F227" s="110">
        <f>表2_36716262930389121314151617[[#This Row],[累计净值]]-0.09</f>
        <v>1.087</v>
      </c>
      <c r="G227" s="20">
        <f>IF(表2_36716262930389121314151617[[#This Row],[累计净值]]&gt;0.9999,0.7*(表2_36716262930389121314151617[[#This Row],[累计净值]]-0.9999),表2_36716262930389121314151617[[#This Row],[累计净值]]-0.9999)</f>
        <v>0.12397000000000001</v>
      </c>
    </row>
    <row r="228" spans="1:7">
      <c r="A228" s="15">
        <v>44265</v>
      </c>
      <c r="B228" s="112">
        <v>1.1785000000000001</v>
      </c>
      <c r="C228" s="108">
        <f t="shared" si="70"/>
        <v>1.5000000000000568E-3</v>
      </c>
      <c r="D228" s="109" t="str">
        <f t="shared" si="71"/>
        <v>/</v>
      </c>
      <c r="E228" s="109">
        <f ca="1">IF(表2_36716262930389121314151617[[#This Row],[累计净值]]/MAX(INDIRECT("B21:B" &amp; ROW()))-1&lt;E227,表2_36716262930389121314151617[[#This Row],[累计净值]]/MAX(INDIRECT("B21:B" &amp; ROW()))-1,E227)</f>
        <v>-1.8461815561959583E-2</v>
      </c>
      <c r="F228" s="110">
        <f>表2_36716262930389121314151617[[#This Row],[累计净值]]-0.09</f>
        <v>1.0885</v>
      </c>
      <c r="G228" s="20">
        <f>IF(表2_36716262930389121314151617[[#This Row],[累计净值]]&gt;0.9999,0.7*(表2_36716262930389121314151617[[#This Row],[累计净值]]-0.9999),表2_36716262930389121314151617[[#This Row],[累计净值]]-0.9999)</f>
        <v>0.12502000000000005</v>
      </c>
    </row>
    <row r="229" spans="1:7">
      <c r="A229" s="15">
        <v>44266</v>
      </c>
      <c r="B229" s="112">
        <v>1.1773</v>
      </c>
      <c r="C229" s="108">
        <f t="shared" ref="C229:C234" si="72">IFERROR(B229-B228,0)</f>
        <v>-1.2000000000000899E-3</v>
      </c>
      <c r="D229" s="109">
        <f t="shared" ref="D229:D234" si="73">IF(C229&lt;0,C229,"/")</f>
        <v>-1.2000000000000899E-3</v>
      </c>
      <c r="E229" s="109">
        <f ca="1">IF(表2_36716262930389121314151617[[#This Row],[累计净值]]/MAX(INDIRECT("B21:B" &amp; ROW()))-1&lt;E228,表2_36716262930389121314151617[[#This Row],[累计净值]]/MAX(INDIRECT("B21:B" &amp; ROW()))-1,E228)</f>
        <v>-1.8461815561959583E-2</v>
      </c>
      <c r="F229" s="110">
        <f>表2_36716262930389121314151617[[#This Row],[累计净值]]-0.09</f>
        <v>1.0872999999999999</v>
      </c>
      <c r="G229" s="20">
        <f>IF(表2_36716262930389121314151617[[#This Row],[累计净值]]&gt;0.9999,0.7*(表2_36716262930389121314151617[[#This Row],[累计净值]]-0.9999),表2_36716262930389121314151617[[#This Row],[累计净值]]-0.9999)</f>
        <v>0.12418</v>
      </c>
    </row>
    <row r="230" spans="1:7">
      <c r="A230" s="15">
        <v>44267</v>
      </c>
      <c r="B230" s="112">
        <v>1.1778</v>
      </c>
      <c r="C230" s="108">
        <f t="shared" si="72"/>
        <v>4.9999999999994493E-4</v>
      </c>
      <c r="D230" s="109" t="str">
        <f t="shared" si="73"/>
        <v>/</v>
      </c>
      <c r="E230" s="109">
        <f ca="1">IF(表2_36716262930389121314151617[[#This Row],[累计净值]]/MAX(INDIRECT("B21:B" &amp; ROW()))-1&lt;E229,表2_36716262930389121314151617[[#This Row],[累计净值]]/MAX(INDIRECT("B21:B" &amp; ROW()))-1,E229)</f>
        <v>-1.8461815561959583E-2</v>
      </c>
      <c r="F230" s="110">
        <f>表2_36716262930389121314151617[[#This Row],[累计净值]]-0.09</f>
        <v>1.0877999999999999</v>
      </c>
      <c r="G230" s="20">
        <f>IF(表2_36716262930389121314151617[[#This Row],[累计净值]]&gt;0.9999,0.7*(表2_36716262930389121314151617[[#This Row],[累计净值]]-0.9999),表2_36716262930389121314151617[[#This Row],[累计净值]]-0.9999)</f>
        <v>0.12452999999999996</v>
      </c>
    </row>
    <row r="231" spans="1:7">
      <c r="A231" s="15">
        <v>44270</v>
      </c>
      <c r="B231" s="112">
        <v>1.1818</v>
      </c>
      <c r="C231" s="108">
        <f t="shared" si="72"/>
        <v>4.0000000000000036E-3</v>
      </c>
      <c r="D231" s="109" t="str">
        <f t="shared" si="73"/>
        <v>/</v>
      </c>
      <c r="E231" s="109">
        <f ca="1">IF(表2_36716262930389121314151617[[#This Row],[累计净值]]/MAX(INDIRECT("B21:B" &amp; ROW()))-1&lt;E230,表2_36716262930389121314151617[[#This Row],[累计净值]]/MAX(INDIRECT("B21:B" &amp; ROW()))-1,E230)</f>
        <v>-1.8461815561959583E-2</v>
      </c>
      <c r="F231" s="110">
        <f>表2_36716262930389121314151617[[#This Row],[累计净值]]-0.09</f>
        <v>1.0917999999999999</v>
      </c>
      <c r="G231" s="20">
        <f>IF(表2_36716262930389121314151617[[#This Row],[累计净值]]&gt;0.9999,0.7*(表2_36716262930389121314151617[[#This Row],[累计净值]]-0.9999),表2_36716262930389121314151617[[#This Row],[累计净值]]-0.9999)</f>
        <v>0.12732999999999997</v>
      </c>
    </row>
    <row r="232" spans="1:7">
      <c r="A232" s="15">
        <v>44271</v>
      </c>
      <c r="B232" s="112">
        <v>1.1823999999999999</v>
      </c>
      <c r="C232" s="108">
        <f t="shared" si="72"/>
        <v>5.9999999999993392E-4</v>
      </c>
      <c r="D232" s="109" t="str">
        <f t="shared" si="73"/>
        <v>/</v>
      </c>
      <c r="E232" s="109">
        <f ca="1">IF(表2_36716262930389121314151617[[#This Row],[累计净值]]/MAX(INDIRECT("B21:B" &amp; ROW()))-1&lt;E231,表2_36716262930389121314151617[[#This Row],[累计净值]]/MAX(INDIRECT("B21:B" &amp; ROW()))-1,E231)</f>
        <v>-1.8461815561959583E-2</v>
      </c>
      <c r="F232" s="110">
        <f>表2_36716262930389121314151617[[#This Row],[累计净值]]-0.09</f>
        <v>1.0923999999999998</v>
      </c>
      <c r="G232" s="20">
        <f>IF(表2_36716262930389121314151617[[#This Row],[累计净值]]&gt;0.9999,0.7*(表2_36716262930389121314151617[[#This Row],[累计净值]]-0.9999),表2_36716262930389121314151617[[#This Row],[累计净值]]-0.9999)</f>
        <v>0.12774999999999992</v>
      </c>
    </row>
    <row r="233" spans="1:7">
      <c r="A233" s="15">
        <v>44272</v>
      </c>
      <c r="B233" s="112">
        <v>1.1837</v>
      </c>
      <c r="C233" s="108">
        <f t="shared" si="72"/>
        <v>1.3000000000000789E-3</v>
      </c>
      <c r="D233" s="109" t="str">
        <f t="shared" si="73"/>
        <v>/</v>
      </c>
      <c r="E233" s="109">
        <f ca="1">IF(表2_36716262930389121314151617[[#This Row],[累计净值]]/MAX(INDIRECT("B21:B" &amp; ROW()))-1&lt;E232,表2_36716262930389121314151617[[#This Row],[累计净值]]/MAX(INDIRECT("B21:B" &amp; ROW()))-1,E232)</f>
        <v>-1.8461815561959583E-2</v>
      </c>
      <c r="F233" s="110">
        <f>表2_36716262930389121314151617[[#This Row],[累计净值]]-0.09</f>
        <v>1.0936999999999999</v>
      </c>
      <c r="G233" s="20">
        <f>IF(表2_36716262930389121314151617[[#This Row],[累计净值]]&gt;0.9999,0.7*(表2_36716262930389121314151617[[#This Row],[累计净值]]-0.9999),表2_36716262930389121314151617[[#This Row],[累计净值]]-0.9999)</f>
        <v>0.12865999999999997</v>
      </c>
    </row>
    <row r="234" spans="1:7">
      <c r="A234" s="15">
        <v>44273</v>
      </c>
      <c r="B234" s="112">
        <v>1.1831</v>
      </c>
      <c r="C234" s="108">
        <f t="shared" si="72"/>
        <v>-5.9999999999993392E-4</v>
      </c>
      <c r="D234" s="109">
        <f t="shared" si="73"/>
        <v>-5.9999999999993392E-4</v>
      </c>
      <c r="E234" s="109">
        <f ca="1">IF(表2_36716262930389121314151617[[#This Row],[累计净值]]/MAX(INDIRECT("B21:B" &amp; ROW()))-1&lt;E233,表2_36716262930389121314151617[[#This Row],[累计净值]]/MAX(INDIRECT("B21:B" &amp; ROW()))-1,E233)</f>
        <v>-1.8461815561959583E-2</v>
      </c>
      <c r="F234" s="110">
        <f>表2_36716262930389121314151617[[#This Row],[累计净值]]-0.09</f>
        <v>1.0931</v>
      </c>
      <c r="G234" s="20">
        <f>IF(表2_36716262930389121314151617[[#This Row],[累计净值]]&gt;0.9999,0.7*(表2_36716262930389121314151617[[#This Row],[累计净值]]-0.9999),表2_36716262930389121314151617[[#This Row],[累计净值]]-0.9999)</f>
        <v>0.12824000000000002</v>
      </c>
    </row>
    <row r="235" spans="1:7">
      <c r="A235" s="15">
        <v>44274</v>
      </c>
      <c r="B235" s="112">
        <v>1.1851</v>
      </c>
      <c r="C235" s="108">
        <f>IFERROR(B235-B234,0)</f>
        <v>2.0000000000000018E-3</v>
      </c>
      <c r="D235" s="109" t="str">
        <f>IF(C235&lt;0,C235,"/")</f>
        <v>/</v>
      </c>
      <c r="E235" s="109">
        <f ca="1">IF(表2_36716262930389121314151617[[#This Row],[累计净值]]/MAX(INDIRECT("B21:B" &amp; ROW()))-1&lt;E234,表2_36716262930389121314151617[[#This Row],[累计净值]]/MAX(INDIRECT("B21:B" &amp; ROW()))-1,E234)</f>
        <v>-1.8461815561959583E-2</v>
      </c>
      <c r="F235" s="110">
        <f>表2_36716262930389121314151617[[#This Row],[累计净值]]-0.09</f>
        <v>1.0951</v>
      </c>
      <c r="G235" s="20">
        <f>IF(表2_36716262930389121314151617[[#This Row],[累计净值]]&gt;0.9999,0.7*(表2_36716262930389121314151617[[#This Row],[累计净值]]-0.9999),表2_36716262930389121314151617[[#This Row],[累计净值]]-0.9999)</f>
        <v>0.12964000000000001</v>
      </c>
    </row>
    <row r="236" spans="1:7">
      <c r="A236" s="15">
        <v>44277</v>
      </c>
      <c r="B236" s="112">
        <v>1.1843999999999999</v>
      </c>
      <c r="C236" s="108">
        <f>IFERROR(B236-B235,0)</f>
        <v>-7.0000000000014495E-4</v>
      </c>
      <c r="D236" s="109">
        <f>IF(C236&lt;0,C236,"/")</f>
        <v>-7.0000000000014495E-4</v>
      </c>
      <c r="E236" s="109">
        <f ca="1">IF(表2_36716262930389121314151617[[#This Row],[累计净值]]/MAX(INDIRECT("B21:B" &amp; ROW()))-1&lt;E235,表2_36716262930389121314151617[[#This Row],[累计净值]]/MAX(INDIRECT("B21:B" &amp; ROW()))-1,E235)</f>
        <v>-1.8461815561959583E-2</v>
      </c>
      <c r="F236" s="110">
        <f>表2_36716262930389121314151617[[#This Row],[累计净值]]-0.09</f>
        <v>1.0943999999999998</v>
      </c>
      <c r="G236" s="20">
        <f>IF(表2_36716262930389121314151617[[#This Row],[累计净值]]&gt;0.9999,0.7*(表2_36716262930389121314151617[[#This Row],[累计净值]]-0.9999),表2_36716262930389121314151617[[#This Row],[累计净值]]-0.9999)</f>
        <v>0.1291499999999999</v>
      </c>
    </row>
    <row r="237" spans="1:7">
      <c r="A237" s="15">
        <v>44278</v>
      </c>
      <c r="B237" s="112">
        <v>1.1839</v>
      </c>
      <c r="C237" s="108">
        <f t="shared" ref="C237:C240" si="74">IFERROR(B237-B236,0)</f>
        <v>-4.9999999999994493E-4</v>
      </c>
      <c r="D237" s="109">
        <f t="shared" ref="D237:D240" si="75">IF(C237&lt;0,C237,"/")</f>
        <v>-4.9999999999994493E-4</v>
      </c>
      <c r="E237" s="109">
        <f ca="1">IF(表2_36716262930389121314151617[[#This Row],[累计净值]]/MAX(INDIRECT("B21:B" &amp; ROW()))-1&lt;E236,表2_36716262930389121314151617[[#This Row],[累计净值]]/MAX(INDIRECT("B21:B" &amp; ROW()))-1,E236)</f>
        <v>-1.8461815561959583E-2</v>
      </c>
      <c r="F237" s="110">
        <f>表2_36716262930389121314151617[[#This Row],[累计净值]]-0.09</f>
        <v>1.0938999999999999</v>
      </c>
      <c r="G237" s="20">
        <f>IF(表2_36716262930389121314151617[[#This Row],[累计净值]]&gt;0.9999,0.7*(表2_36716262930389121314151617[[#This Row],[累计净值]]-0.9999),表2_36716262930389121314151617[[#This Row],[累计净值]]-0.9999)</f>
        <v>0.12879999999999994</v>
      </c>
    </row>
    <row r="238" spans="1:7">
      <c r="A238" s="15">
        <v>44279</v>
      </c>
      <c r="B238" s="112">
        <v>1.1832</v>
      </c>
      <c r="C238" s="108">
        <f t="shared" si="74"/>
        <v>-6.9999999999992291E-4</v>
      </c>
      <c r="D238" s="109">
        <f t="shared" si="75"/>
        <v>-6.9999999999992291E-4</v>
      </c>
      <c r="E238" s="109">
        <f ca="1">IF(表2_36716262930389121314151617[[#This Row],[累计净值]]/MAX(INDIRECT("B21:B" &amp; ROW()))-1&lt;E237,表2_36716262930389121314151617[[#This Row],[累计净值]]/MAX(INDIRECT("B21:B" &amp; ROW()))-1,E237)</f>
        <v>-1.8461815561959583E-2</v>
      </c>
      <c r="F238" s="110">
        <f>表2_36716262930389121314151617[[#This Row],[累计净值]]-0.09</f>
        <v>1.0931999999999999</v>
      </c>
      <c r="G238" s="20">
        <f>IF(表2_36716262930389121314151617[[#This Row],[累计净值]]&gt;0.9999,0.7*(表2_36716262930389121314151617[[#This Row],[累计净值]]-0.9999),表2_36716262930389121314151617[[#This Row],[累计净值]]-0.9999)</f>
        <v>0.12831000000000001</v>
      </c>
    </row>
    <row r="239" spans="1:7">
      <c r="A239" s="15">
        <v>44280</v>
      </c>
      <c r="B239" s="112">
        <v>1.1875</v>
      </c>
      <c r="C239" s="108">
        <f t="shared" si="74"/>
        <v>4.2999999999999705E-3</v>
      </c>
      <c r="D239" s="109" t="str">
        <f t="shared" si="75"/>
        <v>/</v>
      </c>
      <c r="E239" s="109">
        <f ca="1">IF(表2_36716262930389121314151617[[#This Row],[累计净值]]/MAX(INDIRECT("B21:B" &amp; ROW()))-1&lt;E238,表2_36716262930389121314151617[[#This Row],[累计净值]]/MAX(INDIRECT("B21:B" &amp; ROW()))-1,E238)</f>
        <v>-1.8461815561959583E-2</v>
      </c>
      <c r="F239" s="110">
        <f>表2_36716262930389121314151617[[#This Row],[累计净值]]-0.09</f>
        <v>1.0974999999999999</v>
      </c>
      <c r="G239" s="20">
        <f>IF(表2_36716262930389121314151617[[#This Row],[累计净值]]&gt;0.9999,0.7*(表2_36716262930389121314151617[[#This Row],[累计净值]]-0.9999),表2_36716262930389121314151617[[#This Row],[累计净值]]-0.9999)</f>
        <v>0.13131999999999999</v>
      </c>
    </row>
    <row r="240" spans="1:7">
      <c r="A240" s="15">
        <v>44281</v>
      </c>
      <c r="B240" s="112">
        <v>1.19</v>
      </c>
      <c r="C240" s="108">
        <f t="shared" si="74"/>
        <v>2.4999999999999467E-3</v>
      </c>
      <c r="D240" s="109" t="str">
        <f t="shared" si="75"/>
        <v>/</v>
      </c>
      <c r="E240" s="109">
        <f ca="1">IF(表2_36716262930389121314151617[[#This Row],[累计净值]]/MAX(INDIRECT("B21:B" &amp; ROW()))-1&lt;E239,表2_36716262930389121314151617[[#This Row],[累计净值]]/MAX(INDIRECT("B21:B" &amp; ROW()))-1,E239)</f>
        <v>-1.8461815561959583E-2</v>
      </c>
      <c r="F240" s="110">
        <f>表2_36716262930389121314151617[[#This Row],[累计净值]]-0.09</f>
        <v>1.0999999999999999</v>
      </c>
      <c r="G240" s="20">
        <f>IF(表2_36716262930389121314151617[[#This Row],[累计净值]]&gt;0.9999,0.7*(表2_36716262930389121314151617[[#This Row],[累计净值]]-0.9999),表2_36716262930389121314151617[[#This Row],[累计净值]]-0.9999)</f>
        <v>0.13306999999999994</v>
      </c>
    </row>
    <row r="241" spans="1:7">
      <c r="A241" s="15">
        <v>44284</v>
      </c>
      <c r="B241" s="112">
        <v>1.1940999999999999</v>
      </c>
      <c r="C241" s="108">
        <f t="shared" ref="C241:C246" si="76">IFERROR(B241-B240,0)</f>
        <v>4.0999999999999925E-3</v>
      </c>
      <c r="D241" s="109" t="str">
        <f t="shared" ref="D241:D246" si="77">IF(C241&lt;0,C241,"/")</f>
        <v>/</v>
      </c>
      <c r="E241" s="109">
        <f ca="1">IF(表2_36716262930389121314151617[[#This Row],[累计净值]]/MAX(INDIRECT("B21:B" &amp; ROW()))-1&lt;E240,表2_36716262930389121314151617[[#This Row],[累计净值]]/MAX(INDIRECT("B21:B" &amp; ROW()))-1,E240)</f>
        <v>-1.8461815561959583E-2</v>
      </c>
      <c r="F241" s="110">
        <f>表2_36716262930389121314151617[[#This Row],[累计净值]]-0.09</f>
        <v>1.1040999999999999</v>
      </c>
      <c r="G241" s="20">
        <f>IF(表2_36716262930389121314151617[[#This Row],[累计净值]]&gt;0.9999,0.7*(表2_36716262930389121314151617[[#This Row],[累计净值]]-0.9999),表2_36716262930389121314151617[[#This Row],[累计净值]]-0.9999)</f>
        <v>0.13593999999999995</v>
      </c>
    </row>
    <row r="242" spans="1:7">
      <c r="A242" s="15">
        <v>44285</v>
      </c>
      <c r="B242" s="112">
        <v>1.1952</v>
      </c>
      <c r="C242" s="108">
        <f t="shared" si="76"/>
        <v>1.1000000000001009E-3</v>
      </c>
      <c r="D242" s="109" t="str">
        <f t="shared" si="77"/>
        <v>/</v>
      </c>
      <c r="E242" s="109">
        <f ca="1">IF(表2_36716262930389121314151617[[#This Row],[累计净值]]/MAX(INDIRECT("B21:B" &amp; ROW()))-1&lt;E241,表2_36716262930389121314151617[[#This Row],[累计净值]]/MAX(INDIRECT("B21:B" &amp; ROW()))-1,E241)</f>
        <v>-1.8461815561959583E-2</v>
      </c>
      <c r="F242" s="110">
        <f>表2_36716262930389121314151617[[#This Row],[累计净值]]-0.09</f>
        <v>1.1052</v>
      </c>
      <c r="G242" s="20">
        <f>IF(表2_36716262930389121314151617[[#This Row],[累计净值]]&gt;0.9999,0.7*(表2_36716262930389121314151617[[#This Row],[累计净值]]-0.9999),表2_36716262930389121314151617[[#This Row],[累计净值]]-0.9999)</f>
        <v>0.13671</v>
      </c>
    </row>
    <row r="243" spans="1:7">
      <c r="A243" s="15">
        <v>44286</v>
      </c>
      <c r="B243" s="112">
        <v>1.1939</v>
      </c>
      <c r="C243" s="108">
        <f t="shared" si="76"/>
        <v>-1.3000000000000789E-3</v>
      </c>
      <c r="D243" s="109">
        <f t="shared" si="77"/>
        <v>-1.3000000000000789E-3</v>
      </c>
      <c r="E243" s="109">
        <f ca="1">IF(表2_36716262930389121314151617[[#This Row],[累计净值]]/MAX(INDIRECT("B21:B" &amp; ROW()))-1&lt;E242,表2_36716262930389121314151617[[#This Row],[累计净值]]/MAX(INDIRECT("B21:B" &amp; ROW()))-1,E242)</f>
        <v>-1.8461815561959583E-2</v>
      </c>
      <c r="F243" s="110">
        <f>表2_36716262930389121314151617[[#This Row],[累计净值]]-0.09</f>
        <v>1.1038999999999999</v>
      </c>
      <c r="G243" s="20">
        <f>IF(表2_36716262930389121314151617[[#This Row],[累计净值]]&gt;0.9999,0.7*(表2_36716262930389121314151617[[#This Row],[累计净值]]-0.9999),表2_36716262930389121314151617[[#This Row],[累计净值]]-0.9999)</f>
        <v>0.13579999999999995</v>
      </c>
    </row>
    <row r="244" spans="1:7">
      <c r="A244" s="15">
        <v>44287</v>
      </c>
      <c r="B244" s="112">
        <v>1.1953</v>
      </c>
      <c r="C244" s="108">
        <f t="shared" si="76"/>
        <v>1.4000000000000679E-3</v>
      </c>
      <c r="D244" s="109" t="str">
        <f t="shared" si="77"/>
        <v>/</v>
      </c>
      <c r="E244" s="109">
        <f ca="1">IF(表2_36716262930389121314151617[[#This Row],[累计净值]]/MAX(INDIRECT("B21:B" &amp; ROW()))-1&lt;E243,表2_36716262930389121314151617[[#This Row],[累计净值]]/MAX(INDIRECT("B21:B" &amp; ROW()))-1,E243)</f>
        <v>-1.8461815561959583E-2</v>
      </c>
      <c r="F244" s="110">
        <f>表2_36716262930389121314151617[[#This Row],[累计净值]]-0.09</f>
        <v>1.1052999999999999</v>
      </c>
      <c r="G244" s="20">
        <f>IF(表2_36716262930389121314151617[[#This Row],[累计净值]]&gt;0.9999,0.7*(表2_36716262930389121314151617[[#This Row],[累计净值]]-0.9999),表2_36716262930389121314151617[[#This Row],[累计净值]]-0.9999)</f>
        <v>0.13678000000000001</v>
      </c>
    </row>
    <row r="245" spans="1:7">
      <c r="A245" s="15">
        <v>44288</v>
      </c>
      <c r="B245" s="112">
        <v>1.1979</v>
      </c>
      <c r="C245" s="108">
        <f t="shared" si="76"/>
        <v>2.5999999999999357E-3</v>
      </c>
      <c r="D245" s="109" t="str">
        <f t="shared" si="77"/>
        <v>/</v>
      </c>
      <c r="E245" s="109">
        <f ca="1">IF(表2_36716262930389121314151617[[#This Row],[累计净值]]/MAX(INDIRECT("B21:B" &amp; ROW()))-1&lt;E244,表2_36716262930389121314151617[[#This Row],[累计净值]]/MAX(INDIRECT("B21:B" &amp; ROW()))-1,E244)</f>
        <v>-1.8461815561959583E-2</v>
      </c>
      <c r="F245" s="110">
        <f>表2_36716262930389121314151617[[#This Row],[累计净值]]-0.09</f>
        <v>1.1078999999999999</v>
      </c>
      <c r="G245" s="20">
        <f>IF(表2_36716262930389121314151617[[#This Row],[累计净值]]&gt;0.9999,0.7*(表2_36716262930389121314151617[[#This Row],[累计净值]]-0.9999),表2_36716262930389121314151617[[#This Row],[累计净值]]-0.9999)</f>
        <v>0.13859999999999995</v>
      </c>
    </row>
    <row r="246" spans="1:7">
      <c r="A246" s="15">
        <v>44292</v>
      </c>
      <c r="B246" s="112">
        <v>1.1987000000000001</v>
      </c>
      <c r="C246" s="108">
        <f t="shared" si="76"/>
        <v>8.0000000000013394E-4</v>
      </c>
      <c r="D246" s="109" t="str">
        <f t="shared" si="77"/>
        <v>/</v>
      </c>
      <c r="E246" s="109">
        <f ca="1">IF(表2_36716262930389121314151617[[#This Row],[累计净值]]/MAX(INDIRECT("B21:B" &amp; ROW()))-1&lt;E245,表2_36716262930389121314151617[[#This Row],[累计净值]]/MAX(INDIRECT("B21:B" &amp; ROW()))-1,E245)</f>
        <v>-1.8461815561959583E-2</v>
      </c>
      <c r="F246" s="110">
        <f>表2_36716262930389121314151617[[#This Row],[累计净值]]-0.09</f>
        <v>1.1087</v>
      </c>
      <c r="G246" s="20">
        <f>IF(表2_36716262930389121314151617[[#This Row],[累计净值]]&gt;0.9999,0.7*(表2_36716262930389121314151617[[#This Row],[累计净值]]-0.9999),表2_36716262930389121314151617[[#This Row],[累计净值]]-0.9999)</f>
        <v>0.13916000000000006</v>
      </c>
    </row>
    <row r="247" spans="1:7">
      <c r="A247" s="15">
        <v>44293</v>
      </c>
      <c r="B247" s="112">
        <v>1.1964999999999999</v>
      </c>
      <c r="C247" s="108">
        <f t="shared" ref="C247:C252" si="78">IFERROR(B247-B246,0)</f>
        <v>-2.2000000000002018E-3</v>
      </c>
      <c r="D247" s="109">
        <f t="shared" ref="D247:D252" si="79">IF(C247&lt;0,C247,"/")</f>
        <v>-2.2000000000002018E-3</v>
      </c>
      <c r="E247" s="109">
        <f ca="1">IF(表2_36716262930389121314151617[[#This Row],[累计净值]]/MAX(INDIRECT("B21:B" &amp; ROW()))-1&lt;E246,表2_36716262930389121314151617[[#This Row],[累计净值]]/MAX(INDIRECT("B21:B" &amp; ROW()))-1,E246)</f>
        <v>-1.8461815561959583E-2</v>
      </c>
      <c r="F247" s="110">
        <f>表2_36716262930389121314151617[[#This Row],[累计净值]]-0.09</f>
        <v>1.1064999999999998</v>
      </c>
      <c r="G247" s="20">
        <f>IF(表2_36716262930389121314151617[[#This Row],[累计净值]]&gt;0.9999,0.7*(表2_36716262930389121314151617[[#This Row],[累计净值]]-0.9999),表2_36716262930389121314151617[[#This Row],[累计净值]]-0.9999)</f>
        <v>0.13761999999999991</v>
      </c>
    </row>
    <row r="248" spans="1:7">
      <c r="A248" s="15">
        <v>44294</v>
      </c>
      <c r="B248" s="112">
        <v>1.1990000000000001</v>
      </c>
      <c r="C248" s="108">
        <f t="shared" si="78"/>
        <v>2.5000000000001688E-3</v>
      </c>
      <c r="D248" s="109" t="str">
        <f t="shared" si="79"/>
        <v>/</v>
      </c>
      <c r="E248" s="109">
        <f ca="1">IF(表2_36716262930389121314151617[[#This Row],[累计净值]]/MAX(INDIRECT("B21:B" &amp; ROW()))-1&lt;E247,表2_36716262930389121314151617[[#This Row],[累计净值]]/MAX(INDIRECT("B21:B" &amp; ROW()))-1,E247)</f>
        <v>-1.8461815561959583E-2</v>
      </c>
      <c r="F248" s="110">
        <f>表2_36716262930389121314151617[[#This Row],[累计净值]]-0.09</f>
        <v>1.109</v>
      </c>
      <c r="G248" s="20">
        <f>IF(表2_36716262930389121314151617[[#This Row],[累计净值]]&gt;0.9999,0.7*(表2_36716262930389121314151617[[#This Row],[累计净值]]-0.9999),表2_36716262930389121314151617[[#This Row],[累计净值]]-0.9999)</f>
        <v>0.13937000000000002</v>
      </c>
    </row>
    <row r="249" spans="1:7">
      <c r="A249" s="15">
        <v>44295</v>
      </c>
      <c r="B249" s="112">
        <v>1.1992</v>
      </c>
      <c r="C249" s="108">
        <f t="shared" si="78"/>
        <v>1.9999999999997797E-4</v>
      </c>
      <c r="D249" s="109" t="str">
        <f t="shared" si="79"/>
        <v>/</v>
      </c>
      <c r="E249" s="109">
        <f ca="1">IF(表2_36716262930389121314151617[[#This Row],[累计净值]]/MAX(INDIRECT("B21:B" &amp; ROW()))-1&lt;E248,表2_36716262930389121314151617[[#This Row],[累计净值]]/MAX(INDIRECT("B21:B" &amp; ROW()))-1,E248)</f>
        <v>-1.8461815561959583E-2</v>
      </c>
      <c r="F249" s="110">
        <f>表2_36716262930389121314151617[[#This Row],[累计净值]]-0.09</f>
        <v>1.1092</v>
      </c>
      <c r="G249" s="20">
        <f>IF(表2_36716262930389121314151617[[#This Row],[累计净值]]&gt;0.9999,0.7*(表2_36716262930389121314151617[[#This Row],[累计净值]]-0.9999),表2_36716262930389121314151617[[#This Row],[累计净值]]-0.9999)</f>
        <v>0.13951000000000002</v>
      </c>
    </row>
    <row r="250" spans="1:7">
      <c r="A250" s="15">
        <v>44298</v>
      </c>
      <c r="B250" s="112">
        <v>1.1983999999999999</v>
      </c>
      <c r="C250" s="108">
        <f t="shared" si="78"/>
        <v>-8.0000000000013394E-4</v>
      </c>
      <c r="D250" s="109">
        <f t="shared" si="79"/>
        <v>-8.0000000000013394E-4</v>
      </c>
      <c r="E250" s="109">
        <f ca="1">IF(表2_36716262930389121314151617[[#This Row],[累计净值]]/MAX(INDIRECT("B21:B" &amp; ROW()))-1&lt;E249,表2_36716262930389121314151617[[#This Row],[累计净值]]/MAX(INDIRECT("B21:B" &amp; ROW()))-1,E249)</f>
        <v>-1.8461815561959583E-2</v>
      </c>
      <c r="F250" s="110">
        <f>表2_36716262930389121314151617[[#This Row],[累计净值]]-0.09</f>
        <v>1.1083999999999998</v>
      </c>
      <c r="G250" s="20">
        <f>IF(表2_36716262930389121314151617[[#This Row],[累计净值]]&gt;0.9999,0.7*(表2_36716262930389121314151617[[#This Row],[累计净值]]-0.9999),表2_36716262930389121314151617[[#This Row],[累计净值]]-0.9999)</f>
        <v>0.13894999999999991</v>
      </c>
    </row>
    <row r="251" spans="1:7">
      <c r="A251" s="15">
        <v>44299</v>
      </c>
      <c r="B251" s="112">
        <v>1.1981999999999999</v>
      </c>
      <c r="C251" s="108">
        <f t="shared" si="78"/>
        <v>-1.9999999999997797E-4</v>
      </c>
      <c r="D251" s="109">
        <f t="shared" si="79"/>
        <v>-1.9999999999997797E-4</v>
      </c>
      <c r="E251" s="109">
        <f ca="1">IF(表2_36716262930389121314151617[[#This Row],[累计净值]]/MAX(INDIRECT("B21:B" &amp; ROW()))-1&lt;E250,表2_36716262930389121314151617[[#This Row],[累计净值]]/MAX(INDIRECT("B21:B" &amp; ROW()))-1,E250)</f>
        <v>-1.8461815561959583E-2</v>
      </c>
      <c r="F251" s="110">
        <f>表2_36716262930389121314151617[[#This Row],[累计净值]]-0.09</f>
        <v>1.1081999999999999</v>
      </c>
      <c r="G251" s="20">
        <f>IF(表2_36716262930389121314151617[[#This Row],[累计净值]]&gt;0.9999,0.7*(表2_36716262930389121314151617[[#This Row],[累计净值]]-0.9999),表2_36716262930389121314151617[[#This Row],[累计净值]]-0.9999)</f>
        <v>0.13880999999999993</v>
      </c>
    </row>
    <row r="252" spans="1:7">
      <c r="A252" s="15">
        <v>44300</v>
      </c>
      <c r="B252" s="112">
        <v>1.1939</v>
      </c>
      <c r="C252" s="108">
        <f t="shared" si="78"/>
        <v>-4.2999999999999705E-3</v>
      </c>
      <c r="D252" s="109">
        <f t="shared" si="79"/>
        <v>-4.2999999999999705E-3</v>
      </c>
      <c r="E252" s="109">
        <f ca="1">IF(表2_36716262930389121314151617[[#This Row],[累计净值]]/MAX(INDIRECT("B21:B" &amp; ROW()))-1&lt;E251,表2_36716262930389121314151617[[#This Row],[累计净值]]/MAX(INDIRECT("B21:B" &amp; ROW()))-1,E251)</f>
        <v>-1.8461815561959583E-2</v>
      </c>
      <c r="F252" s="110">
        <f>表2_36716262930389121314151617[[#This Row],[累计净值]]-0.09</f>
        <v>1.1038999999999999</v>
      </c>
      <c r="G252" s="20">
        <f>IF(表2_36716262930389121314151617[[#This Row],[累计净值]]&gt;0.9999,0.7*(表2_36716262930389121314151617[[#This Row],[累计净值]]-0.9999),表2_36716262930389121314151617[[#This Row],[累计净值]]-0.9999)</f>
        <v>0.13579999999999995</v>
      </c>
    </row>
    <row r="253" spans="1:7">
      <c r="A253" s="15">
        <v>44301</v>
      </c>
      <c r="B253" s="112">
        <v>1.2019</v>
      </c>
      <c r="C253" s="108">
        <f t="shared" ref="C253:C258" si="80">IFERROR(B253-B252,0)</f>
        <v>8.0000000000000071E-3</v>
      </c>
      <c r="D253" s="109" t="str">
        <f t="shared" ref="D253:D258" si="81">IF(C253&lt;0,C253,"/")</f>
        <v>/</v>
      </c>
      <c r="E253" s="109">
        <f ca="1">IF(表2_36716262930389121314151617[[#This Row],[累计净值]]/MAX(INDIRECT("B21:B" &amp; ROW()))-1&lt;E252,表2_36716262930389121314151617[[#This Row],[累计净值]]/MAX(INDIRECT("B21:B" &amp; ROW()))-1,E252)</f>
        <v>-1.8461815561959583E-2</v>
      </c>
      <c r="F253" s="110">
        <f>表2_36716262930389121314151617[[#This Row],[累计净值]]-0.09</f>
        <v>1.1118999999999999</v>
      </c>
      <c r="G253" s="20">
        <f>IF(表2_36716262930389121314151617[[#This Row],[累计净值]]&gt;0.9999,0.7*(表2_36716262930389121314151617[[#This Row],[累计净值]]-0.9999),表2_36716262930389121314151617[[#This Row],[累计净值]]-0.9999)</f>
        <v>0.14139999999999997</v>
      </c>
    </row>
    <row r="254" spans="1:7">
      <c r="A254" s="15">
        <v>44302</v>
      </c>
      <c r="B254" s="112">
        <v>1.2048000000000001</v>
      </c>
      <c r="C254" s="108">
        <f t="shared" si="80"/>
        <v>2.9000000000001247E-3</v>
      </c>
      <c r="D254" s="109" t="str">
        <f t="shared" si="81"/>
        <v>/</v>
      </c>
      <c r="E254" s="109">
        <f ca="1">IF(表2_36716262930389121314151617[[#This Row],[累计净值]]/MAX(INDIRECT("B21:B" &amp; ROW()))-1&lt;E253,表2_36716262930389121314151617[[#This Row],[累计净值]]/MAX(INDIRECT("B21:B" &amp; ROW()))-1,E253)</f>
        <v>-1.8461815561959583E-2</v>
      </c>
      <c r="F254" s="110">
        <f>表2_36716262930389121314151617[[#This Row],[累计净值]]-0.09</f>
        <v>1.1148</v>
      </c>
      <c r="G254" s="20">
        <f>IF(表2_36716262930389121314151617[[#This Row],[累计净值]]&gt;0.9999,0.7*(表2_36716262930389121314151617[[#This Row],[累计净值]]-0.9999),表2_36716262930389121314151617[[#This Row],[累计净值]]-0.9999)</f>
        <v>0.14343000000000006</v>
      </c>
    </row>
    <row r="255" spans="1:7">
      <c r="A255" s="15">
        <v>44305</v>
      </c>
      <c r="B255" s="112">
        <v>1.2059</v>
      </c>
      <c r="C255" s="108">
        <f t="shared" si="80"/>
        <v>1.0999999999998789E-3</v>
      </c>
      <c r="D255" s="109" t="str">
        <f t="shared" si="81"/>
        <v>/</v>
      </c>
      <c r="E255" s="109">
        <f ca="1">IF(表2_36716262930389121314151617[[#This Row],[累计净值]]/MAX(INDIRECT("B21:B" &amp; ROW()))-1&lt;E254,表2_36716262930389121314151617[[#This Row],[累计净值]]/MAX(INDIRECT("B21:B" &amp; ROW()))-1,E254)</f>
        <v>-1.8461815561959583E-2</v>
      </c>
      <c r="F255" s="110">
        <f>表2_36716262930389121314151617[[#This Row],[累计净值]]-0.09</f>
        <v>1.1158999999999999</v>
      </c>
      <c r="G255" s="20">
        <f>IF(表2_36716262930389121314151617[[#This Row],[累计净值]]&gt;0.9999,0.7*(表2_36716262930389121314151617[[#This Row],[累计净值]]-0.9999),表2_36716262930389121314151617[[#This Row],[累计净值]]-0.9999)</f>
        <v>0.14419999999999997</v>
      </c>
    </row>
    <row r="256" spans="1:7">
      <c r="A256" s="15">
        <v>44306</v>
      </c>
      <c r="B256" s="112">
        <v>1.206</v>
      </c>
      <c r="C256" s="108">
        <f t="shared" si="80"/>
        <v>9.9999999999988987E-5</v>
      </c>
      <c r="D256" s="109" t="str">
        <f t="shared" si="81"/>
        <v>/</v>
      </c>
      <c r="E256" s="109">
        <f ca="1">IF(表2_36716262930389121314151617[[#This Row],[累计净值]]/MAX(INDIRECT("B21:B" &amp; ROW()))-1&lt;E255,表2_36716262930389121314151617[[#This Row],[累计净值]]/MAX(INDIRECT("B21:B" &amp; ROW()))-1,E255)</f>
        <v>-1.8461815561959583E-2</v>
      </c>
      <c r="F256" s="110">
        <f>表2_36716262930389121314151617[[#This Row],[累计净值]]-0.09</f>
        <v>1.1159999999999999</v>
      </c>
      <c r="G256" s="20">
        <f>IF(表2_36716262930389121314151617[[#This Row],[累计净值]]&gt;0.9999,0.7*(表2_36716262930389121314151617[[#This Row],[累计净值]]-0.9999),表2_36716262930389121314151617[[#This Row],[累计净值]]-0.9999)</f>
        <v>0.14426999999999995</v>
      </c>
    </row>
    <row r="257" spans="1:7">
      <c r="A257" s="15">
        <v>44307</v>
      </c>
      <c r="B257" s="112">
        <v>1.2054</v>
      </c>
      <c r="C257" s="108">
        <f t="shared" si="80"/>
        <v>-5.9999999999993392E-4</v>
      </c>
      <c r="D257" s="109">
        <f t="shared" si="81"/>
        <v>-5.9999999999993392E-4</v>
      </c>
      <c r="E257" s="109">
        <f ca="1">IF(表2_36716262930389121314151617[[#This Row],[累计净值]]/MAX(INDIRECT("B21:B" &amp; ROW()))-1&lt;E256,表2_36716262930389121314151617[[#This Row],[累计净值]]/MAX(INDIRECT("B21:B" &amp; ROW()))-1,E256)</f>
        <v>-1.8461815561959583E-2</v>
      </c>
      <c r="F257" s="110">
        <f>表2_36716262930389121314151617[[#This Row],[累计净值]]-0.09</f>
        <v>1.1153999999999999</v>
      </c>
      <c r="G257" s="20">
        <f>IF(表2_36716262930389121314151617[[#This Row],[累计净值]]&gt;0.9999,0.7*(表2_36716262930389121314151617[[#This Row],[累计净值]]-0.9999),表2_36716262930389121314151617[[#This Row],[累计净值]]-0.9999)</f>
        <v>0.14385000000000001</v>
      </c>
    </row>
    <row r="258" spans="1:7">
      <c r="A258" s="15">
        <v>44308</v>
      </c>
      <c r="B258" s="112">
        <v>1.2047000000000001</v>
      </c>
      <c r="C258" s="108">
        <f t="shared" si="80"/>
        <v>-6.9999999999992291E-4</v>
      </c>
      <c r="D258" s="109">
        <f t="shared" si="81"/>
        <v>-6.9999999999992291E-4</v>
      </c>
      <c r="E258" s="109">
        <f ca="1">IF(表2_36716262930389121314151617[[#This Row],[累计净值]]/MAX(INDIRECT("B21:B" &amp; ROW()))-1&lt;E257,表2_36716262930389121314151617[[#This Row],[累计净值]]/MAX(INDIRECT("B21:B" &amp; ROW()))-1,E257)</f>
        <v>-1.8461815561959583E-2</v>
      </c>
      <c r="F258" s="110">
        <f>表2_36716262930389121314151617[[#This Row],[累计净值]]-0.09</f>
        <v>1.1147</v>
      </c>
      <c r="G258" s="20">
        <f>IF(表2_36716262930389121314151617[[#This Row],[累计净值]]&gt;0.9999,0.7*(表2_36716262930389121314151617[[#This Row],[累计净值]]-0.9999),表2_36716262930389121314151617[[#This Row],[累计净值]]-0.9999)</f>
        <v>0.14336000000000004</v>
      </c>
    </row>
    <row r="259" spans="1:7">
      <c r="A259" s="15">
        <v>44309</v>
      </c>
      <c r="B259" s="112">
        <v>1.2056</v>
      </c>
      <c r="C259" s="108">
        <f t="shared" ref="C259:C260" si="82">IFERROR(B259-B258,0)</f>
        <v>8.9999999999990088E-4</v>
      </c>
      <c r="D259" s="109" t="str">
        <f t="shared" ref="D259:D260" si="83">IF(C259&lt;0,C259,"/")</f>
        <v>/</v>
      </c>
      <c r="E259" s="109">
        <f ca="1">IF(表2_36716262930389121314151617[[#This Row],[累计净值]]/MAX(INDIRECT("B21:B" &amp; ROW()))-1&lt;E258,表2_36716262930389121314151617[[#This Row],[累计净值]]/MAX(INDIRECT("B21:B" &amp; ROW()))-1,E258)</f>
        <v>-1.8461815561959583E-2</v>
      </c>
      <c r="F259" s="110">
        <f>表2_36716262930389121314151617[[#This Row],[累计净值]]-0.09</f>
        <v>1.1155999999999999</v>
      </c>
      <c r="G259" s="20">
        <f>IF(表2_36716262930389121314151617[[#This Row],[累计净值]]&gt;0.9999,0.7*(表2_36716262930389121314151617[[#This Row],[累计净值]]-0.9999),表2_36716262930389121314151617[[#This Row],[累计净值]]-0.9999)</f>
        <v>0.14398999999999998</v>
      </c>
    </row>
    <row r="260" spans="1:7">
      <c r="A260" s="15">
        <v>44312</v>
      </c>
      <c r="B260" s="112">
        <v>1.2084999999999999</v>
      </c>
      <c r="C260" s="108">
        <f t="shared" si="82"/>
        <v>2.8999999999999027E-3</v>
      </c>
      <c r="D260" s="109" t="str">
        <f t="shared" si="83"/>
        <v>/</v>
      </c>
      <c r="E260" s="109">
        <f ca="1">IF(表2_36716262930389121314151617[[#This Row],[累计净值]]/MAX(INDIRECT("B21:B" &amp; ROW()))-1&lt;E259,表2_36716262930389121314151617[[#This Row],[累计净值]]/MAX(INDIRECT("B21:B" &amp; ROW()))-1,E259)</f>
        <v>-1.8461815561959583E-2</v>
      </c>
      <c r="F260" s="110">
        <f>表2_36716262930389121314151617[[#This Row],[累计净值]]-0.09</f>
        <v>1.1184999999999998</v>
      </c>
      <c r="G260" s="20">
        <f>IF(表2_36716262930389121314151617[[#This Row],[累计净值]]&gt;0.9999,0.7*(表2_36716262930389121314151617[[#This Row],[累计净值]]-0.9999),表2_36716262930389121314151617[[#This Row],[累计净值]]-0.9999)</f>
        <v>0.14601999999999993</v>
      </c>
    </row>
    <row r="261" spans="1:7">
      <c r="A261" s="15">
        <v>44313</v>
      </c>
      <c r="B261" s="112">
        <v>1.2076</v>
      </c>
      <c r="C261" s="108">
        <f>IFERROR(B261-B260,0)</f>
        <v>-8.9999999999990088E-4</v>
      </c>
      <c r="D261" s="109">
        <f>IF(C261&lt;0,C261,"/")</f>
        <v>-8.9999999999990088E-4</v>
      </c>
      <c r="E261" s="109">
        <f ca="1">IF(表2_36716262930389121314151617[[#This Row],[累计净值]]/MAX(INDIRECT("B21:B" &amp; ROW()))-1&lt;E260,表2_36716262930389121314151617[[#This Row],[累计净值]]/MAX(INDIRECT("B21:B" &amp; ROW()))-1,E260)</f>
        <v>-1.8461815561959583E-2</v>
      </c>
      <c r="F261" s="110">
        <f>表2_36716262930389121314151617[[#This Row],[累计净值]]-0.09</f>
        <v>1.1175999999999999</v>
      </c>
      <c r="G261" s="20">
        <f>IF(表2_36716262930389121314151617[[#This Row],[累计净值]]&gt;0.9999,0.7*(表2_36716262930389121314151617[[#This Row],[累计净值]]-0.9999),表2_36716262930389121314151617[[#This Row],[累计净值]]-0.9999)</f>
        <v>0.14538999999999999</v>
      </c>
    </row>
    <row r="262" spans="1:7">
      <c r="A262" s="15">
        <v>44314</v>
      </c>
      <c r="B262" s="112">
        <v>1.2083999999999999</v>
      </c>
      <c r="C262" s="108">
        <f>IFERROR(B262-B261,0)</f>
        <v>7.9999999999991189E-4</v>
      </c>
      <c r="D262" s="109" t="str">
        <f>IF(C262&lt;0,C262,"/")</f>
        <v>/</v>
      </c>
      <c r="E262" s="109">
        <f ca="1">IF(表2_36716262930389121314151617[[#This Row],[累计净值]]/MAX(INDIRECT("B21:B" &amp; ROW()))-1&lt;E261,表2_36716262930389121314151617[[#This Row],[累计净值]]/MAX(INDIRECT("B21:B" &amp; ROW()))-1,E261)</f>
        <v>-1.8461815561959583E-2</v>
      </c>
      <c r="F262" s="110">
        <f>表2_36716262930389121314151617[[#This Row],[累计净值]]-0.09</f>
        <v>1.1183999999999998</v>
      </c>
      <c r="G262" s="20">
        <f>IF(表2_36716262930389121314151617[[#This Row],[累计净值]]&gt;0.9999,0.7*(表2_36716262930389121314151617[[#This Row],[累计净值]]-0.9999),表2_36716262930389121314151617[[#This Row],[累计净值]]-0.9999)</f>
        <v>0.14594999999999991</v>
      </c>
    </row>
    <row r="263" spans="1:7">
      <c r="A263" s="15">
        <v>44315</v>
      </c>
      <c r="B263" s="162">
        <v>1.2085999999999999</v>
      </c>
      <c r="C263" s="108">
        <f t="shared" ref="C263:C265" si="84">IFERROR(B263-B262,0)</f>
        <v>1.9999999999997797E-4</v>
      </c>
      <c r="D263" s="109" t="str">
        <f t="shared" ref="D263:D265" si="85">IF(C263&lt;0,C263,"/")</f>
        <v>/</v>
      </c>
      <c r="E263" s="109">
        <f ca="1">IF(表2_36716262930389121314151617[[#This Row],[累计净值]]/MAX(INDIRECT("B21:B" &amp; ROW()))-1&lt;E262,表2_36716262930389121314151617[[#This Row],[累计净值]]/MAX(INDIRECT("B21:B" &amp; ROW()))-1,E262)</f>
        <v>-1.8461815561959583E-2</v>
      </c>
      <c r="F263" s="110">
        <f>表2_36716262930389121314151617[[#This Row],[累计净值]]-0.09</f>
        <v>1.1185999999999998</v>
      </c>
      <c r="G263" s="20">
        <f>IF(表2_36716262930389121314151617[[#This Row],[累计净值]]&gt;0.9999,0.7*(表2_36716262930389121314151617[[#This Row],[累计净值]]-0.9999),表2_36716262930389121314151617[[#This Row],[累计净值]]-0.9999)</f>
        <v>0.14608999999999991</v>
      </c>
    </row>
    <row r="264" spans="1:7">
      <c r="A264" s="15">
        <v>44316</v>
      </c>
      <c r="B264" s="162">
        <v>1.206</v>
      </c>
      <c r="C264" s="108">
        <f t="shared" si="84"/>
        <v>-2.5999999999999357E-3</v>
      </c>
      <c r="D264" s="109">
        <f t="shared" si="85"/>
        <v>-2.5999999999999357E-3</v>
      </c>
      <c r="E264" s="109">
        <f ca="1">IF(表2_36716262930389121314151617[[#This Row],[累计净值]]/MAX(INDIRECT("B21:B" &amp; ROW()))-1&lt;E263,表2_36716262930389121314151617[[#This Row],[累计净值]]/MAX(INDIRECT("B21:B" &amp; ROW()))-1,E263)</f>
        <v>-1.8461815561959583E-2</v>
      </c>
      <c r="F264" s="110">
        <f>表2_36716262930389121314151617[[#This Row],[累计净值]]-0.09</f>
        <v>1.1159999999999999</v>
      </c>
      <c r="G264" s="20">
        <f>IF(表2_36716262930389121314151617[[#This Row],[累计净值]]&gt;0.9999,0.7*(表2_36716262930389121314151617[[#This Row],[累计净值]]-0.9999),表2_36716262930389121314151617[[#This Row],[累计净值]]-0.9999)</f>
        <v>0.14426999999999995</v>
      </c>
    </row>
    <row r="265" spans="1:7">
      <c r="A265" s="15">
        <v>44322</v>
      </c>
      <c r="B265" s="112">
        <v>1.2063999999999999</v>
      </c>
      <c r="C265" s="108">
        <f t="shared" si="84"/>
        <v>3.9999999999995595E-4</v>
      </c>
      <c r="D265" s="109" t="str">
        <f t="shared" si="85"/>
        <v>/</v>
      </c>
      <c r="E265" s="109">
        <f ca="1">IF(表2_36716262930389121314151617[[#This Row],[累计净值]]/MAX(INDIRECT("B21:B" &amp; ROW()))-1&lt;E264,表2_36716262930389121314151617[[#This Row],[累计净值]]/MAX(INDIRECT("B21:B" &amp; ROW()))-1,E264)</f>
        <v>-1.8461815561959583E-2</v>
      </c>
      <c r="F265" s="110">
        <f>表2_36716262930389121314151617[[#This Row],[累计净值]]-0.09</f>
        <v>1.1163999999999998</v>
      </c>
      <c r="G265" s="20">
        <f>IF(表2_36716262930389121314151617[[#This Row],[累计净值]]&gt;0.9999,0.7*(表2_36716262930389121314151617[[#This Row],[累计净值]]-0.9999),表2_36716262930389121314151617[[#This Row],[累计净值]]-0.9999)</f>
        <v>0.14454999999999993</v>
      </c>
    </row>
    <row r="266" spans="1:7">
      <c r="A266" s="15">
        <v>44323</v>
      </c>
      <c r="B266" s="112">
        <v>1.2074</v>
      </c>
      <c r="C266" s="108">
        <f t="shared" ref="C266:C271" si="86">IFERROR(B266-B265,0)</f>
        <v>1.0000000000001119E-3</v>
      </c>
      <c r="D266" s="109" t="str">
        <f t="shared" ref="D266:D271" si="87">IF(C266&lt;0,C266,"/")</f>
        <v>/</v>
      </c>
      <c r="E266" s="109">
        <f ca="1">IF(表2_36716262930389121314151617[[#This Row],[累计净值]]/MAX(INDIRECT("B21:B" &amp; ROW()))-1&lt;E265,表2_36716262930389121314151617[[#This Row],[累计净值]]/MAX(INDIRECT("B21:B" &amp; ROW()))-1,E265)</f>
        <v>-1.8461815561959583E-2</v>
      </c>
      <c r="F266" s="110">
        <f>表2_36716262930389121314151617[[#This Row],[累计净值]]-0.09</f>
        <v>1.1173999999999999</v>
      </c>
      <c r="G266" s="20">
        <f>IF(表2_36716262930389121314151617[[#This Row],[累计净值]]&gt;0.9999,0.7*(表2_36716262930389121314151617[[#This Row],[累计净值]]-0.9999),表2_36716262930389121314151617[[#This Row],[累计净值]]-0.9999)</f>
        <v>0.14524999999999999</v>
      </c>
    </row>
    <row r="267" spans="1:7">
      <c r="A267" s="15">
        <v>44326</v>
      </c>
      <c r="B267" s="112">
        <v>1.2081</v>
      </c>
      <c r="C267" s="108">
        <f t="shared" si="86"/>
        <v>6.9999999999992291E-4</v>
      </c>
      <c r="D267" s="109" t="str">
        <f t="shared" si="87"/>
        <v>/</v>
      </c>
      <c r="E267" s="109">
        <f ca="1">IF(表2_36716262930389121314151617[[#This Row],[累计净值]]/MAX(INDIRECT("B21:B" &amp; ROW()))-1&lt;E266,表2_36716262930389121314151617[[#This Row],[累计净值]]/MAX(INDIRECT("B21:B" &amp; ROW()))-1,E266)</f>
        <v>-1.8461815561959583E-2</v>
      </c>
      <c r="F267" s="110">
        <f>表2_36716262930389121314151617[[#This Row],[累计净值]]-0.09</f>
        <v>1.1180999999999999</v>
      </c>
      <c r="G267" s="20">
        <f>IF(表2_36716262930389121314151617[[#This Row],[累计净值]]&gt;0.9999,0.7*(表2_36716262930389121314151617[[#This Row],[累计净值]]-0.9999),表2_36716262930389121314151617[[#This Row],[累计净值]]-0.9999)</f>
        <v>0.14573999999999995</v>
      </c>
    </row>
    <row r="268" spans="1:7">
      <c r="A268" s="15">
        <v>44327</v>
      </c>
      <c r="B268" s="112">
        <v>1.2093</v>
      </c>
      <c r="C268" s="108">
        <f t="shared" si="86"/>
        <v>1.2000000000000899E-3</v>
      </c>
      <c r="D268" s="109" t="str">
        <f t="shared" si="87"/>
        <v>/</v>
      </c>
      <c r="E268" s="109">
        <f ca="1">IF(表2_36716262930389121314151617[[#This Row],[累计净值]]/MAX(INDIRECT("B21:B" &amp; ROW()))-1&lt;E267,表2_36716262930389121314151617[[#This Row],[累计净值]]/MAX(INDIRECT("B21:B" &amp; ROW()))-1,E267)</f>
        <v>-1.8461815561959583E-2</v>
      </c>
      <c r="F268" s="110">
        <f>表2_36716262930389121314151617[[#This Row],[累计净值]]-0.09</f>
        <v>1.1193</v>
      </c>
      <c r="G268" s="20">
        <f>IF(表2_36716262930389121314151617[[#This Row],[累计净值]]&gt;0.9999,0.7*(表2_36716262930389121314151617[[#This Row],[累计净值]]-0.9999),表2_36716262930389121314151617[[#This Row],[累计净值]]-0.9999)</f>
        <v>0.14658000000000002</v>
      </c>
    </row>
    <row r="269" spans="1:7">
      <c r="A269" s="15">
        <v>44328</v>
      </c>
      <c r="B269" s="112">
        <v>1.2109000000000001</v>
      </c>
      <c r="C269" s="108">
        <f t="shared" si="86"/>
        <v>1.6000000000000458E-3</v>
      </c>
      <c r="D269" s="109" t="str">
        <f t="shared" si="87"/>
        <v>/</v>
      </c>
      <c r="E269" s="109">
        <f ca="1">IF(表2_36716262930389121314151617[[#This Row],[累计净值]]/MAX(INDIRECT("B21:B" &amp; ROW()))-1&lt;E268,表2_36716262930389121314151617[[#This Row],[累计净值]]/MAX(INDIRECT("B21:B" &amp; ROW()))-1,E268)</f>
        <v>-1.8461815561959583E-2</v>
      </c>
      <c r="F269" s="110">
        <f>表2_36716262930389121314151617[[#This Row],[累计净值]]-0.09</f>
        <v>1.1209</v>
      </c>
      <c r="G269" s="20">
        <f>IF(表2_36716262930389121314151617[[#This Row],[累计净值]]&gt;0.9999,0.7*(表2_36716262930389121314151617[[#This Row],[累计净值]]-0.9999),表2_36716262930389121314151617[[#This Row],[累计净值]]-0.9999)</f>
        <v>0.14770000000000005</v>
      </c>
    </row>
    <row r="270" spans="1:7">
      <c r="A270" s="15">
        <v>44329</v>
      </c>
      <c r="B270" s="112">
        <v>1.2129000000000001</v>
      </c>
      <c r="C270" s="108">
        <f t="shared" si="86"/>
        <v>2.0000000000000018E-3</v>
      </c>
      <c r="D270" s="109" t="str">
        <f t="shared" si="87"/>
        <v>/</v>
      </c>
      <c r="E270" s="109">
        <f ca="1">IF(表2_36716262930389121314151617[[#This Row],[累计净值]]/MAX(INDIRECT("B21:B" &amp; ROW()))-1&lt;E269,表2_36716262930389121314151617[[#This Row],[累计净值]]/MAX(INDIRECT("B21:B" &amp; ROW()))-1,E269)</f>
        <v>-1.8461815561959583E-2</v>
      </c>
      <c r="F270" s="110">
        <f>表2_36716262930389121314151617[[#This Row],[累计净值]]-0.09</f>
        <v>1.1229</v>
      </c>
      <c r="G270" s="20">
        <f>IF(表2_36716262930389121314151617[[#This Row],[累计净值]]&gt;0.9999,0.7*(表2_36716262930389121314151617[[#This Row],[累计净值]]-0.9999),表2_36716262930389121314151617[[#This Row],[累计净值]]-0.9999)</f>
        <v>0.14910000000000004</v>
      </c>
    </row>
    <row r="271" spans="1:7">
      <c r="A271" s="15">
        <v>44330</v>
      </c>
      <c r="B271" s="112">
        <v>1.2143999999999999</v>
      </c>
      <c r="C271" s="108">
        <f t="shared" si="86"/>
        <v>1.4999999999998348E-3</v>
      </c>
      <c r="D271" s="109" t="str">
        <f t="shared" si="87"/>
        <v>/</v>
      </c>
      <c r="E271" s="109">
        <f ca="1">IF(表2_36716262930389121314151617[[#This Row],[累计净值]]/MAX(INDIRECT("B21:B" &amp; ROW()))-1&lt;E270,表2_36716262930389121314151617[[#This Row],[累计净值]]/MAX(INDIRECT("B21:B" &amp; ROW()))-1,E270)</f>
        <v>-1.8461815561959583E-2</v>
      </c>
      <c r="F271" s="110">
        <f>表2_36716262930389121314151617[[#This Row],[累计净值]]-0.09</f>
        <v>1.1243999999999998</v>
      </c>
      <c r="G271" s="20">
        <f>IF(表2_36716262930389121314151617[[#This Row],[累计净值]]&gt;0.9999,0.7*(表2_36716262930389121314151617[[#This Row],[累计净值]]-0.9999),表2_36716262930389121314151617[[#This Row],[累计净值]]-0.9999)</f>
        <v>0.15014999999999992</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391"/>
  <sheetViews>
    <sheetView workbookViewId="0">
      <pane xSplit="1" ySplit="20" topLeftCell="B374" activePane="bottomRight" state="frozen"/>
      <selection pane="topRight" activeCell="B1" sqref="B1"/>
      <selection pane="bottomLeft" activeCell="A21" sqref="A21"/>
      <selection pane="bottomRight" activeCell="J389" sqref="J389"/>
    </sheetView>
  </sheetViews>
  <sheetFormatPr baseColWidth="10" defaultColWidth="9" defaultRowHeight="15"/>
  <cols>
    <col min="1" max="1" width="11.6640625" style="120" bestFit="1" customWidth="1"/>
    <col min="2" max="2" width="13" style="120" customWidth="1"/>
    <col min="3" max="4" width="13.5" style="120" bestFit="1" customWidth="1"/>
    <col min="5" max="5" width="10.1640625" style="120" customWidth="1"/>
    <col min="6" max="6" width="11.1640625" style="120" customWidth="1"/>
    <col min="7" max="7" width="18.83203125" style="121" customWidth="1"/>
    <col min="8" max="8" width="9" style="120"/>
    <col min="9" max="9" width="12" style="120" bestFit="1" customWidth="1"/>
    <col min="10" max="16384" width="9" style="120"/>
  </cols>
  <sheetData>
    <row r="1" spans="1:7" ht="16" thickBot="1"/>
    <row r="2" spans="1:7" ht="16" thickBot="1">
      <c r="A2" s="122" t="s">
        <v>0</v>
      </c>
      <c r="B2" s="123">
        <f>COUNT(表2_367162629303421[每日盈亏])</f>
        <v>371</v>
      </c>
      <c r="C2" s="124"/>
      <c r="D2" s="125" t="s">
        <v>1</v>
      </c>
      <c r="E2" s="126"/>
      <c r="F2" s="136" t="s">
        <v>2</v>
      </c>
      <c r="G2" s="401" t="s">
        <v>3</v>
      </c>
    </row>
    <row r="3" spans="1:7">
      <c r="A3" s="127" t="s">
        <v>4</v>
      </c>
      <c r="B3" s="128">
        <f>COUNTIF(表2_367162629303421[每日盈亏],"&gt;0")</f>
        <v>189</v>
      </c>
      <c r="C3" s="129"/>
      <c r="D3" s="130" t="s">
        <v>5</v>
      </c>
      <c r="E3" s="131">
        <f>245^0.5*(B10-0.025/365)/E10</f>
        <v>3.5376084997435342</v>
      </c>
      <c r="F3" s="136"/>
      <c r="G3" s="401"/>
    </row>
    <row r="4" spans="1:7">
      <c r="A4" s="127" t="s">
        <v>6</v>
      </c>
      <c r="B4" s="128">
        <f>COUNTIF(表2_367162629303421[每日盈亏],"&lt;0")</f>
        <v>99</v>
      </c>
      <c r="C4" s="129"/>
      <c r="D4" s="132" t="s">
        <v>7</v>
      </c>
      <c r="E4" s="131">
        <f ca="1">-B9/E8</f>
        <v>8.5783347413874029</v>
      </c>
      <c r="F4" s="136"/>
      <c r="G4" s="121">
        <f>LOOKUP(999^10,表2_367162629303421[累计净值])</f>
        <v>1.2150000000000001</v>
      </c>
    </row>
    <row r="5" spans="1:7">
      <c r="A5" s="127" t="s">
        <v>8</v>
      </c>
      <c r="B5" s="128">
        <f>B2-B3-B4</f>
        <v>83</v>
      </c>
      <c r="C5" s="129"/>
      <c r="D5" s="133" t="s">
        <v>9</v>
      </c>
      <c r="E5" s="134">
        <f>245^0.5*(B10-0.025/365)/E9</f>
        <v>5.6418847080597656</v>
      </c>
      <c r="F5" s="136"/>
    </row>
    <row r="6" spans="1:7" ht="16" thickBot="1">
      <c r="A6" s="135"/>
      <c r="B6" s="136"/>
      <c r="C6" s="136"/>
      <c r="D6" s="136"/>
      <c r="E6" s="137"/>
      <c r="F6" s="136"/>
    </row>
    <row r="7" spans="1:7" ht="16" thickBot="1">
      <c r="A7" s="138" t="s">
        <v>10</v>
      </c>
      <c r="B7" s="136"/>
      <c r="C7" s="136"/>
      <c r="D7" s="125" t="s">
        <v>11</v>
      </c>
      <c r="E7" s="139"/>
      <c r="F7" s="136"/>
    </row>
    <row r="8" spans="1:7">
      <c r="A8" s="140" t="s">
        <v>12</v>
      </c>
      <c r="B8" s="141">
        <f>LOOKUP(999^10,表2_367162629303421[累计净值])/$B$21-1</f>
        <v>0.20895522388059717</v>
      </c>
      <c r="C8" s="142"/>
      <c r="D8" s="130" t="s">
        <v>13</v>
      </c>
      <c r="E8" s="143">
        <f ca="1">MIN(表2_367162629303421[最大回撤])</f>
        <v>-1.6085790884718509E-2</v>
      </c>
      <c r="F8" s="136"/>
    </row>
    <row r="9" spans="1:7">
      <c r="A9" s="127" t="s">
        <v>14</v>
      </c>
      <c r="B9" s="132">
        <f>B8*245/B2</f>
        <v>0.13798929878907359</v>
      </c>
      <c r="C9" s="142"/>
      <c r="D9" s="133" t="s">
        <v>15</v>
      </c>
      <c r="E9" s="144">
        <f>STDEV(表2_367162629303421[下跌幅度])</f>
        <v>1.3803551477615428E-3</v>
      </c>
      <c r="F9" s="136"/>
    </row>
    <row r="10" spans="1:7">
      <c r="A10" s="145" t="s">
        <v>16</v>
      </c>
      <c r="B10" s="146">
        <f>AVERAGE(表2_367162629303421[每日盈亏])</f>
        <v>5.6603773584905706E-4</v>
      </c>
      <c r="C10" s="147"/>
      <c r="D10" s="133" t="s">
        <v>17</v>
      </c>
      <c r="E10" s="144">
        <f>STDEV(表2_367162629303421[每日盈亏])</f>
        <v>2.2014320127317702E-3</v>
      </c>
      <c r="F10" s="136"/>
    </row>
    <row r="11" spans="1:7">
      <c r="A11" s="148" t="s">
        <v>18</v>
      </c>
      <c r="B11" s="132">
        <f>B3/B2</f>
        <v>0.50943396226415094</v>
      </c>
      <c r="C11" s="142"/>
      <c r="D11" s="132" t="s">
        <v>19</v>
      </c>
      <c r="E11" s="143">
        <f>245^0.5*E10</f>
        <v>3.4457861398186948E-2</v>
      </c>
      <c r="F11" s="136"/>
    </row>
    <row r="12" spans="1:7" ht="16" thickBot="1">
      <c r="A12" s="149" t="s">
        <v>20</v>
      </c>
      <c r="B12" s="150">
        <f>-(SUMIF(表2_367162629303421[每日盈亏],"&gt;=0")/B3)/(SUMIF(表2_367162629303421[每日盈亏],"&lt;0")/B4)</f>
        <v>1.1249024199843922</v>
      </c>
      <c r="C12" s="151"/>
      <c r="D12" s="152"/>
      <c r="E12" s="153"/>
      <c r="F12" s="136"/>
    </row>
    <row r="13" spans="1:7">
      <c r="A13" s="136"/>
      <c r="B13" s="136"/>
      <c r="C13" s="136"/>
      <c r="D13" s="136"/>
      <c r="E13" s="136"/>
      <c r="F13" s="136"/>
    </row>
    <row r="14" spans="1:7" ht="32">
      <c r="A14" s="154" t="s">
        <v>21</v>
      </c>
      <c r="B14" s="154" t="s">
        <v>14</v>
      </c>
      <c r="C14" s="155" t="s">
        <v>19</v>
      </c>
      <c r="D14" s="155" t="s">
        <v>13</v>
      </c>
      <c r="E14" s="155" t="s">
        <v>5</v>
      </c>
      <c r="F14" s="155" t="s">
        <v>7</v>
      </c>
    </row>
    <row r="15" spans="1:7">
      <c r="A15" s="156">
        <f>B2</f>
        <v>371</v>
      </c>
      <c r="B15" s="157">
        <f>B9</f>
        <v>0.13798929878907359</v>
      </c>
      <c r="C15" s="157">
        <f>E11</f>
        <v>3.4457861398186948E-2</v>
      </c>
      <c r="D15" s="157">
        <f ca="1">E8</f>
        <v>-1.6085790884718509E-2</v>
      </c>
      <c r="E15" s="158">
        <f>E3</f>
        <v>3.5376084997435342</v>
      </c>
      <c r="F15" s="158">
        <f ca="1">E4</f>
        <v>8.5783347413874029</v>
      </c>
    </row>
    <row r="19" spans="1:8">
      <c r="A19" s="159"/>
      <c r="B19" s="120" t="s">
        <v>22</v>
      </c>
    </row>
    <row r="20" spans="1:8" ht="16">
      <c r="A20" s="160" t="s">
        <v>23</v>
      </c>
      <c r="B20" s="160" t="s">
        <v>24</v>
      </c>
      <c r="C20" s="160" t="s">
        <v>25</v>
      </c>
      <c r="D20" s="160" t="s">
        <v>26</v>
      </c>
      <c r="E20" s="160" t="s">
        <v>27</v>
      </c>
      <c r="F20" s="160" t="s">
        <v>28</v>
      </c>
      <c r="G20" s="160" t="s">
        <v>29</v>
      </c>
      <c r="H20" s="160" t="s">
        <v>36</v>
      </c>
    </row>
    <row r="21" spans="1:8">
      <c r="A21" s="161">
        <v>43774</v>
      </c>
      <c r="B21" s="174">
        <v>1.0049999999999999</v>
      </c>
      <c r="C21" s="163">
        <f>IFERROR(B21-B20,0)</f>
        <v>0</v>
      </c>
      <c r="D21" s="164" t="str">
        <f>IF(C21&lt;0,C21,"/")</f>
        <v>/</v>
      </c>
      <c r="E21" s="164">
        <f ca="1">IF(表2_367162629303421[[#This Row],[累计净值]]/MAX(INDIRECT("B21:B" &amp; ROW()))-1&lt;E20,表2_367162629303421[[#This Row],[累计净值]]/MAX(INDIRECT("B21:B" &amp; ROW()))-1,E20)</f>
        <v>0</v>
      </c>
      <c r="F21" s="165">
        <f>表2_367162629303421[[#This Row],[累计净值]]</f>
        <v>1.0049999999999999</v>
      </c>
      <c r="G21" s="166" t="s">
        <v>30</v>
      </c>
    </row>
    <row r="22" spans="1:8">
      <c r="A22" s="161">
        <v>43775</v>
      </c>
      <c r="B22" s="162">
        <v>1.0009999999999999</v>
      </c>
      <c r="C22" s="167">
        <f>IFERROR(B22-B21,0)</f>
        <v>-4.0000000000000036E-3</v>
      </c>
      <c r="D22" s="168">
        <f>IF(C22&lt;0,C22,"/")</f>
        <v>-4.0000000000000036E-3</v>
      </c>
      <c r="E22" s="168">
        <f ca="1">IF(表2_367162629303421[[#This Row],[累计净值]]/MAX(INDIRECT("B21:B" &amp; ROW()))-1&lt;E21,表2_367162629303421[[#This Row],[累计净值]]/MAX(INDIRECT("B21:B" &amp; ROW()))-1,E21)</f>
        <v>-3.9800995024875663E-3</v>
      </c>
      <c r="F22" s="169">
        <f>表2_367162629303421[[#This Row],[累计净值]]</f>
        <v>1.0009999999999999</v>
      </c>
      <c r="G22" s="170">
        <f>表2_367162629303421[[#This Row],[累计净值]]/$B$21-1</f>
        <v>-3.9800995024875663E-3</v>
      </c>
    </row>
    <row r="23" spans="1:8">
      <c r="A23" s="161">
        <v>43776</v>
      </c>
      <c r="B23" s="162">
        <v>1</v>
      </c>
      <c r="C23" s="186">
        <f>IFERROR(B23-B22,0)</f>
        <v>-9.9999999999988987E-4</v>
      </c>
      <c r="D23" s="168">
        <f>IF(C23&lt;0,C23,"/")</f>
        <v>-9.9999999999988987E-4</v>
      </c>
      <c r="E23" s="168">
        <f ca="1">IF(表2_367162629303421[[#This Row],[累计净值]]/MAX(INDIRECT("B21:B" &amp; ROW()))-1&lt;E22,表2_367162629303421[[#This Row],[累计净值]]/MAX(INDIRECT("B21:B" &amp; ROW()))-1,E22)</f>
        <v>-4.9751243781093191E-3</v>
      </c>
      <c r="F23" s="172">
        <f>表2_367162629303421[[#This Row],[累计净值]]</f>
        <v>1</v>
      </c>
      <c r="G23" s="170">
        <f>表2_367162629303421[[#This Row],[累计净值]]/$B$21-1</f>
        <v>-4.9751243781093191E-3</v>
      </c>
    </row>
    <row r="24" spans="1:8">
      <c r="A24" s="161">
        <v>43777</v>
      </c>
      <c r="B24" s="162">
        <v>1</v>
      </c>
      <c r="C24" s="186">
        <f>IFERROR(B24-B23,0)</f>
        <v>0</v>
      </c>
      <c r="D24" s="168" t="str">
        <f>IF(C24&lt;0,C24,"/")</f>
        <v>/</v>
      </c>
      <c r="E24" s="168">
        <f ca="1">IF(表2_367162629303421[[#This Row],[累计净值]]/MAX(INDIRECT("B21:B" &amp; ROW()))-1&lt;E23,表2_367162629303421[[#This Row],[累计净值]]/MAX(INDIRECT("B21:B" &amp; ROW()))-1,E23)</f>
        <v>-4.9751243781093191E-3</v>
      </c>
      <c r="F24" s="172">
        <f>表2_367162629303421[[#This Row],[累计净值]]</f>
        <v>1</v>
      </c>
      <c r="G24" s="170">
        <f>表2_367162629303421[[#This Row],[累计净值]]/$B$21-1</f>
        <v>-4.9751243781093191E-3</v>
      </c>
    </row>
    <row r="25" spans="1:8">
      <c r="A25" s="161">
        <v>43780</v>
      </c>
      <c r="B25" s="162">
        <v>0.997</v>
      </c>
      <c r="C25" s="171">
        <f t="shared" ref="C25:C42" si="0">IFERROR(B25-B24,0)</f>
        <v>-3.0000000000000027E-3</v>
      </c>
      <c r="D25" s="168">
        <f t="shared" ref="D25:D42" si="1">IF(C25&lt;0,C25,"/")</f>
        <v>-3.0000000000000027E-3</v>
      </c>
      <c r="E25" s="168">
        <f ca="1">IF(表2_367162629303421[[#This Row],[累计净值]]/MAX(INDIRECT("B21:B" &amp; ROW()))-1&lt;E24,表2_367162629303421[[#This Row],[累计净值]]/MAX(INDIRECT("B21:B" &amp; ROW()))-1,E24)</f>
        <v>-7.9601990049750215E-3</v>
      </c>
      <c r="F25" s="172">
        <f>表2_367162629303421[[#This Row],[累计净值]]</f>
        <v>0.997</v>
      </c>
      <c r="G25" s="170">
        <f>表2_367162629303421[[#This Row],[累计净值]]/$B$21-1</f>
        <v>-7.9601990049750215E-3</v>
      </c>
    </row>
    <row r="26" spans="1:8">
      <c r="A26" s="161">
        <v>43781</v>
      </c>
      <c r="B26" s="162">
        <v>0.995</v>
      </c>
      <c r="C26" s="171">
        <f t="shared" si="0"/>
        <v>-2.0000000000000018E-3</v>
      </c>
      <c r="D26" s="168">
        <f t="shared" si="1"/>
        <v>-2.0000000000000018E-3</v>
      </c>
      <c r="E26" s="168">
        <f ca="1">IF(表2_367162629303421[[#This Row],[累计净值]]/MAX(INDIRECT("B21:B" &amp; ROW()))-1&lt;E25,表2_367162629303421[[#This Row],[累计净值]]/MAX(INDIRECT("B21:B" &amp; ROW()))-1,E25)</f>
        <v>-9.9502487562188602E-3</v>
      </c>
      <c r="F26" s="172">
        <f>表2_367162629303421[[#This Row],[累计净值]]</f>
        <v>0.995</v>
      </c>
      <c r="G26" s="170">
        <f>表2_367162629303421[[#This Row],[累计净值]]/$B$21-1</f>
        <v>-9.9502487562188602E-3</v>
      </c>
    </row>
    <row r="27" spans="1:8">
      <c r="A27" s="161">
        <v>43782</v>
      </c>
      <c r="B27" s="162">
        <v>1.004</v>
      </c>
      <c r="C27" s="171">
        <f t="shared" si="0"/>
        <v>9.000000000000008E-3</v>
      </c>
      <c r="D27" s="168" t="str">
        <f t="shared" si="1"/>
        <v>/</v>
      </c>
      <c r="E27" s="168">
        <f ca="1">IF(表2_367162629303421[[#This Row],[累计净值]]/MAX(INDIRECT("B21:B" &amp; ROW()))-1&lt;E26,表2_367162629303421[[#This Row],[累计净值]]/MAX(INDIRECT("B21:B" &amp; ROW()))-1,E26)</f>
        <v>-9.9502487562188602E-3</v>
      </c>
      <c r="F27" s="172">
        <f>表2_367162629303421[[#This Row],[累计净值]]</f>
        <v>1.004</v>
      </c>
      <c r="G27" s="170">
        <f>表2_367162629303421[[#This Row],[累计净值]]/$B$21-1</f>
        <v>-9.9502487562175279E-4</v>
      </c>
    </row>
    <row r="28" spans="1:8">
      <c r="A28" s="161">
        <v>43783</v>
      </c>
      <c r="B28" s="162">
        <v>1.0029999999999999</v>
      </c>
      <c r="C28" s="171">
        <f t="shared" si="0"/>
        <v>-1.0000000000001119E-3</v>
      </c>
      <c r="D28" s="168">
        <f t="shared" si="1"/>
        <v>-1.0000000000001119E-3</v>
      </c>
      <c r="E28" s="168">
        <f ca="1">IF(表2_367162629303421[[#This Row],[累计净值]]/MAX(INDIRECT("B21:B" &amp; ROW()))-1&lt;E27,表2_367162629303421[[#This Row],[累计净值]]/MAX(INDIRECT("B21:B" &amp; ROW()))-1,E27)</f>
        <v>-9.9502487562188602E-3</v>
      </c>
      <c r="F28" s="172">
        <f>表2_367162629303421[[#This Row],[累计净值]]</f>
        <v>1.0029999999999999</v>
      </c>
      <c r="G28" s="170">
        <f>表2_367162629303421[[#This Row],[累计净值]]/$B$21-1</f>
        <v>-1.9900497512437276E-3</v>
      </c>
    </row>
    <row r="29" spans="1:8">
      <c r="A29" s="161">
        <v>43784</v>
      </c>
      <c r="B29" s="162">
        <v>1.0049999999999999</v>
      </c>
      <c r="C29" s="171">
        <f t="shared" si="0"/>
        <v>2.0000000000000018E-3</v>
      </c>
      <c r="D29" s="168" t="str">
        <f t="shared" si="1"/>
        <v>/</v>
      </c>
      <c r="E29" s="168">
        <f ca="1">IF(表2_367162629303421[[#This Row],[累计净值]]/MAX(INDIRECT("B21:B" &amp; ROW()))-1&lt;E28,表2_367162629303421[[#This Row],[累计净值]]/MAX(INDIRECT("B21:B" &amp; ROW()))-1,E28)</f>
        <v>-9.9502487562188602E-3</v>
      </c>
      <c r="F29" s="172">
        <f>表2_367162629303421[[#This Row],[累计净值]]</f>
        <v>1.0049999999999999</v>
      </c>
      <c r="G29" s="170">
        <f>表2_367162629303421[[#This Row],[累计净值]]/$B$21-1</f>
        <v>0</v>
      </c>
    </row>
    <row r="30" spans="1:8">
      <c r="A30" s="161">
        <v>43787</v>
      </c>
      <c r="B30" s="162">
        <v>1.006</v>
      </c>
      <c r="C30" s="171">
        <f t="shared" si="0"/>
        <v>1.0000000000001119E-3</v>
      </c>
      <c r="D30" s="168" t="str">
        <f t="shared" si="1"/>
        <v>/</v>
      </c>
      <c r="E30" s="168">
        <f ca="1">IF(表2_367162629303421[[#This Row],[累计净值]]/MAX(INDIRECT("B21:B" &amp; ROW()))-1&lt;E29,表2_367162629303421[[#This Row],[累计净值]]/MAX(INDIRECT("B21:B" &amp; ROW()))-1,E29)</f>
        <v>-9.9502487562188602E-3</v>
      </c>
      <c r="F30" s="172">
        <f>表2_367162629303421[[#This Row],[累计净值]]</f>
        <v>1.006</v>
      </c>
      <c r="G30" s="170">
        <f>表2_367162629303421[[#This Row],[累计净值]]/$B$21-1</f>
        <v>9.9502487562208586E-4</v>
      </c>
    </row>
    <row r="31" spans="1:8">
      <c r="A31" s="161">
        <v>43788</v>
      </c>
      <c r="B31" s="162">
        <v>1.0069999999999999</v>
      </c>
      <c r="C31" s="171">
        <f t="shared" si="0"/>
        <v>9.9999999999988987E-4</v>
      </c>
      <c r="D31" s="168" t="str">
        <f t="shared" si="1"/>
        <v>/</v>
      </c>
      <c r="E31" s="168">
        <f ca="1">IF(表2_367162629303421[[#This Row],[累计净值]]/MAX(INDIRECT("B21:B" &amp; ROW()))-1&lt;E30,表2_367162629303421[[#This Row],[累计净值]]/MAX(INDIRECT("B21:B" &amp; ROW()))-1,E30)</f>
        <v>-9.9502487562188602E-3</v>
      </c>
      <c r="F31" s="172">
        <f>表2_367162629303421[[#This Row],[累计净值]]</f>
        <v>1.0069999999999999</v>
      </c>
      <c r="G31" s="170">
        <f>表2_367162629303421[[#This Row],[累计净值]]/$B$21-1</f>
        <v>1.9900497512437276E-3</v>
      </c>
    </row>
    <row r="32" spans="1:8">
      <c r="A32" s="161">
        <v>43789</v>
      </c>
      <c r="B32" s="162">
        <v>1.008</v>
      </c>
      <c r="C32" s="171">
        <f t="shared" si="0"/>
        <v>1.0000000000001119E-3</v>
      </c>
      <c r="D32" s="168" t="str">
        <f t="shared" si="1"/>
        <v>/</v>
      </c>
      <c r="E32" s="168">
        <f ca="1">IF(表2_367162629303421[[#This Row],[累计净值]]/MAX(INDIRECT("B21:B" &amp; ROW()))-1&lt;E31,表2_367162629303421[[#This Row],[累计净值]]/MAX(INDIRECT("B21:B" &amp; ROW()))-1,E31)</f>
        <v>-9.9502487562188602E-3</v>
      </c>
      <c r="F32" s="172">
        <f>表2_367162629303421[[#This Row],[累计净值]]</f>
        <v>1.008</v>
      </c>
      <c r="G32" s="170">
        <f>表2_367162629303421[[#This Row],[累计净值]]/$B$21-1</f>
        <v>2.9850746268658135E-3</v>
      </c>
    </row>
    <row r="33" spans="1:7">
      <c r="A33" s="161">
        <v>43790</v>
      </c>
      <c r="B33" s="162">
        <v>1.008</v>
      </c>
      <c r="C33" s="171">
        <f t="shared" si="0"/>
        <v>0</v>
      </c>
      <c r="D33" s="168" t="str">
        <f t="shared" si="1"/>
        <v>/</v>
      </c>
      <c r="E33" s="168">
        <f ca="1">IF(表2_367162629303421[[#This Row],[累计净值]]/MAX(INDIRECT("B21:B" &amp; ROW()))-1&lt;E32,表2_367162629303421[[#This Row],[累计净值]]/MAX(INDIRECT("B21:B" &amp; ROW()))-1,E32)</f>
        <v>-9.9502487562188602E-3</v>
      </c>
      <c r="F33" s="172">
        <f>表2_367162629303421[[#This Row],[累计净值]]</f>
        <v>1.008</v>
      </c>
      <c r="G33" s="170">
        <f>表2_367162629303421[[#This Row],[累计净值]]/$B$21-1</f>
        <v>2.9850746268658135E-3</v>
      </c>
    </row>
    <row r="34" spans="1:7">
      <c r="A34" s="161">
        <v>43791</v>
      </c>
      <c r="B34" s="162">
        <v>1.0089999999999999</v>
      </c>
      <c r="C34" s="171">
        <f t="shared" si="0"/>
        <v>9.9999999999988987E-4</v>
      </c>
      <c r="D34" s="168" t="str">
        <f t="shared" si="1"/>
        <v>/</v>
      </c>
      <c r="E34" s="168">
        <f ca="1">IF(表2_367162629303421[[#This Row],[累计净值]]/MAX(INDIRECT("B21:B" &amp; ROW()))-1&lt;E33,表2_367162629303421[[#This Row],[累计净值]]/MAX(INDIRECT("B21:B" &amp; ROW()))-1,E33)</f>
        <v>-9.9502487562188602E-3</v>
      </c>
      <c r="F34" s="172">
        <f>表2_367162629303421[[#This Row],[累计净值]]</f>
        <v>1.0089999999999999</v>
      </c>
      <c r="G34" s="170">
        <f>表2_367162629303421[[#This Row],[累计净值]]/$B$21-1</f>
        <v>3.9800995024874553E-3</v>
      </c>
    </row>
    <row r="35" spans="1:7">
      <c r="A35" s="161">
        <v>43794</v>
      </c>
      <c r="B35" s="162">
        <v>1.0109999999999999</v>
      </c>
      <c r="C35" s="171">
        <f t="shared" si="0"/>
        <v>2.0000000000000018E-3</v>
      </c>
      <c r="D35" s="168" t="str">
        <f t="shared" si="1"/>
        <v>/</v>
      </c>
      <c r="E35" s="168">
        <f ca="1">IF(表2_367162629303421[[#This Row],[累计净值]]/MAX(INDIRECT("B21:B" &amp; ROW()))-1&lt;E34,表2_367162629303421[[#This Row],[累计净值]]/MAX(INDIRECT("B21:B" &amp; ROW()))-1,E34)</f>
        <v>-9.9502487562188602E-3</v>
      </c>
      <c r="F35" s="172">
        <f>表2_367162629303421[[#This Row],[累计净值]]</f>
        <v>1.0109999999999999</v>
      </c>
      <c r="G35" s="170">
        <f>表2_367162629303421[[#This Row],[累计净值]]/$B$21-1</f>
        <v>5.9701492537314049E-3</v>
      </c>
    </row>
    <row r="36" spans="1:7">
      <c r="A36" s="161">
        <v>43795</v>
      </c>
      <c r="B36" s="162">
        <v>1.01</v>
      </c>
      <c r="C36" s="171">
        <f t="shared" si="0"/>
        <v>-9.9999999999988987E-4</v>
      </c>
      <c r="D36" s="168">
        <f t="shared" si="1"/>
        <v>-9.9999999999988987E-4</v>
      </c>
      <c r="E36" s="168">
        <f ca="1">IF(表2_367162629303421[[#This Row],[累计净值]]/MAX(INDIRECT("B21:B" &amp; ROW()))-1&lt;E35,表2_367162629303421[[#This Row],[累计净值]]/MAX(INDIRECT("B21:B" &amp; ROW()))-1,E35)</f>
        <v>-9.9502487562188602E-3</v>
      </c>
      <c r="F36" s="172">
        <f>表2_367162629303421[[#This Row],[累计净值]]</f>
        <v>1.01</v>
      </c>
      <c r="G36" s="170">
        <f>表2_367162629303421[[#This Row],[累计净值]]/$B$21-1</f>
        <v>4.9751243781095411E-3</v>
      </c>
    </row>
    <row r="37" spans="1:7">
      <c r="A37" s="161">
        <v>43796</v>
      </c>
      <c r="B37" s="162">
        <v>1.01</v>
      </c>
      <c r="C37" s="171">
        <f t="shared" si="0"/>
        <v>0</v>
      </c>
      <c r="D37" s="168" t="str">
        <f t="shared" si="1"/>
        <v>/</v>
      </c>
      <c r="E37" s="168">
        <f ca="1">IF(表2_367162629303421[[#This Row],[累计净值]]/MAX(INDIRECT("B21:B" &amp; ROW()))-1&lt;E36,表2_367162629303421[[#This Row],[累计净值]]/MAX(INDIRECT("B21:B" &amp; ROW()))-1,E36)</f>
        <v>-9.9502487562188602E-3</v>
      </c>
      <c r="F37" s="172">
        <f>表2_367162629303421[[#This Row],[累计净值]]</f>
        <v>1.01</v>
      </c>
      <c r="G37" s="170">
        <f>表2_367162629303421[[#This Row],[累计净值]]/$B$21-1</f>
        <v>4.9751243781095411E-3</v>
      </c>
    </row>
    <row r="38" spans="1:7">
      <c r="A38" s="161">
        <v>43797</v>
      </c>
      <c r="B38" s="162">
        <v>1.0109999999999999</v>
      </c>
      <c r="C38" s="171">
        <f t="shared" si="0"/>
        <v>9.9999999999988987E-4</v>
      </c>
      <c r="D38" s="168" t="str">
        <f t="shared" si="1"/>
        <v>/</v>
      </c>
      <c r="E38" s="168">
        <f ca="1">IF(表2_367162629303421[[#This Row],[累计净值]]/MAX(INDIRECT("B21:B" &amp; ROW()))-1&lt;E37,表2_367162629303421[[#This Row],[累计净值]]/MAX(INDIRECT("B21:B" &amp; ROW()))-1,E37)</f>
        <v>-9.9502487562188602E-3</v>
      </c>
      <c r="F38" s="172">
        <f>表2_367162629303421[[#This Row],[累计净值]]</f>
        <v>1.0109999999999999</v>
      </c>
      <c r="G38" s="170">
        <f>表2_367162629303421[[#This Row],[累计净值]]/$B$21-1</f>
        <v>5.9701492537314049E-3</v>
      </c>
    </row>
    <row r="39" spans="1:7">
      <c r="A39" s="161">
        <v>43798</v>
      </c>
      <c r="B39" s="162">
        <v>1.012</v>
      </c>
      <c r="C39" s="171">
        <f t="shared" si="0"/>
        <v>1.0000000000001119E-3</v>
      </c>
      <c r="D39" s="168" t="str">
        <f t="shared" si="1"/>
        <v>/</v>
      </c>
      <c r="E39" s="168">
        <f ca="1">IF(表2_367162629303421[[#This Row],[累计净值]]/MAX(INDIRECT("B21:B" &amp; ROW()))-1&lt;E38,表2_367162629303421[[#This Row],[累计净值]]/MAX(INDIRECT("B21:B" &amp; ROW()))-1,E38)</f>
        <v>-9.9502487562188602E-3</v>
      </c>
      <c r="F39" s="172">
        <f>表2_367162629303421[[#This Row],[累计净值]]</f>
        <v>1.012</v>
      </c>
      <c r="G39" s="170">
        <f>表2_367162629303421[[#This Row],[累计净值]]/$B$21-1</f>
        <v>6.9651741293532687E-3</v>
      </c>
    </row>
    <row r="40" spans="1:7">
      <c r="A40" s="161">
        <v>43801</v>
      </c>
      <c r="B40" s="162">
        <v>1.012</v>
      </c>
      <c r="C40" s="171">
        <f t="shared" si="0"/>
        <v>0</v>
      </c>
      <c r="D40" s="168" t="str">
        <f t="shared" si="1"/>
        <v>/</v>
      </c>
      <c r="E40" s="168">
        <f ca="1">IF(表2_367162629303421[[#This Row],[累计净值]]/MAX(INDIRECT("B21:B" &amp; ROW()))-1&lt;E39,表2_367162629303421[[#This Row],[累计净值]]/MAX(INDIRECT("B21:B" &amp; ROW()))-1,E39)</f>
        <v>-9.9502487562188602E-3</v>
      </c>
      <c r="F40" s="172">
        <f>表2_367162629303421[[#This Row],[累计净值]]</f>
        <v>1.012</v>
      </c>
      <c r="G40" s="170">
        <f>表2_367162629303421[[#This Row],[累计净值]]/$B$21-1</f>
        <v>6.9651741293532687E-3</v>
      </c>
    </row>
    <row r="41" spans="1:7">
      <c r="A41" s="161">
        <v>43802</v>
      </c>
      <c r="B41" s="162">
        <v>1.0109999999999999</v>
      </c>
      <c r="C41" s="171">
        <f t="shared" si="0"/>
        <v>-1.0000000000001119E-3</v>
      </c>
      <c r="D41" s="168">
        <f t="shared" si="1"/>
        <v>-1.0000000000001119E-3</v>
      </c>
      <c r="E41" s="168">
        <f ca="1">IF(表2_367162629303421[[#This Row],[累计净值]]/MAX(INDIRECT("B21:B" &amp; ROW()))-1&lt;E40,表2_367162629303421[[#This Row],[累计净值]]/MAX(INDIRECT("B21:B" &amp; ROW()))-1,E40)</f>
        <v>-9.9502487562188602E-3</v>
      </c>
      <c r="F41" s="172">
        <f>表2_367162629303421[[#This Row],[累计净值]]</f>
        <v>1.0109999999999999</v>
      </c>
      <c r="G41" s="170">
        <f>表2_367162629303421[[#This Row],[累计净值]]/$B$21-1</f>
        <v>5.9701492537314049E-3</v>
      </c>
    </row>
    <row r="42" spans="1:7">
      <c r="A42" s="161">
        <v>43803</v>
      </c>
      <c r="B42" s="162">
        <v>1.01</v>
      </c>
      <c r="C42" s="171">
        <f t="shared" si="0"/>
        <v>-9.9999999999988987E-4</v>
      </c>
      <c r="D42" s="168">
        <f t="shared" si="1"/>
        <v>-9.9999999999988987E-4</v>
      </c>
      <c r="E42" s="168">
        <f ca="1">IF(表2_367162629303421[[#This Row],[累计净值]]/MAX(INDIRECT("B21:B" &amp; ROW()))-1&lt;E41,表2_367162629303421[[#This Row],[累计净值]]/MAX(INDIRECT("B21:B" &amp; ROW()))-1,E41)</f>
        <v>-9.9502487562188602E-3</v>
      </c>
      <c r="F42" s="172">
        <f>表2_367162629303421[[#This Row],[累计净值]]</f>
        <v>1.01</v>
      </c>
      <c r="G42" s="170">
        <f>表2_367162629303421[[#This Row],[累计净值]]/$B$21-1</f>
        <v>4.9751243781095411E-3</v>
      </c>
    </row>
    <row r="43" spans="1:7">
      <c r="A43" s="161">
        <v>43804</v>
      </c>
      <c r="B43" s="162">
        <v>1.0069999999999999</v>
      </c>
      <c r="C43" s="171">
        <f>IFERROR(B43-B42,0)</f>
        <v>-3.0000000000001137E-3</v>
      </c>
      <c r="D43" s="168">
        <f>IF(C43&lt;0,C43,"/")</f>
        <v>-3.0000000000001137E-3</v>
      </c>
      <c r="E43" s="168">
        <f ca="1">IF(表2_367162629303421[[#This Row],[累计净值]]/MAX(INDIRECT("B21:B" &amp; ROW()))-1&lt;E42,表2_367162629303421[[#This Row],[累计净值]]/MAX(INDIRECT("B21:B" &amp; ROW()))-1,E42)</f>
        <v>-9.9502487562188602E-3</v>
      </c>
      <c r="F43" s="172">
        <f>表2_367162629303421[[#This Row],[累计净值]]</f>
        <v>1.0069999999999999</v>
      </c>
      <c r="G43" s="170">
        <f>表2_367162629303421[[#This Row],[累计净值]]/$B$21-1</f>
        <v>1.9900497512437276E-3</v>
      </c>
    </row>
    <row r="44" spans="1:7">
      <c r="A44" s="161">
        <v>43805</v>
      </c>
      <c r="B44" s="162">
        <v>1.008</v>
      </c>
      <c r="C44" s="171">
        <f>IFERROR(B44-B43,0)</f>
        <v>1.0000000000001119E-3</v>
      </c>
      <c r="D44" s="168" t="str">
        <f>IF(C44&lt;0,C44,"/")</f>
        <v>/</v>
      </c>
      <c r="E44" s="168">
        <f ca="1">IF(表2_367162629303421[[#This Row],[累计净值]]/MAX(INDIRECT("B21:B" &amp; ROW()))-1&lt;E43,表2_367162629303421[[#This Row],[累计净值]]/MAX(INDIRECT("B21:B" &amp; ROW()))-1,E43)</f>
        <v>-9.9502487562188602E-3</v>
      </c>
      <c r="F44" s="172">
        <f>表2_367162629303421[[#This Row],[累计净值]]</f>
        <v>1.008</v>
      </c>
      <c r="G44" s="170">
        <f>表2_367162629303421[[#This Row],[累计净值]]/$B$21-1</f>
        <v>2.9850746268658135E-3</v>
      </c>
    </row>
    <row r="45" spans="1:7">
      <c r="A45" s="161">
        <v>43808</v>
      </c>
      <c r="B45" s="162">
        <v>1.006</v>
      </c>
      <c r="C45" s="171">
        <f>IFERROR(B45-B44,0)</f>
        <v>-2.0000000000000018E-3</v>
      </c>
      <c r="D45" s="168">
        <f>IF(C45&lt;0,C45,"/")</f>
        <v>-2.0000000000000018E-3</v>
      </c>
      <c r="E45" s="168">
        <f ca="1">IF(表2_367162629303421[[#This Row],[累计净值]]/MAX(INDIRECT("B21:B" &amp; ROW()))-1&lt;E44,表2_367162629303421[[#This Row],[累计净值]]/MAX(INDIRECT("B21:B" &amp; ROW()))-1,E44)</f>
        <v>-9.9502487562188602E-3</v>
      </c>
      <c r="F45" s="172">
        <f>表2_367162629303421[[#This Row],[累计净值]]</f>
        <v>1.006</v>
      </c>
      <c r="G45" s="170">
        <f>表2_367162629303421[[#This Row],[累计净值]]/$B$21-1</f>
        <v>9.9502487562208586E-4</v>
      </c>
    </row>
    <row r="46" spans="1:7">
      <c r="A46" s="161">
        <v>43809</v>
      </c>
      <c r="B46" s="162">
        <v>1.0049999999999999</v>
      </c>
      <c r="C46" s="171">
        <f>IFERROR(B46-B45,0)</f>
        <v>-1.0000000000001119E-3</v>
      </c>
      <c r="D46" s="168">
        <f>IF(C46&lt;0,C46,"/")</f>
        <v>-1.0000000000001119E-3</v>
      </c>
      <c r="E46" s="168">
        <f ca="1">IF(表2_367162629303421[[#This Row],[累计净值]]/MAX(INDIRECT("B21:B" &amp; ROW()))-1&lt;E45,表2_367162629303421[[#This Row],[累计净值]]/MAX(INDIRECT("B21:B" &amp; ROW()))-1,E45)</f>
        <v>-9.9502487562188602E-3</v>
      </c>
      <c r="F46" s="172">
        <f>表2_367162629303421[[#This Row],[累计净值]]</f>
        <v>1.0049999999999999</v>
      </c>
      <c r="G46" s="170">
        <f>表2_367162629303421[[#This Row],[累计净值]]/$B$21-1</f>
        <v>0</v>
      </c>
    </row>
    <row r="47" spans="1:7">
      <c r="A47" s="161">
        <v>43810</v>
      </c>
      <c r="B47" s="162">
        <v>1.0069999999999999</v>
      </c>
      <c r="C47" s="171">
        <f>IFERROR(B47-B46,0)</f>
        <v>2.0000000000000018E-3</v>
      </c>
      <c r="D47" s="168" t="str">
        <f>IF(C47&lt;0,C47,"/")</f>
        <v>/</v>
      </c>
      <c r="E47" s="168">
        <f ca="1">IF(表2_367162629303421[[#This Row],[累计净值]]/MAX(INDIRECT("B21:B" &amp; ROW()))-1&lt;E46,表2_367162629303421[[#This Row],[累计净值]]/MAX(INDIRECT("B21:B" &amp; ROW()))-1,E46)</f>
        <v>-9.9502487562188602E-3</v>
      </c>
      <c r="F47" s="172">
        <f>表2_367162629303421[[#This Row],[累计净值]]</f>
        <v>1.0069999999999999</v>
      </c>
      <c r="G47" s="170">
        <f>表2_367162629303421[[#This Row],[累计净值]]/$B$21-1</f>
        <v>1.9900497512437276E-3</v>
      </c>
    </row>
    <row r="48" spans="1:7">
      <c r="A48" s="161">
        <v>43811</v>
      </c>
      <c r="B48" s="162">
        <v>1.0089999999999999</v>
      </c>
      <c r="C48" s="171">
        <f t="shared" ref="C48:C107" si="2">IFERROR(B48-B47,0)</f>
        <v>2.0000000000000018E-3</v>
      </c>
      <c r="D48" s="168" t="str">
        <f t="shared" ref="D48:D107" si="3">IF(C48&lt;0,C48,"/")</f>
        <v>/</v>
      </c>
      <c r="E48" s="168">
        <f ca="1">IF(表2_367162629303421[[#This Row],[累计净值]]/MAX(INDIRECT("B21:B" &amp; ROW()))-1&lt;E47,表2_367162629303421[[#This Row],[累计净值]]/MAX(INDIRECT("B21:B" &amp; ROW()))-1,E47)</f>
        <v>-9.9502487562188602E-3</v>
      </c>
      <c r="F48" s="172">
        <f>表2_367162629303421[[#This Row],[累计净值]]</f>
        <v>1.0089999999999999</v>
      </c>
      <c r="G48" s="170">
        <f>表2_367162629303421[[#This Row],[累计净值]]/$B$21-1</f>
        <v>3.9800995024874553E-3</v>
      </c>
    </row>
    <row r="49" spans="1:7">
      <c r="A49" s="161">
        <v>43812</v>
      </c>
      <c r="B49" s="162">
        <v>1.012</v>
      </c>
      <c r="C49" s="171">
        <f t="shared" si="2"/>
        <v>3.0000000000001137E-3</v>
      </c>
      <c r="D49" s="168" t="str">
        <f t="shared" si="3"/>
        <v>/</v>
      </c>
      <c r="E49" s="168">
        <f ca="1">IF(表2_367162629303421[[#This Row],[累计净值]]/MAX(INDIRECT("B21:B" &amp; ROW()))-1&lt;E48,表2_367162629303421[[#This Row],[累计净值]]/MAX(INDIRECT("B21:B" &amp; ROW()))-1,E48)</f>
        <v>-9.9502487562188602E-3</v>
      </c>
      <c r="F49" s="172">
        <f>表2_367162629303421[[#This Row],[累计净值]]</f>
        <v>1.012</v>
      </c>
      <c r="G49" s="170">
        <f>表2_367162629303421[[#This Row],[累计净值]]/$B$21-1</f>
        <v>6.9651741293532687E-3</v>
      </c>
    </row>
    <row r="50" spans="1:7">
      <c r="A50" s="161">
        <v>43815</v>
      </c>
      <c r="B50" s="162">
        <v>1.0129999999999999</v>
      </c>
      <c r="C50" s="171">
        <f t="shared" si="2"/>
        <v>9.9999999999988987E-4</v>
      </c>
      <c r="D50" s="168" t="str">
        <f t="shared" si="3"/>
        <v>/</v>
      </c>
      <c r="E50" s="168">
        <f ca="1">IF(表2_367162629303421[[#This Row],[累计净值]]/MAX(INDIRECT("B21:B" &amp; ROW()))-1&lt;E49,表2_367162629303421[[#This Row],[累计净值]]/MAX(INDIRECT("B21:B" &amp; ROW()))-1,E49)</f>
        <v>-9.9502487562188602E-3</v>
      </c>
      <c r="F50" s="172">
        <f>表2_367162629303421[[#This Row],[累计净值]]</f>
        <v>1.0129999999999999</v>
      </c>
      <c r="G50" s="170">
        <f>表2_367162629303421[[#This Row],[累计净值]]/$B$21-1</f>
        <v>7.9601990049751326E-3</v>
      </c>
    </row>
    <row r="51" spans="1:7">
      <c r="A51" s="161">
        <v>43816</v>
      </c>
      <c r="B51" s="162">
        <v>1.01</v>
      </c>
      <c r="C51" s="171">
        <f t="shared" si="2"/>
        <v>-2.9999999999998916E-3</v>
      </c>
      <c r="D51" s="168">
        <f t="shared" si="3"/>
        <v>-2.9999999999998916E-3</v>
      </c>
      <c r="E51" s="168">
        <f ca="1">IF(表2_367162629303421[[#This Row],[累计净值]]/MAX(INDIRECT("B21:B" &amp; ROW()))-1&lt;E50,表2_367162629303421[[#This Row],[累计净值]]/MAX(INDIRECT("B21:B" &amp; ROW()))-1,E50)</f>
        <v>-9.9502487562188602E-3</v>
      </c>
      <c r="F51" s="172">
        <f>表2_367162629303421[[#This Row],[累计净值]]</f>
        <v>1.01</v>
      </c>
      <c r="G51" s="170">
        <f>表2_367162629303421[[#This Row],[累计净值]]/$B$21-1</f>
        <v>4.9751243781095411E-3</v>
      </c>
    </row>
    <row r="52" spans="1:7">
      <c r="A52" s="161">
        <v>43817</v>
      </c>
      <c r="B52" s="162">
        <v>1.0109999999999999</v>
      </c>
      <c r="C52" s="171">
        <f t="shared" si="2"/>
        <v>9.9999999999988987E-4</v>
      </c>
      <c r="D52" s="168" t="str">
        <f t="shared" si="3"/>
        <v>/</v>
      </c>
      <c r="E52" s="168">
        <f ca="1">IF(表2_367162629303421[[#This Row],[累计净值]]/MAX(INDIRECT("B21:B" &amp; ROW()))-1&lt;E51,表2_367162629303421[[#This Row],[累计净值]]/MAX(INDIRECT("B21:B" &amp; ROW()))-1,E51)</f>
        <v>-9.9502487562188602E-3</v>
      </c>
      <c r="F52" s="172">
        <f>表2_367162629303421[[#This Row],[累计净值]]</f>
        <v>1.0109999999999999</v>
      </c>
      <c r="G52" s="170">
        <f>表2_367162629303421[[#This Row],[累计净值]]/$B$21-1</f>
        <v>5.9701492537314049E-3</v>
      </c>
    </row>
    <row r="53" spans="1:7">
      <c r="A53" s="161">
        <v>43818</v>
      </c>
      <c r="B53" s="162">
        <v>1.01</v>
      </c>
      <c r="C53" s="171">
        <f t="shared" si="2"/>
        <v>-9.9999999999988987E-4</v>
      </c>
      <c r="D53" s="168">
        <f t="shared" si="3"/>
        <v>-9.9999999999988987E-4</v>
      </c>
      <c r="E53" s="168">
        <f ca="1">IF(表2_367162629303421[[#This Row],[累计净值]]/MAX(INDIRECT("B21:B" &amp; ROW()))-1&lt;E52,表2_367162629303421[[#This Row],[累计净值]]/MAX(INDIRECT("B21:B" &amp; ROW()))-1,E52)</f>
        <v>-9.9502487562188602E-3</v>
      </c>
      <c r="F53" s="172">
        <f>表2_367162629303421[[#This Row],[累计净值]]</f>
        <v>1.01</v>
      </c>
      <c r="G53" s="170">
        <f>表2_367162629303421[[#This Row],[累计净值]]/$B$21-1</f>
        <v>4.9751243781095411E-3</v>
      </c>
    </row>
    <row r="54" spans="1:7">
      <c r="A54" s="161">
        <v>43819</v>
      </c>
      <c r="B54" s="162">
        <v>1.0109999999999999</v>
      </c>
      <c r="C54" s="171">
        <f t="shared" si="2"/>
        <v>9.9999999999988987E-4</v>
      </c>
      <c r="D54" s="168" t="str">
        <f t="shared" si="3"/>
        <v>/</v>
      </c>
      <c r="E54" s="168">
        <f ca="1">IF(表2_367162629303421[[#This Row],[累计净值]]/MAX(INDIRECT("B21:B" &amp; ROW()))-1&lt;E53,表2_367162629303421[[#This Row],[累计净值]]/MAX(INDIRECT("B21:B" &amp; ROW()))-1,E53)</f>
        <v>-9.9502487562188602E-3</v>
      </c>
      <c r="F54" s="172">
        <f>表2_367162629303421[[#This Row],[累计净值]]</f>
        <v>1.0109999999999999</v>
      </c>
      <c r="G54" s="170">
        <f>表2_367162629303421[[#This Row],[累计净值]]/$B$21-1</f>
        <v>5.9701492537314049E-3</v>
      </c>
    </row>
    <row r="55" spans="1:7">
      <c r="A55" s="161">
        <v>43822</v>
      </c>
      <c r="B55" s="162">
        <v>1.012</v>
      </c>
      <c r="C55" s="171">
        <f t="shared" si="2"/>
        <v>1.0000000000001119E-3</v>
      </c>
      <c r="D55" s="168" t="str">
        <f t="shared" si="3"/>
        <v>/</v>
      </c>
      <c r="E55" s="168">
        <f ca="1">IF(表2_367162629303421[[#This Row],[累计净值]]/MAX(INDIRECT("B21:B" &amp; ROW()))-1&lt;E54,表2_367162629303421[[#This Row],[累计净值]]/MAX(INDIRECT("B21:B" &amp; ROW()))-1,E54)</f>
        <v>-9.9502487562188602E-3</v>
      </c>
      <c r="F55" s="172">
        <f>表2_367162629303421[[#This Row],[累计净值]]</f>
        <v>1.012</v>
      </c>
      <c r="G55" s="170">
        <f>表2_367162629303421[[#This Row],[累计净值]]/$B$21-1</f>
        <v>6.9651741293532687E-3</v>
      </c>
    </row>
    <row r="56" spans="1:7">
      <c r="A56" s="161">
        <v>43823</v>
      </c>
      <c r="B56" s="162">
        <v>1.014</v>
      </c>
      <c r="C56" s="171">
        <f t="shared" si="2"/>
        <v>2.0000000000000018E-3</v>
      </c>
      <c r="D56" s="168" t="str">
        <f t="shared" si="3"/>
        <v>/</v>
      </c>
      <c r="E56" s="168">
        <f ca="1">IF(表2_367162629303421[[#This Row],[累计净值]]/MAX(INDIRECT("B21:B" &amp; ROW()))-1&lt;E55,表2_367162629303421[[#This Row],[累计净值]]/MAX(INDIRECT("B21:B" &amp; ROW()))-1,E55)</f>
        <v>-9.9502487562188602E-3</v>
      </c>
      <c r="F56" s="172">
        <f>表2_367162629303421[[#This Row],[累计净值]]</f>
        <v>1.014</v>
      </c>
      <c r="G56" s="170">
        <f>表2_367162629303421[[#This Row],[累计净值]]/$B$21-1</f>
        <v>8.9552238805972184E-3</v>
      </c>
    </row>
    <row r="57" spans="1:7">
      <c r="A57" s="161">
        <v>43824</v>
      </c>
      <c r="B57" s="162">
        <v>1.014</v>
      </c>
      <c r="C57" s="171">
        <f t="shared" si="2"/>
        <v>0</v>
      </c>
      <c r="D57" s="168" t="str">
        <f t="shared" si="3"/>
        <v>/</v>
      </c>
      <c r="E57" s="168">
        <f ca="1">IF(表2_367162629303421[[#This Row],[累计净值]]/MAX(INDIRECT("B21:B" &amp; ROW()))-1&lt;E56,表2_367162629303421[[#This Row],[累计净值]]/MAX(INDIRECT("B21:B" &amp; ROW()))-1,E56)</f>
        <v>-9.9502487562188602E-3</v>
      </c>
      <c r="F57" s="172">
        <f>表2_367162629303421[[#This Row],[累计净值]]</f>
        <v>1.014</v>
      </c>
      <c r="G57" s="170">
        <f>表2_367162629303421[[#This Row],[累计净值]]/$B$21-1</f>
        <v>8.9552238805972184E-3</v>
      </c>
    </row>
    <row r="58" spans="1:7">
      <c r="A58" s="161">
        <v>43825</v>
      </c>
      <c r="B58" s="178">
        <v>1.0149999999999999</v>
      </c>
      <c r="C58" s="171">
        <f t="shared" si="2"/>
        <v>9.9999999999988987E-4</v>
      </c>
      <c r="D58" s="168" t="str">
        <f t="shared" si="3"/>
        <v>/</v>
      </c>
      <c r="E58" s="168">
        <f ca="1">IF(表2_367162629303421[[#This Row],[累计净值]]/MAX(INDIRECT("B21:B" &amp; ROW()))-1&lt;E57,表2_367162629303421[[#This Row],[累计净值]]/MAX(INDIRECT("B21:B" &amp; ROW()))-1,E57)</f>
        <v>-9.9502487562188602E-3</v>
      </c>
      <c r="F58" s="172">
        <f>表2_367162629303421[[#This Row],[累计净值]]</f>
        <v>1.0149999999999999</v>
      </c>
      <c r="G58" s="170">
        <f>表2_367162629303421[[#This Row],[累计净值]]/$B$21-1</f>
        <v>9.9502487562188602E-3</v>
      </c>
    </row>
    <row r="59" spans="1:7">
      <c r="A59" s="161">
        <v>43826</v>
      </c>
      <c r="B59" s="162">
        <v>1.014</v>
      </c>
      <c r="C59" s="171">
        <f t="shared" si="2"/>
        <v>-9.9999999999988987E-4</v>
      </c>
      <c r="D59" s="168">
        <f t="shared" si="3"/>
        <v>-9.9999999999988987E-4</v>
      </c>
      <c r="E59" s="168">
        <f ca="1">IF(表2_367162629303421[[#This Row],[累计净值]]/MAX(INDIRECT("B21:B" &amp; ROW()))-1&lt;E58,表2_367162629303421[[#This Row],[累计净值]]/MAX(INDIRECT("B21:B" &amp; ROW()))-1,E58)</f>
        <v>-9.9502487562188602E-3</v>
      </c>
      <c r="F59" s="172">
        <f>表2_367162629303421[[#This Row],[累计净值]]</f>
        <v>1.014</v>
      </c>
      <c r="G59" s="170">
        <f>表2_367162629303421[[#This Row],[累计净值]]/$B$21-1</f>
        <v>8.9552238805972184E-3</v>
      </c>
    </row>
    <row r="60" spans="1:7">
      <c r="A60" s="161">
        <v>43829</v>
      </c>
      <c r="B60" s="162">
        <v>1.0109999999999999</v>
      </c>
      <c r="C60" s="171">
        <f t="shared" si="2"/>
        <v>-3.0000000000001137E-3</v>
      </c>
      <c r="D60" s="168">
        <f t="shared" si="3"/>
        <v>-3.0000000000001137E-3</v>
      </c>
      <c r="E60" s="168">
        <f ca="1">IF(表2_367162629303421[[#This Row],[累计净值]]/MAX(INDIRECT("B21:B" &amp; ROW()))-1&lt;E59,表2_367162629303421[[#This Row],[累计净值]]/MAX(INDIRECT("B21:B" &amp; ROW()))-1,E59)</f>
        <v>-9.9502487562188602E-3</v>
      </c>
      <c r="F60" s="172">
        <f>表2_367162629303421[[#This Row],[累计净值]]</f>
        <v>1.0109999999999999</v>
      </c>
      <c r="G60" s="170">
        <f>表2_367162629303421[[#This Row],[累计净值]]/$B$21-1</f>
        <v>5.9701492537314049E-3</v>
      </c>
    </row>
    <row r="61" spans="1:7">
      <c r="A61" s="161">
        <v>43830</v>
      </c>
      <c r="B61" s="162">
        <v>1.0109999999999999</v>
      </c>
      <c r="C61" s="171">
        <f t="shared" si="2"/>
        <v>0</v>
      </c>
      <c r="D61" s="168" t="str">
        <f t="shared" si="3"/>
        <v>/</v>
      </c>
      <c r="E61" s="168">
        <f ca="1">IF(表2_367162629303421[[#This Row],[累计净值]]/MAX(INDIRECT("B21:B" &amp; ROW()))-1&lt;E60,表2_367162629303421[[#This Row],[累计净值]]/MAX(INDIRECT("B21:B" &amp; ROW()))-1,E60)</f>
        <v>-9.9502487562188602E-3</v>
      </c>
      <c r="F61" s="172">
        <f>表2_367162629303421[[#This Row],[累计净值]]</f>
        <v>1.0109999999999999</v>
      </c>
      <c r="G61" s="170">
        <f>表2_367162629303421[[#This Row],[累计净值]]/$B$21-1</f>
        <v>5.9701492537314049E-3</v>
      </c>
    </row>
    <row r="62" spans="1:7">
      <c r="A62" s="161">
        <v>43832</v>
      </c>
      <c r="B62" s="162">
        <v>1.0109999999999999</v>
      </c>
      <c r="C62" s="171">
        <f t="shared" si="2"/>
        <v>0</v>
      </c>
      <c r="D62" s="168" t="str">
        <f t="shared" si="3"/>
        <v>/</v>
      </c>
      <c r="E62" s="168">
        <f ca="1">IF(表2_367162629303421[[#This Row],[累计净值]]/MAX(INDIRECT("B21:B" &amp; ROW()))-1&lt;E61,表2_367162629303421[[#This Row],[累计净值]]/MAX(INDIRECT("B21:B" &amp; ROW()))-1,E61)</f>
        <v>-9.9502487562188602E-3</v>
      </c>
      <c r="F62" s="172">
        <f>表2_367162629303421[[#This Row],[累计净值]]</f>
        <v>1.0109999999999999</v>
      </c>
      <c r="G62" s="170">
        <f>表2_367162629303421[[#This Row],[累计净值]]/$B$21-1</f>
        <v>5.9701492537314049E-3</v>
      </c>
    </row>
    <row r="63" spans="1:7">
      <c r="A63" s="161">
        <v>43833</v>
      </c>
      <c r="B63" s="162">
        <v>1.012</v>
      </c>
      <c r="C63" s="171">
        <f t="shared" si="2"/>
        <v>1.0000000000001119E-3</v>
      </c>
      <c r="D63" s="168" t="str">
        <f t="shared" si="3"/>
        <v>/</v>
      </c>
      <c r="E63" s="168">
        <f ca="1">IF(表2_367162629303421[[#This Row],[累计净值]]/MAX(INDIRECT("B21:B" &amp; ROW()))-1&lt;E62,表2_367162629303421[[#This Row],[累计净值]]/MAX(INDIRECT("B21:B" &amp; ROW()))-1,E62)</f>
        <v>-9.9502487562188602E-3</v>
      </c>
      <c r="F63" s="172">
        <f>表2_367162629303421[[#This Row],[累计净值]]</f>
        <v>1.012</v>
      </c>
      <c r="G63" s="170">
        <f>表2_367162629303421[[#This Row],[累计净值]]/$B$21-1</f>
        <v>6.9651741293532687E-3</v>
      </c>
    </row>
    <row r="64" spans="1:7">
      <c r="A64" s="161">
        <v>43836</v>
      </c>
      <c r="B64" s="162">
        <v>1.0129999999999999</v>
      </c>
      <c r="C64" s="171">
        <f t="shared" si="2"/>
        <v>9.9999999999988987E-4</v>
      </c>
      <c r="D64" s="168" t="str">
        <f t="shared" si="3"/>
        <v>/</v>
      </c>
      <c r="E64" s="168">
        <f ca="1">IF(表2_367162629303421[[#This Row],[累计净值]]/MAX(INDIRECT("B21:B" &amp; ROW()))-1&lt;E63,表2_367162629303421[[#This Row],[累计净值]]/MAX(INDIRECT("B21:B" &amp; ROW()))-1,E63)</f>
        <v>-9.9502487562188602E-3</v>
      </c>
      <c r="F64" s="172">
        <f>表2_367162629303421[[#This Row],[累计净值]]</f>
        <v>1.0129999999999999</v>
      </c>
      <c r="G64" s="170">
        <f>表2_367162629303421[[#This Row],[累计净值]]/$B$21-1</f>
        <v>7.9601990049751326E-3</v>
      </c>
    </row>
    <row r="65" spans="1:7">
      <c r="A65" s="161">
        <v>43837</v>
      </c>
      <c r="B65" s="162">
        <v>1.0129999999999999</v>
      </c>
      <c r="C65" s="171">
        <f t="shared" si="2"/>
        <v>0</v>
      </c>
      <c r="D65" s="168" t="str">
        <f t="shared" si="3"/>
        <v>/</v>
      </c>
      <c r="E65" s="168">
        <f ca="1">IF(表2_367162629303421[[#This Row],[累计净值]]/MAX(INDIRECT("B21:B" &amp; ROW()))-1&lt;E64,表2_367162629303421[[#This Row],[累计净值]]/MAX(INDIRECT("B21:B" &amp; ROW()))-1,E64)</f>
        <v>-9.9502487562188602E-3</v>
      </c>
      <c r="F65" s="172">
        <f>表2_367162629303421[[#This Row],[累计净值]]</f>
        <v>1.0129999999999999</v>
      </c>
      <c r="G65" s="170">
        <f>表2_367162629303421[[#This Row],[累计净值]]/$B$21-1</f>
        <v>7.9601990049751326E-3</v>
      </c>
    </row>
    <row r="66" spans="1:7">
      <c r="A66" s="161">
        <v>43838</v>
      </c>
      <c r="B66" s="162">
        <v>1.0149999999999999</v>
      </c>
      <c r="C66" s="171">
        <f t="shared" si="2"/>
        <v>2.0000000000000018E-3</v>
      </c>
      <c r="D66" s="168" t="str">
        <f t="shared" si="3"/>
        <v>/</v>
      </c>
      <c r="E66" s="168">
        <f ca="1">IF(表2_367162629303421[[#This Row],[累计净值]]/MAX(INDIRECT("B21:B" &amp; ROW()))-1&lt;E65,表2_367162629303421[[#This Row],[累计净值]]/MAX(INDIRECT("B21:B" &amp; ROW()))-1,E65)</f>
        <v>-9.9502487562188602E-3</v>
      </c>
      <c r="F66" s="172">
        <f>表2_367162629303421[[#This Row],[累计净值]]</f>
        <v>1.0149999999999999</v>
      </c>
      <c r="G66" s="170">
        <f>表2_367162629303421[[#This Row],[累计净值]]/$B$21-1</f>
        <v>9.9502487562188602E-3</v>
      </c>
    </row>
    <row r="67" spans="1:7">
      <c r="A67" s="161">
        <v>43839</v>
      </c>
      <c r="B67" s="162">
        <v>1.012</v>
      </c>
      <c r="C67" s="171">
        <f t="shared" si="2"/>
        <v>-2.9999999999998916E-3</v>
      </c>
      <c r="D67" s="168">
        <f t="shared" si="3"/>
        <v>-2.9999999999998916E-3</v>
      </c>
      <c r="E67" s="168">
        <f ca="1">IF(表2_367162629303421[[#This Row],[累计净值]]/MAX(INDIRECT("B21:B" &amp; ROW()))-1&lt;E66,表2_367162629303421[[#This Row],[累计净值]]/MAX(INDIRECT("B21:B" &amp; ROW()))-1,E66)</f>
        <v>-9.9502487562188602E-3</v>
      </c>
      <c r="F67" s="172">
        <f>表2_367162629303421[[#This Row],[累计净值]]</f>
        <v>1.012</v>
      </c>
      <c r="G67" s="170">
        <f>表2_367162629303421[[#This Row],[累计净值]]/$B$21-1</f>
        <v>6.9651741293532687E-3</v>
      </c>
    </row>
    <row r="68" spans="1:7">
      <c r="A68" s="161">
        <v>43840</v>
      </c>
      <c r="B68" s="162">
        <v>1.0129999999999999</v>
      </c>
      <c r="C68" s="171">
        <f t="shared" si="2"/>
        <v>9.9999999999988987E-4</v>
      </c>
      <c r="D68" s="168" t="str">
        <f t="shared" si="3"/>
        <v>/</v>
      </c>
      <c r="E68" s="168">
        <f ca="1">IF(表2_367162629303421[[#This Row],[累计净值]]/MAX(INDIRECT("B21:B" &amp; ROW()))-1&lt;E67,表2_367162629303421[[#This Row],[累计净值]]/MAX(INDIRECT("B21:B" &amp; ROW()))-1,E67)</f>
        <v>-9.9502487562188602E-3</v>
      </c>
      <c r="F68" s="172">
        <f>表2_367162629303421[[#This Row],[累计净值]]</f>
        <v>1.0129999999999999</v>
      </c>
      <c r="G68" s="170">
        <f>表2_367162629303421[[#This Row],[累计净值]]/$B$21-1</f>
        <v>7.9601990049751326E-3</v>
      </c>
    </row>
    <row r="69" spans="1:7">
      <c r="A69" s="161">
        <v>43843</v>
      </c>
      <c r="B69" s="162">
        <v>1.0149999999999999</v>
      </c>
      <c r="C69" s="171">
        <f t="shared" si="2"/>
        <v>2.0000000000000018E-3</v>
      </c>
      <c r="D69" s="168" t="str">
        <f t="shared" si="3"/>
        <v>/</v>
      </c>
      <c r="E69" s="168">
        <f ca="1">IF(表2_367162629303421[[#This Row],[累计净值]]/MAX(INDIRECT("B21:B" &amp; ROW()))-1&lt;E68,表2_367162629303421[[#This Row],[累计净值]]/MAX(INDIRECT("B21:B" &amp; ROW()))-1,E68)</f>
        <v>-9.9502487562188602E-3</v>
      </c>
      <c r="F69" s="172">
        <f>表2_367162629303421[[#This Row],[累计净值]]</f>
        <v>1.0149999999999999</v>
      </c>
      <c r="G69" s="170">
        <f>表2_367162629303421[[#This Row],[累计净值]]/$B$21-1</f>
        <v>9.9502487562188602E-3</v>
      </c>
    </row>
    <row r="70" spans="1:7">
      <c r="A70" s="161">
        <v>43844</v>
      </c>
      <c r="B70" s="162">
        <v>1.0149999999999999</v>
      </c>
      <c r="C70" s="171">
        <f t="shared" si="2"/>
        <v>0</v>
      </c>
      <c r="D70" s="168" t="str">
        <f t="shared" si="3"/>
        <v>/</v>
      </c>
      <c r="E70" s="168">
        <f ca="1">IF(表2_367162629303421[[#This Row],[累计净值]]/MAX(INDIRECT("B21:B" &amp; ROW()))-1&lt;E69,表2_367162629303421[[#This Row],[累计净值]]/MAX(INDIRECT("B21:B" &amp; ROW()))-1,E69)</f>
        <v>-9.9502487562188602E-3</v>
      </c>
      <c r="F70" s="172">
        <f>表2_367162629303421[[#This Row],[累计净值]]</f>
        <v>1.0149999999999999</v>
      </c>
      <c r="G70" s="170">
        <f>表2_367162629303421[[#This Row],[累计净值]]/$B$21-1</f>
        <v>9.9502487562188602E-3</v>
      </c>
    </row>
    <row r="71" spans="1:7">
      <c r="A71" s="161">
        <v>43845</v>
      </c>
      <c r="B71" s="162">
        <v>1.016</v>
      </c>
      <c r="C71" s="171">
        <f t="shared" si="2"/>
        <v>1.0000000000001119E-3</v>
      </c>
      <c r="D71" s="168" t="str">
        <f t="shared" si="3"/>
        <v>/</v>
      </c>
      <c r="E71" s="168">
        <f ca="1">IF(表2_367162629303421[[#This Row],[累计净值]]/MAX(INDIRECT("B21:B" &amp; ROW()))-1&lt;E70,表2_367162629303421[[#This Row],[累计净值]]/MAX(INDIRECT("B21:B" &amp; ROW()))-1,E70)</f>
        <v>-9.9502487562188602E-3</v>
      </c>
      <c r="F71" s="172">
        <f>表2_367162629303421[[#This Row],[累计净值]]</f>
        <v>1.016</v>
      </c>
      <c r="G71" s="170">
        <f>表2_367162629303421[[#This Row],[累计净值]]/$B$21-1</f>
        <v>1.0945273631840946E-2</v>
      </c>
    </row>
    <row r="72" spans="1:7">
      <c r="A72" s="161">
        <v>43846</v>
      </c>
      <c r="B72" s="162">
        <v>1.018</v>
      </c>
      <c r="C72" s="171">
        <f t="shared" si="2"/>
        <v>2.0000000000000018E-3</v>
      </c>
      <c r="D72" s="168" t="str">
        <f t="shared" si="3"/>
        <v>/</v>
      </c>
      <c r="E72" s="168">
        <f ca="1">IF(表2_367162629303421[[#This Row],[累计净值]]/MAX(INDIRECT("B21:B" &amp; ROW()))-1&lt;E71,表2_367162629303421[[#This Row],[累计净值]]/MAX(INDIRECT("B21:B" &amp; ROW()))-1,E71)</f>
        <v>-9.9502487562188602E-3</v>
      </c>
      <c r="F72" s="172">
        <f>表2_367162629303421[[#This Row],[累计净值]]</f>
        <v>1.018</v>
      </c>
      <c r="G72" s="170">
        <f>表2_367162629303421[[#This Row],[累计净值]]/$B$21-1</f>
        <v>1.2935323383084674E-2</v>
      </c>
    </row>
    <row r="73" spans="1:7">
      <c r="A73" s="161">
        <v>43847</v>
      </c>
      <c r="B73" s="162">
        <v>1.0169999999999999</v>
      </c>
      <c r="C73" s="171">
        <f t="shared" si="2"/>
        <v>-1.0000000000001119E-3</v>
      </c>
      <c r="D73" s="168">
        <f t="shared" si="3"/>
        <v>-1.0000000000001119E-3</v>
      </c>
      <c r="E73" s="168">
        <f ca="1">IF(表2_367162629303421[[#This Row],[累计净值]]/MAX(INDIRECT("B21:B" &amp; ROW()))-1&lt;E72,表2_367162629303421[[#This Row],[累计净值]]/MAX(INDIRECT("B21:B" &amp; ROW()))-1,E72)</f>
        <v>-9.9502487562188602E-3</v>
      </c>
      <c r="F73" s="172">
        <f>表2_367162629303421[[#This Row],[累计净值]]</f>
        <v>1.0169999999999999</v>
      </c>
      <c r="G73" s="170">
        <f>表2_367162629303421[[#This Row],[累计净值]]/$B$21-1</f>
        <v>1.1940298507462588E-2</v>
      </c>
    </row>
    <row r="74" spans="1:7">
      <c r="A74" s="161">
        <v>43850</v>
      </c>
      <c r="B74" s="162">
        <v>1.0189999999999999</v>
      </c>
      <c r="C74" s="171">
        <f t="shared" si="2"/>
        <v>2.0000000000000018E-3</v>
      </c>
      <c r="D74" s="168" t="str">
        <f t="shared" si="3"/>
        <v>/</v>
      </c>
      <c r="E74" s="168">
        <f ca="1">IF(表2_367162629303421[[#This Row],[累计净值]]/MAX(INDIRECT("B21:B" &amp; ROW()))-1&lt;E73,表2_367162629303421[[#This Row],[累计净值]]/MAX(INDIRECT("B21:B" &amp; ROW()))-1,E73)</f>
        <v>-9.9502487562188602E-3</v>
      </c>
      <c r="F74" s="172">
        <f>表2_367162629303421[[#This Row],[累计净值]]</f>
        <v>1.0189999999999999</v>
      </c>
      <c r="G74" s="170">
        <f>表2_367162629303421[[#This Row],[累计净值]]/$B$21-1</f>
        <v>1.3930348258706537E-2</v>
      </c>
    </row>
    <row r="75" spans="1:7">
      <c r="A75" s="161">
        <v>43851</v>
      </c>
      <c r="B75" s="162">
        <v>1.0189999999999999</v>
      </c>
      <c r="C75" s="171">
        <f t="shared" si="2"/>
        <v>0</v>
      </c>
      <c r="D75" s="168" t="str">
        <f t="shared" si="3"/>
        <v>/</v>
      </c>
      <c r="E75" s="168">
        <f ca="1">IF(表2_367162629303421[[#This Row],[累计净值]]/MAX(INDIRECT("B21:B" &amp; ROW()))-1&lt;E74,表2_367162629303421[[#This Row],[累计净值]]/MAX(INDIRECT("B21:B" &amp; ROW()))-1,E74)</f>
        <v>-9.9502487562188602E-3</v>
      </c>
      <c r="F75" s="172">
        <f>表2_367162629303421[[#This Row],[累计净值]]</f>
        <v>1.0189999999999999</v>
      </c>
      <c r="G75" s="170">
        <f>表2_367162629303421[[#This Row],[累计净值]]/$B$21-1</f>
        <v>1.3930348258706537E-2</v>
      </c>
    </row>
    <row r="76" spans="1:7">
      <c r="A76" s="161">
        <v>43852</v>
      </c>
      <c r="B76" s="162">
        <v>1.02</v>
      </c>
      <c r="C76" s="171">
        <f t="shared" si="2"/>
        <v>1.0000000000001119E-3</v>
      </c>
      <c r="D76" s="168" t="str">
        <f t="shared" si="3"/>
        <v>/</v>
      </c>
      <c r="E76" s="168">
        <f ca="1">IF(表2_367162629303421[[#This Row],[累计净值]]/MAX(INDIRECT("B21:B" &amp; ROW()))-1&lt;E75,表2_367162629303421[[#This Row],[累计净值]]/MAX(INDIRECT("B21:B" &amp; ROW()))-1,E75)</f>
        <v>-9.9502487562188602E-3</v>
      </c>
      <c r="F76" s="172">
        <f>表2_367162629303421[[#This Row],[累计净值]]</f>
        <v>1.02</v>
      </c>
      <c r="G76" s="170">
        <f>表2_367162629303421[[#This Row],[累计净值]]/$B$21-1</f>
        <v>1.4925373134328401E-2</v>
      </c>
    </row>
    <row r="77" spans="1:7">
      <c r="A77" s="161">
        <v>43853</v>
      </c>
      <c r="B77" s="162">
        <v>1.022</v>
      </c>
      <c r="C77" s="171">
        <f t="shared" si="2"/>
        <v>2.0000000000000018E-3</v>
      </c>
      <c r="D77" s="168" t="str">
        <f t="shared" si="3"/>
        <v>/</v>
      </c>
      <c r="E77" s="168">
        <f ca="1">IF(表2_367162629303421[[#This Row],[累计净值]]/MAX(INDIRECT("B21:B" &amp; ROW()))-1&lt;E76,表2_367162629303421[[#This Row],[累计净值]]/MAX(INDIRECT("B21:B" &amp; ROW()))-1,E76)</f>
        <v>-9.9502487562188602E-3</v>
      </c>
      <c r="F77" s="172">
        <f>表2_367162629303421[[#This Row],[累计净值]]</f>
        <v>1.022</v>
      </c>
      <c r="G77" s="170">
        <f>表2_367162629303421[[#This Row],[累计净值]]/$B$21-1</f>
        <v>1.6915422885572351E-2</v>
      </c>
    </row>
    <row r="78" spans="1:7">
      <c r="A78" s="161">
        <v>43864</v>
      </c>
      <c r="B78" s="162">
        <v>1.022</v>
      </c>
      <c r="C78" s="171">
        <f t="shared" si="2"/>
        <v>0</v>
      </c>
      <c r="D78" s="168" t="str">
        <f t="shared" si="3"/>
        <v>/</v>
      </c>
      <c r="E78" s="168">
        <f ca="1">IF(表2_367162629303421[[#This Row],[累计净值]]/MAX(INDIRECT("B21:B" &amp; ROW()))-1&lt;E77,表2_367162629303421[[#This Row],[累计净值]]/MAX(INDIRECT("B21:B" &amp; ROW()))-1,E77)</f>
        <v>-9.9502487562188602E-3</v>
      </c>
      <c r="F78" s="172">
        <f>表2_367162629303421[[#This Row],[累计净值]]</f>
        <v>1.022</v>
      </c>
      <c r="G78" s="170">
        <f>表2_367162629303421[[#This Row],[累计净值]]/$B$21-1</f>
        <v>1.6915422885572351E-2</v>
      </c>
    </row>
    <row r="79" spans="1:7">
      <c r="A79" s="161">
        <v>43865</v>
      </c>
      <c r="B79" s="162">
        <v>1.022</v>
      </c>
      <c r="C79" s="171">
        <f t="shared" si="2"/>
        <v>0</v>
      </c>
      <c r="D79" s="168" t="str">
        <f t="shared" si="3"/>
        <v>/</v>
      </c>
      <c r="E79" s="168">
        <f ca="1">IF(表2_367162629303421[[#This Row],[累计净值]]/MAX(INDIRECT("B21:B" &amp; ROW()))-1&lt;E78,表2_367162629303421[[#This Row],[累计净值]]/MAX(INDIRECT("B21:B" &amp; ROW()))-1,E78)</f>
        <v>-9.9502487562188602E-3</v>
      </c>
      <c r="F79" s="172">
        <f>表2_367162629303421[[#This Row],[累计净值]]</f>
        <v>1.022</v>
      </c>
      <c r="G79" s="170">
        <f>表2_367162629303421[[#This Row],[累计净值]]/$B$21-1</f>
        <v>1.6915422885572351E-2</v>
      </c>
    </row>
    <row r="80" spans="1:7">
      <c r="A80" s="161">
        <v>43866</v>
      </c>
      <c r="B80" s="162">
        <v>1.022</v>
      </c>
      <c r="C80" s="171">
        <f t="shared" si="2"/>
        <v>0</v>
      </c>
      <c r="D80" s="168" t="str">
        <f t="shared" si="3"/>
        <v>/</v>
      </c>
      <c r="E80" s="168">
        <f ca="1">IF(表2_367162629303421[[#This Row],[累计净值]]/MAX(INDIRECT("B21:B" &amp; ROW()))-1&lt;E79,表2_367162629303421[[#This Row],[累计净值]]/MAX(INDIRECT("B21:B" &amp; ROW()))-1,E79)</f>
        <v>-9.9502487562188602E-3</v>
      </c>
      <c r="F80" s="172">
        <f>表2_367162629303421[[#This Row],[累计净值]]</f>
        <v>1.022</v>
      </c>
      <c r="G80" s="170">
        <f>表2_367162629303421[[#This Row],[累计净值]]/$B$21-1</f>
        <v>1.6915422885572351E-2</v>
      </c>
    </row>
    <row r="81" spans="1:7">
      <c r="A81" s="161">
        <v>43867</v>
      </c>
      <c r="B81" s="162">
        <v>1.0229999999999999</v>
      </c>
      <c r="C81" s="171">
        <f t="shared" si="2"/>
        <v>9.9999999999988987E-4</v>
      </c>
      <c r="D81" s="168" t="str">
        <f t="shared" si="3"/>
        <v>/</v>
      </c>
      <c r="E81" s="168">
        <f ca="1">IF(表2_367162629303421[[#This Row],[累计净值]]/MAX(INDIRECT("B21:B" &amp; ROW()))-1&lt;E80,表2_367162629303421[[#This Row],[累计净值]]/MAX(INDIRECT("B21:B" &amp; ROW()))-1,E80)</f>
        <v>-9.9502487562188602E-3</v>
      </c>
      <c r="F81" s="172">
        <f>表2_367162629303421[[#This Row],[累计净值]]</f>
        <v>1.0229999999999999</v>
      </c>
      <c r="G81" s="170">
        <f>表2_367162629303421[[#This Row],[累计净值]]/$B$21-1</f>
        <v>1.7910447761193993E-2</v>
      </c>
    </row>
    <row r="82" spans="1:7">
      <c r="A82" s="161">
        <v>43868</v>
      </c>
      <c r="B82" s="162">
        <v>1.022</v>
      </c>
      <c r="C82" s="171">
        <f t="shared" si="2"/>
        <v>-9.9999999999988987E-4</v>
      </c>
      <c r="D82" s="168">
        <f t="shared" si="3"/>
        <v>-9.9999999999988987E-4</v>
      </c>
      <c r="E82" s="168">
        <f ca="1">IF(表2_367162629303421[[#This Row],[累计净值]]/MAX(INDIRECT("B21:B" &amp; ROW()))-1&lt;E81,表2_367162629303421[[#This Row],[累计净值]]/MAX(INDIRECT("B21:B" &amp; ROW()))-1,E81)</f>
        <v>-9.9502487562188602E-3</v>
      </c>
      <c r="F82" s="172">
        <f>表2_367162629303421[[#This Row],[累计净值]]</f>
        <v>1.022</v>
      </c>
      <c r="G82" s="170">
        <f>表2_367162629303421[[#This Row],[累计净值]]/$B$21-1</f>
        <v>1.6915422885572351E-2</v>
      </c>
    </row>
    <row r="83" spans="1:7">
      <c r="A83" s="161">
        <v>43871</v>
      </c>
      <c r="B83" s="162">
        <v>1.0209999999999999</v>
      </c>
      <c r="C83" s="171">
        <f t="shared" si="2"/>
        <v>-1.0000000000001119E-3</v>
      </c>
      <c r="D83" s="168">
        <f t="shared" si="3"/>
        <v>-1.0000000000001119E-3</v>
      </c>
      <c r="E83" s="168">
        <f ca="1">IF(表2_367162629303421[[#This Row],[累计净值]]/MAX(INDIRECT("B21:B" &amp; ROW()))-1&lt;E82,表2_367162629303421[[#This Row],[累计净值]]/MAX(INDIRECT("B21:B" &amp; ROW()))-1,E82)</f>
        <v>-9.9502487562188602E-3</v>
      </c>
      <c r="F83" s="172">
        <f>表2_367162629303421[[#This Row],[累计净值]]</f>
        <v>1.0209999999999999</v>
      </c>
      <c r="G83" s="170">
        <f>表2_367162629303421[[#This Row],[累计净值]]/$B$21-1</f>
        <v>1.5920398009950265E-2</v>
      </c>
    </row>
    <row r="84" spans="1:7">
      <c r="A84" s="161">
        <v>43872</v>
      </c>
      <c r="B84" s="162">
        <v>1.024</v>
      </c>
      <c r="C84" s="171">
        <f t="shared" si="2"/>
        <v>3.0000000000001137E-3</v>
      </c>
      <c r="D84" s="168" t="str">
        <f t="shared" si="3"/>
        <v>/</v>
      </c>
      <c r="E84" s="168">
        <f ca="1">IF(表2_367162629303421[[#This Row],[累计净值]]/MAX(INDIRECT("B21:B" &amp; ROW()))-1&lt;E83,表2_367162629303421[[#This Row],[累计净值]]/MAX(INDIRECT("B21:B" &amp; ROW()))-1,E83)</f>
        <v>-9.9502487562188602E-3</v>
      </c>
      <c r="F84" s="172">
        <f>表2_367162629303421[[#This Row],[累计净值]]</f>
        <v>1.024</v>
      </c>
      <c r="G84" s="170">
        <f>表2_367162629303421[[#This Row],[累计净值]]/$B$21-1</f>
        <v>1.8905472636816079E-2</v>
      </c>
    </row>
    <row r="85" spans="1:7">
      <c r="A85" s="161">
        <v>43873</v>
      </c>
      <c r="B85" s="162">
        <v>1.026</v>
      </c>
      <c r="C85" s="171">
        <f t="shared" si="2"/>
        <v>2.0000000000000018E-3</v>
      </c>
      <c r="D85" s="168" t="str">
        <f t="shared" si="3"/>
        <v>/</v>
      </c>
      <c r="E85" s="168">
        <f ca="1">IF(表2_367162629303421[[#This Row],[累计净值]]/MAX(INDIRECT("B21:B" &amp; ROW()))-1&lt;E84,表2_367162629303421[[#This Row],[累计净值]]/MAX(INDIRECT("B21:B" &amp; ROW()))-1,E84)</f>
        <v>-9.9502487562188602E-3</v>
      </c>
      <c r="F85" s="172">
        <f>表2_367162629303421[[#This Row],[累计净值]]</f>
        <v>1.026</v>
      </c>
      <c r="G85" s="170">
        <f>表2_367162629303421[[#This Row],[累计净值]]/$B$21-1</f>
        <v>2.0895522388059806E-2</v>
      </c>
    </row>
    <row r="86" spans="1:7">
      <c r="A86" s="161">
        <v>43874</v>
      </c>
      <c r="B86" s="162">
        <v>1.0249999999999999</v>
      </c>
      <c r="C86" s="171">
        <f t="shared" si="2"/>
        <v>-1.0000000000001119E-3</v>
      </c>
      <c r="D86" s="168">
        <f t="shared" si="3"/>
        <v>-1.0000000000001119E-3</v>
      </c>
      <c r="E86" s="168">
        <f ca="1">IF(表2_367162629303421[[#This Row],[累计净值]]/MAX(INDIRECT("B21:B" &amp; ROW()))-1&lt;E85,表2_367162629303421[[#This Row],[累计净值]]/MAX(INDIRECT("B21:B" &amp; ROW()))-1,E85)</f>
        <v>-9.9502487562188602E-3</v>
      </c>
      <c r="F86" s="172">
        <f>表2_367162629303421[[#This Row],[累计净值]]</f>
        <v>1.0249999999999999</v>
      </c>
      <c r="G86" s="170">
        <f>表2_367162629303421[[#This Row],[累计净值]]/$B$21-1</f>
        <v>1.990049751243772E-2</v>
      </c>
    </row>
    <row r="87" spans="1:7">
      <c r="A87" s="161">
        <v>43875</v>
      </c>
      <c r="B87" s="162">
        <v>1.022</v>
      </c>
      <c r="C87" s="171">
        <f t="shared" si="2"/>
        <v>-2.9999999999998916E-3</v>
      </c>
      <c r="D87" s="168">
        <f t="shared" si="3"/>
        <v>-2.9999999999998916E-3</v>
      </c>
      <c r="E87" s="168">
        <f ca="1">IF(表2_367162629303421[[#This Row],[累计净值]]/MAX(INDIRECT("B21:B" &amp; ROW()))-1&lt;E86,表2_367162629303421[[#This Row],[累计净值]]/MAX(INDIRECT("B21:B" &amp; ROW()))-1,E86)</f>
        <v>-9.9502487562188602E-3</v>
      </c>
      <c r="F87" s="172">
        <f>表2_367162629303421[[#This Row],[累计净值]]</f>
        <v>1.022</v>
      </c>
      <c r="G87" s="170">
        <f>表2_367162629303421[[#This Row],[累计净值]]/$B$21-1</f>
        <v>1.6915422885572351E-2</v>
      </c>
    </row>
    <row r="88" spans="1:7">
      <c r="A88" s="161">
        <v>43878</v>
      </c>
      <c r="B88" s="162">
        <v>1.0209999999999999</v>
      </c>
      <c r="C88" s="171">
        <f t="shared" si="2"/>
        <v>-1.0000000000001119E-3</v>
      </c>
      <c r="D88" s="168">
        <f t="shared" si="3"/>
        <v>-1.0000000000001119E-3</v>
      </c>
      <c r="E88" s="168">
        <f ca="1">IF(表2_367162629303421[[#This Row],[累计净值]]/MAX(INDIRECT("B21:B" &amp; ROW()))-1&lt;E87,表2_367162629303421[[#This Row],[累计净值]]/MAX(INDIRECT("B21:B" &amp; ROW()))-1,E87)</f>
        <v>-9.9502487562188602E-3</v>
      </c>
      <c r="F88" s="172">
        <f>表2_367162629303421[[#This Row],[累计净值]]</f>
        <v>1.0209999999999999</v>
      </c>
      <c r="G88" s="170">
        <f>表2_367162629303421[[#This Row],[累计净值]]/$B$21-1</f>
        <v>1.5920398009950265E-2</v>
      </c>
    </row>
    <row r="89" spans="1:7">
      <c r="A89" s="161">
        <v>43879</v>
      </c>
      <c r="B89" s="162">
        <v>1.0209999999999999</v>
      </c>
      <c r="C89" s="171">
        <f t="shared" si="2"/>
        <v>0</v>
      </c>
      <c r="D89" s="168" t="str">
        <f t="shared" si="3"/>
        <v>/</v>
      </c>
      <c r="E89" s="168">
        <f ca="1">IF(表2_367162629303421[[#This Row],[累计净值]]/MAX(INDIRECT("B21:B" &amp; ROW()))-1&lt;E88,表2_367162629303421[[#This Row],[累计净值]]/MAX(INDIRECT("B21:B" &amp; ROW()))-1,E88)</f>
        <v>-9.9502487562188602E-3</v>
      </c>
      <c r="F89" s="172">
        <f>表2_367162629303421[[#This Row],[累计净值]]</f>
        <v>1.0209999999999999</v>
      </c>
      <c r="G89" s="170">
        <f>表2_367162629303421[[#This Row],[累计净值]]/$B$21-1</f>
        <v>1.5920398009950265E-2</v>
      </c>
    </row>
    <row r="90" spans="1:7">
      <c r="A90" s="161">
        <v>43880</v>
      </c>
      <c r="B90" s="162">
        <v>1.024</v>
      </c>
      <c r="C90" s="171">
        <f t="shared" si="2"/>
        <v>3.0000000000001137E-3</v>
      </c>
      <c r="D90" s="168" t="str">
        <f t="shared" si="3"/>
        <v>/</v>
      </c>
      <c r="E90" s="168">
        <f ca="1">IF(表2_367162629303421[[#This Row],[累计净值]]/MAX(INDIRECT("B21:B" &amp; ROW()))-1&lt;E89,表2_367162629303421[[#This Row],[累计净值]]/MAX(INDIRECT("B21:B" &amp; ROW()))-1,E89)</f>
        <v>-9.9502487562188602E-3</v>
      </c>
      <c r="F90" s="172">
        <f>表2_367162629303421[[#This Row],[累计净值]]</f>
        <v>1.024</v>
      </c>
      <c r="G90" s="170">
        <f>表2_367162629303421[[#This Row],[累计净值]]/$B$21-1</f>
        <v>1.8905472636816079E-2</v>
      </c>
    </row>
    <row r="91" spans="1:7">
      <c r="A91" s="161">
        <v>43881</v>
      </c>
      <c r="B91" s="162">
        <v>1.0249999999999999</v>
      </c>
      <c r="C91" s="171">
        <f t="shared" si="2"/>
        <v>9.9999999999988987E-4</v>
      </c>
      <c r="D91" s="168" t="str">
        <f t="shared" si="3"/>
        <v>/</v>
      </c>
      <c r="E91" s="168">
        <f ca="1">IF(表2_367162629303421[[#This Row],[累计净值]]/MAX(INDIRECT("B21:B" &amp; ROW()))-1&lt;E90,表2_367162629303421[[#This Row],[累计净值]]/MAX(INDIRECT("B21:B" &amp; ROW()))-1,E90)</f>
        <v>-9.9502487562188602E-3</v>
      </c>
      <c r="F91" s="172">
        <f>表2_367162629303421[[#This Row],[累计净值]]</f>
        <v>1.0249999999999999</v>
      </c>
      <c r="G91" s="170">
        <f>表2_367162629303421[[#This Row],[累计净值]]/$B$21-1</f>
        <v>1.990049751243772E-2</v>
      </c>
    </row>
    <row r="92" spans="1:7">
      <c r="A92" s="161">
        <v>43882</v>
      </c>
      <c r="B92" s="162">
        <v>1.028</v>
      </c>
      <c r="C92" s="171">
        <f t="shared" si="2"/>
        <v>3.0000000000001137E-3</v>
      </c>
      <c r="D92" s="168" t="str">
        <f t="shared" si="3"/>
        <v>/</v>
      </c>
      <c r="E92" s="168">
        <f ca="1">IF(表2_367162629303421[[#This Row],[累计净值]]/MAX(INDIRECT("B21:B" &amp; ROW()))-1&lt;E91,表2_367162629303421[[#This Row],[累计净值]]/MAX(INDIRECT("B21:B" &amp; ROW()))-1,E91)</f>
        <v>-9.9502487562188602E-3</v>
      </c>
      <c r="F92" s="172">
        <f>表2_367162629303421[[#This Row],[累计净值]]</f>
        <v>1.028</v>
      </c>
      <c r="G92" s="170">
        <f>表2_367162629303421[[#This Row],[累计净值]]/$B$21-1</f>
        <v>2.2885572139303534E-2</v>
      </c>
    </row>
    <row r="93" spans="1:7">
      <c r="A93" s="161">
        <v>43885</v>
      </c>
      <c r="B93" s="162">
        <v>1.0269999999999999</v>
      </c>
      <c r="C93" s="171">
        <f t="shared" si="2"/>
        <v>-1.0000000000001119E-3</v>
      </c>
      <c r="D93" s="168">
        <f t="shared" si="3"/>
        <v>-1.0000000000001119E-3</v>
      </c>
      <c r="E93" s="168">
        <f ca="1">IF(表2_367162629303421[[#This Row],[累计净值]]/MAX(INDIRECT("B21:B" &amp; ROW()))-1&lt;E92,表2_367162629303421[[#This Row],[累计净值]]/MAX(INDIRECT("B21:B" &amp; ROW()))-1,E92)</f>
        <v>-9.9502487562188602E-3</v>
      </c>
      <c r="F93" s="172">
        <f>表2_367162629303421[[#This Row],[累计净值]]</f>
        <v>1.0269999999999999</v>
      </c>
      <c r="G93" s="170">
        <f>表2_367162629303421[[#This Row],[累计净值]]/$B$21-1</f>
        <v>2.189054726368167E-2</v>
      </c>
    </row>
    <row r="94" spans="1:7">
      <c r="A94" s="161">
        <v>43886</v>
      </c>
      <c r="B94" s="162">
        <v>1.028</v>
      </c>
      <c r="C94" s="171">
        <f t="shared" si="2"/>
        <v>1.0000000000001119E-3</v>
      </c>
      <c r="D94" s="168" t="str">
        <f t="shared" si="3"/>
        <v>/</v>
      </c>
      <c r="E94" s="168">
        <f ca="1">IF(表2_367162629303421[[#This Row],[累计净值]]/MAX(INDIRECT("B21:B" &amp; ROW()))-1&lt;E93,表2_367162629303421[[#This Row],[累计净值]]/MAX(INDIRECT("B21:B" &amp; ROW()))-1,E93)</f>
        <v>-9.9502487562188602E-3</v>
      </c>
      <c r="F94" s="172">
        <f>表2_367162629303421[[#This Row],[累计净值]]</f>
        <v>1.028</v>
      </c>
      <c r="G94" s="170">
        <f>表2_367162629303421[[#This Row],[累计净值]]/$B$21-1</f>
        <v>2.2885572139303534E-2</v>
      </c>
    </row>
    <row r="95" spans="1:7">
      <c r="A95" s="161">
        <v>43887</v>
      </c>
      <c r="B95" s="162">
        <v>1.03</v>
      </c>
      <c r="C95" s="171">
        <f t="shared" si="2"/>
        <v>2.0000000000000018E-3</v>
      </c>
      <c r="D95" s="168" t="str">
        <f t="shared" si="3"/>
        <v>/</v>
      </c>
      <c r="E95" s="168">
        <f ca="1">IF(表2_367162629303421[[#This Row],[累计净值]]/MAX(INDIRECT("B21:B" &amp; ROW()))-1&lt;E94,表2_367162629303421[[#This Row],[累计净值]]/MAX(INDIRECT("B21:B" &amp; ROW()))-1,E94)</f>
        <v>-9.9502487562188602E-3</v>
      </c>
      <c r="F95" s="172">
        <f>表2_367162629303421[[#This Row],[累计净值]]</f>
        <v>1.03</v>
      </c>
      <c r="G95" s="170">
        <f>表2_367162629303421[[#This Row],[累计净值]]/$B$21-1</f>
        <v>2.4875621890547484E-2</v>
      </c>
    </row>
    <row r="96" spans="1:7">
      <c r="A96" s="161">
        <v>43888</v>
      </c>
      <c r="B96" s="162">
        <v>1.028</v>
      </c>
      <c r="C96" s="171">
        <f t="shared" si="2"/>
        <v>-2.0000000000000018E-3</v>
      </c>
      <c r="D96" s="168">
        <f t="shared" si="3"/>
        <v>-2.0000000000000018E-3</v>
      </c>
      <c r="E96" s="168">
        <f ca="1">IF(表2_367162629303421[[#This Row],[累计净值]]/MAX(INDIRECT("B21:B" &amp; ROW()))-1&lt;E95,表2_367162629303421[[#This Row],[累计净值]]/MAX(INDIRECT("B21:B" &amp; ROW()))-1,E95)</f>
        <v>-9.9502487562188602E-3</v>
      </c>
      <c r="F96" s="172">
        <f>表2_367162629303421[[#This Row],[累计净值]]</f>
        <v>1.028</v>
      </c>
      <c r="G96" s="170">
        <f>表2_367162629303421[[#This Row],[累计净值]]/$B$21-1</f>
        <v>2.2885572139303534E-2</v>
      </c>
    </row>
    <row r="97" spans="1:7">
      <c r="A97" s="161">
        <v>43889</v>
      </c>
      <c r="B97" s="162">
        <v>1.026</v>
      </c>
      <c r="C97" s="171">
        <f t="shared" si="2"/>
        <v>-2.0000000000000018E-3</v>
      </c>
      <c r="D97" s="168">
        <f t="shared" si="3"/>
        <v>-2.0000000000000018E-3</v>
      </c>
      <c r="E97" s="168">
        <f ca="1">IF(表2_367162629303421[[#This Row],[累计净值]]/MAX(INDIRECT("B21:B" &amp; ROW()))-1&lt;E96,表2_367162629303421[[#This Row],[累计净值]]/MAX(INDIRECT("B21:B" &amp; ROW()))-1,E96)</f>
        <v>-9.9502487562188602E-3</v>
      </c>
      <c r="F97" s="172">
        <f>表2_367162629303421[[#This Row],[累计净值]]</f>
        <v>1.026</v>
      </c>
      <c r="G97" s="170">
        <f>表2_367162629303421[[#This Row],[累计净值]]/$B$21-1</f>
        <v>2.0895522388059806E-2</v>
      </c>
    </row>
    <row r="98" spans="1:7">
      <c r="A98" s="161">
        <v>43892</v>
      </c>
      <c r="B98" s="162">
        <v>1.0269999999999999</v>
      </c>
      <c r="C98" s="171">
        <f t="shared" si="2"/>
        <v>9.9999999999988987E-4</v>
      </c>
      <c r="D98" s="168" t="str">
        <f t="shared" si="3"/>
        <v>/</v>
      </c>
      <c r="E98" s="168">
        <f ca="1">IF(表2_367162629303421[[#This Row],[累计净值]]/MAX(INDIRECT("B21:B" &amp; ROW()))-1&lt;E97,表2_367162629303421[[#This Row],[累计净值]]/MAX(INDIRECT("B21:B" &amp; ROW()))-1,E97)</f>
        <v>-9.9502487562188602E-3</v>
      </c>
      <c r="F98" s="172">
        <f>表2_367162629303421[[#This Row],[累计净值]]</f>
        <v>1.0269999999999999</v>
      </c>
      <c r="G98" s="170">
        <f>表2_367162629303421[[#This Row],[累计净值]]/$B$21-1</f>
        <v>2.189054726368167E-2</v>
      </c>
    </row>
    <row r="99" spans="1:7">
      <c r="A99" s="161">
        <v>43893</v>
      </c>
      <c r="B99" s="162">
        <v>1.026</v>
      </c>
      <c r="C99" s="171">
        <f t="shared" si="2"/>
        <v>-9.9999999999988987E-4</v>
      </c>
      <c r="D99" s="168">
        <f t="shared" si="3"/>
        <v>-9.9999999999988987E-4</v>
      </c>
      <c r="E99" s="168">
        <f ca="1">IF(表2_367162629303421[[#This Row],[累计净值]]/MAX(INDIRECT("B21:B" &amp; ROW()))-1&lt;E98,表2_367162629303421[[#This Row],[累计净值]]/MAX(INDIRECT("B21:B" &amp; ROW()))-1,E98)</f>
        <v>-9.9502487562188602E-3</v>
      </c>
      <c r="F99" s="172">
        <f>表2_367162629303421[[#This Row],[累计净值]]</f>
        <v>1.026</v>
      </c>
      <c r="G99" s="170">
        <f>表2_367162629303421[[#This Row],[累计净值]]/$B$21-1</f>
        <v>2.0895522388059806E-2</v>
      </c>
    </row>
    <row r="100" spans="1:7">
      <c r="A100" s="161">
        <v>43894</v>
      </c>
      <c r="B100" s="162">
        <v>1.0269999999999999</v>
      </c>
      <c r="C100" s="171">
        <f t="shared" si="2"/>
        <v>9.9999999999988987E-4</v>
      </c>
      <c r="D100" s="168" t="str">
        <f t="shared" si="3"/>
        <v>/</v>
      </c>
      <c r="E100" s="168">
        <f ca="1">IF(表2_367162629303421[[#This Row],[累计净值]]/MAX(INDIRECT("B21:B" &amp; ROW()))-1&lt;E99,表2_367162629303421[[#This Row],[累计净值]]/MAX(INDIRECT("B21:B" &amp; ROW()))-1,E99)</f>
        <v>-9.9502487562188602E-3</v>
      </c>
      <c r="F100" s="172">
        <f>表2_367162629303421[[#This Row],[累计净值]]</f>
        <v>1.0269999999999999</v>
      </c>
      <c r="G100" s="170">
        <f>表2_367162629303421[[#This Row],[累计净值]]/$B$21-1</f>
        <v>2.189054726368167E-2</v>
      </c>
    </row>
    <row r="101" spans="1:7">
      <c r="A101" s="161">
        <v>43895</v>
      </c>
      <c r="B101" s="162">
        <v>1.03</v>
      </c>
      <c r="C101" s="171">
        <f t="shared" si="2"/>
        <v>3.0000000000001137E-3</v>
      </c>
      <c r="D101" s="168" t="str">
        <f t="shared" si="3"/>
        <v>/</v>
      </c>
      <c r="E101" s="168">
        <f ca="1">IF(表2_367162629303421[[#This Row],[累计净值]]/MAX(INDIRECT("B21:B" &amp; ROW()))-1&lt;E100,表2_367162629303421[[#This Row],[累计净值]]/MAX(INDIRECT("B21:B" &amp; ROW()))-1,E100)</f>
        <v>-9.9502487562188602E-3</v>
      </c>
      <c r="F101" s="172">
        <f>表2_367162629303421[[#This Row],[累计净值]]</f>
        <v>1.03</v>
      </c>
      <c r="G101" s="170">
        <f>表2_367162629303421[[#This Row],[累计净值]]/$B$21-1</f>
        <v>2.4875621890547484E-2</v>
      </c>
    </row>
    <row r="102" spans="1:7">
      <c r="A102" s="161">
        <v>43896</v>
      </c>
      <c r="B102" s="162">
        <v>1.0309999999999999</v>
      </c>
      <c r="C102" s="171">
        <f t="shared" si="2"/>
        <v>9.9999999999988987E-4</v>
      </c>
      <c r="D102" s="168" t="str">
        <f t="shared" si="3"/>
        <v>/</v>
      </c>
      <c r="E102" s="168">
        <f ca="1">IF(表2_367162629303421[[#This Row],[累计净值]]/MAX(INDIRECT("B21:B" &amp; ROW()))-1&lt;E101,表2_367162629303421[[#This Row],[累计净值]]/MAX(INDIRECT("B21:B" &amp; ROW()))-1,E101)</f>
        <v>-9.9502487562188602E-3</v>
      </c>
      <c r="F102" s="172">
        <f>表2_367162629303421[[#This Row],[累计净值]]</f>
        <v>1.0309999999999999</v>
      </c>
      <c r="G102" s="170">
        <f>表2_367162629303421[[#This Row],[累计净值]]/$B$21-1</f>
        <v>2.5870646766169125E-2</v>
      </c>
    </row>
    <row r="103" spans="1:7">
      <c r="A103" s="161">
        <v>43899</v>
      </c>
      <c r="B103" s="162">
        <v>1.0309999999999999</v>
      </c>
      <c r="C103" s="171">
        <f t="shared" si="2"/>
        <v>0</v>
      </c>
      <c r="D103" s="168" t="str">
        <f t="shared" si="3"/>
        <v>/</v>
      </c>
      <c r="E103" s="168">
        <f ca="1">IF(表2_367162629303421[[#This Row],[累计净值]]/MAX(INDIRECT("B21:B" &amp; ROW()))-1&lt;E102,表2_367162629303421[[#This Row],[累计净值]]/MAX(INDIRECT("B21:B" &amp; ROW()))-1,E102)</f>
        <v>-9.9502487562188602E-3</v>
      </c>
      <c r="F103" s="172">
        <f>表2_367162629303421[[#This Row],[累计净值]]</f>
        <v>1.0309999999999999</v>
      </c>
      <c r="G103" s="170">
        <f>表2_367162629303421[[#This Row],[累计净值]]/$B$21-1</f>
        <v>2.5870646766169125E-2</v>
      </c>
    </row>
    <row r="104" spans="1:7">
      <c r="A104" s="161">
        <v>43900</v>
      </c>
      <c r="B104" s="162">
        <v>1.034</v>
      </c>
      <c r="C104" s="171">
        <f t="shared" si="2"/>
        <v>3.0000000000001137E-3</v>
      </c>
      <c r="D104" s="168" t="str">
        <f t="shared" si="3"/>
        <v>/</v>
      </c>
      <c r="E104" s="168">
        <f ca="1">IF(表2_367162629303421[[#This Row],[累计净值]]/MAX(INDIRECT("B21:B" &amp; ROW()))-1&lt;E103,表2_367162629303421[[#This Row],[累计净值]]/MAX(INDIRECT("B21:B" &amp; ROW()))-1,E103)</f>
        <v>-9.9502487562188602E-3</v>
      </c>
      <c r="F104" s="172">
        <f>表2_367162629303421[[#This Row],[累计净值]]</f>
        <v>1.034</v>
      </c>
      <c r="G104" s="170">
        <f>表2_367162629303421[[#This Row],[累计净值]]/$B$21-1</f>
        <v>2.8855721393034939E-2</v>
      </c>
    </row>
    <row r="105" spans="1:7">
      <c r="A105" s="161">
        <v>43901</v>
      </c>
      <c r="B105" s="162">
        <v>1.036</v>
      </c>
      <c r="C105" s="171">
        <f t="shared" si="2"/>
        <v>2.0000000000000018E-3</v>
      </c>
      <c r="D105" s="168" t="str">
        <f t="shared" si="3"/>
        <v>/</v>
      </c>
      <c r="E105" s="168">
        <f ca="1">IF(表2_367162629303421[[#This Row],[累计净值]]/MAX(INDIRECT("B21:B" &amp; ROW()))-1&lt;E104,表2_367162629303421[[#This Row],[累计净值]]/MAX(INDIRECT("B21:B" &amp; ROW()))-1,E104)</f>
        <v>-9.9502487562188602E-3</v>
      </c>
      <c r="F105" s="172">
        <f>表2_367162629303421[[#This Row],[累计净值]]</f>
        <v>1.036</v>
      </c>
      <c r="G105" s="170">
        <f>表2_367162629303421[[#This Row],[累计净值]]/$B$21-1</f>
        <v>3.0845771144278666E-2</v>
      </c>
    </row>
    <row r="106" spans="1:7">
      <c r="A106" s="161">
        <v>43902</v>
      </c>
      <c r="B106" s="162">
        <v>1.036</v>
      </c>
      <c r="C106" s="171">
        <f t="shared" si="2"/>
        <v>0</v>
      </c>
      <c r="D106" s="168" t="str">
        <f t="shared" si="3"/>
        <v>/</v>
      </c>
      <c r="E106" s="168">
        <f ca="1">IF(表2_367162629303421[[#This Row],[累计净值]]/MAX(INDIRECT("B21:B" &amp; ROW()))-1&lt;E105,表2_367162629303421[[#This Row],[累计净值]]/MAX(INDIRECT("B21:B" &amp; ROW()))-1,E105)</f>
        <v>-9.9502487562188602E-3</v>
      </c>
      <c r="F106" s="172">
        <f>表2_367162629303421[[#This Row],[累计净值]]</f>
        <v>1.036</v>
      </c>
      <c r="G106" s="170">
        <f>表2_367162629303421[[#This Row],[累计净值]]/$B$21-1</f>
        <v>3.0845771144278666E-2</v>
      </c>
    </row>
    <row r="107" spans="1:7">
      <c r="A107" s="161">
        <v>43903</v>
      </c>
      <c r="B107" s="162">
        <v>1.0369999999999999</v>
      </c>
      <c r="C107" s="171">
        <f t="shared" si="2"/>
        <v>9.9999999999988987E-4</v>
      </c>
      <c r="D107" s="168" t="str">
        <f t="shared" si="3"/>
        <v>/</v>
      </c>
      <c r="E107" s="168">
        <f ca="1">IF(表2_367162629303421[[#This Row],[累计净值]]/MAX(INDIRECT("B21:B" &amp; ROW()))-1&lt;E106,表2_367162629303421[[#This Row],[累计净值]]/MAX(INDIRECT("B21:B" &amp; ROW()))-1,E106)</f>
        <v>-9.9502487562188602E-3</v>
      </c>
      <c r="F107" s="172">
        <f>表2_367162629303421[[#This Row],[累计净值]]</f>
        <v>1.0369999999999999</v>
      </c>
      <c r="G107" s="170">
        <f>表2_367162629303421[[#This Row],[累计净值]]/$B$21-1</f>
        <v>3.184079601990053E-2</v>
      </c>
    </row>
    <row r="108" spans="1:7">
      <c r="A108" s="161">
        <v>43906</v>
      </c>
      <c r="B108" s="162">
        <v>1.04</v>
      </c>
      <c r="C108" s="171">
        <f>IFERROR(B108-B107,0)</f>
        <v>3.0000000000001137E-3</v>
      </c>
      <c r="D108" s="168" t="str">
        <f>IF(C108&lt;0,C108,"/")</f>
        <v>/</v>
      </c>
      <c r="E108" s="168">
        <f ca="1">IF(表2_367162629303421[[#This Row],[累计净值]]/MAX(INDIRECT("B21:B" &amp; ROW()))-1&lt;E107,表2_367162629303421[[#This Row],[累计净值]]/MAX(INDIRECT("B21:B" &amp; ROW()))-1,E107)</f>
        <v>-9.9502487562188602E-3</v>
      </c>
      <c r="F108" s="172">
        <f>表2_367162629303421[[#This Row],[累计净值]]</f>
        <v>1.04</v>
      </c>
      <c r="G108" s="170">
        <f>表2_367162629303421[[#This Row],[累计净值]]/$B$21-1</f>
        <v>3.4825870646766344E-2</v>
      </c>
    </row>
    <row r="109" spans="1:7">
      <c r="A109" s="161">
        <v>43907</v>
      </c>
      <c r="B109" s="162">
        <v>1.0409999999999999</v>
      </c>
      <c r="C109" s="171">
        <f>IFERROR(B109-B108,0)</f>
        <v>9.9999999999988987E-4</v>
      </c>
      <c r="D109" s="168" t="str">
        <f>IF(C109&lt;0,C109,"/")</f>
        <v>/</v>
      </c>
      <c r="E109" s="168">
        <f ca="1">IF(表2_367162629303421[[#This Row],[累计净值]]/MAX(INDIRECT("B21:B" &amp; ROW()))-1&lt;E108,表2_367162629303421[[#This Row],[累计净值]]/MAX(INDIRECT("B21:B" &amp; ROW()))-1,E108)</f>
        <v>-9.9502487562188602E-3</v>
      </c>
      <c r="F109" s="172">
        <f>表2_367162629303421[[#This Row],[累计净值]]</f>
        <v>1.0409999999999999</v>
      </c>
      <c r="G109" s="170">
        <f>表2_367162629303421[[#This Row],[累计净值]]/$B$21-1</f>
        <v>3.5820895522387985E-2</v>
      </c>
    </row>
    <row r="110" spans="1:7">
      <c r="A110" s="161">
        <v>43908</v>
      </c>
      <c r="B110" s="162">
        <v>1.0429999999999999</v>
      </c>
      <c r="C110" s="171">
        <f>IFERROR(B110-B109,0)</f>
        <v>2.0000000000000018E-3</v>
      </c>
      <c r="D110" s="168" t="str">
        <f>IF(C110&lt;0,C110,"/")</f>
        <v>/</v>
      </c>
      <c r="E110" s="168">
        <f ca="1">IF(表2_367162629303421[[#This Row],[累计净值]]/MAX(INDIRECT("B21:B" &amp; ROW()))-1&lt;E109,表2_367162629303421[[#This Row],[累计净值]]/MAX(INDIRECT("B21:B" &amp; ROW()))-1,E109)</f>
        <v>-9.9502487562188602E-3</v>
      </c>
      <c r="F110" s="172">
        <f>表2_367162629303421[[#This Row],[累计净值]]</f>
        <v>1.0429999999999999</v>
      </c>
      <c r="G110" s="170">
        <f>表2_367162629303421[[#This Row],[累计净值]]/$B$21-1</f>
        <v>3.7810945273631935E-2</v>
      </c>
    </row>
    <row r="111" spans="1:7">
      <c r="A111" s="161">
        <v>43909</v>
      </c>
      <c r="B111" s="162">
        <v>1.0449999999999999</v>
      </c>
      <c r="C111" s="171">
        <f>IFERROR(B111-B110,0)</f>
        <v>2.0000000000000018E-3</v>
      </c>
      <c r="D111" s="168" t="str">
        <f>IF(C111&lt;0,C111,"/")</f>
        <v>/</v>
      </c>
      <c r="E111" s="168">
        <f ca="1">IF(表2_367162629303421[[#This Row],[累计净值]]/MAX(INDIRECT("B21:B" &amp; ROW()))-1&lt;E110,表2_367162629303421[[#This Row],[累计净值]]/MAX(INDIRECT("B21:B" &amp; ROW()))-1,E110)</f>
        <v>-9.9502487562188602E-3</v>
      </c>
      <c r="F111" s="172">
        <f>表2_367162629303421[[#This Row],[累计净值]]</f>
        <v>1.0449999999999999</v>
      </c>
      <c r="G111" s="170">
        <f>表2_367162629303421[[#This Row],[累计净值]]/$B$21-1</f>
        <v>3.9800995024875663E-2</v>
      </c>
    </row>
    <row r="112" spans="1:7">
      <c r="A112" s="161">
        <v>43910</v>
      </c>
      <c r="B112" s="162">
        <v>1.0449999999999999</v>
      </c>
      <c r="C112" s="171">
        <f>IFERROR(B112-B111,0)</f>
        <v>0</v>
      </c>
      <c r="D112" s="168" t="str">
        <f>IF(C112&lt;0,C112,"/")</f>
        <v>/</v>
      </c>
      <c r="E112" s="168">
        <f ca="1">IF(表2_367162629303421[[#This Row],[累计净值]]/MAX(INDIRECT("B21:B" &amp; ROW()))-1&lt;E111,表2_367162629303421[[#This Row],[累计净值]]/MAX(INDIRECT("B21:B" &amp; ROW()))-1,E111)</f>
        <v>-9.9502487562188602E-3</v>
      </c>
      <c r="F112" s="172">
        <f>表2_367162629303421[[#This Row],[累计净值]]</f>
        <v>1.0449999999999999</v>
      </c>
      <c r="G112" s="170">
        <f>表2_367162629303421[[#This Row],[累计净值]]/$B$21-1</f>
        <v>3.9800995024875663E-2</v>
      </c>
    </row>
    <row r="113" spans="1:7">
      <c r="A113" s="161">
        <v>43913</v>
      </c>
      <c r="B113" s="162">
        <v>1.0449999999999999</v>
      </c>
      <c r="C113" s="171">
        <f t="shared" ref="C113:C167" si="4">IFERROR(B113-B112,0)</f>
        <v>0</v>
      </c>
      <c r="D113" s="168" t="str">
        <f t="shared" ref="D113:D167" si="5">IF(C113&lt;0,C113,"/")</f>
        <v>/</v>
      </c>
      <c r="E113" s="168">
        <f ca="1">IF(表2_367162629303421[[#This Row],[累计净值]]/MAX(INDIRECT("B21:B" &amp; ROW()))-1&lt;E112,表2_367162629303421[[#This Row],[累计净值]]/MAX(INDIRECT("B21:B" &amp; ROW()))-1,E112)</f>
        <v>-9.9502487562188602E-3</v>
      </c>
      <c r="F113" s="172">
        <f>表2_367162629303421[[#This Row],[累计净值]]</f>
        <v>1.0449999999999999</v>
      </c>
      <c r="G113" s="170">
        <f>表2_367162629303421[[#This Row],[累计净值]]/$B$21-1</f>
        <v>3.9800995024875663E-2</v>
      </c>
    </row>
    <row r="114" spans="1:7">
      <c r="A114" s="161">
        <v>43914</v>
      </c>
      <c r="B114" s="162">
        <v>1.0449999999999999</v>
      </c>
      <c r="C114" s="171">
        <f t="shared" si="4"/>
        <v>0</v>
      </c>
      <c r="D114" s="168" t="str">
        <f t="shared" si="5"/>
        <v>/</v>
      </c>
      <c r="E114" s="168">
        <f ca="1">IF(表2_367162629303421[[#This Row],[累计净值]]/MAX(INDIRECT("B21:B" &amp; ROW()))-1&lt;E113,表2_367162629303421[[#This Row],[累计净值]]/MAX(INDIRECT("B21:B" &amp; ROW()))-1,E113)</f>
        <v>-9.9502487562188602E-3</v>
      </c>
      <c r="F114" s="172">
        <f>表2_367162629303421[[#This Row],[累计净值]]</f>
        <v>1.0449999999999999</v>
      </c>
      <c r="G114" s="170">
        <f>表2_367162629303421[[#This Row],[累计净值]]/$B$21-1</f>
        <v>3.9800995024875663E-2</v>
      </c>
    </row>
    <row r="115" spans="1:7">
      <c r="A115" s="161">
        <v>43915</v>
      </c>
      <c r="B115" s="162">
        <v>1.046</v>
      </c>
      <c r="C115" s="171">
        <f t="shared" si="4"/>
        <v>1.0000000000001119E-3</v>
      </c>
      <c r="D115" s="168" t="str">
        <f t="shared" si="5"/>
        <v>/</v>
      </c>
      <c r="E115" s="168">
        <f ca="1">IF(表2_367162629303421[[#This Row],[累计净值]]/MAX(INDIRECT("B21:B" &amp; ROW()))-1&lt;E114,表2_367162629303421[[#This Row],[累计净值]]/MAX(INDIRECT("B21:B" &amp; ROW()))-1,E114)</f>
        <v>-9.9502487562188602E-3</v>
      </c>
      <c r="F115" s="172">
        <f>表2_367162629303421[[#This Row],[累计净值]]</f>
        <v>1.046</v>
      </c>
      <c r="G115" s="170">
        <f>表2_367162629303421[[#This Row],[累计净值]]/$B$21-1</f>
        <v>4.0796019900497749E-2</v>
      </c>
    </row>
    <row r="116" spans="1:7">
      <c r="A116" s="161">
        <v>43916</v>
      </c>
      <c r="B116" s="162">
        <v>1.046</v>
      </c>
      <c r="C116" s="171">
        <f t="shared" si="4"/>
        <v>0</v>
      </c>
      <c r="D116" s="168" t="str">
        <f t="shared" si="5"/>
        <v>/</v>
      </c>
      <c r="E116" s="168">
        <f ca="1">IF(表2_367162629303421[[#This Row],[累计净值]]/MAX(INDIRECT("B21:B" &amp; ROW()))-1&lt;E115,表2_367162629303421[[#This Row],[累计净值]]/MAX(INDIRECT("B21:B" &amp; ROW()))-1,E115)</f>
        <v>-9.9502487562188602E-3</v>
      </c>
      <c r="F116" s="172">
        <f>表2_367162629303421[[#This Row],[累计净值]]</f>
        <v>1.046</v>
      </c>
      <c r="G116" s="170">
        <f>表2_367162629303421[[#This Row],[累计净值]]/$B$21-1</f>
        <v>4.0796019900497749E-2</v>
      </c>
    </row>
    <row r="117" spans="1:7">
      <c r="A117" s="161">
        <v>43917</v>
      </c>
      <c r="B117" s="162">
        <v>1.046</v>
      </c>
      <c r="C117" s="171">
        <f t="shared" si="4"/>
        <v>0</v>
      </c>
      <c r="D117" s="168" t="str">
        <f t="shared" si="5"/>
        <v>/</v>
      </c>
      <c r="E117" s="168">
        <f ca="1">IF(表2_367162629303421[[#This Row],[累计净值]]/MAX(INDIRECT("B21:B" &amp; ROW()))-1&lt;E116,表2_367162629303421[[#This Row],[累计净值]]/MAX(INDIRECT("B21:B" &amp; ROW()))-1,E116)</f>
        <v>-9.9502487562188602E-3</v>
      </c>
      <c r="F117" s="172">
        <f>表2_367162629303421[[#This Row],[累计净值]]</f>
        <v>1.046</v>
      </c>
      <c r="G117" s="170">
        <f>表2_367162629303421[[#This Row],[累计净值]]/$B$21-1</f>
        <v>4.0796019900497749E-2</v>
      </c>
    </row>
    <row r="118" spans="1:7">
      <c r="A118" s="161">
        <v>43920</v>
      </c>
      <c r="B118" s="162">
        <v>1.046</v>
      </c>
      <c r="C118" s="171">
        <f t="shared" si="4"/>
        <v>0</v>
      </c>
      <c r="D118" s="168" t="str">
        <f t="shared" si="5"/>
        <v>/</v>
      </c>
      <c r="E118" s="168">
        <f ca="1">IF(表2_367162629303421[[#This Row],[累计净值]]/MAX(INDIRECT("B21:B" &amp; ROW()))-1&lt;E117,表2_367162629303421[[#This Row],[累计净值]]/MAX(INDIRECT("B21:B" &amp; ROW()))-1,E117)</f>
        <v>-9.9502487562188602E-3</v>
      </c>
      <c r="F118" s="172">
        <f>表2_367162629303421[[#This Row],[累计净值]]</f>
        <v>1.046</v>
      </c>
      <c r="G118" s="170">
        <f>表2_367162629303421[[#This Row],[累计净值]]/$B$21-1</f>
        <v>4.0796019900497749E-2</v>
      </c>
    </row>
    <row r="119" spans="1:7">
      <c r="A119" s="161">
        <v>43921</v>
      </c>
      <c r="B119" s="162">
        <v>1.046</v>
      </c>
      <c r="C119" s="171">
        <f t="shared" si="4"/>
        <v>0</v>
      </c>
      <c r="D119" s="168" t="str">
        <f t="shared" si="5"/>
        <v>/</v>
      </c>
      <c r="E119" s="168">
        <f ca="1">IF(表2_367162629303421[[#This Row],[累计净值]]/MAX(INDIRECT("B21:B" &amp; ROW()))-1&lt;E118,表2_367162629303421[[#This Row],[累计净值]]/MAX(INDIRECT("B21:B" &amp; ROW()))-1,E118)</f>
        <v>-9.9502487562188602E-3</v>
      </c>
      <c r="F119" s="172">
        <f>表2_367162629303421[[#This Row],[累计净值]]</f>
        <v>1.046</v>
      </c>
      <c r="G119" s="170">
        <f>表2_367162629303421[[#This Row],[累计净值]]/$B$21-1</f>
        <v>4.0796019900497749E-2</v>
      </c>
    </row>
    <row r="120" spans="1:7">
      <c r="A120" s="161">
        <v>43922</v>
      </c>
      <c r="B120" s="162">
        <v>1.046</v>
      </c>
      <c r="C120" s="171">
        <f t="shared" si="4"/>
        <v>0</v>
      </c>
      <c r="D120" s="168" t="str">
        <f t="shared" si="5"/>
        <v>/</v>
      </c>
      <c r="E120" s="168">
        <f ca="1">IF(表2_367162629303421[[#This Row],[累计净值]]/MAX(INDIRECT("B21:B" &amp; ROW()))-1&lt;E119,表2_367162629303421[[#This Row],[累计净值]]/MAX(INDIRECT("B21:B" &amp; ROW()))-1,E119)</f>
        <v>-9.9502487562188602E-3</v>
      </c>
      <c r="F120" s="172">
        <f>表2_367162629303421[[#This Row],[累计净值]]</f>
        <v>1.046</v>
      </c>
      <c r="G120" s="170">
        <f>表2_367162629303421[[#This Row],[累计净值]]/$B$21-1</f>
        <v>4.0796019900497749E-2</v>
      </c>
    </row>
    <row r="121" spans="1:7">
      <c r="A121" s="161">
        <v>43923</v>
      </c>
      <c r="B121" s="162">
        <v>1.048</v>
      </c>
      <c r="C121" s="171">
        <f t="shared" si="4"/>
        <v>2.0000000000000018E-3</v>
      </c>
      <c r="D121" s="168" t="str">
        <f t="shared" si="5"/>
        <v>/</v>
      </c>
      <c r="E121" s="168">
        <f ca="1">IF(表2_367162629303421[[#This Row],[累计净值]]/MAX(INDIRECT("B21:B" &amp; ROW()))-1&lt;E120,表2_367162629303421[[#This Row],[累计净值]]/MAX(INDIRECT("B21:B" &amp; ROW()))-1,E120)</f>
        <v>-9.9502487562188602E-3</v>
      </c>
      <c r="F121" s="172">
        <f>表2_367162629303421[[#This Row],[累计净值]]</f>
        <v>1.048</v>
      </c>
      <c r="G121" s="170">
        <f>表2_367162629303421[[#This Row],[累计净值]]/$B$21-1</f>
        <v>4.2786069651741476E-2</v>
      </c>
    </row>
    <row r="122" spans="1:7">
      <c r="A122" s="161">
        <v>43924</v>
      </c>
      <c r="B122" s="162">
        <v>1.048</v>
      </c>
      <c r="C122" s="171">
        <f t="shared" si="4"/>
        <v>0</v>
      </c>
      <c r="D122" s="168" t="str">
        <f t="shared" si="5"/>
        <v>/</v>
      </c>
      <c r="E122" s="168">
        <f ca="1">IF(表2_367162629303421[[#This Row],[累计净值]]/MAX(INDIRECT("B21:B" &amp; ROW()))-1&lt;E121,表2_367162629303421[[#This Row],[累计净值]]/MAX(INDIRECT("B21:B" &amp; ROW()))-1,E121)</f>
        <v>-9.9502487562188602E-3</v>
      </c>
      <c r="F122" s="172">
        <f>表2_367162629303421[[#This Row],[累计净值]]</f>
        <v>1.048</v>
      </c>
      <c r="G122" s="170">
        <f>表2_367162629303421[[#This Row],[累计净值]]/$B$21-1</f>
        <v>4.2786069651741476E-2</v>
      </c>
    </row>
    <row r="123" spans="1:7">
      <c r="A123" s="161">
        <v>43928</v>
      </c>
      <c r="B123" s="162">
        <v>1.05</v>
      </c>
      <c r="C123" s="171">
        <f t="shared" si="4"/>
        <v>2.0000000000000018E-3</v>
      </c>
      <c r="D123" s="168" t="str">
        <f t="shared" si="5"/>
        <v>/</v>
      </c>
      <c r="E123" s="168">
        <f ca="1">IF(表2_367162629303421[[#This Row],[累计净值]]/MAX(INDIRECT("B21:B" &amp; ROW()))-1&lt;E122,表2_367162629303421[[#This Row],[累计净值]]/MAX(INDIRECT("B21:B" &amp; ROW()))-1,E122)</f>
        <v>-9.9502487562188602E-3</v>
      </c>
      <c r="F123" s="172">
        <f>表2_367162629303421[[#This Row],[累计净值]]</f>
        <v>1.05</v>
      </c>
      <c r="G123" s="170">
        <f>表2_367162629303421[[#This Row],[累计净值]]/$B$21-1</f>
        <v>4.4776119402985204E-2</v>
      </c>
    </row>
    <row r="124" spans="1:7">
      <c r="A124" s="161">
        <v>43929</v>
      </c>
      <c r="B124" s="162">
        <v>1.0509999999999999</v>
      </c>
      <c r="C124" s="171">
        <f t="shared" si="4"/>
        <v>9.9999999999988987E-4</v>
      </c>
      <c r="D124" s="168" t="str">
        <f t="shared" si="5"/>
        <v>/</v>
      </c>
      <c r="E124" s="168">
        <f ca="1">IF(表2_367162629303421[[#This Row],[累计净值]]/MAX(INDIRECT("B21:B" &amp; ROW()))-1&lt;E123,表2_367162629303421[[#This Row],[累计净值]]/MAX(INDIRECT("B21:B" &amp; ROW()))-1,E123)</f>
        <v>-9.9502487562188602E-3</v>
      </c>
      <c r="F124" s="172">
        <f>表2_367162629303421[[#This Row],[累计净值]]</f>
        <v>1.0509999999999999</v>
      </c>
      <c r="G124" s="170">
        <f>表2_367162629303421[[#This Row],[累计净值]]/$B$21-1</f>
        <v>4.5771144278607068E-2</v>
      </c>
    </row>
    <row r="125" spans="1:7">
      <c r="A125" s="161">
        <v>43930</v>
      </c>
      <c r="B125" s="162">
        <v>1.0509999999999999</v>
      </c>
      <c r="C125" s="171">
        <f t="shared" si="4"/>
        <v>0</v>
      </c>
      <c r="D125" s="168" t="str">
        <f t="shared" si="5"/>
        <v>/</v>
      </c>
      <c r="E125" s="168">
        <f ca="1">IF(表2_367162629303421[[#This Row],[累计净值]]/MAX(INDIRECT("B21:B" &amp; ROW()))-1&lt;E124,表2_367162629303421[[#This Row],[累计净值]]/MAX(INDIRECT("B21:B" &amp; ROW()))-1,E124)</f>
        <v>-9.9502487562188602E-3</v>
      </c>
      <c r="F125" s="172">
        <f>表2_367162629303421[[#This Row],[累计净值]]</f>
        <v>1.0509999999999999</v>
      </c>
      <c r="G125" s="170">
        <f>表2_367162629303421[[#This Row],[累计净值]]/$B$21-1</f>
        <v>4.5771144278607068E-2</v>
      </c>
    </row>
    <row r="126" spans="1:7">
      <c r="A126" s="161">
        <v>43931</v>
      </c>
      <c r="B126" s="162">
        <v>1.052</v>
      </c>
      <c r="C126" s="171">
        <f t="shared" si="4"/>
        <v>1.0000000000001119E-3</v>
      </c>
      <c r="D126" s="168" t="str">
        <f t="shared" si="5"/>
        <v>/</v>
      </c>
      <c r="E126" s="168">
        <f ca="1">IF(表2_367162629303421[[#This Row],[累计净值]]/MAX(INDIRECT("B21:B" &amp; ROW()))-1&lt;E125,表2_367162629303421[[#This Row],[累计净值]]/MAX(INDIRECT("B21:B" &amp; ROW()))-1,E125)</f>
        <v>-9.9502487562188602E-3</v>
      </c>
      <c r="F126" s="172">
        <f>表2_367162629303421[[#This Row],[累计净值]]</f>
        <v>1.052</v>
      </c>
      <c r="G126" s="170">
        <f>表2_367162629303421[[#This Row],[累计净值]]/$B$21-1</f>
        <v>4.6766169154228932E-2</v>
      </c>
    </row>
    <row r="127" spans="1:7">
      <c r="A127" s="161">
        <v>43934</v>
      </c>
      <c r="B127" s="162">
        <v>1.052</v>
      </c>
      <c r="C127" s="171">
        <f t="shared" si="4"/>
        <v>0</v>
      </c>
      <c r="D127" s="168" t="str">
        <f t="shared" si="5"/>
        <v>/</v>
      </c>
      <c r="E127" s="168">
        <f ca="1">IF(表2_367162629303421[[#This Row],[累计净值]]/MAX(INDIRECT("B21:B" &amp; ROW()))-1&lt;E126,表2_367162629303421[[#This Row],[累计净值]]/MAX(INDIRECT("B21:B" &amp; ROW()))-1,E126)</f>
        <v>-9.9502487562188602E-3</v>
      </c>
      <c r="F127" s="172">
        <f>表2_367162629303421[[#This Row],[累计净值]]</f>
        <v>1.052</v>
      </c>
      <c r="G127" s="170">
        <f>表2_367162629303421[[#This Row],[累计净值]]/$B$21-1</f>
        <v>4.6766169154228932E-2</v>
      </c>
    </row>
    <row r="128" spans="1:7">
      <c r="A128" s="161">
        <v>43935</v>
      </c>
      <c r="B128" s="162">
        <v>1.056</v>
      </c>
      <c r="C128" s="171">
        <f t="shared" si="4"/>
        <v>4.0000000000000036E-3</v>
      </c>
      <c r="D128" s="168" t="str">
        <f t="shared" si="5"/>
        <v>/</v>
      </c>
      <c r="E128" s="168">
        <f ca="1">IF(表2_367162629303421[[#This Row],[累计净值]]/MAX(INDIRECT("B21:B" &amp; ROW()))-1&lt;E127,表2_367162629303421[[#This Row],[累计净值]]/MAX(INDIRECT("B21:B" &amp; ROW()))-1,E127)</f>
        <v>-9.9502487562188602E-3</v>
      </c>
      <c r="F128" s="172">
        <f>表2_367162629303421[[#This Row],[累计净值]]</f>
        <v>1.056</v>
      </c>
      <c r="G128" s="170">
        <f>表2_367162629303421[[#This Row],[累计净值]]/$B$21-1</f>
        <v>5.0746268656716609E-2</v>
      </c>
    </row>
    <row r="129" spans="1:7">
      <c r="A129" s="161">
        <v>43936</v>
      </c>
      <c r="B129" s="162">
        <v>1.0580000000000001</v>
      </c>
      <c r="C129" s="171">
        <f t="shared" si="4"/>
        <v>2.0000000000000018E-3</v>
      </c>
      <c r="D129" s="168" t="str">
        <f t="shared" si="5"/>
        <v>/</v>
      </c>
      <c r="E129" s="168">
        <f ca="1">IF(表2_367162629303421[[#This Row],[累计净值]]/MAX(INDIRECT("B21:B" &amp; ROW()))-1&lt;E128,表2_367162629303421[[#This Row],[累计净值]]/MAX(INDIRECT("B21:B" &amp; ROW()))-1,E128)</f>
        <v>-9.9502487562188602E-3</v>
      </c>
      <c r="F129" s="172">
        <f>表2_367162629303421[[#This Row],[累计净值]]</f>
        <v>1.0580000000000001</v>
      </c>
      <c r="G129" s="170">
        <f>表2_367162629303421[[#This Row],[累计净值]]/$B$21-1</f>
        <v>5.2736318407960336E-2</v>
      </c>
    </row>
    <row r="130" spans="1:7">
      <c r="A130" s="161">
        <v>43937</v>
      </c>
      <c r="B130" s="162">
        <v>1.0589999999999999</v>
      </c>
      <c r="C130" s="171">
        <f t="shared" si="4"/>
        <v>9.9999999999988987E-4</v>
      </c>
      <c r="D130" s="168" t="str">
        <f t="shared" si="5"/>
        <v>/</v>
      </c>
      <c r="E130" s="168">
        <f ca="1">IF(表2_367162629303421[[#This Row],[累计净值]]/MAX(INDIRECT("B21:B" &amp; ROW()))-1&lt;E129,表2_367162629303421[[#This Row],[累计净值]]/MAX(INDIRECT("B21:B" &amp; ROW()))-1,E129)</f>
        <v>-9.9502487562188602E-3</v>
      </c>
      <c r="F130" s="172">
        <f>表2_367162629303421[[#This Row],[累计净值]]</f>
        <v>1.0589999999999999</v>
      </c>
      <c r="G130" s="170">
        <f>表2_367162629303421[[#This Row],[累计净值]]/$B$21-1</f>
        <v>5.37313432835822E-2</v>
      </c>
    </row>
    <row r="131" spans="1:7">
      <c r="A131" s="161">
        <v>43938</v>
      </c>
      <c r="B131" s="162">
        <v>1.0580000000000001</v>
      </c>
      <c r="C131" s="171">
        <f t="shared" si="4"/>
        <v>-9.9999999999988987E-4</v>
      </c>
      <c r="D131" s="168">
        <f t="shared" si="5"/>
        <v>-9.9999999999988987E-4</v>
      </c>
      <c r="E131" s="168">
        <f ca="1">IF(表2_367162629303421[[#This Row],[累计净值]]/MAX(INDIRECT("B21:B" &amp; ROW()))-1&lt;E130,表2_367162629303421[[#This Row],[累计净值]]/MAX(INDIRECT("B21:B" &amp; ROW()))-1,E130)</f>
        <v>-9.9502487562188602E-3</v>
      </c>
      <c r="F131" s="172">
        <f>表2_367162629303421[[#This Row],[累计净值]]</f>
        <v>1.0580000000000001</v>
      </c>
      <c r="G131" s="170">
        <f>表2_367162629303421[[#This Row],[累计净值]]/$B$21-1</f>
        <v>5.2736318407960336E-2</v>
      </c>
    </row>
    <row r="132" spans="1:7">
      <c r="A132" s="161">
        <v>43941</v>
      </c>
      <c r="B132" s="162">
        <v>1.0580000000000001</v>
      </c>
      <c r="C132" s="171">
        <f t="shared" si="4"/>
        <v>0</v>
      </c>
      <c r="D132" s="168" t="str">
        <f t="shared" si="5"/>
        <v>/</v>
      </c>
      <c r="E132" s="168">
        <f ca="1">IF(表2_367162629303421[[#This Row],[累计净值]]/MAX(INDIRECT("B21:B" &amp; ROW()))-1&lt;E131,表2_367162629303421[[#This Row],[累计净值]]/MAX(INDIRECT("B21:B" &amp; ROW()))-1,E131)</f>
        <v>-9.9502487562188602E-3</v>
      </c>
      <c r="F132" s="172">
        <f>表2_367162629303421[[#This Row],[累计净值]]</f>
        <v>1.0580000000000001</v>
      </c>
      <c r="G132" s="170">
        <f>表2_367162629303421[[#This Row],[累计净值]]/$B$21-1</f>
        <v>5.2736318407960336E-2</v>
      </c>
    </row>
    <row r="133" spans="1:7">
      <c r="A133" s="161">
        <v>43942</v>
      </c>
      <c r="B133" s="162">
        <v>1.06</v>
      </c>
      <c r="C133" s="171">
        <f t="shared" si="4"/>
        <v>2.0000000000000018E-3</v>
      </c>
      <c r="D133" s="168" t="str">
        <f t="shared" si="5"/>
        <v>/</v>
      </c>
      <c r="E133" s="168">
        <f ca="1">IF(表2_367162629303421[[#This Row],[累计净值]]/MAX(INDIRECT("B21:B" &amp; ROW()))-1&lt;E132,表2_367162629303421[[#This Row],[累计净值]]/MAX(INDIRECT("B21:B" &amp; ROW()))-1,E132)</f>
        <v>-9.9502487562188602E-3</v>
      </c>
      <c r="F133" s="172">
        <f>表2_367162629303421[[#This Row],[累计净值]]</f>
        <v>1.06</v>
      </c>
      <c r="G133" s="170">
        <f>表2_367162629303421[[#This Row],[累计净值]]/$B$21-1</f>
        <v>5.4726368159204064E-2</v>
      </c>
    </row>
    <row r="134" spans="1:7">
      <c r="A134" s="161">
        <v>43943</v>
      </c>
      <c r="B134" s="162">
        <v>1.0580000000000001</v>
      </c>
      <c r="C134" s="171">
        <f t="shared" si="4"/>
        <v>-2.0000000000000018E-3</v>
      </c>
      <c r="D134" s="168">
        <f t="shared" si="5"/>
        <v>-2.0000000000000018E-3</v>
      </c>
      <c r="E134" s="168">
        <f ca="1">IF(表2_367162629303421[[#This Row],[累计净值]]/MAX(INDIRECT("B21:B" &amp; ROW()))-1&lt;E133,表2_367162629303421[[#This Row],[累计净值]]/MAX(INDIRECT("B21:B" &amp; ROW()))-1,E133)</f>
        <v>-9.9502487562188602E-3</v>
      </c>
      <c r="F134" s="172">
        <f>表2_367162629303421[[#This Row],[累计净值]]</f>
        <v>1.0580000000000001</v>
      </c>
      <c r="G134" s="170">
        <f>表2_367162629303421[[#This Row],[累计净值]]/$B$21-1</f>
        <v>5.2736318407960336E-2</v>
      </c>
    </row>
    <row r="135" spans="1:7">
      <c r="A135" s="161">
        <v>43944</v>
      </c>
      <c r="B135" s="162">
        <v>1.0580000000000001</v>
      </c>
      <c r="C135" s="171">
        <f t="shared" si="4"/>
        <v>0</v>
      </c>
      <c r="D135" s="168" t="str">
        <f t="shared" si="5"/>
        <v>/</v>
      </c>
      <c r="E135" s="168">
        <f ca="1">IF(表2_367162629303421[[#This Row],[累计净值]]/MAX(INDIRECT("B21:B" &amp; ROW()))-1&lt;E134,表2_367162629303421[[#This Row],[累计净值]]/MAX(INDIRECT("B21:B" &amp; ROW()))-1,E134)</f>
        <v>-9.9502487562188602E-3</v>
      </c>
      <c r="F135" s="172">
        <f>表2_367162629303421[[#This Row],[累计净值]]</f>
        <v>1.0580000000000001</v>
      </c>
      <c r="G135" s="170">
        <f>表2_367162629303421[[#This Row],[累计净值]]/$B$21-1</f>
        <v>5.2736318407960336E-2</v>
      </c>
    </row>
    <row r="136" spans="1:7">
      <c r="A136" s="161">
        <v>43945</v>
      </c>
      <c r="B136" s="162">
        <v>1.06</v>
      </c>
      <c r="C136" s="171">
        <f t="shared" si="4"/>
        <v>2.0000000000000018E-3</v>
      </c>
      <c r="D136" s="168" t="str">
        <f t="shared" si="5"/>
        <v>/</v>
      </c>
      <c r="E136" s="168">
        <f ca="1">IF(表2_367162629303421[[#This Row],[累计净值]]/MAX(INDIRECT("B21:B" &amp; ROW()))-1&lt;E135,表2_367162629303421[[#This Row],[累计净值]]/MAX(INDIRECT("B21:B" &amp; ROW()))-1,E135)</f>
        <v>-9.9502487562188602E-3</v>
      </c>
      <c r="F136" s="172">
        <f>表2_367162629303421[[#This Row],[累计净值]]</f>
        <v>1.06</v>
      </c>
      <c r="G136" s="170">
        <f>表2_367162629303421[[#This Row],[累计净值]]/$B$21-1</f>
        <v>5.4726368159204064E-2</v>
      </c>
    </row>
    <row r="137" spans="1:7">
      <c r="A137" s="161">
        <v>43948</v>
      </c>
      <c r="B137" s="162">
        <v>1.06</v>
      </c>
      <c r="C137" s="171">
        <f t="shared" si="4"/>
        <v>0</v>
      </c>
      <c r="D137" s="168" t="str">
        <f t="shared" si="5"/>
        <v>/</v>
      </c>
      <c r="E137" s="168">
        <f ca="1">IF(表2_367162629303421[[#This Row],[累计净值]]/MAX(INDIRECT("B21:B" &amp; ROW()))-1&lt;E136,表2_367162629303421[[#This Row],[累计净值]]/MAX(INDIRECT("B21:B" &amp; ROW()))-1,E136)</f>
        <v>-9.9502487562188602E-3</v>
      </c>
      <c r="F137" s="172">
        <f>表2_367162629303421[[#This Row],[累计净值]]</f>
        <v>1.06</v>
      </c>
      <c r="G137" s="170">
        <f>表2_367162629303421[[#This Row],[累计净值]]/$B$21-1</f>
        <v>5.4726368159204064E-2</v>
      </c>
    </row>
    <row r="138" spans="1:7">
      <c r="A138" s="161">
        <v>43949</v>
      </c>
      <c r="B138" s="178">
        <v>1.0609999999999999</v>
      </c>
      <c r="C138" s="171">
        <f t="shared" si="4"/>
        <v>9.9999999999988987E-4</v>
      </c>
      <c r="D138" s="168" t="str">
        <f t="shared" si="5"/>
        <v>/</v>
      </c>
      <c r="E138" s="168">
        <f ca="1">IF(表2_367162629303421[[#This Row],[累计净值]]/MAX(INDIRECT("B21:B" &amp; ROW()))-1&lt;E137,表2_367162629303421[[#This Row],[累计净值]]/MAX(INDIRECT("B21:B" &amp; ROW()))-1,E137)</f>
        <v>-9.9502487562188602E-3</v>
      </c>
      <c r="F138" s="172">
        <f>表2_367162629303421[[#This Row],[累计净值]]</f>
        <v>1.0609999999999999</v>
      </c>
      <c r="G138" s="170">
        <f>表2_367162629303421[[#This Row],[累计净值]]/$B$21-1</f>
        <v>5.5721393034825928E-2</v>
      </c>
    </row>
    <row r="139" spans="1:7">
      <c r="A139" s="161">
        <v>43950</v>
      </c>
      <c r="B139" s="162">
        <v>1.06</v>
      </c>
      <c r="C139" s="171">
        <f t="shared" si="4"/>
        <v>-9.9999999999988987E-4</v>
      </c>
      <c r="D139" s="168">
        <f t="shared" si="5"/>
        <v>-9.9999999999988987E-4</v>
      </c>
      <c r="E139" s="168">
        <f ca="1">IF(表2_367162629303421[[#This Row],[累计净值]]/MAX(INDIRECT("B21:B" &amp; ROW()))-1&lt;E138,表2_367162629303421[[#This Row],[累计净值]]/MAX(INDIRECT("B21:B" &amp; ROW()))-1,E138)</f>
        <v>-9.9502487562188602E-3</v>
      </c>
      <c r="F139" s="172">
        <f>表2_367162629303421[[#This Row],[累计净值]]</f>
        <v>1.06</v>
      </c>
      <c r="G139" s="170">
        <f>表2_367162629303421[[#This Row],[累计净值]]/$B$21-1</f>
        <v>5.4726368159204064E-2</v>
      </c>
    </row>
    <row r="140" spans="1:7">
      <c r="A140" s="161">
        <v>43951</v>
      </c>
      <c r="B140" s="162">
        <v>1.0569999999999999</v>
      </c>
      <c r="C140" s="171">
        <f t="shared" si="4"/>
        <v>-3.0000000000001137E-3</v>
      </c>
      <c r="D140" s="168">
        <f t="shared" si="5"/>
        <v>-3.0000000000001137E-3</v>
      </c>
      <c r="E140" s="168">
        <f ca="1">IF(表2_367162629303421[[#This Row],[累计净值]]/MAX(INDIRECT("B21:B" &amp; ROW()))-1&lt;E139,表2_367162629303421[[#This Row],[累计净值]]/MAX(INDIRECT("B21:B" &amp; ROW()))-1,E139)</f>
        <v>-9.9502487562188602E-3</v>
      </c>
      <c r="F140" s="172">
        <f>表2_367162629303421[[#This Row],[累计净值]]</f>
        <v>1.0569999999999999</v>
      </c>
      <c r="G140" s="170">
        <f>表2_367162629303421[[#This Row],[累计净值]]/$B$21-1</f>
        <v>5.1741293532338251E-2</v>
      </c>
    </row>
    <row r="141" spans="1:7">
      <c r="A141" s="161">
        <v>43957</v>
      </c>
      <c r="B141" s="162">
        <v>1.0580000000000001</v>
      </c>
      <c r="C141" s="171">
        <f t="shared" si="4"/>
        <v>1.0000000000001119E-3</v>
      </c>
      <c r="D141" s="168" t="str">
        <f t="shared" si="5"/>
        <v>/</v>
      </c>
      <c r="E141" s="168">
        <f ca="1">IF(表2_367162629303421[[#This Row],[累计净值]]/MAX(INDIRECT("B21:B" &amp; ROW()))-1&lt;E140,表2_367162629303421[[#This Row],[累计净值]]/MAX(INDIRECT("B21:B" &amp; ROW()))-1,E140)</f>
        <v>-9.9502487562188602E-3</v>
      </c>
      <c r="F141" s="172">
        <f>表2_367162629303421[[#This Row],[累计净值]]</f>
        <v>1.0580000000000001</v>
      </c>
      <c r="G141" s="170">
        <f>表2_367162629303421[[#This Row],[累计净值]]/$B$21-1</f>
        <v>5.2736318407960336E-2</v>
      </c>
    </row>
    <row r="142" spans="1:7">
      <c r="A142" s="161">
        <v>43958</v>
      </c>
      <c r="B142" s="162">
        <v>1.0589999999999999</v>
      </c>
      <c r="C142" s="171">
        <f t="shared" si="4"/>
        <v>9.9999999999988987E-4</v>
      </c>
      <c r="D142" s="168" t="str">
        <f t="shared" si="5"/>
        <v>/</v>
      </c>
      <c r="E142" s="168">
        <f ca="1">IF(表2_367162629303421[[#This Row],[累计净值]]/MAX(INDIRECT("B21:B" &amp; ROW()))-1&lt;E141,表2_367162629303421[[#This Row],[累计净值]]/MAX(INDIRECT("B21:B" &amp; ROW()))-1,E141)</f>
        <v>-9.9502487562188602E-3</v>
      </c>
      <c r="F142" s="172">
        <f>表2_367162629303421[[#This Row],[累计净值]]</f>
        <v>1.0589999999999999</v>
      </c>
      <c r="G142" s="170">
        <f>表2_367162629303421[[#This Row],[累计净值]]/$B$21-1</f>
        <v>5.37313432835822E-2</v>
      </c>
    </row>
    <row r="143" spans="1:7">
      <c r="A143" s="161">
        <v>43959</v>
      </c>
      <c r="B143" s="162">
        <v>1.06</v>
      </c>
      <c r="C143" s="171">
        <f t="shared" si="4"/>
        <v>1.0000000000001119E-3</v>
      </c>
      <c r="D143" s="168" t="str">
        <f t="shared" si="5"/>
        <v>/</v>
      </c>
      <c r="E143" s="168">
        <f ca="1">IF(表2_367162629303421[[#This Row],[累计净值]]/MAX(INDIRECT("B21:B" &amp; ROW()))-1&lt;E142,表2_367162629303421[[#This Row],[累计净值]]/MAX(INDIRECT("B21:B" &amp; ROW()))-1,E142)</f>
        <v>-9.9502487562188602E-3</v>
      </c>
      <c r="F143" s="172">
        <f>表2_367162629303421[[#This Row],[累计净值]]</f>
        <v>1.06</v>
      </c>
      <c r="G143" s="170">
        <f>表2_367162629303421[[#This Row],[累计净值]]/$B$21-1</f>
        <v>5.4726368159204064E-2</v>
      </c>
    </row>
    <row r="144" spans="1:7">
      <c r="A144" s="161">
        <v>43962</v>
      </c>
      <c r="B144" s="162">
        <v>1.06</v>
      </c>
      <c r="C144" s="171">
        <f t="shared" si="4"/>
        <v>0</v>
      </c>
      <c r="D144" s="168" t="str">
        <f t="shared" si="5"/>
        <v>/</v>
      </c>
      <c r="E144" s="168">
        <f ca="1">IF(表2_367162629303421[[#This Row],[累计净值]]/MAX(INDIRECT("B21:B" &amp; ROW()))-1&lt;E143,表2_367162629303421[[#This Row],[累计净值]]/MAX(INDIRECT("B21:B" &amp; ROW()))-1,E143)</f>
        <v>-9.9502487562188602E-3</v>
      </c>
      <c r="F144" s="172">
        <f>表2_367162629303421[[#This Row],[累计净值]]</f>
        <v>1.06</v>
      </c>
      <c r="G144" s="170">
        <f>表2_367162629303421[[#This Row],[累计净值]]/$B$21-1</f>
        <v>5.4726368159204064E-2</v>
      </c>
    </row>
    <row r="145" spans="1:7">
      <c r="A145" s="161">
        <v>43963</v>
      </c>
      <c r="B145" s="162">
        <v>1.0620000000000001</v>
      </c>
      <c r="C145" s="171">
        <f t="shared" si="4"/>
        <v>2.0000000000000018E-3</v>
      </c>
      <c r="D145" s="168" t="str">
        <f t="shared" si="5"/>
        <v>/</v>
      </c>
      <c r="E145" s="168">
        <f ca="1">IF(表2_367162629303421[[#This Row],[累计净值]]/MAX(INDIRECT("B21:B" &amp; ROW()))-1&lt;E144,表2_367162629303421[[#This Row],[累计净值]]/MAX(INDIRECT("B21:B" &amp; ROW()))-1,E144)</f>
        <v>-9.9502487562188602E-3</v>
      </c>
      <c r="F145" s="172">
        <f>表2_367162629303421[[#This Row],[累计净值]]</f>
        <v>1.0620000000000001</v>
      </c>
      <c r="G145" s="170">
        <f>表2_367162629303421[[#This Row],[累计净值]]/$B$21-1</f>
        <v>5.6716417910448014E-2</v>
      </c>
    </row>
    <row r="146" spans="1:7">
      <c r="A146" s="161">
        <v>43964</v>
      </c>
      <c r="B146" s="162">
        <v>1.0629999999999999</v>
      </c>
      <c r="C146" s="171">
        <f t="shared" si="4"/>
        <v>9.9999999999988987E-4</v>
      </c>
      <c r="D146" s="168" t="str">
        <f t="shared" si="5"/>
        <v>/</v>
      </c>
      <c r="E146" s="168">
        <f ca="1">IF(表2_367162629303421[[#This Row],[累计净值]]/MAX(INDIRECT("B21:B" &amp; ROW()))-1&lt;E145,表2_367162629303421[[#This Row],[累计净值]]/MAX(INDIRECT("B21:B" &amp; ROW()))-1,E145)</f>
        <v>-9.9502487562188602E-3</v>
      </c>
      <c r="F146" s="172">
        <f>表2_367162629303421[[#This Row],[累计净值]]</f>
        <v>1.0629999999999999</v>
      </c>
      <c r="G146" s="170">
        <f>表2_367162629303421[[#This Row],[累计净值]]/$B$21-1</f>
        <v>5.7711442786069655E-2</v>
      </c>
    </row>
    <row r="147" spans="1:7">
      <c r="A147" s="161">
        <v>43965</v>
      </c>
      <c r="B147" s="162">
        <v>1.0620000000000001</v>
      </c>
      <c r="C147" s="171">
        <f t="shared" si="4"/>
        <v>-9.9999999999988987E-4</v>
      </c>
      <c r="D147" s="168">
        <f t="shared" si="5"/>
        <v>-9.9999999999988987E-4</v>
      </c>
      <c r="E147" s="168">
        <f ca="1">IF(表2_367162629303421[[#This Row],[累计净值]]/MAX(INDIRECT("B21:B" &amp; ROW()))-1&lt;E146,表2_367162629303421[[#This Row],[累计净值]]/MAX(INDIRECT("B21:B" &amp; ROW()))-1,E146)</f>
        <v>-9.9502487562188602E-3</v>
      </c>
      <c r="F147" s="172">
        <f>表2_367162629303421[[#This Row],[累计净值]]</f>
        <v>1.0620000000000001</v>
      </c>
      <c r="G147" s="170">
        <f>表2_367162629303421[[#This Row],[累计净值]]/$B$21-1</f>
        <v>5.6716417910448014E-2</v>
      </c>
    </row>
    <row r="148" spans="1:7">
      <c r="A148" s="161">
        <v>43966</v>
      </c>
      <c r="B148" s="162">
        <v>1.0620000000000001</v>
      </c>
      <c r="C148" s="171">
        <f t="shared" si="4"/>
        <v>0</v>
      </c>
      <c r="D148" s="168" t="str">
        <f t="shared" si="5"/>
        <v>/</v>
      </c>
      <c r="E148" s="168">
        <f ca="1">IF(表2_367162629303421[[#This Row],[累计净值]]/MAX(INDIRECT("B21:B" &amp; ROW()))-1&lt;E147,表2_367162629303421[[#This Row],[累计净值]]/MAX(INDIRECT("B21:B" &amp; ROW()))-1,E147)</f>
        <v>-9.9502487562188602E-3</v>
      </c>
      <c r="F148" s="172">
        <f>表2_367162629303421[[#This Row],[累计净值]]</f>
        <v>1.0620000000000001</v>
      </c>
      <c r="G148" s="170">
        <f>表2_367162629303421[[#This Row],[累计净值]]/$B$21-1</f>
        <v>5.6716417910448014E-2</v>
      </c>
    </row>
    <row r="149" spans="1:7">
      <c r="A149" s="161">
        <v>43969</v>
      </c>
      <c r="B149" s="162">
        <v>1.0629999999999999</v>
      </c>
      <c r="C149" s="171">
        <f t="shared" si="4"/>
        <v>9.9999999999988987E-4</v>
      </c>
      <c r="D149" s="168" t="str">
        <f t="shared" si="5"/>
        <v>/</v>
      </c>
      <c r="E149" s="168">
        <f ca="1">IF(表2_367162629303421[[#This Row],[累计净值]]/MAX(INDIRECT("B21:B" &amp; ROW()))-1&lt;E148,表2_367162629303421[[#This Row],[累计净值]]/MAX(INDIRECT("B21:B" &amp; ROW()))-1,E148)</f>
        <v>-9.9502487562188602E-3</v>
      </c>
      <c r="F149" s="172">
        <f>表2_367162629303421[[#This Row],[累计净值]]</f>
        <v>1.0629999999999999</v>
      </c>
      <c r="G149" s="170">
        <f>表2_367162629303421[[#This Row],[累计净值]]/$B$21-1</f>
        <v>5.7711442786069655E-2</v>
      </c>
    </row>
    <row r="150" spans="1:7">
      <c r="A150" s="161">
        <v>43970</v>
      </c>
      <c r="B150" s="162">
        <v>1.0660000000000001</v>
      </c>
      <c r="C150" s="171">
        <f t="shared" si="4"/>
        <v>3.0000000000001137E-3</v>
      </c>
      <c r="D150" s="168" t="str">
        <f t="shared" si="5"/>
        <v>/</v>
      </c>
      <c r="E150" s="168">
        <f ca="1">IF(表2_367162629303421[[#This Row],[累计净值]]/MAX(INDIRECT("B21:B" &amp; ROW()))-1&lt;E149,表2_367162629303421[[#This Row],[累计净值]]/MAX(INDIRECT("B21:B" &amp; ROW()))-1,E149)</f>
        <v>-9.9502487562188602E-3</v>
      </c>
      <c r="F150" s="172">
        <f>表2_367162629303421[[#This Row],[累计净值]]</f>
        <v>1.0660000000000001</v>
      </c>
      <c r="G150" s="170">
        <f>表2_367162629303421[[#This Row],[累计净值]]/$B$21-1</f>
        <v>6.0696517412935469E-2</v>
      </c>
    </row>
    <row r="151" spans="1:7">
      <c r="A151" s="161">
        <v>43971</v>
      </c>
      <c r="B151" s="162">
        <v>1.0669999999999999</v>
      </c>
      <c r="C151" s="171">
        <f t="shared" si="4"/>
        <v>9.9999999999988987E-4</v>
      </c>
      <c r="D151" s="168" t="str">
        <f t="shared" si="5"/>
        <v>/</v>
      </c>
      <c r="E151" s="168">
        <f ca="1">IF(表2_367162629303421[[#This Row],[累计净值]]/MAX(INDIRECT("B21:B" &amp; ROW()))-1&lt;E150,表2_367162629303421[[#This Row],[累计净值]]/MAX(INDIRECT("B21:B" &amp; ROW()))-1,E150)</f>
        <v>-9.9502487562188602E-3</v>
      </c>
      <c r="F151" s="172">
        <f>表2_367162629303421[[#This Row],[累计净值]]</f>
        <v>1.0669999999999999</v>
      </c>
      <c r="G151" s="170">
        <f>表2_367162629303421[[#This Row],[累计净值]]/$B$21-1</f>
        <v>6.1691542288557333E-2</v>
      </c>
    </row>
    <row r="152" spans="1:7">
      <c r="A152" s="161">
        <v>43972</v>
      </c>
      <c r="B152" s="162">
        <v>1.0660000000000001</v>
      </c>
      <c r="C152" s="171">
        <f t="shared" si="4"/>
        <v>-9.9999999999988987E-4</v>
      </c>
      <c r="D152" s="168">
        <f t="shared" si="5"/>
        <v>-9.9999999999988987E-4</v>
      </c>
      <c r="E152" s="168">
        <f ca="1">IF(表2_367162629303421[[#This Row],[累计净值]]/MAX(INDIRECT("B21:B" &amp; ROW()))-1&lt;E151,表2_367162629303421[[#This Row],[累计净值]]/MAX(INDIRECT("B21:B" &amp; ROW()))-1,E151)</f>
        <v>-9.9502487562188602E-3</v>
      </c>
      <c r="F152" s="172">
        <f>表2_367162629303421[[#This Row],[累计净值]]</f>
        <v>1.0660000000000001</v>
      </c>
      <c r="G152" s="170">
        <f>表2_367162629303421[[#This Row],[累计净值]]/$B$21-1</f>
        <v>6.0696517412935469E-2</v>
      </c>
    </row>
    <row r="153" spans="1:7">
      <c r="A153" s="161">
        <v>43973</v>
      </c>
      <c r="B153" s="162">
        <v>1.0620000000000001</v>
      </c>
      <c r="C153" s="171">
        <f t="shared" si="4"/>
        <v>-4.0000000000000036E-3</v>
      </c>
      <c r="D153" s="168">
        <f t="shared" si="5"/>
        <v>-4.0000000000000036E-3</v>
      </c>
      <c r="E153" s="168">
        <f ca="1">IF(表2_367162629303421[[#This Row],[累计净值]]/MAX(INDIRECT("B21:B" &amp; ROW()))-1&lt;E152,表2_367162629303421[[#This Row],[累计净值]]/MAX(INDIRECT("B21:B" &amp; ROW()))-1,E152)</f>
        <v>-9.9502487562188602E-3</v>
      </c>
      <c r="F153" s="172">
        <f>表2_367162629303421[[#This Row],[累计净值]]</f>
        <v>1.0620000000000001</v>
      </c>
      <c r="G153" s="170">
        <f>表2_367162629303421[[#This Row],[累计净值]]/$B$21-1</f>
        <v>5.6716417910448014E-2</v>
      </c>
    </row>
    <row r="154" spans="1:7">
      <c r="A154" s="161">
        <v>43976</v>
      </c>
      <c r="B154" s="162">
        <v>1.0680000000000001</v>
      </c>
      <c r="C154" s="171">
        <f t="shared" si="4"/>
        <v>6.0000000000000053E-3</v>
      </c>
      <c r="D154" s="168" t="str">
        <f t="shared" si="5"/>
        <v>/</v>
      </c>
      <c r="E154" s="168">
        <f ca="1">IF(表2_367162629303421[[#This Row],[累计净值]]/MAX(INDIRECT("B21:B" &amp; ROW()))-1&lt;E153,表2_367162629303421[[#This Row],[累计净值]]/MAX(INDIRECT("B21:B" &amp; ROW()))-1,E153)</f>
        <v>-9.9502487562188602E-3</v>
      </c>
      <c r="F154" s="172">
        <f>表2_367162629303421[[#This Row],[累计净值]]</f>
        <v>1.0680000000000001</v>
      </c>
      <c r="G154" s="170">
        <f>表2_367162629303421[[#This Row],[累计净值]]/$B$21-1</f>
        <v>6.2686567164179197E-2</v>
      </c>
    </row>
    <row r="155" spans="1:7">
      <c r="A155" s="161">
        <v>43977</v>
      </c>
      <c r="B155" s="162">
        <v>1.069</v>
      </c>
      <c r="C155" s="171">
        <f t="shared" si="4"/>
        <v>9.9999999999988987E-4</v>
      </c>
      <c r="D155" s="168" t="str">
        <f t="shared" si="5"/>
        <v>/</v>
      </c>
      <c r="E155" s="168">
        <f ca="1">IF(表2_367162629303421[[#This Row],[累计净值]]/MAX(INDIRECT("B21:B" &amp; ROW()))-1&lt;E154,表2_367162629303421[[#This Row],[累计净值]]/MAX(INDIRECT("B21:B" &amp; ROW()))-1,E154)</f>
        <v>-9.9502487562188602E-3</v>
      </c>
      <c r="F155" s="172">
        <f>表2_367162629303421[[#This Row],[累计净值]]</f>
        <v>1.069</v>
      </c>
      <c r="G155" s="170">
        <f>表2_367162629303421[[#This Row],[累计净值]]/$B$21-1</f>
        <v>6.368159203980106E-2</v>
      </c>
    </row>
    <row r="156" spans="1:7">
      <c r="A156" s="161">
        <v>43978</v>
      </c>
      <c r="B156" s="162">
        <v>1.069</v>
      </c>
      <c r="C156" s="171">
        <f t="shared" si="4"/>
        <v>0</v>
      </c>
      <c r="D156" s="168" t="str">
        <f t="shared" si="5"/>
        <v>/</v>
      </c>
      <c r="E156" s="168">
        <f ca="1">IF(表2_367162629303421[[#This Row],[累计净值]]/MAX(INDIRECT("B21:B" &amp; ROW()))-1&lt;E155,表2_367162629303421[[#This Row],[累计净值]]/MAX(INDIRECT("B21:B" &amp; ROW()))-1,E155)</f>
        <v>-9.9502487562188602E-3</v>
      </c>
      <c r="F156" s="172">
        <f>表2_367162629303421[[#This Row],[累计净值]]</f>
        <v>1.069</v>
      </c>
      <c r="G156" s="170">
        <f>表2_367162629303421[[#This Row],[累计净值]]/$B$21-1</f>
        <v>6.368159203980106E-2</v>
      </c>
    </row>
    <row r="157" spans="1:7">
      <c r="A157" s="161">
        <v>43979</v>
      </c>
      <c r="B157" s="162">
        <v>1.07</v>
      </c>
      <c r="C157" s="171">
        <f t="shared" si="4"/>
        <v>1.0000000000001119E-3</v>
      </c>
      <c r="D157" s="168" t="str">
        <f t="shared" si="5"/>
        <v>/</v>
      </c>
      <c r="E157" s="168">
        <f ca="1">IF(表2_367162629303421[[#This Row],[累计净值]]/MAX(INDIRECT("B21:B" &amp; ROW()))-1&lt;E156,表2_367162629303421[[#This Row],[累计净值]]/MAX(INDIRECT("B21:B" &amp; ROW()))-1,E156)</f>
        <v>-9.9502487562188602E-3</v>
      </c>
      <c r="F157" s="172">
        <f>表2_367162629303421[[#This Row],[累计净值]]</f>
        <v>1.07</v>
      </c>
      <c r="G157" s="170">
        <f>表2_367162629303421[[#This Row],[累计净值]]/$B$21-1</f>
        <v>6.4676616915423146E-2</v>
      </c>
    </row>
    <row r="158" spans="1:7">
      <c r="A158" s="161">
        <v>43980</v>
      </c>
      <c r="B158" s="162">
        <v>1.071</v>
      </c>
      <c r="C158" s="171">
        <f t="shared" si="4"/>
        <v>9.9999999999988987E-4</v>
      </c>
      <c r="D158" s="168" t="str">
        <f t="shared" si="5"/>
        <v>/</v>
      </c>
      <c r="E158" s="168">
        <f ca="1">IF(表2_367162629303421[[#This Row],[累计净值]]/MAX(INDIRECT("B21:B" &amp; ROW()))-1&lt;E157,表2_367162629303421[[#This Row],[累计净值]]/MAX(INDIRECT("B21:B" &amp; ROW()))-1,E157)</f>
        <v>-9.9502487562188602E-3</v>
      </c>
      <c r="F158" s="172">
        <f>表2_367162629303421[[#This Row],[累计净值]]</f>
        <v>1.071</v>
      </c>
      <c r="G158" s="170">
        <f>表2_367162629303421[[#This Row],[累计净值]]/$B$21-1</f>
        <v>6.5671641791044788E-2</v>
      </c>
    </row>
    <row r="159" spans="1:7">
      <c r="A159" s="161">
        <v>43983</v>
      </c>
      <c r="B159" s="162">
        <v>1.075</v>
      </c>
      <c r="C159" s="171">
        <f t="shared" si="4"/>
        <v>4.0000000000000036E-3</v>
      </c>
      <c r="D159" s="168" t="str">
        <f t="shared" si="5"/>
        <v>/</v>
      </c>
      <c r="E159" s="168">
        <f ca="1">IF(表2_367162629303421[[#This Row],[累计净值]]/MAX(INDIRECT("B21:B" &amp; ROW()))-1&lt;E158,表2_367162629303421[[#This Row],[累计净值]]/MAX(INDIRECT("B21:B" &amp; ROW()))-1,E158)</f>
        <v>-9.9502487562188602E-3</v>
      </c>
      <c r="F159" s="172">
        <f>表2_367162629303421[[#This Row],[累计净值]]</f>
        <v>1.075</v>
      </c>
      <c r="G159" s="170">
        <f>表2_367162629303421[[#This Row],[累计净值]]/$B$21-1</f>
        <v>6.9651741293532465E-2</v>
      </c>
    </row>
    <row r="160" spans="1:7">
      <c r="A160" s="161">
        <v>43984</v>
      </c>
      <c r="B160" s="162">
        <v>1.071</v>
      </c>
      <c r="C160" s="171">
        <f t="shared" si="4"/>
        <v>-4.0000000000000036E-3</v>
      </c>
      <c r="D160" s="168">
        <f t="shared" si="5"/>
        <v>-4.0000000000000036E-3</v>
      </c>
      <c r="E160" s="168">
        <f ca="1">IF(表2_367162629303421[[#This Row],[累计净值]]/MAX(INDIRECT("B21:B" &amp; ROW()))-1&lt;E159,表2_367162629303421[[#This Row],[累计净值]]/MAX(INDIRECT("B21:B" &amp; ROW()))-1,E159)</f>
        <v>-9.9502487562188602E-3</v>
      </c>
      <c r="F160" s="172">
        <f>表2_367162629303421[[#This Row],[累计净值]]</f>
        <v>1.071</v>
      </c>
      <c r="G160" s="170">
        <f>表2_367162629303421[[#This Row],[累计净值]]/$B$21-1</f>
        <v>6.5671641791044788E-2</v>
      </c>
    </row>
    <row r="161" spans="1:7">
      <c r="A161" s="161">
        <v>43985</v>
      </c>
      <c r="B161" s="162">
        <v>1.071</v>
      </c>
      <c r="C161" s="171">
        <f t="shared" si="4"/>
        <v>0</v>
      </c>
      <c r="D161" s="168" t="str">
        <f t="shared" si="5"/>
        <v>/</v>
      </c>
      <c r="E161" s="168">
        <f ca="1">IF(表2_367162629303421[[#This Row],[累计净值]]/MAX(INDIRECT("B21:B" &amp; ROW()))-1&lt;E160,表2_367162629303421[[#This Row],[累计净值]]/MAX(INDIRECT("B21:B" &amp; ROW()))-1,E160)</f>
        <v>-9.9502487562188602E-3</v>
      </c>
      <c r="F161" s="172">
        <f>表2_367162629303421[[#This Row],[累计净值]]</f>
        <v>1.071</v>
      </c>
      <c r="G161" s="170">
        <f>表2_367162629303421[[#This Row],[累计净值]]/$B$21-1</f>
        <v>6.5671641791044788E-2</v>
      </c>
    </row>
    <row r="162" spans="1:7">
      <c r="A162" s="161">
        <v>43986</v>
      </c>
      <c r="B162" s="162">
        <v>1.07</v>
      </c>
      <c r="C162" s="171">
        <f t="shared" si="4"/>
        <v>-9.9999999999988987E-4</v>
      </c>
      <c r="D162" s="168">
        <f t="shared" si="5"/>
        <v>-9.9999999999988987E-4</v>
      </c>
      <c r="E162" s="168">
        <f ca="1">IF(表2_367162629303421[[#This Row],[累计净值]]/MAX(INDIRECT("B21:B" &amp; ROW()))-1&lt;E161,表2_367162629303421[[#This Row],[累计净值]]/MAX(INDIRECT("B21:B" &amp; ROW()))-1,E161)</f>
        <v>-9.9502487562188602E-3</v>
      </c>
      <c r="F162" s="172">
        <f>表2_367162629303421[[#This Row],[累计净值]]</f>
        <v>1.07</v>
      </c>
      <c r="G162" s="170">
        <f>表2_367162629303421[[#This Row],[累计净值]]/$B$21-1</f>
        <v>6.4676616915423146E-2</v>
      </c>
    </row>
    <row r="163" spans="1:7">
      <c r="A163" s="161">
        <v>43987</v>
      </c>
      <c r="B163" s="162">
        <v>1.07</v>
      </c>
      <c r="C163" s="171">
        <f t="shared" si="4"/>
        <v>0</v>
      </c>
      <c r="D163" s="168" t="str">
        <f t="shared" si="5"/>
        <v>/</v>
      </c>
      <c r="E163" s="168">
        <f ca="1">IF(表2_367162629303421[[#This Row],[累计净值]]/MAX(INDIRECT("B21:B" &amp; ROW()))-1&lt;E162,表2_367162629303421[[#This Row],[累计净值]]/MAX(INDIRECT("B21:B" &amp; ROW()))-1,E162)</f>
        <v>-9.9502487562188602E-3</v>
      </c>
      <c r="F163" s="172">
        <f>表2_367162629303421[[#This Row],[累计净值]]</f>
        <v>1.07</v>
      </c>
      <c r="G163" s="170">
        <f>表2_367162629303421[[#This Row],[累计净值]]/$B$21-1</f>
        <v>6.4676616915423146E-2</v>
      </c>
    </row>
    <row r="164" spans="1:7">
      <c r="A164" s="161">
        <v>43990</v>
      </c>
      <c r="B164" s="162">
        <v>1.07</v>
      </c>
      <c r="C164" s="171">
        <f t="shared" si="4"/>
        <v>0</v>
      </c>
      <c r="D164" s="168" t="str">
        <f t="shared" si="5"/>
        <v>/</v>
      </c>
      <c r="E164" s="168">
        <f ca="1">IF(表2_367162629303421[[#This Row],[累计净值]]/MAX(INDIRECT("B21:B" &amp; ROW()))-1&lt;E163,表2_367162629303421[[#This Row],[累计净值]]/MAX(INDIRECT("B21:B" &amp; ROW()))-1,E163)</f>
        <v>-9.9502487562188602E-3</v>
      </c>
      <c r="F164" s="172">
        <f>表2_367162629303421[[#This Row],[累计净值]]</f>
        <v>1.07</v>
      </c>
      <c r="G164" s="170">
        <f>表2_367162629303421[[#This Row],[累计净值]]/$B$21-1</f>
        <v>6.4676616915423146E-2</v>
      </c>
    </row>
    <row r="165" spans="1:7">
      <c r="A165" s="161">
        <v>43991</v>
      </c>
      <c r="B165" s="162">
        <v>1.073</v>
      </c>
      <c r="C165" s="171">
        <f t="shared" si="4"/>
        <v>2.9999999999998916E-3</v>
      </c>
      <c r="D165" s="168" t="str">
        <f t="shared" si="5"/>
        <v>/</v>
      </c>
      <c r="E165" s="168">
        <f ca="1">IF(表2_367162629303421[[#This Row],[累计净值]]/MAX(INDIRECT("B21:B" &amp; ROW()))-1&lt;E164,表2_367162629303421[[#This Row],[累计净值]]/MAX(INDIRECT("B21:B" &amp; ROW()))-1,E164)</f>
        <v>-9.9502487562188602E-3</v>
      </c>
      <c r="F165" s="172">
        <f>表2_367162629303421[[#This Row],[累计净值]]</f>
        <v>1.073</v>
      </c>
      <c r="G165" s="170">
        <f>表2_367162629303421[[#This Row],[累计净值]]/$B$21-1</f>
        <v>6.7661691542288516E-2</v>
      </c>
    </row>
    <row r="166" spans="1:7">
      <c r="A166" s="161">
        <v>43992</v>
      </c>
      <c r="B166" s="162">
        <v>1.071</v>
      </c>
      <c r="C166" s="171">
        <f t="shared" si="4"/>
        <v>-2.0000000000000018E-3</v>
      </c>
      <c r="D166" s="168">
        <f t="shared" si="5"/>
        <v>-2.0000000000000018E-3</v>
      </c>
      <c r="E166" s="168">
        <f ca="1">IF(表2_367162629303421[[#This Row],[累计净值]]/MAX(INDIRECT("B21:B" &amp; ROW()))-1&lt;E165,表2_367162629303421[[#This Row],[累计净值]]/MAX(INDIRECT("B21:B" &amp; ROW()))-1,E165)</f>
        <v>-9.9502487562188602E-3</v>
      </c>
      <c r="F166" s="172">
        <f>表2_367162629303421[[#This Row],[累计净值]]</f>
        <v>1.071</v>
      </c>
      <c r="G166" s="170">
        <f>表2_367162629303421[[#This Row],[累计净值]]/$B$21-1</f>
        <v>6.5671641791044788E-2</v>
      </c>
    </row>
    <row r="167" spans="1:7">
      <c r="A167" s="161">
        <v>43993</v>
      </c>
      <c r="B167" s="162">
        <v>1.0720000000000001</v>
      </c>
      <c r="C167" s="171">
        <f t="shared" si="4"/>
        <v>1.0000000000001119E-3</v>
      </c>
      <c r="D167" s="168" t="str">
        <f t="shared" si="5"/>
        <v>/</v>
      </c>
      <c r="E167" s="168">
        <f ca="1">IF(表2_367162629303421[[#This Row],[累计净值]]/MAX(INDIRECT("B21:B" &amp; ROW()))-1&lt;E166,表2_367162629303421[[#This Row],[累计净值]]/MAX(INDIRECT("B21:B" &amp; ROW()))-1,E166)</f>
        <v>-9.9502487562188602E-3</v>
      </c>
      <c r="F167" s="172">
        <f>表2_367162629303421[[#This Row],[累计净值]]</f>
        <v>1.0720000000000001</v>
      </c>
      <c r="G167" s="170">
        <f>表2_367162629303421[[#This Row],[累计净值]]/$B$21-1</f>
        <v>6.6666666666666874E-2</v>
      </c>
    </row>
    <row r="168" spans="1:7">
      <c r="A168" s="161">
        <v>43994</v>
      </c>
      <c r="B168" s="162">
        <v>1.07</v>
      </c>
      <c r="C168" s="171">
        <f t="shared" ref="C168:C173" si="6">IFERROR(B168-B167,0)</f>
        <v>-2.0000000000000018E-3</v>
      </c>
      <c r="D168" s="168">
        <f t="shared" ref="D168:D173" si="7">IF(C168&lt;0,C168,"/")</f>
        <v>-2.0000000000000018E-3</v>
      </c>
      <c r="E168" s="168">
        <f ca="1">IF(表2_367162629303421[[#This Row],[累计净值]]/MAX(INDIRECT("B21:B" &amp; ROW()))-1&lt;E167,表2_367162629303421[[#This Row],[累计净值]]/MAX(INDIRECT("B21:B" &amp; ROW()))-1,E167)</f>
        <v>-9.9502487562188602E-3</v>
      </c>
      <c r="F168" s="172">
        <f>表2_367162629303421[[#This Row],[累计净值]]</f>
        <v>1.07</v>
      </c>
      <c r="G168" s="170">
        <f>表2_367162629303421[[#This Row],[累计净值]]/$B$21-1</f>
        <v>6.4676616915423146E-2</v>
      </c>
    </row>
    <row r="169" spans="1:7">
      <c r="A169" s="161">
        <v>43997</v>
      </c>
      <c r="B169" s="162">
        <v>1.0720000000000001</v>
      </c>
      <c r="C169" s="171">
        <f t="shared" si="6"/>
        <v>2.0000000000000018E-3</v>
      </c>
      <c r="D169" s="168" t="str">
        <f t="shared" si="7"/>
        <v>/</v>
      </c>
      <c r="E169" s="168">
        <f ca="1">IF(表2_367162629303421[[#This Row],[累计净值]]/MAX(INDIRECT("B21:B" &amp; ROW()))-1&lt;E168,表2_367162629303421[[#This Row],[累计净值]]/MAX(INDIRECT("B21:B" &amp; ROW()))-1,E168)</f>
        <v>-9.9502487562188602E-3</v>
      </c>
      <c r="F169" s="172">
        <f>表2_367162629303421[[#This Row],[累计净值]]</f>
        <v>1.0720000000000001</v>
      </c>
      <c r="G169" s="170">
        <f>表2_367162629303421[[#This Row],[累计净值]]/$B$21-1</f>
        <v>6.6666666666666874E-2</v>
      </c>
    </row>
    <row r="170" spans="1:7">
      <c r="A170" s="161">
        <v>43998</v>
      </c>
      <c r="B170" s="162">
        <v>1.077</v>
      </c>
      <c r="C170" s="171">
        <f t="shared" si="6"/>
        <v>4.9999999999998934E-3</v>
      </c>
      <c r="D170" s="168" t="str">
        <f t="shared" si="7"/>
        <v>/</v>
      </c>
      <c r="E170" s="168">
        <f ca="1">IF(表2_367162629303421[[#This Row],[累计净值]]/MAX(INDIRECT("B21:B" &amp; ROW()))-1&lt;E169,表2_367162629303421[[#This Row],[累计净值]]/MAX(INDIRECT("B21:B" &amp; ROW()))-1,E169)</f>
        <v>-9.9502487562188602E-3</v>
      </c>
      <c r="F170" s="110">
        <f>表2_367162629303421[[#This Row],[累计净值]]</f>
        <v>1.077</v>
      </c>
      <c r="G170" s="170">
        <f>表2_367162629303421[[#This Row],[累计净值]]/$B$21-1</f>
        <v>7.1641791044776193E-2</v>
      </c>
    </row>
    <row r="171" spans="1:7">
      <c r="A171" s="161">
        <v>43999</v>
      </c>
      <c r="B171" s="162">
        <v>1.0760000000000001</v>
      </c>
      <c r="C171" s="171">
        <f t="shared" si="6"/>
        <v>-9.9999999999988987E-4</v>
      </c>
      <c r="D171" s="168">
        <f t="shared" si="7"/>
        <v>-9.9999999999988987E-4</v>
      </c>
      <c r="E171" s="168">
        <f ca="1">IF(表2_367162629303421[[#This Row],[累计净值]]/MAX(INDIRECT("B21:B" &amp; ROW()))-1&lt;E170,表2_367162629303421[[#This Row],[累计净值]]/MAX(INDIRECT("B21:B" &amp; ROW()))-1,E170)</f>
        <v>-9.9502487562188602E-3</v>
      </c>
      <c r="F171" s="110">
        <f>表2_367162629303421[[#This Row],[累计净值]]</f>
        <v>1.0760000000000001</v>
      </c>
      <c r="G171" s="170">
        <f>表2_367162629303421[[#This Row],[累计净值]]/$B$21-1</f>
        <v>7.0646766169154329E-2</v>
      </c>
    </row>
    <row r="172" spans="1:7">
      <c r="A172" s="161">
        <v>44000</v>
      </c>
      <c r="B172" s="162">
        <v>1.075</v>
      </c>
      <c r="C172" s="171">
        <f t="shared" si="6"/>
        <v>-1.0000000000001119E-3</v>
      </c>
      <c r="D172" s="168">
        <f t="shared" si="7"/>
        <v>-1.0000000000001119E-3</v>
      </c>
      <c r="E172" s="168">
        <f ca="1">IF(表2_367162629303421[[#This Row],[累计净值]]/MAX(INDIRECT("B21:B" &amp; ROW()))-1&lt;E171,表2_367162629303421[[#This Row],[累计净值]]/MAX(INDIRECT("B21:B" &amp; ROW()))-1,E171)</f>
        <v>-9.9502487562188602E-3</v>
      </c>
      <c r="F172" s="110">
        <f>表2_367162629303421[[#This Row],[累计净值]]</f>
        <v>1.075</v>
      </c>
      <c r="G172" s="170">
        <f>表2_367162629303421[[#This Row],[累计净值]]/$B$21-1</f>
        <v>6.9651741293532465E-2</v>
      </c>
    </row>
    <row r="173" spans="1:7">
      <c r="A173" s="161">
        <v>44001</v>
      </c>
      <c r="B173" s="162">
        <v>1.069</v>
      </c>
      <c r="C173" s="171">
        <f t="shared" si="6"/>
        <v>-6.0000000000000053E-3</v>
      </c>
      <c r="D173" s="168">
        <f t="shared" si="7"/>
        <v>-6.0000000000000053E-3</v>
      </c>
      <c r="E173" s="168">
        <f ca="1">IF(表2_367162629303421[[#This Row],[累计净值]]/MAX(INDIRECT("B21:B" &amp; ROW()))-1&lt;E172,表2_367162629303421[[#This Row],[累计净值]]/MAX(INDIRECT("B21:B" &amp; ROW()))-1,E172)</f>
        <v>-9.9502487562188602E-3</v>
      </c>
      <c r="F173" s="110">
        <f>表2_367162629303421[[#This Row],[累计净值]]</f>
        <v>1.069</v>
      </c>
      <c r="G173" s="170">
        <f>表2_367162629303421[[#This Row],[累计净值]]/$B$21-1</f>
        <v>6.368159203980106E-2</v>
      </c>
    </row>
    <row r="174" spans="1:7">
      <c r="A174" s="161">
        <v>44004</v>
      </c>
      <c r="B174" s="162">
        <v>1.071</v>
      </c>
      <c r="C174" s="171">
        <f t="shared" ref="C174:C179" si="8">IFERROR(B174-B173,0)</f>
        <v>2.0000000000000018E-3</v>
      </c>
      <c r="D174" s="168" t="str">
        <f t="shared" ref="D174:D179" si="9">IF(C174&lt;0,C174,"/")</f>
        <v>/</v>
      </c>
      <c r="E174" s="168">
        <f ca="1">IF(表2_367162629303421[[#This Row],[累计净值]]/MAX(INDIRECT("B21:B" &amp; ROW()))-1&lt;E173,表2_367162629303421[[#This Row],[累计净值]]/MAX(INDIRECT("B21:B" &amp; ROW()))-1,E173)</f>
        <v>-9.9502487562188602E-3</v>
      </c>
      <c r="F174" s="110">
        <f>表2_367162629303421[[#This Row],[累计净值]]</f>
        <v>1.071</v>
      </c>
      <c r="G174" s="170">
        <f>表2_367162629303421[[#This Row],[累计净值]]/$B$21-1</f>
        <v>6.5671641791044788E-2</v>
      </c>
    </row>
    <row r="175" spans="1:7">
      <c r="A175" s="161">
        <v>44005</v>
      </c>
      <c r="B175" s="162">
        <v>1.0720000000000001</v>
      </c>
      <c r="C175" s="171">
        <f t="shared" si="8"/>
        <v>1.0000000000001119E-3</v>
      </c>
      <c r="D175" s="168" t="str">
        <f t="shared" si="9"/>
        <v>/</v>
      </c>
      <c r="E175" s="168">
        <f ca="1">IF(表2_367162629303421[[#This Row],[累计净值]]/MAX(INDIRECT("B21:B" &amp; ROW()))-1&lt;E174,表2_367162629303421[[#This Row],[累计净值]]/MAX(INDIRECT("B21:B" &amp; ROW()))-1,E174)</f>
        <v>-9.9502487562188602E-3</v>
      </c>
      <c r="F175" s="110">
        <f>表2_367162629303421[[#This Row],[累计净值]]</f>
        <v>1.0720000000000001</v>
      </c>
      <c r="G175" s="170">
        <f>表2_367162629303421[[#This Row],[累计净值]]/$B$21-1</f>
        <v>6.6666666666666874E-2</v>
      </c>
    </row>
    <row r="176" spans="1:7">
      <c r="A176" s="161">
        <v>44006</v>
      </c>
      <c r="B176" s="162">
        <v>1.073</v>
      </c>
      <c r="C176" s="171">
        <f t="shared" si="8"/>
        <v>9.9999999999988987E-4</v>
      </c>
      <c r="D176" s="168" t="str">
        <f t="shared" si="9"/>
        <v>/</v>
      </c>
      <c r="E176" s="168">
        <f ca="1">IF(表2_367162629303421[[#This Row],[累计净值]]/MAX(INDIRECT("B21:B" &amp; ROW()))-1&lt;E175,表2_367162629303421[[#This Row],[累计净值]]/MAX(INDIRECT("B21:B" &amp; ROW()))-1,E175)</f>
        <v>-9.9502487562188602E-3</v>
      </c>
      <c r="F176" s="110">
        <f>表2_367162629303421[[#This Row],[累计净值]]</f>
        <v>1.073</v>
      </c>
      <c r="G176" s="170">
        <f>表2_367162629303421[[#This Row],[累计净值]]/$B$21-1</f>
        <v>6.7661691542288516E-2</v>
      </c>
    </row>
    <row r="177" spans="1:10">
      <c r="A177" s="161">
        <v>44011</v>
      </c>
      <c r="B177" s="162">
        <v>1.0720000000000001</v>
      </c>
      <c r="C177" s="171">
        <f t="shared" si="8"/>
        <v>-9.9999999999988987E-4</v>
      </c>
      <c r="D177" s="168">
        <f t="shared" si="9"/>
        <v>-9.9999999999988987E-4</v>
      </c>
      <c r="E177" s="168">
        <f ca="1">IF(表2_367162629303421[[#This Row],[累计净值]]/MAX(INDIRECT("B21:B" &amp; ROW()))-1&lt;E176,表2_367162629303421[[#This Row],[累计净值]]/MAX(INDIRECT("B21:B" &amp; ROW()))-1,E176)</f>
        <v>-9.9502487562188602E-3</v>
      </c>
      <c r="F177" s="110">
        <f>表2_367162629303421[[#This Row],[累计净值]]</f>
        <v>1.0720000000000001</v>
      </c>
      <c r="G177" s="170">
        <f>表2_367162629303421[[#This Row],[累计净值]]/$B$21-1</f>
        <v>6.6666666666666874E-2</v>
      </c>
    </row>
    <row r="178" spans="1:10">
      <c r="A178" s="161">
        <v>44012</v>
      </c>
      <c r="B178" s="162">
        <v>1.0720000000000001</v>
      </c>
      <c r="C178" s="171">
        <f t="shared" si="8"/>
        <v>0</v>
      </c>
      <c r="D178" s="168" t="str">
        <f t="shared" si="9"/>
        <v>/</v>
      </c>
      <c r="E178" s="168">
        <f ca="1">IF(表2_367162629303421[[#This Row],[累计净值]]/MAX(INDIRECT("B21:B" &amp; ROW()))-1&lt;E177,表2_367162629303421[[#This Row],[累计净值]]/MAX(INDIRECT("B21:B" &amp; ROW()))-1,E177)</f>
        <v>-9.9502487562188602E-3</v>
      </c>
      <c r="F178" s="110">
        <f>表2_367162629303421[[#This Row],[累计净值]]</f>
        <v>1.0720000000000001</v>
      </c>
      <c r="G178" s="170">
        <f>表2_367162629303421[[#This Row],[累计净值]]/$B$21-1</f>
        <v>6.6666666666666874E-2</v>
      </c>
    </row>
    <row r="179" spans="1:10">
      <c r="A179" s="161">
        <v>44013</v>
      </c>
      <c r="B179" s="162">
        <v>1.0720000000000001</v>
      </c>
      <c r="C179" s="171">
        <f t="shared" si="8"/>
        <v>0</v>
      </c>
      <c r="D179" s="168" t="str">
        <f t="shared" si="9"/>
        <v>/</v>
      </c>
      <c r="E179" s="168">
        <f ca="1">IF(表2_367162629303421[[#This Row],[累计净值]]/MAX(INDIRECT("B21:B" &amp; ROW()))-1&lt;E178,表2_367162629303421[[#This Row],[累计净值]]/MAX(INDIRECT("B21:B" &amp; ROW()))-1,E178)</f>
        <v>-9.9502487562188602E-3</v>
      </c>
      <c r="F179" s="110">
        <f>表2_367162629303421[[#This Row],[累计净值]]</f>
        <v>1.0720000000000001</v>
      </c>
      <c r="G179" s="170">
        <f>表2_367162629303421[[#This Row],[累计净值]]/$B$21-1</f>
        <v>6.6666666666666874E-2</v>
      </c>
    </row>
    <row r="180" spans="1:10">
      <c r="A180" s="161">
        <v>44014</v>
      </c>
      <c r="B180" s="162">
        <v>1.071</v>
      </c>
      <c r="C180" s="171">
        <f>IFERROR(B180-B179,0)</f>
        <v>-1.0000000000001119E-3</v>
      </c>
      <c r="D180" s="168">
        <f>IF(C180&lt;0,C180,"/")</f>
        <v>-1.0000000000001119E-3</v>
      </c>
      <c r="E180" s="168">
        <f ca="1">IF(表2_367162629303421[[#This Row],[累计净值]]/MAX(INDIRECT("B21:B" &amp; ROW()))-1&lt;E179,表2_367162629303421[[#This Row],[累计净值]]/MAX(INDIRECT("B21:B" &amp; ROW()))-1,E179)</f>
        <v>-9.9502487562188602E-3</v>
      </c>
      <c r="F180" s="110">
        <f>表2_367162629303421[[#This Row],[累计净值]]</f>
        <v>1.071</v>
      </c>
      <c r="G180" s="170">
        <f>表2_367162629303421[[#This Row],[累计净值]]/$B$21-1</f>
        <v>6.5671641791044788E-2</v>
      </c>
    </row>
    <row r="181" spans="1:10">
      <c r="A181" s="161">
        <v>44015</v>
      </c>
      <c r="B181" s="162">
        <v>1.071</v>
      </c>
      <c r="C181" s="171">
        <f>IFERROR(B181-B180,0)</f>
        <v>0</v>
      </c>
      <c r="D181" s="168" t="str">
        <f>IF(C181&lt;0,C181,"/")</f>
        <v>/</v>
      </c>
      <c r="E181" s="168">
        <f ca="1">IF(表2_367162629303421[[#This Row],[累计净值]]/MAX(INDIRECT("B21:B" &amp; ROW()))-1&lt;E180,表2_367162629303421[[#This Row],[累计净值]]/MAX(INDIRECT("B21:B" &amp; ROW()))-1,E180)</f>
        <v>-9.9502487562188602E-3</v>
      </c>
      <c r="F181" s="110">
        <f>表2_367162629303421[[#This Row],[累计净值]]</f>
        <v>1.071</v>
      </c>
      <c r="G181" s="170">
        <f>表2_367162629303421[[#This Row],[累计净值]]/$B$21-1</f>
        <v>6.5671641791044788E-2</v>
      </c>
    </row>
    <row r="182" spans="1:10">
      <c r="A182" s="161">
        <v>44018</v>
      </c>
      <c r="B182" s="162">
        <v>1.075</v>
      </c>
      <c r="C182" s="171">
        <f>IFERROR(B182-B181,0)</f>
        <v>4.0000000000000036E-3</v>
      </c>
      <c r="D182" s="168" t="str">
        <f>IF(C182&lt;0,C182,"/")</f>
        <v>/</v>
      </c>
      <c r="E182" s="168">
        <f ca="1">IF(表2_367162629303421[[#This Row],[累计净值]]/MAX(INDIRECT("B21:B" &amp; ROW()))-1&lt;E181,表2_367162629303421[[#This Row],[累计净值]]/MAX(INDIRECT("B21:B" &amp; ROW()))-1,E181)</f>
        <v>-9.9502487562188602E-3</v>
      </c>
      <c r="F182" s="110">
        <f>表2_367162629303421[[#This Row],[累计净值]]</f>
        <v>1.075</v>
      </c>
      <c r="G182" s="170">
        <f>表2_367162629303421[[#This Row],[累计净值]]/$B$21-1</f>
        <v>6.9651741293532465E-2</v>
      </c>
    </row>
    <row r="183" spans="1:10">
      <c r="A183" s="161">
        <v>44019</v>
      </c>
      <c r="B183" s="162">
        <v>1.08</v>
      </c>
      <c r="C183" s="171">
        <f t="shared" ref="C183:C189" si="10">IFERROR(B183-B182,0)</f>
        <v>5.0000000000001155E-3</v>
      </c>
      <c r="D183" s="168" t="str">
        <f t="shared" ref="D183:D189" si="11">IF(C183&lt;0,C183,"/")</f>
        <v>/</v>
      </c>
      <c r="E183" s="168">
        <f ca="1">IF(表2_367162629303421[[#This Row],[累计净值]]/MAX(INDIRECT("B21:B" &amp; ROW()))-1&lt;E182,表2_367162629303421[[#This Row],[累计净值]]/MAX(INDIRECT("B21:B" &amp; ROW()))-1,E182)</f>
        <v>-9.9502487562188602E-3</v>
      </c>
      <c r="F183" s="110">
        <f>表2_367162629303421[[#This Row],[累计净值]]</f>
        <v>1.08</v>
      </c>
      <c r="G183" s="170">
        <f>表2_367162629303421[[#This Row],[累计净值]]/$B$21-1</f>
        <v>7.4626865671642006E-2</v>
      </c>
    </row>
    <row r="184" spans="1:10">
      <c r="A184" s="161">
        <v>44020</v>
      </c>
      <c r="B184" s="162">
        <v>1.081</v>
      </c>
      <c r="C184" s="171">
        <f t="shared" si="10"/>
        <v>9.9999999999988987E-4</v>
      </c>
      <c r="D184" s="168" t="str">
        <f t="shared" si="11"/>
        <v>/</v>
      </c>
      <c r="E184" s="168">
        <f ca="1">IF(表2_367162629303421[[#This Row],[累计净值]]/MAX(INDIRECT("B21:B" &amp; ROW()))-1&lt;E183,表2_367162629303421[[#This Row],[累计净值]]/MAX(INDIRECT("B21:B" &amp; ROW()))-1,E183)</f>
        <v>-9.9502487562188602E-3</v>
      </c>
      <c r="F184" s="110">
        <f>表2_367162629303421[[#This Row],[累计净值]]</f>
        <v>1.081</v>
      </c>
      <c r="G184" s="170">
        <f>表2_367162629303421[[#This Row],[累计净值]]/$B$21-1</f>
        <v>7.5621890547263648E-2</v>
      </c>
    </row>
    <row r="185" spans="1:10">
      <c r="A185" s="161">
        <v>44021</v>
      </c>
      <c r="B185" s="162">
        <v>1.0820000000000001</v>
      </c>
      <c r="C185" s="171">
        <f t="shared" si="10"/>
        <v>1.0000000000001119E-3</v>
      </c>
      <c r="D185" s="168" t="str">
        <f t="shared" si="11"/>
        <v>/</v>
      </c>
      <c r="E185" s="168">
        <f ca="1">IF(表2_367162629303421[[#This Row],[累计净值]]/MAX(INDIRECT("B21:B" &amp; ROW()))-1&lt;E184,表2_367162629303421[[#This Row],[累计净值]]/MAX(INDIRECT("B21:B" &amp; ROW()))-1,E184)</f>
        <v>-9.9502487562188602E-3</v>
      </c>
      <c r="F185" s="110">
        <f>表2_367162629303421[[#This Row],[累计净值]]</f>
        <v>1.0820000000000001</v>
      </c>
      <c r="G185" s="170">
        <f>表2_367162629303421[[#This Row],[累计净值]]/$B$21-1</f>
        <v>7.6616915422885734E-2</v>
      </c>
    </row>
    <row r="186" spans="1:10">
      <c r="A186" s="161">
        <v>44022</v>
      </c>
      <c r="B186" s="162">
        <v>1.085</v>
      </c>
      <c r="C186" s="171">
        <f t="shared" si="10"/>
        <v>2.9999999999998916E-3</v>
      </c>
      <c r="D186" s="168" t="str">
        <f t="shared" si="11"/>
        <v>/</v>
      </c>
      <c r="E186" s="168">
        <f ca="1">IF(表2_367162629303421[[#This Row],[累计净值]]/MAX(INDIRECT("B21:B" &amp; ROW()))-1&lt;E185,表2_367162629303421[[#This Row],[累计净值]]/MAX(INDIRECT("B21:B" &amp; ROW()))-1,E185)</f>
        <v>-9.9502487562188602E-3</v>
      </c>
      <c r="F186" s="110">
        <f>表2_367162629303421[[#This Row],[累计净值]]</f>
        <v>1.085</v>
      </c>
      <c r="G186" s="170">
        <f>表2_367162629303421[[#This Row],[累计净值]]/$B$21-1</f>
        <v>7.9601990049751326E-2</v>
      </c>
    </row>
    <row r="187" spans="1:10">
      <c r="A187" s="161">
        <v>44025</v>
      </c>
      <c r="B187" s="162">
        <v>1.087</v>
      </c>
      <c r="C187" s="171">
        <f t="shared" si="10"/>
        <v>2.0000000000000018E-3</v>
      </c>
      <c r="D187" s="168" t="str">
        <f t="shared" si="11"/>
        <v>/</v>
      </c>
      <c r="E187" s="168">
        <f ca="1">IF(表2_367162629303421[[#This Row],[累计净值]]/MAX(INDIRECT("B21:B" &amp; ROW()))-1&lt;E186,表2_367162629303421[[#This Row],[累计净值]]/MAX(INDIRECT("B21:B" &amp; ROW()))-1,E186)</f>
        <v>-9.9502487562188602E-3</v>
      </c>
      <c r="F187" s="110">
        <f>表2_367162629303421[[#This Row],[累计净值]]</f>
        <v>1.087</v>
      </c>
      <c r="G187" s="170">
        <f>表2_367162629303421[[#This Row],[累计净值]]/$B$21-1</f>
        <v>8.1592039800995053E-2</v>
      </c>
    </row>
    <row r="188" spans="1:10">
      <c r="A188" s="161">
        <v>44026</v>
      </c>
      <c r="B188" s="162">
        <v>1.089</v>
      </c>
      <c r="C188" s="171">
        <f t="shared" si="10"/>
        <v>2.0000000000000018E-3</v>
      </c>
      <c r="D188" s="168" t="str">
        <f t="shared" si="11"/>
        <v>/</v>
      </c>
      <c r="E188" s="168">
        <f ca="1">IF(表2_367162629303421[[#This Row],[累计净值]]/MAX(INDIRECT("B21:B" &amp; ROW()))-1&lt;E187,表2_367162629303421[[#This Row],[累计净值]]/MAX(INDIRECT("B21:B" &amp; ROW()))-1,E187)</f>
        <v>-9.9502487562188602E-3</v>
      </c>
      <c r="F188" s="110">
        <f>表2_367162629303421[[#This Row],[累计净值]]</f>
        <v>1.089</v>
      </c>
      <c r="G188" s="170">
        <f>表2_367162629303421[[#This Row],[累计净值]]/$B$21-1</f>
        <v>8.3582089552238781E-2</v>
      </c>
      <c r="J188" s="195"/>
    </row>
    <row r="189" spans="1:10">
      <c r="A189" s="161">
        <v>44027</v>
      </c>
      <c r="B189" s="162">
        <v>1.0880000000000001</v>
      </c>
      <c r="C189" s="171">
        <f t="shared" si="10"/>
        <v>-9.9999999999988987E-4</v>
      </c>
      <c r="D189" s="168">
        <f t="shared" si="11"/>
        <v>-9.9999999999988987E-4</v>
      </c>
      <c r="E189" s="168">
        <f ca="1">IF(表2_367162629303421[[#This Row],[累计净值]]/MAX(INDIRECT("B21:B" &amp; ROW()))-1&lt;E188,表2_367162629303421[[#This Row],[累计净值]]/MAX(INDIRECT("B21:B" &amp; ROW()))-1,E188)</f>
        <v>-9.9502487562188602E-3</v>
      </c>
      <c r="F189" s="110">
        <f>表2_367162629303421[[#This Row],[累计净值]]</f>
        <v>1.0880000000000001</v>
      </c>
      <c r="G189" s="170">
        <f>表2_367162629303421[[#This Row],[累计净值]]/$B$21-1</f>
        <v>8.2587064676617139E-2</v>
      </c>
      <c r="J189" s="195"/>
    </row>
    <row r="190" spans="1:10">
      <c r="A190" s="161">
        <v>44028</v>
      </c>
      <c r="B190" s="162">
        <v>1.097</v>
      </c>
      <c r="C190" s="171">
        <f t="shared" ref="C190:C201" si="12">IFERROR(B190-B189,0)</f>
        <v>8.999999999999897E-3</v>
      </c>
      <c r="D190" s="168" t="str">
        <f t="shared" ref="D190:D201" si="13">IF(C190&lt;0,C190,"/")</f>
        <v>/</v>
      </c>
      <c r="E190" s="168">
        <f ca="1">IF(表2_367162629303421[[#This Row],[累计净值]]/MAX(INDIRECT("B21:B" &amp; ROW()))-1&lt;E189,表2_367162629303421[[#This Row],[累计净值]]/MAX(INDIRECT("B21:B" &amp; ROW()))-1,E189)</f>
        <v>-9.9502487562188602E-3</v>
      </c>
      <c r="F190" s="110">
        <f>表2_367162629303421[[#This Row],[累计净值]]</f>
        <v>1.097</v>
      </c>
      <c r="G190" s="170">
        <f>表2_367162629303421[[#This Row],[累计净值]]/$B$21-1</f>
        <v>9.1542288557213913E-2</v>
      </c>
      <c r="J190" s="195"/>
    </row>
    <row r="191" spans="1:10">
      <c r="A191" s="161">
        <v>44029</v>
      </c>
      <c r="B191" s="162">
        <v>1.099</v>
      </c>
      <c r="C191" s="171">
        <f t="shared" si="12"/>
        <v>2.0000000000000018E-3</v>
      </c>
      <c r="D191" s="168" t="str">
        <f t="shared" si="13"/>
        <v>/</v>
      </c>
      <c r="E191" s="168">
        <f ca="1">IF(表2_367162629303421[[#This Row],[累计净值]]/MAX(INDIRECT("B21:B" &amp; ROW()))-1&lt;E190,表2_367162629303421[[#This Row],[累计净值]]/MAX(INDIRECT("B21:B" &amp; ROW()))-1,E190)</f>
        <v>-9.9502487562188602E-3</v>
      </c>
      <c r="F191" s="110">
        <f>表2_367162629303421[[#This Row],[累计净值]]</f>
        <v>1.099</v>
      </c>
      <c r="G191" s="170">
        <f>表2_367162629303421[[#This Row],[累计净值]]/$B$21-1</f>
        <v>9.3532338308457863E-2</v>
      </c>
      <c r="J191" s="195"/>
    </row>
    <row r="192" spans="1:10">
      <c r="A192" s="161">
        <v>44032</v>
      </c>
      <c r="B192" s="162">
        <v>1.099</v>
      </c>
      <c r="C192" s="171">
        <f t="shared" si="12"/>
        <v>0</v>
      </c>
      <c r="D192" s="168" t="str">
        <f t="shared" si="13"/>
        <v>/</v>
      </c>
      <c r="E192" s="168">
        <f ca="1">IF(表2_367162629303421[[#This Row],[累计净值]]/MAX(INDIRECT("B21:B" &amp; ROW()))-1&lt;E191,表2_367162629303421[[#This Row],[累计净值]]/MAX(INDIRECT("B21:B" &amp; ROW()))-1,E191)</f>
        <v>-9.9502487562188602E-3</v>
      </c>
      <c r="F192" s="110">
        <f>表2_367162629303421[[#This Row],[累计净值]]</f>
        <v>1.099</v>
      </c>
      <c r="G192" s="170">
        <f>表2_367162629303421[[#This Row],[累计净值]]/$B$21-1</f>
        <v>9.3532338308457863E-2</v>
      </c>
      <c r="J192" s="195"/>
    </row>
    <row r="193" spans="1:10">
      <c r="A193" s="161">
        <v>44033</v>
      </c>
      <c r="B193" s="162">
        <v>1.1000000000000001</v>
      </c>
      <c r="C193" s="171">
        <f t="shared" si="12"/>
        <v>1.0000000000001119E-3</v>
      </c>
      <c r="D193" s="168" t="str">
        <f t="shared" si="13"/>
        <v>/</v>
      </c>
      <c r="E193" s="168">
        <f ca="1">IF(表2_367162629303421[[#This Row],[累计净值]]/MAX(INDIRECT("B21:B" &amp; ROW()))-1&lt;E192,表2_367162629303421[[#This Row],[累计净值]]/MAX(INDIRECT("B21:B" &amp; ROW()))-1,E192)</f>
        <v>-9.9502487562188602E-3</v>
      </c>
      <c r="F193" s="110">
        <f>表2_367162629303421[[#This Row],[累计净值]]</f>
        <v>1.1000000000000001</v>
      </c>
      <c r="G193" s="170">
        <f>表2_367162629303421[[#This Row],[累计净值]]/$B$21-1</f>
        <v>9.4527363184079727E-2</v>
      </c>
      <c r="J193" s="195"/>
    </row>
    <row r="194" spans="1:10">
      <c r="A194" s="161">
        <v>44034</v>
      </c>
      <c r="B194" s="162">
        <v>1.1020000000000001</v>
      </c>
      <c r="C194" s="171">
        <f t="shared" si="12"/>
        <v>2.0000000000000018E-3</v>
      </c>
      <c r="D194" s="168" t="str">
        <f t="shared" si="13"/>
        <v>/</v>
      </c>
      <c r="E194" s="168">
        <f ca="1">IF(表2_367162629303421[[#This Row],[累计净值]]/MAX(INDIRECT("B21:B" &amp; ROW()))-1&lt;E193,表2_367162629303421[[#This Row],[累计净值]]/MAX(INDIRECT("B21:B" &amp; ROW()))-1,E193)</f>
        <v>-9.9502487562188602E-3</v>
      </c>
      <c r="F194" s="110">
        <f>表2_367162629303421[[#This Row],[累计净值]]</f>
        <v>1.1020000000000001</v>
      </c>
      <c r="G194" s="170">
        <f>表2_367162629303421[[#This Row],[累计净值]]/$B$21-1</f>
        <v>9.6517412935323676E-2</v>
      </c>
    </row>
    <row r="195" spans="1:10">
      <c r="A195" s="161">
        <v>44035</v>
      </c>
      <c r="B195" s="162">
        <v>1.1020000000000001</v>
      </c>
      <c r="C195" s="171">
        <f t="shared" si="12"/>
        <v>0</v>
      </c>
      <c r="D195" s="168" t="str">
        <f t="shared" si="13"/>
        <v>/</v>
      </c>
      <c r="E195" s="168">
        <f ca="1">IF(表2_367162629303421[[#This Row],[累计净值]]/MAX(INDIRECT("B21:B" &amp; ROW()))-1&lt;E194,表2_367162629303421[[#This Row],[累计净值]]/MAX(INDIRECT("B21:B" &amp; ROW()))-1,E194)</f>
        <v>-9.9502487562188602E-3</v>
      </c>
      <c r="F195" s="110">
        <f>表2_367162629303421[[#This Row],[累计净值]]</f>
        <v>1.1020000000000001</v>
      </c>
      <c r="G195" s="170">
        <f>表2_367162629303421[[#This Row],[累计净值]]/$B$21-1</f>
        <v>9.6517412935323676E-2</v>
      </c>
    </row>
    <row r="196" spans="1:10">
      <c r="A196" s="173">
        <v>44036</v>
      </c>
      <c r="B196" s="174">
        <v>1.103</v>
      </c>
      <c r="C196" s="175">
        <f t="shared" si="12"/>
        <v>9.9999999999988987E-4</v>
      </c>
      <c r="D196" s="164" t="str">
        <f t="shared" si="13"/>
        <v>/</v>
      </c>
      <c r="E196" s="164">
        <f ca="1">IF(表2_367162629303421[[#This Row],[累计净值]]/MAX(INDIRECT("B21:B" &amp; ROW()))-1&lt;E195,表2_367162629303421[[#This Row],[累计净值]]/MAX(INDIRECT("B21:B" &amp; ROW()))-1,E195)</f>
        <v>-9.9502487562188602E-3</v>
      </c>
      <c r="F196" s="193">
        <f>表2_367162629303421[[#This Row],[累计净值]]</f>
        <v>1.103</v>
      </c>
      <c r="G196" s="184">
        <f>表2_367162629303421[[#This Row],[累计净值]]/$B$21-1</f>
        <v>9.7512437810945318E-2</v>
      </c>
      <c r="H196" s="177" t="s">
        <v>37</v>
      </c>
    </row>
    <row r="197" spans="1:10">
      <c r="A197" s="161">
        <v>44039</v>
      </c>
      <c r="B197" s="162">
        <v>1.1060000000000001</v>
      </c>
      <c r="C197" s="171">
        <f t="shared" si="12"/>
        <v>3.0000000000001137E-3</v>
      </c>
      <c r="D197" s="168" t="str">
        <f t="shared" si="13"/>
        <v>/</v>
      </c>
      <c r="E197" s="168">
        <f ca="1">IF(表2_367162629303421[[#This Row],[累计净值]]/MAX(INDIRECT("B21:B" &amp; ROW()))-1&lt;E196,表2_367162629303421[[#This Row],[累计净值]]/MAX(INDIRECT("B21:B" &amp; ROW()))-1,E196)</f>
        <v>-9.9502487562188602E-3</v>
      </c>
      <c r="F197" s="110">
        <f>表2_367162629303421[[#This Row],[累计净值]]</f>
        <v>1.1060000000000001</v>
      </c>
      <c r="G197" s="170">
        <f>表2_367162629303421[[#This Row],[累计净值]]/$B$21-1</f>
        <v>0.10049751243781113</v>
      </c>
      <c r="H197" s="170">
        <f>表2_367162629303421[[#This Row],[单位净值]]/$F$196-1</f>
        <v>2.7198549410698547E-3</v>
      </c>
    </row>
    <row r="198" spans="1:10">
      <c r="A198" s="161">
        <v>44040</v>
      </c>
      <c r="B198" s="162">
        <v>1.105</v>
      </c>
      <c r="C198" s="171">
        <f t="shared" si="12"/>
        <v>-1.0000000000001119E-3</v>
      </c>
      <c r="D198" s="168">
        <f t="shared" si="13"/>
        <v>-1.0000000000001119E-3</v>
      </c>
      <c r="E198" s="168">
        <f ca="1">IF(表2_367162629303421[[#This Row],[累计净值]]/MAX(INDIRECT("B21:B" &amp; ROW()))-1&lt;E197,表2_367162629303421[[#This Row],[累计净值]]/MAX(INDIRECT("B21:B" &amp; ROW()))-1,E197)</f>
        <v>-9.9502487562188602E-3</v>
      </c>
      <c r="F198" s="110">
        <f>表2_367162629303421[[#This Row],[累计净值]]</f>
        <v>1.105</v>
      </c>
      <c r="G198" s="170">
        <f>表2_367162629303421[[#This Row],[累计净值]]/$B$21-1</f>
        <v>9.9502487562189046E-2</v>
      </c>
      <c r="H198" s="170">
        <f>表2_367162629303421[[#This Row],[单位净值]]/$F$196-1</f>
        <v>1.8132366273799772E-3</v>
      </c>
    </row>
    <row r="199" spans="1:10">
      <c r="A199" s="161">
        <v>44041</v>
      </c>
      <c r="B199" s="162">
        <v>1.105</v>
      </c>
      <c r="C199" s="171">
        <f t="shared" si="12"/>
        <v>0</v>
      </c>
      <c r="D199" s="168" t="str">
        <f t="shared" si="13"/>
        <v>/</v>
      </c>
      <c r="E199" s="168">
        <f ca="1">IF(表2_367162629303421[[#This Row],[累计净值]]/MAX(INDIRECT("B21:B" &amp; ROW()))-1&lt;E198,表2_367162629303421[[#This Row],[累计净值]]/MAX(INDIRECT("B21:B" &amp; ROW()))-1,E198)</f>
        <v>-9.9502487562188602E-3</v>
      </c>
      <c r="F199" s="110">
        <f>表2_367162629303421[[#This Row],[累计净值]]</f>
        <v>1.105</v>
      </c>
      <c r="G199" s="170">
        <f>表2_367162629303421[[#This Row],[累计净值]]/$B$21-1</f>
        <v>9.9502487562189046E-2</v>
      </c>
      <c r="H199" s="170">
        <f>表2_367162629303421[[#This Row],[单位净值]]/$F$196-1</f>
        <v>1.8132366273799772E-3</v>
      </c>
    </row>
    <row r="200" spans="1:10">
      <c r="A200" s="161">
        <v>44042</v>
      </c>
      <c r="B200" s="162">
        <v>1.1060000000000001</v>
      </c>
      <c r="C200" s="171">
        <f t="shared" si="12"/>
        <v>1.0000000000001119E-3</v>
      </c>
      <c r="D200" s="168" t="str">
        <f t="shared" si="13"/>
        <v>/</v>
      </c>
      <c r="E200" s="168">
        <f ca="1">IF(表2_367162629303421[[#This Row],[累计净值]]/MAX(INDIRECT("B21:B" &amp; ROW()))-1&lt;E199,表2_367162629303421[[#This Row],[累计净值]]/MAX(INDIRECT("B21:B" &amp; ROW()))-1,E199)</f>
        <v>-9.9502487562188602E-3</v>
      </c>
      <c r="F200" s="110">
        <f>表2_367162629303421[[#This Row],[累计净值]]</f>
        <v>1.1060000000000001</v>
      </c>
      <c r="G200" s="170">
        <f>表2_367162629303421[[#This Row],[累计净值]]/$B$21-1</f>
        <v>0.10049751243781113</v>
      </c>
      <c r="H200" s="170">
        <f>表2_367162629303421[[#This Row],[单位净值]]/$F$196-1</f>
        <v>2.7198549410698547E-3</v>
      </c>
    </row>
    <row r="201" spans="1:10">
      <c r="A201" s="161">
        <v>44043</v>
      </c>
      <c r="B201" s="162">
        <v>1.1080000000000001</v>
      </c>
      <c r="C201" s="171">
        <f t="shared" si="12"/>
        <v>2.0000000000000018E-3</v>
      </c>
      <c r="D201" s="168" t="str">
        <f t="shared" si="13"/>
        <v>/</v>
      </c>
      <c r="E201" s="168">
        <f ca="1">IF(表2_367162629303421[[#This Row],[累计净值]]/MAX(INDIRECT("B21:B" &amp; ROW()))-1&lt;E200,表2_367162629303421[[#This Row],[累计净值]]/MAX(INDIRECT("B21:B" &amp; ROW()))-1,E200)</f>
        <v>-9.9502487562188602E-3</v>
      </c>
      <c r="F201" s="110">
        <f>表2_367162629303421[[#This Row],[累计净值]]</f>
        <v>1.1080000000000001</v>
      </c>
      <c r="G201" s="170">
        <f>表2_367162629303421[[#This Row],[累计净值]]/$B$21-1</f>
        <v>0.10248756218905486</v>
      </c>
      <c r="H201" s="170">
        <f>表2_367162629303421[[#This Row],[单位净值]]/$F$196-1</f>
        <v>4.5330915684498319E-3</v>
      </c>
    </row>
    <row r="202" spans="1:10">
      <c r="A202" s="161">
        <v>44046</v>
      </c>
      <c r="B202" s="162">
        <v>1.109</v>
      </c>
      <c r="C202" s="171">
        <f t="shared" ref="C202:C207" si="14">IFERROR(B202-B201,0)</f>
        <v>9.9999999999988987E-4</v>
      </c>
      <c r="D202" s="168" t="str">
        <f t="shared" ref="D202:D207" si="15">IF(C202&lt;0,C202,"/")</f>
        <v>/</v>
      </c>
      <c r="E202" s="168">
        <f ca="1">IF(表2_367162629303421[[#This Row],[累计净值]]/MAX(INDIRECT("B21:B" &amp; ROW()))-1&lt;E201,表2_367162629303421[[#This Row],[累计净值]]/MAX(INDIRECT("B21:B" &amp; ROW()))-1,E201)</f>
        <v>-9.9502487562188602E-3</v>
      </c>
      <c r="F202" s="110">
        <f>表2_367162629303421[[#This Row],[累计净值]]</f>
        <v>1.109</v>
      </c>
      <c r="G202" s="170">
        <f>表2_367162629303421[[#This Row],[累计净值]]/$B$21-1</f>
        <v>0.10348258706467672</v>
      </c>
      <c r="H202" s="170">
        <f>表2_367162629303421[[#This Row],[单位净值]]/$F$196-1</f>
        <v>5.4397098821397094E-3</v>
      </c>
    </row>
    <row r="203" spans="1:10">
      <c r="A203" s="161">
        <v>44047</v>
      </c>
      <c r="B203" s="162">
        <v>1.1060000000000001</v>
      </c>
      <c r="C203" s="171">
        <f t="shared" si="14"/>
        <v>-2.9999999999998916E-3</v>
      </c>
      <c r="D203" s="168">
        <f t="shared" si="15"/>
        <v>-2.9999999999998916E-3</v>
      </c>
      <c r="E203" s="168">
        <f ca="1">IF(表2_367162629303421[[#This Row],[累计净值]]/MAX(INDIRECT("B21:B" &amp; ROW()))-1&lt;E202,表2_367162629303421[[#This Row],[累计净值]]/MAX(INDIRECT("B21:B" &amp; ROW()))-1,E202)</f>
        <v>-9.9502487562188602E-3</v>
      </c>
      <c r="F203" s="110">
        <f>表2_367162629303421[[#This Row],[累计净值]]</f>
        <v>1.1060000000000001</v>
      </c>
      <c r="G203" s="170">
        <f>表2_367162629303421[[#This Row],[累计净值]]/$B$21-1</f>
        <v>0.10049751243781113</v>
      </c>
      <c r="H203" s="170">
        <f>表2_367162629303421[[#This Row],[单位净值]]/$F$196-1</f>
        <v>2.7198549410698547E-3</v>
      </c>
    </row>
    <row r="204" spans="1:10">
      <c r="A204" s="161">
        <v>44048</v>
      </c>
      <c r="B204" s="162">
        <v>1.1080000000000001</v>
      </c>
      <c r="C204" s="171">
        <f t="shared" si="14"/>
        <v>2.0000000000000018E-3</v>
      </c>
      <c r="D204" s="168" t="str">
        <f t="shared" si="15"/>
        <v>/</v>
      </c>
      <c r="E204" s="168">
        <f ca="1">IF(表2_367162629303421[[#This Row],[累计净值]]/MAX(INDIRECT("B21:B" &amp; ROW()))-1&lt;E203,表2_367162629303421[[#This Row],[累计净值]]/MAX(INDIRECT("B21:B" &amp; ROW()))-1,E203)</f>
        <v>-9.9502487562188602E-3</v>
      </c>
      <c r="F204" s="110">
        <f>表2_367162629303421[[#This Row],[累计净值]]</f>
        <v>1.1080000000000001</v>
      </c>
      <c r="G204" s="170">
        <f>表2_367162629303421[[#This Row],[累计净值]]/$B$21-1</f>
        <v>0.10248756218905486</v>
      </c>
      <c r="H204" s="170">
        <f>表2_367162629303421[[#This Row],[单位净值]]/$F$196-1</f>
        <v>4.5330915684498319E-3</v>
      </c>
    </row>
    <row r="205" spans="1:10">
      <c r="A205" s="161">
        <v>44049</v>
      </c>
      <c r="B205" s="162">
        <v>1.109</v>
      </c>
      <c r="C205" s="171">
        <f t="shared" si="14"/>
        <v>9.9999999999988987E-4</v>
      </c>
      <c r="D205" s="168" t="str">
        <f t="shared" si="15"/>
        <v>/</v>
      </c>
      <c r="E205" s="168">
        <f ca="1">IF(表2_367162629303421[[#This Row],[累计净值]]/MAX(INDIRECT("B21:B" &amp; ROW()))-1&lt;E204,表2_367162629303421[[#This Row],[累计净值]]/MAX(INDIRECT("B21:B" &amp; ROW()))-1,E204)</f>
        <v>-9.9502487562188602E-3</v>
      </c>
      <c r="F205" s="110">
        <f>表2_367162629303421[[#This Row],[累计净值]]</f>
        <v>1.109</v>
      </c>
      <c r="G205" s="170">
        <f>表2_367162629303421[[#This Row],[累计净值]]/$B$21-1</f>
        <v>0.10348258706467672</v>
      </c>
      <c r="H205" s="170">
        <f>表2_367162629303421[[#This Row],[单位净值]]/$F$196-1</f>
        <v>5.4397098821397094E-3</v>
      </c>
    </row>
    <row r="206" spans="1:10">
      <c r="A206" s="161">
        <v>44050</v>
      </c>
      <c r="B206" s="162">
        <v>1.1080000000000001</v>
      </c>
      <c r="C206" s="171">
        <f t="shared" si="14"/>
        <v>-9.9999999999988987E-4</v>
      </c>
      <c r="D206" s="168">
        <f t="shared" si="15"/>
        <v>-9.9999999999988987E-4</v>
      </c>
      <c r="E206" s="168">
        <f ca="1">IF(表2_367162629303421[[#This Row],[累计净值]]/MAX(INDIRECT("B21:B" &amp; ROW()))-1&lt;E205,表2_367162629303421[[#This Row],[累计净值]]/MAX(INDIRECT("B21:B" &amp; ROW()))-1,E205)</f>
        <v>-9.9502487562188602E-3</v>
      </c>
      <c r="F206" s="110">
        <f>表2_367162629303421[[#This Row],[累计净值]]</f>
        <v>1.1080000000000001</v>
      </c>
      <c r="G206" s="170">
        <f>表2_367162629303421[[#This Row],[累计净值]]/$B$21-1</f>
        <v>0.10248756218905486</v>
      </c>
      <c r="H206" s="170">
        <f>表2_367162629303421[[#This Row],[单位净值]]/$F$196-1</f>
        <v>4.5330915684498319E-3</v>
      </c>
    </row>
    <row r="207" spans="1:10">
      <c r="A207" s="161">
        <v>44053</v>
      </c>
      <c r="B207" s="162">
        <v>1.1080000000000001</v>
      </c>
      <c r="C207" s="171">
        <f t="shared" si="14"/>
        <v>0</v>
      </c>
      <c r="D207" s="168" t="str">
        <f t="shared" si="15"/>
        <v>/</v>
      </c>
      <c r="E207" s="168">
        <f ca="1">IF(表2_367162629303421[[#This Row],[累计净值]]/MAX(INDIRECT("B21:B" &amp; ROW()))-1&lt;E206,表2_367162629303421[[#This Row],[累计净值]]/MAX(INDIRECT("B21:B" &amp; ROW()))-1,E206)</f>
        <v>-9.9502487562188602E-3</v>
      </c>
      <c r="F207" s="110">
        <f>表2_367162629303421[[#This Row],[累计净值]]</f>
        <v>1.1080000000000001</v>
      </c>
      <c r="G207" s="170">
        <f>表2_367162629303421[[#This Row],[累计净值]]/$B$21-1</f>
        <v>0.10248756218905486</v>
      </c>
      <c r="H207" s="170">
        <f>表2_367162629303421[[#This Row],[单位净值]]/$F$196-1</f>
        <v>4.5330915684498319E-3</v>
      </c>
    </row>
    <row r="208" spans="1:10">
      <c r="A208" s="161">
        <v>44054</v>
      </c>
      <c r="B208" s="162">
        <v>1.105</v>
      </c>
      <c r="C208" s="171">
        <f t="shared" ref="C208:C213" si="16">IFERROR(B208-B207,0)</f>
        <v>-3.0000000000001137E-3</v>
      </c>
      <c r="D208" s="168">
        <f t="shared" ref="D208:D213" si="17">IF(C208&lt;0,C208,"/")</f>
        <v>-3.0000000000001137E-3</v>
      </c>
      <c r="E208" s="168">
        <f ca="1">IF(表2_367162629303421[[#This Row],[累计净值]]/MAX(INDIRECT("B21:B" &amp; ROW()))-1&lt;E207,表2_367162629303421[[#This Row],[累计净值]]/MAX(INDIRECT("B21:B" &amp; ROW()))-1,E207)</f>
        <v>-9.9502487562188602E-3</v>
      </c>
      <c r="F208" s="110">
        <f>表2_367162629303421[[#This Row],[累计净值]]</f>
        <v>1.105</v>
      </c>
      <c r="G208" s="170">
        <f>表2_367162629303421[[#This Row],[累计净值]]/$B$21-1</f>
        <v>9.9502487562189046E-2</v>
      </c>
      <c r="H208" s="170">
        <f>表2_367162629303421[[#This Row],[单位净值]]/$F$196-1</f>
        <v>1.8132366273799772E-3</v>
      </c>
    </row>
    <row r="209" spans="1:8">
      <c r="A209" s="161">
        <v>44055</v>
      </c>
      <c r="B209" s="178">
        <v>1.119</v>
      </c>
      <c r="C209" s="171">
        <f t="shared" si="16"/>
        <v>1.4000000000000012E-2</v>
      </c>
      <c r="D209" s="168" t="str">
        <f t="shared" si="17"/>
        <v>/</v>
      </c>
      <c r="E209" s="168">
        <f ca="1">IF(表2_367162629303421[[#This Row],[累计净值]]/MAX(INDIRECT("B21:B" &amp; ROW()))-1&lt;E208,表2_367162629303421[[#This Row],[累计净值]]/MAX(INDIRECT("B21:B" &amp; ROW()))-1,E208)</f>
        <v>-9.9502487562188602E-3</v>
      </c>
      <c r="F209" s="110">
        <f>表2_367162629303421[[#This Row],[累计净值]]</f>
        <v>1.119</v>
      </c>
      <c r="G209" s="170">
        <f>表2_367162629303421[[#This Row],[累计净值]]/$B$21-1</f>
        <v>0.11343283582089558</v>
      </c>
      <c r="H209" s="170">
        <f>表2_367162629303421[[#This Row],[单位净值]]/$F$196-1</f>
        <v>1.4505893019038929E-2</v>
      </c>
    </row>
    <row r="210" spans="1:8">
      <c r="A210" s="161">
        <v>44056</v>
      </c>
      <c r="B210" s="162">
        <v>1.117</v>
      </c>
      <c r="C210" s="171">
        <f t="shared" si="16"/>
        <v>-2.0000000000000018E-3</v>
      </c>
      <c r="D210" s="168">
        <f t="shared" si="17"/>
        <v>-2.0000000000000018E-3</v>
      </c>
      <c r="E210" s="168">
        <f ca="1">IF(表2_367162629303421[[#This Row],[累计净值]]/MAX(INDIRECT("B21:B" &amp; ROW()))-1&lt;E209,表2_367162629303421[[#This Row],[累计净值]]/MAX(INDIRECT("B21:B" &amp; ROW()))-1,E209)</f>
        <v>-9.9502487562188602E-3</v>
      </c>
      <c r="F210" s="110">
        <f>表2_367162629303421[[#This Row],[累计净值]]</f>
        <v>1.117</v>
      </c>
      <c r="G210" s="170">
        <f>表2_367162629303421[[#This Row],[累计净值]]/$B$21-1</f>
        <v>0.11144278606965186</v>
      </c>
      <c r="H210" s="170">
        <f>表2_367162629303421[[#This Row],[单位净值]]/$F$196-1</f>
        <v>1.2692656391659174E-2</v>
      </c>
    </row>
    <row r="211" spans="1:8">
      <c r="A211" s="161">
        <v>44057</v>
      </c>
      <c r="B211" s="162">
        <v>1.117</v>
      </c>
      <c r="C211" s="171">
        <f t="shared" si="16"/>
        <v>0</v>
      </c>
      <c r="D211" s="168" t="str">
        <f t="shared" si="17"/>
        <v>/</v>
      </c>
      <c r="E211" s="168">
        <f ca="1">IF(表2_367162629303421[[#This Row],[累计净值]]/MAX(INDIRECT("B21:B" &amp; ROW()))-1&lt;E210,表2_367162629303421[[#This Row],[累计净值]]/MAX(INDIRECT("B21:B" &amp; ROW()))-1,E210)</f>
        <v>-9.9502487562188602E-3</v>
      </c>
      <c r="F211" s="110">
        <f>表2_367162629303421[[#This Row],[累计净值]]</f>
        <v>1.117</v>
      </c>
      <c r="G211" s="170">
        <f>表2_367162629303421[[#This Row],[累计净值]]/$B$21-1</f>
        <v>0.11144278606965186</v>
      </c>
      <c r="H211" s="170">
        <f>表2_367162629303421[[#This Row],[单位净值]]/$F$196-1</f>
        <v>1.2692656391659174E-2</v>
      </c>
    </row>
    <row r="212" spans="1:8">
      <c r="A212" s="161">
        <v>44060</v>
      </c>
      <c r="B212" s="162">
        <v>1.107</v>
      </c>
      <c r="C212" s="171">
        <f t="shared" si="16"/>
        <v>-1.0000000000000009E-2</v>
      </c>
      <c r="D212" s="168">
        <f t="shared" si="17"/>
        <v>-1.0000000000000009E-2</v>
      </c>
      <c r="E212" s="168">
        <f ca="1">IF(表2_367162629303421[[#This Row],[累计净值]]/MAX(INDIRECT("B21:B" &amp; ROW()))-1&lt;E211,表2_367162629303421[[#This Row],[累计净值]]/MAX(INDIRECT("B21:B" &amp; ROW()))-1,E211)</f>
        <v>-1.072386058981234E-2</v>
      </c>
      <c r="F212" s="110">
        <f>表2_367162629303421[[#This Row],[累计净值]]</f>
        <v>1.107</v>
      </c>
      <c r="G212" s="170">
        <f>表2_367162629303421[[#This Row],[累计净值]]/$B$21-1</f>
        <v>0.101492537313433</v>
      </c>
      <c r="H212" s="170">
        <f>表2_367162629303421[[#This Row],[单位净值]]/$F$196-1</f>
        <v>3.6264732547597323E-3</v>
      </c>
    </row>
    <row r="213" spans="1:8">
      <c r="A213" s="161">
        <v>44061</v>
      </c>
      <c r="B213" s="162">
        <v>1.101</v>
      </c>
      <c r="C213" s="171">
        <f t="shared" si="16"/>
        <v>-6.0000000000000053E-3</v>
      </c>
      <c r="D213" s="168">
        <f t="shared" si="17"/>
        <v>-6.0000000000000053E-3</v>
      </c>
      <c r="E213" s="168">
        <f ca="1">IF(表2_367162629303421[[#This Row],[累计净值]]/MAX(INDIRECT("B21:B" &amp; ROW()))-1&lt;E212,表2_367162629303421[[#This Row],[累计净值]]/MAX(INDIRECT("B21:B" &amp; ROW()))-1,E212)</f>
        <v>-1.6085790884718509E-2</v>
      </c>
      <c r="F213" s="110">
        <f>表2_367162629303421[[#This Row],[累计净值]]</f>
        <v>1.101</v>
      </c>
      <c r="G213" s="170">
        <f>表2_367162629303421[[#This Row],[累计净值]]/$B$21-1</f>
        <v>9.5522388059701591E-2</v>
      </c>
      <c r="H213" s="170">
        <f>表2_367162629303421[[#This Row],[单位净值]]/$F$196-1</f>
        <v>-1.8132366273798661E-3</v>
      </c>
    </row>
    <row r="214" spans="1:8">
      <c r="A214" s="161">
        <v>44062</v>
      </c>
      <c r="B214" s="162">
        <v>1.101</v>
      </c>
      <c r="C214" s="171">
        <f t="shared" ref="C214:C219" si="18">IFERROR(B214-B213,0)</f>
        <v>0</v>
      </c>
      <c r="D214" s="168" t="str">
        <f t="shared" ref="D214:D219" si="19">IF(C214&lt;0,C214,"/")</f>
        <v>/</v>
      </c>
      <c r="E214" s="168">
        <f ca="1">IF(表2_367162629303421[[#This Row],[累计净值]]/MAX(INDIRECT("B21:B" &amp; ROW()))-1&lt;E213,表2_367162629303421[[#This Row],[累计净值]]/MAX(INDIRECT("B21:B" &amp; ROW()))-1,E213)</f>
        <v>-1.6085790884718509E-2</v>
      </c>
      <c r="F214" s="110">
        <f>表2_367162629303421[[#This Row],[累计净值]]</f>
        <v>1.101</v>
      </c>
      <c r="G214" s="170">
        <f>表2_367162629303421[[#This Row],[累计净值]]/$B$21-1</f>
        <v>9.5522388059701591E-2</v>
      </c>
      <c r="H214" s="170">
        <f>表2_367162629303421[[#This Row],[单位净值]]/$F$196-1</f>
        <v>-1.8132366273798661E-3</v>
      </c>
    </row>
    <row r="215" spans="1:8">
      <c r="A215" s="161">
        <v>44063</v>
      </c>
      <c r="B215" s="162">
        <v>1.101</v>
      </c>
      <c r="C215" s="171">
        <f t="shared" si="18"/>
        <v>0</v>
      </c>
      <c r="D215" s="168" t="str">
        <f t="shared" si="19"/>
        <v>/</v>
      </c>
      <c r="E215" s="168">
        <f ca="1">IF(表2_367162629303421[[#This Row],[累计净值]]/MAX(INDIRECT("B21:B" &amp; ROW()))-1&lt;E214,表2_367162629303421[[#This Row],[累计净值]]/MAX(INDIRECT("B21:B" &amp; ROW()))-1,E214)</f>
        <v>-1.6085790884718509E-2</v>
      </c>
      <c r="F215" s="110">
        <f>表2_367162629303421[[#This Row],[累计净值]]</f>
        <v>1.101</v>
      </c>
      <c r="G215" s="170">
        <f>表2_367162629303421[[#This Row],[累计净值]]/$B$21-1</f>
        <v>9.5522388059701591E-2</v>
      </c>
      <c r="H215" s="170">
        <f>表2_367162629303421[[#This Row],[单位净值]]/$F$196-1</f>
        <v>-1.8132366273798661E-3</v>
      </c>
    </row>
    <row r="216" spans="1:8">
      <c r="A216" s="161">
        <v>44064</v>
      </c>
      <c r="B216" s="162">
        <v>1.1020000000000001</v>
      </c>
      <c r="C216" s="171">
        <f t="shared" si="18"/>
        <v>1.0000000000001119E-3</v>
      </c>
      <c r="D216" s="168" t="str">
        <f t="shared" si="19"/>
        <v>/</v>
      </c>
      <c r="E216" s="168">
        <f ca="1">IF(表2_367162629303421[[#This Row],[累计净值]]/MAX(INDIRECT("B21:B" &amp; ROW()))-1&lt;E215,表2_367162629303421[[#This Row],[累计净值]]/MAX(INDIRECT("B21:B" &amp; ROW()))-1,E215)</f>
        <v>-1.6085790884718509E-2</v>
      </c>
      <c r="F216" s="110">
        <f>表2_367162629303421[[#This Row],[累计净值]]</f>
        <v>1.1020000000000001</v>
      </c>
      <c r="G216" s="170">
        <f>表2_367162629303421[[#This Row],[累计净值]]/$B$21-1</f>
        <v>9.6517412935323676E-2</v>
      </c>
      <c r="H216" s="170">
        <f>表2_367162629303421[[#This Row],[单位净值]]/$F$196-1</f>
        <v>-9.0661831368987755E-4</v>
      </c>
    </row>
    <row r="217" spans="1:8">
      <c r="A217" s="161">
        <v>44067</v>
      </c>
      <c r="B217" s="162">
        <v>1.105</v>
      </c>
      <c r="C217" s="171">
        <f t="shared" si="18"/>
        <v>2.9999999999998916E-3</v>
      </c>
      <c r="D217" s="168" t="str">
        <f t="shared" si="19"/>
        <v>/</v>
      </c>
      <c r="E217" s="168">
        <f ca="1">IF(表2_367162629303421[[#This Row],[累计净值]]/MAX(INDIRECT("B21:B" &amp; ROW()))-1&lt;E216,表2_367162629303421[[#This Row],[累计净值]]/MAX(INDIRECT("B21:B" &amp; ROW()))-1,E216)</f>
        <v>-1.6085790884718509E-2</v>
      </c>
      <c r="F217" s="110">
        <f>表2_367162629303421[[#This Row],[累计净值]]</f>
        <v>1.105</v>
      </c>
      <c r="G217" s="170">
        <f>表2_367162629303421[[#This Row],[累计净值]]/$B$21-1</f>
        <v>9.9502487562189046E-2</v>
      </c>
      <c r="H217" s="170">
        <f>表2_367162629303421[[#This Row],[单位净值]]/$F$196-1</f>
        <v>1.8132366273799772E-3</v>
      </c>
    </row>
    <row r="218" spans="1:8">
      <c r="A218" s="161">
        <v>44068</v>
      </c>
      <c r="B218" s="162">
        <v>1.1060000000000001</v>
      </c>
      <c r="C218" s="171">
        <f t="shared" si="18"/>
        <v>1.0000000000001119E-3</v>
      </c>
      <c r="D218" s="168" t="str">
        <f t="shared" si="19"/>
        <v>/</v>
      </c>
      <c r="E218" s="168">
        <f ca="1">IF(表2_367162629303421[[#This Row],[累计净值]]/MAX(INDIRECT("B21:B" &amp; ROW()))-1&lt;E217,表2_367162629303421[[#This Row],[累计净值]]/MAX(INDIRECT("B21:B" &amp; ROW()))-1,E217)</f>
        <v>-1.6085790884718509E-2</v>
      </c>
      <c r="F218" s="110">
        <f>表2_367162629303421[[#This Row],[累计净值]]</f>
        <v>1.1060000000000001</v>
      </c>
      <c r="G218" s="170">
        <f>表2_367162629303421[[#This Row],[累计净值]]/$B$21-1</f>
        <v>0.10049751243781113</v>
      </c>
      <c r="H218" s="170">
        <f>表2_367162629303421[[#This Row],[单位净值]]/$F$196-1</f>
        <v>2.7198549410698547E-3</v>
      </c>
    </row>
    <row r="219" spans="1:8">
      <c r="A219" s="161">
        <v>44069</v>
      </c>
      <c r="B219" s="162">
        <v>1.1040000000000001</v>
      </c>
      <c r="C219" s="171">
        <f t="shared" si="18"/>
        <v>-2.0000000000000018E-3</v>
      </c>
      <c r="D219" s="168">
        <f t="shared" si="19"/>
        <v>-2.0000000000000018E-3</v>
      </c>
      <c r="E219" s="168">
        <f ca="1">IF(表2_367162629303421[[#This Row],[累计净值]]/MAX(INDIRECT("B21:B" &amp; ROW()))-1&lt;E218,表2_367162629303421[[#This Row],[累计净值]]/MAX(INDIRECT("B21:B" &amp; ROW()))-1,E218)</f>
        <v>-1.6085790884718509E-2</v>
      </c>
      <c r="F219" s="110">
        <f>表2_367162629303421[[#This Row],[累计净值]]</f>
        <v>1.1040000000000001</v>
      </c>
      <c r="G219" s="170">
        <f>表2_367162629303421[[#This Row],[累计净值]]/$B$21-1</f>
        <v>9.8507462686567404E-2</v>
      </c>
      <c r="H219" s="170">
        <f>表2_367162629303421[[#This Row],[单位净值]]/$F$196-1</f>
        <v>9.066183136900996E-4</v>
      </c>
    </row>
    <row r="220" spans="1:8">
      <c r="A220" s="161">
        <v>44070</v>
      </c>
      <c r="B220" s="162">
        <v>1.105</v>
      </c>
      <c r="C220" s="171">
        <f t="shared" ref="C220:C226" si="20">IFERROR(B220-B219,0)</f>
        <v>9.9999999999988987E-4</v>
      </c>
      <c r="D220" s="168" t="str">
        <f t="shared" ref="D220:D226" si="21">IF(C220&lt;0,C220,"/")</f>
        <v>/</v>
      </c>
      <c r="E220" s="168">
        <f ca="1">IF(表2_367162629303421[[#This Row],[累计净值]]/MAX(INDIRECT("B21:B" &amp; ROW()))-1&lt;E219,表2_367162629303421[[#This Row],[累计净值]]/MAX(INDIRECT("B21:B" &amp; ROW()))-1,E219)</f>
        <v>-1.6085790884718509E-2</v>
      </c>
      <c r="F220" s="110">
        <f>表2_367162629303421[[#This Row],[累计净值]]</f>
        <v>1.105</v>
      </c>
      <c r="G220" s="170">
        <f>表2_367162629303421[[#This Row],[累计净值]]/$B$21-1</f>
        <v>9.9502487562189046E-2</v>
      </c>
      <c r="H220" s="170">
        <f>表2_367162629303421[[#This Row],[单位净值]]/$F$196-1</f>
        <v>1.8132366273799772E-3</v>
      </c>
    </row>
    <row r="221" spans="1:8">
      <c r="A221" s="161">
        <v>44071</v>
      </c>
      <c r="B221" s="162">
        <v>1.1060000000000001</v>
      </c>
      <c r="C221" s="171">
        <f t="shared" si="20"/>
        <v>1.0000000000001119E-3</v>
      </c>
      <c r="D221" s="168" t="str">
        <f t="shared" si="21"/>
        <v>/</v>
      </c>
      <c r="E221" s="168">
        <f ca="1">IF(表2_367162629303421[[#This Row],[累计净值]]/MAX(INDIRECT("B21:B" &amp; ROW()))-1&lt;E220,表2_367162629303421[[#This Row],[累计净值]]/MAX(INDIRECT("B21:B" &amp; ROW()))-1,E220)</f>
        <v>-1.6085790884718509E-2</v>
      </c>
      <c r="F221" s="110">
        <f>表2_367162629303421[[#This Row],[累计净值]]</f>
        <v>1.1060000000000001</v>
      </c>
      <c r="G221" s="170">
        <f>表2_367162629303421[[#This Row],[累计净值]]/$B$21-1</f>
        <v>0.10049751243781113</v>
      </c>
      <c r="H221" s="170">
        <f>表2_367162629303421[[#This Row],[单位净值]]/$F$196-1</f>
        <v>2.7198549410698547E-3</v>
      </c>
    </row>
    <row r="222" spans="1:8">
      <c r="A222" s="161">
        <v>44074</v>
      </c>
      <c r="B222" s="162">
        <v>1.1060000000000001</v>
      </c>
      <c r="C222" s="171">
        <f t="shared" si="20"/>
        <v>0</v>
      </c>
      <c r="D222" s="168" t="str">
        <f t="shared" si="21"/>
        <v>/</v>
      </c>
      <c r="E222" s="168">
        <f ca="1">IF(表2_367162629303421[[#This Row],[累计净值]]/MAX(INDIRECT("B21:B" &amp; ROW()))-1&lt;E221,表2_367162629303421[[#This Row],[累计净值]]/MAX(INDIRECT("B21:B" &amp; ROW()))-1,E221)</f>
        <v>-1.6085790884718509E-2</v>
      </c>
      <c r="F222" s="110">
        <f>表2_367162629303421[[#This Row],[累计净值]]</f>
        <v>1.1060000000000001</v>
      </c>
      <c r="G222" s="170">
        <f>表2_367162629303421[[#This Row],[累计净值]]/$B$21-1</f>
        <v>0.10049751243781113</v>
      </c>
      <c r="H222" s="170">
        <f>表2_367162629303421[[#This Row],[单位净值]]/$F$196-1</f>
        <v>2.7198549410698547E-3</v>
      </c>
    </row>
    <row r="223" spans="1:8">
      <c r="A223" s="161">
        <v>44075</v>
      </c>
      <c r="B223" s="162">
        <v>1.1060000000000001</v>
      </c>
      <c r="C223" s="171">
        <f t="shared" si="20"/>
        <v>0</v>
      </c>
      <c r="D223" s="168" t="str">
        <f t="shared" si="21"/>
        <v>/</v>
      </c>
      <c r="E223" s="168">
        <f ca="1">IF(表2_367162629303421[[#This Row],[累计净值]]/MAX(INDIRECT("B21:B" &amp; ROW()))-1&lt;E222,表2_367162629303421[[#This Row],[累计净值]]/MAX(INDIRECT("B21:B" &amp; ROW()))-1,E222)</f>
        <v>-1.6085790884718509E-2</v>
      </c>
      <c r="F223" s="110">
        <f>表2_367162629303421[[#This Row],[累计净值]]</f>
        <v>1.1060000000000001</v>
      </c>
      <c r="G223" s="170">
        <f>表2_367162629303421[[#This Row],[累计净值]]/$B$21-1</f>
        <v>0.10049751243781113</v>
      </c>
      <c r="H223" s="170">
        <f>表2_367162629303421[[#This Row],[单位净值]]/$F$196-1</f>
        <v>2.7198549410698547E-3</v>
      </c>
    </row>
    <row r="224" spans="1:8">
      <c r="A224" s="161">
        <v>44076</v>
      </c>
      <c r="B224" s="162">
        <v>1.105</v>
      </c>
      <c r="C224" s="171">
        <f t="shared" si="20"/>
        <v>-1.0000000000001119E-3</v>
      </c>
      <c r="D224" s="168">
        <f t="shared" si="21"/>
        <v>-1.0000000000001119E-3</v>
      </c>
      <c r="E224" s="168">
        <f ca="1">IF(表2_367162629303421[[#This Row],[累计净值]]/MAX(INDIRECT("B21:B" &amp; ROW()))-1&lt;E223,表2_367162629303421[[#This Row],[累计净值]]/MAX(INDIRECT("B21:B" &amp; ROW()))-1,E223)</f>
        <v>-1.6085790884718509E-2</v>
      </c>
      <c r="F224" s="110">
        <f>表2_367162629303421[[#This Row],[累计净值]]</f>
        <v>1.105</v>
      </c>
      <c r="G224" s="170">
        <f>表2_367162629303421[[#This Row],[累计净值]]/$B$21-1</f>
        <v>9.9502487562189046E-2</v>
      </c>
      <c r="H224" s="170">
        <f>表2_367162629303421[[#This Row],[单位净值]]/$F$196-1</f>
        <v>1.8132366273799772E-3</v>
      </c>
    </row>
    <row r="225" spans="1:8">
      <c r="A225" s="161">
        <v>44077</v>
      </c>
      <c r="B225" s="162">
        <v>1.107</v>
      </c>
      <c r="C225" s="171">
        <f t="shared" si="20"/>
        <v>2.0000000000000018E-3</v>
      </c>
      <c r="D225" s="168" t="str">
        <f t="shared" si="21"/>
        <v>/</v>
      </c>
      <c r="E225" s="168">
        <f ca="1">IF(表2_367162629303421[[#This Row],[累计净值]]/MAX(INDIRECT("B21:B" &amp; ROW()))-1&lt;E224,表2_367162629303421[[#This Row],[累计净值]]/MAX(INDIRECT("B21:B" &amp; ROW()))-1,E224)</f>
        <v>-1.6085790884718509E-2</v>
      </c>
      <c r="F225" s="110">
        <f>表2_367162629303421[[#This Row],[累计净值]]</f>
        <v>1.107</v>
      </c>
      <c r="G225" s="170">
        <f>表2_367162629303421[[#This Row],[累计净值]]/$B$21-1</f>
        <v>0.101492537313433</v>
      </c>
      <c r="H225" s="170">
        <f>表2_367162629303421[[#This Row],[单位净值]]/$F$196-1</f>
        <v>3.6264732547597323E-3</v>
      </c>
    </row>
    <row r="226" spans="1:8">
      <c r="A226" s="161">
        <v>44078</v>
      </c>
      <c r="B226" s="162">
        <v>1.1080000000000001</v>
      </c>
      <c r="C226" s="171">
        <f t="shared" si="20"/>
        <v>1.0000000000001119E-3</v>
      </c>
      <c r="D226" s="168" t="str">
        <f t="shared" si="21"/>
        <v>/</v>
      </c>
      <c r="E226" s="168">
        <f ca="1">IF(表2_367162629303421[[#This Row],[累计净值]]/MAX(INDIRECT("B21:B" &amp; ROW()))-1&lt;E225,表2_367162629303421[[#This Row],[累计净值]]/MAX(INDIRECT("B21:B" &amp; ROW()))-1,E225)</f>
        <v>-1.6085790884718509E-2</v>
      </c>
      <c r="F226" s="110">
        <f>表2_367162629303421[[#This Row],[累计净值]]</f>
        <v>1.1080000000000001</v>
      </c>
      <c r="G226" s="170">
        <f>表2_367162629303421[[#This Row],[累计净值]]/$B$21-1</f>
        <v>0.10248756218905486</v>
      </c>
      <c r="H226" s="170">
        <f>表2_367162629303421[[#This Row],[单位净值]]/$F$196-1</f>
        <v>4.5330915684498319E-3</v>
      </c>
    </row>
    <row r="227" spans="1:8">
      <c r="A227" s="161">
        <v>44081</v>
      </c>
      <c r="B227" s="162">
        <v>1.1100000000000001</v>
      </c>
      <c r="C227" s="171">
        <f t="shared" ref="C227:C232" si="22">IFERROR(B227-B226,0)</f>
        <v>2.0000000000000018E-3</v>
      </c>
      <c r="D227" s="168" t="str">
        <f t="shared" ref="D227:D232" si="23">IF(C227&lt;0,C227,"/")</f>
        <v>/</v>
      </c>
      <c r="E227" s="168">
        <f ca="1">IF(表2_367162629303421[[#This Row],[累计净值]]/MAX(INDIRECT("B21:B" &amp; ROW()))-1&lt;E226,表2_367162629303421[[#This Row],[累计净值]]/MAX(INDIRECT("B21:B" &amp; ROW()))-1,E226)</f>
        <v>-1.6085790884718509E-2</v>
      </c>
      <c r="F227" s="110">
        <f>表2_367162629303421[[#This Row],[累计净值]]</f>
        <v>1.1100000000000001</v>
      </c>
      <c r="G227" s="170">
        <f>表2_367162629303421[[#This Row],[累计净值]]/$B$21-1</f>
        <v>0.10447761194029881</v>
      </c>
      <c r="H227" s="170">
        <f>表2_367162629303421[[#This Row],[单位净值]]/$F$196-1</f>
        <v>6.346328195829587E-3</v>
      </c>
    </row>
    <row r="228" spans="1:8">
      <c r="A228" s="161">
        <v>44082</v>
      </c>
      <c r="B228" s="162">
        <v>1.109</v>
      </c>
      <c r="C228" s="171">
        <f t="shared" si="22"/>
        <v>-1.0000000000001119E-3</v>
      </c>
      <c r="D228" s="168">
        <f t="shared" si="23"/>
        <v>-1.0000000000001119E-3</v>
      </c>
      <c r="E228" s="168">
        <f ca="1">IF(表2_367162629303421[[#This Row],[累计净值]]/MAX(INDIRECT("B21:B" &amp; ROW()))-1&lt;E227,表2_367162629303421[[#This Row],[累计净值]]/MAX(INDIRECT("B21:B" &amp; ROW()))-1,E227)</f>
        <v>-1.6085790884718509E-2</v>
      </c>
      <c r="F228" s="110">
        <f>表2_367162629303421[[#This Row],[累计净值]]</f>
        <v>1.109</v>
      </c>
      <c r="G228" s="170">
        <f>表2_367162629303421[[#This Row],[累计净值]]/$B$21-1</f>
        <v>0.10348258706467672</v>
      </c>
      <c r="H228" s="170">
        <f>表2_367162629303421[[#This Row],[单位净值]]/$F$196-1</f>
        <v>5.4397098821397094E-3</v>
      </c>
    </row>
    <row r="229" spans="1:8">
      <c r="A229" s="161">
        <v>44083</v>
      </c>
      <c r="B229" s="162">
        <v>1.111</v>
      </c>
      <c r="C229" s="171">
        <f t="shared" si="22"/>
        <v>2.0000000000000018E-3</v>
      </c>
      <c r="D229" s="168" t="str">
        <f t="shared" si="23"/>
        <v>/</v>
      </c>
      <c r="E229" s="168">
        <f ca="1">IF(表2_367162629303421[[#This Row],[累计净值]]/MAX(INDIRECT("B21:B" &amp; ROW()))-1&lt;E228,表2_367162629303421[[#This Row],[累计净值]]/MAX(INDIRECT("B21:B" &amp; ROW()))-1,E228)</f>
        <v>-1.6085790884718509E-2</v>
      </c>
      <c r="F229" s="110">
        <f>表2_367162629303421[[#This Row],[累计净值]]</f>
        <v>1.111</v>
      </c>
      <c r="G229" s="170">
        <f>表2_367162629303421[[#This Row],[累计净值]]/$B$21-1</f>
        <v>0.10547263681592045</v>
      </c>
      <c r="H229" s="170">
        <f>表2_367162629303421[[#This Row],[单位净值]]/$F$196-1</f>
        <v>7.2529465095194645E-3</v>
      </c>
    </row>
    <row r="230" spans="1:8">
      <c r="A230" s="161">
        <v>44084</v>
      </c>
      <c r="B230" s="162">
        <v>1.1100000000000001</v>
      </c>
      <c r="C230" s="171">
        <f t="shared" si="22"/>
        <v>-9.9999999999988987E-4</v>
      </c>
      <c r="D230" s="168">
        <f t="shared" si="23"/>
        <v>-9.9999999999988987E-4</v>
      </c>
      <c r="E230" s="168">
        <f ca="1">IF(表2_367162629303421[[#This Row],[累计净值]]/MAX(INDIRECT("B21:B" &amp; ROW()))-1&lt;E229,表2_367162629303421[[#This Row],[累计净值]]/MAX(INDIRECT("B21:B" &amp; ROW()))-1,E229)</f>
        <v>-1.6085790884718509E-2</v>
      </c>
      <c r="F230" s="110">
        <f>表2_367162629303421[[#This Row],[累计净值]]</f>
        <v>1.1100000000000001</v>
      </c>
      <c r="G230" s="170">
        <f>表2_367162629303421[[#This Row],[累计净值]]/$B$21-1</f>
        <v>0.10447761194029881</v>
      </c>
      <c r="H230" s="170">
        <f>表2_367162629303421[[#This Row],[单位净值]]/$F$196-1</f>
        <v>6.346328195829587E-3</v>
      </c>
    </row>
    <row r="231" spans="1:8">
      <c r="A231" s="161">
        <v>44085</v>
      </c>
      <c r="B231" s="162">
        <v>1.113</v>
      </c>
      <c r="C231" s="171">
        <f t="shared" si="22"/>
        <v>2.9999999999998916E-3</v>
      </c>
      <c r="D231" s="168" t="str">
        <f t="shared" si="23"/>
        <v>/</v>
      </c>
      <c r="E231" s="168">
        <f ca="1">IF(表2_367162629303421[[#This Row],[累计净值]]/MAX(INDIRECT("B21:B" &amp; ROW()))-1&lt;E230,表2_367162629303421[[#This Row],[累计净值]]/MAX(INDIRECT("B21:B" &amp; ROW()))-1,E230)</f>
        <v>-1.6085790884718509E-2</v>
      </c>
      <c r="F231" s="110">
        <f>表2_367162629303421[[#This Row],[累计净值]]</f>
        <v>1.113</v>
      </c>
      <c r="G231" s="170">
        <f>表2_367162629303421[[#This Row],[累计净值]]/$B$21-1</f>
        <v>0.10746268656716418</v>
      </c>
      <c r="H231" s="170">
        <f>表2_367162629303421[[#This Row],[单位净值]]/$F$196-1</f>
        <v>9.0661831368994417E-3</v>
      </c>
    </row>
    <row r="232" spans="1:8">
      <c r="A232" s="161">
        <v>44088</v>
      </c>
      <c r="B232" s="162">
        <v>1.1120000000000001</v>
      </c>
      <c r="C232" s="171">
        <f t="shared" si="22"/>
        <v>-9.9999999999988987E-4</v>
      </c>
      <c r="D232" s="168">
        <f t="shared" si="23"/>
        <v>-9.9999999999988987E-4</v>
      </c>
      <c r="E232" s="168">
        <f ca="1">IF(表2_367162629303421[[#This Row],[累计净值]]/MAX(INDIRECT("B21:B" &amp; ROW()))-1&lt;E231,表2_367162629303421[[#This Row],[累计净值]]/MAX(INDIRECT("B21:B" &amp; ROW()))-1,E231)</f>
        <v>-1.6085790884718509E-2</v>
      </c>
      <c r="F232" s="110">
        <f>表2_367162629303421[[#This Row],[累计净值]]</f>
        <v>1.1120000000000001</v>
      </c>
      <c r="G232" s="170">
        <f>表2_367162629303421[[#This Row],[累计净值]]/$B$21-1</f>
        <v>0.10646766169154254</v>
      </c>
      <c r="H232" s="170">
        <f>表2_367162629303421[[#This Row],[单位净值]]/$F$196-1</f>
        <v>8.1595648232095641E-3</v>
      </c>
    </row>
    <row r="233" spans="1:8">
      <c r="A233" s="161">
        <v>44089</v>
      </c>
      <c r="B233" s="162">
        <v>1.113</v>
      </c>
      <c r="C233" s="171">
        <f t="shared" ref="C233:C238" si="24">IFERROR(B233-B232,0)</f>
        <v>9.9999999999988987E-4</v>
      </c>
      <c r="D233" s="168" t="str">
        <f t="shared" ref="D233:D238" si="25">IF(C233&lt;0,C233,"/")</f>
        <v>/</v>
      </c>
      <c r="E233" s="168">
        <f ca="1">IF(表2_367162629303421[[#This Row],[累计净值]]/MAX(INDIRECT("B21:B" &amp; ROW()))-1&lt;E232,表2_367162629303421[[#This Row],[累计净值]]/MAX(INDIRECT("B21:B" &amp; ROW()))-1,E232)</f>
        <v>-1.6085790884718509E-2</v>
      </c>
      <c r="F233" s="110">
        <f>表2_367162629303421[[#This Row],[累计净值]]</f>
        <v>1.113</v>
      </c>
      <c r="G233" s="170">
        <f>表2_367162629303421[[#This Row],[累计净值]]/$B$21-1</f>
        <v>0.10746268656716418</v>
      </c>
      <c r="H233" s="170">
        <f>表2_367162629303421[[#This Row],[单位净值]]/$F$196-1</f>
        <v>9.0661831368994417E-3</v>
      </c>
    </row>
    <row r="234" spans="1:8">
      <c r="A234" s="161">
        <v>44090</v>
      </c>
      <c r="B234" s="162">
        <v>1.1140000000000001</v>
      </c>
      <c r="C234" s="171">
        <f t="shared" si="24"/>
        <v>1.0000000000001119E-3</v>
      </c>
      <c r="D234" s="168" t="str">
        <f t="shared" si="25"/>
        <v>/</v>
      </c>
      <c r="E234" s="168">
        <f ca="1">IF(表2_367162629303421[[#This Row],[累计净值]]/MAX(INDIRECT("B21:B" &amp; ROW()))-1&lt;E233,表2_367162629303421[[#This Row],[累计净值]]/MAX(INDIRECT("B21:B" &amp; ROW()))-1,E233)</f>
        <v>-1.6085790884718509E-2</v>
      </c>
      <c r="F234" s="110">
        <f>表2_367162629303421[[#This Row],[累计净值]]</f>
        <v>1.1140000000000001</v>
      </c>
      <c r="G234" s="170">
        <f>表2_367162629303421[[#This Row],[累计净值]]/$B$21-1</f>
        <v>0.10845771144278626</v>
      </c>
      <c r="H234" s="170">
        <f>表2_367162629303421[[#This Row],[单位净值]]/$F$196-1</f>
        <v>9.9728014505893192E-3</v>
      </c>
    </row>
    <row r="235" spans="1:8">
      <c r="A235" s="161">
        <v>44091</v>
      </c>
      <c r="B235" s="162">
        <v>1.115</v>
      </c>
      <c r="C235" s="171">
        <f t="shared" si="24"/>
        <v>9.9999999999988987E-4</v>
      </c>
      <c r="D235" s="168" t="str">
        <f t="shared" si="25"/>
        <v>/</v>
      </c>
      <c r="E235" s="168">
        <f ca="1">IF(表2_367162629303421[[#This Row],[累计净值]]/MAX(INDIRECT("B21:B" &amp; ROW()))-1&lt;E234,表2_367162629303421[[#This Row],[累计净值]]/MAX(INDIRECT("B21:B" &amp; ROW()))-1,E234)</f>
        <v>-1.6085790884718509E-2</v>
      </c>
      <c r="F235" s="110">
        <f>表2_367162629303421[[#This Row],[累计净值]]</f>
        <v>1.115</v>
      </c>
      <c r="G235" s="170">
        <f>表2_367162629303421[[#This Row],[累计净值]]/$B$21-1</f>
        <v>0.10945273631840813</v>
      </c>
      <c r="H235" s="170">
        <f>表2_367162629303421[[#This Row],[单位净值]]/$F$196-1</f>
        <v>1.0879419764279197E-2</v>
      </c>
    </row>
    <row r="236" spans="1:8">
      <c r="A236" s="161">
        <v>44092</v>
      </c>
      <c r="B236" s="162">
        <v>1.113</v>
      </c>
      <c r="C236" s="171">
        <f t="shared" si="24"/>
        <v>-2.0000000000000018E-3</v>
      </c>
      <c r="D236" s="168">
        <f t="shared" si="25"/>
        <v>-2.0000000000000018E-3</v>
      </c>
      <c r="E236" s="168">
        <f ca="1">IF(表2_367162629303421[[#This Row],[累计净值]]/MAX(INDIRECT("B21:B" &amp; ROW()))-1&lt;E235,表2_367162629303421[[#This Row],[累计净值]]/MAX(INDIRECT("B21:B" &amp; ROW()))-1,E235)</f>
        <v>-1.6085790884718509E-2</v>
      </c>
      <c r="F236" s="110">
        <f>表2_367162629303421[[#This Row],[累计净值]]</f>
        <v>1.113</v>
      </c>
      <c r="G236" s="170">
        <f>表2_367162629303421[[#This Row],[累计净值]]/$B$21-1</f>
        <v>0.10746268656716418</v>
      </c>
      <c r="H236" s="170">
        <f>表2_367162629303421[[#This Row],[单位净值]]/$F$196-1</f>
        <v>9.0661831368994417E-3</v>
      </c>
    </row>
    <row r="237" spans="1:8">
      <c r="A237" s="161">
        <v>44095</v>
      </c>
      <c r="B237" s="162">
        <v>1.1140000000000001</v>
      </c>
      <c r="C237" s="171">
        <f t="shared" si="24"/>
        <v>1.0000000000001119E-3</v>
      </c>
      <c r="D237" s="168" t="str">
        <f t="shared" si="25"/>
        <v>/</v>
      </c>
      <c r="E237" s="168">
        <f ca="1">IF(表2_367162629303421[[#This Row],[累计净值]]/MAX(INDIRECT("B21:B" &amp; ROW()))-1&lt;E236,表2_367162629303421[[#This Row],[累计净值]]/MAX(INDIRECT("B21:B" &amp; ROW()))-1,E236)</f>
        <v>-1.6085790884718509E-2</v>
      </c>
      <c r="F237" s="110">
        <f>表2_367162629303421[[#This Row],[累计净值]]</f>
        <v>1.1140000000000001</v>
      </c>
      <c r="G237" s="170">
        <f>表2_367162629303421[[#This Row],[累计净值]]/$B$21-1</f>
        <v>0.10845771144278626</v>
      </c>
      <c r="H237" s="170">
        <f>表2_367162629303421[[#This Row],[单位净值]]/$F$196-1</f>
        <v>9.9728014505893192E-3</v>
      </c>
    </row>
    <row r="238" spans="1:8">
      <c r="A238" s="161">
        <v>44096</v>
      </c>
      <c r="B238" s="162">
        <v>1.1140000000000001</v>
      </c>
      <c r="C238" s="171">
        <f t="shared" si="24"/>
        <v>0</v>
      </c>
      <c r="D238" s="168" t="str">
        <f t="shared" si="25"/>
        <v>/</v>
      </c>
      <c r="E238" s="168">
        <f ca="1">IF(表2_367162629303421[[#This Row],[累计净值]]/MAX(INDIRECT("B21:B" &amp; ROW()))-1&lt;E237,表2_367162629303421[[#This Row],[累计净值]]/MAX(INDIRECT("B21:B" &amp; ROW()))-1,E237)</f>
        <v>-1.6085790884718509E-2</v>
      </c>
      <c r="F238" s="110">
        <f>表2_367162629303421[[#This Row],[累计净值]]</f>
        <v>1.1140000000000001</v>
      </c>
      <c r="G238" s="170">
        <f>表2_367162629303421[[#This Row],[累计净值]]/$B$21-1</f>
        <v>0.10845771144278626</v>
      </c>
      <c r="H238" s="170">
        <f>表2_367162629303421[[#This Row],[单位净值]]/$F$196-1</f>
        <v>9.9728014505893192E-3</v>
      </c>
    </row>
    <row r="239" spans="1:8">
      <c r="A239" s="161">
        <v>44097</v>
      </c>
      <c r="B239" s="162">
        <v>1.113</v>
      </c>
      <c r="C239" s="171">
        <f t="shared" ref="C239:C245" si="26">IFERROR(B239-B238,0)</f>
        <v>-1.0000000000001119E-3</v>
      </c>
      <c r="D239" s="168">
        <f t="shared" ref="D239:D245" si="27">IF(C239&lt;0,C239,"/")</f>
        <v>-1.0000000000001119E-3</v>
      </c>
      <c r="E239" s="168">
        <f ca="1">IF(表2_367162629303421[[#This Row],[累计净值]]/MAX(INDIRECT("B21:B" &amp; ROW()))-1&lt;E238,表2_367162629303421[[#This Row],[累计净值]]/MAX(INDIRECT("B21:B" &amp; ROW()))-1,E238)</f>
        <v>-1.6085790884718509E-2</v>
      </c>
      <c r="F239" s="110">
        <f>表2_367162629303421[[#This Row],[累计净值]]</f>
        <v>1.113</v>
      </c>
      <c r="G239" s="170">
        <f>表2_367162629303421[[#This Row],[累计净值]]/$B$21-1</f>
        <v>0.10746268656716418</v>
      </c>
      <c r="H239" s="170">
        <f>表2_367162629303421[[#This Row],[单位净值]]/$F$196-1</f>
        <v>9.0661831368994417E-3</v>
      </c>
    </row>
    <row r="240" spans="1:8">
      <c r="A240" s="161">
        <v>44098</v>
      </c>
      <c r="B240" s="162">
        <v>1.113</v>
      </c>
      <c r="C240" s="171">
        <f t="shared" si="26"/>
        <v>0</v>
      </c>
      <c r="D240" s="168" t="str">
        <f t="shared" si="27"/>
        <v>/</v>
      </c>
      <c r="E240" s="168">
        <f ca="1">IF(表2_367162629303421[[#This Row],[累计净值]]/MAX(INDIRECT("B21:B" &amp; ROW()))-1&lt;E239,表2_367162629303421[[#This Row],[累计净值]]/MAX(INDIRECT("B21:B" &amp; ROW()))-1,E239)</f>
        <v>-1.6085790884718509E-2</v>
      </c>
      <c r="F240" s="110">
        <f>表2_367162629303421[[#This Row],[累计净值]]</f>
        <v>1.113</v>
      </c>
      <c r="G240" s="170">
        <f>表2_367162629303421[[#This Row],[累计净值]]/$B$21-1</f>
        <v>0.10746268656716418</v>
      </c>
      <c r="H240" s="170">
        <f>表2_367162629303421[[#This Row],[单位净值]]/$F$196-1</f>
        <v>9.0661831368994417E-3</v>
      </c>
    </row>
    <row r="241" spans="1:8">
      <c r="A241" s="161">
        <v>44099</v>
      </c>
      <c r="B241" s="162">
        <v>1.113</v>
      </c>
      <c r="C241" s="171">
        <f t="shared" si="26"/>
        <v>0</v>
      </c>
      <c r="D241" s="168" t="str">
        <f t="shared" si="27"/>
        <v>/</v>
      </c>
      <c r="E241" s="168">
        <f ca="1">IF(表2_367162629303421[[#This Row],[累计净值]]/MAX(INDIRECT("B21:B" &amp; ROW()))-1&lt;E240,表2_367162629303421[[#This Row],[累计净值]]/MAX(INDIRECT("B21:B" &amp; ROW()))-1,E240)</f>
        <v>-1.6085790884718509E-2</v>
      </c>
      <c r="F241" s="110">
        <f>表2_367162629303421[[#This Row],[累计净值]]</f>
        <v>1.113</v>
      </c>
      <c r="G241" s="170">
        <f>表2_367162629303421[[#This Row],[累计净值]]/$B$21-1</f>
        <v>0.10746268656716418</v>
      </c>
      <c r="H241" s="170">
        <f>表2_367162629303421[[#This Row],[单位净值]]/$F$196-1</f>
        <v>9.0661831368994417E-3</v>
      </c>
    </row>
    <row r="242" spans="1:8">
      <c r="A242" s="161">
        <v>44102</v>
      </c>
      <c r="B242" s="162">
        <v>1.1120000000000001</v>
      </c>
      <c r="C242" s="171">
        <f t="shared" si="26"/>
        <v>-9.9999999999988987E-4</v>
      </c>
      <c r="D242" s="168">
        <f t="shared" si="27"/>
        <v>-9.9999999999988987E-4</v>
      </c>
      <c r="E242" s="168">
        <f ca="1">IF(表2_367162629303421[[#This Row],[累计净值]]/MAX(INDIRECT("B21:B" &amp; ROW()))-1&lt;E241,表2_367162629303421[[#This Row],[累计净值]]/MAX(INDIRECT("B21:B" &amp; ROW()))-1,E241)</f>
        <v>-1.6085790884718509E-2</v>
      </c>
      <c r="F242" s="110">
        <f>表2_367162629303421[[#This Row],[累计净值]]</f>
        <v>1.1120000000000001</v>
      </c>
      <c r="G242" s="170">
        <f>表2_367162629303421[[#This Row],[累计净值]]/$B$21-1</f>
        <v>0.10646766169154254</v>
      </c>
      <c r="H242" s="170">
        <f>表2_367162629303421[[#This Row],[单位净值]]/$F$196-1</f>
        <v>8.1595648232095641E-3</v>
      </c>
    </row>
    <row r="243" spans="1:8">
      <c r="A243" s="161">
        <v>44103</v>
      </c>
      <c r="B243" s="162">
        <v>1.113</v>
      </c>
      <c r="C243" s="171">
        <f t="shared" si="26"/>
        <v>9.9999999999988987E-4</v>
      </c>
      <c r="D243" s="168" t="str">
        <f t="shared" si="27"/>
        <v>/</v>
      </c>
      <c r="E243" s="168">
        <f ca="1">IF(表2_367162629303421[[#This Row],[累计净值]]/MAX(INDIRECT("B21:B" &amp; ROW()))-1&lt;E242,表2_367162629303421[[#This Row],[累计净值]]/MAX(INDIRECT("B21:B" &amp; ROW()))-1,E242)</f>
        <v>-1.6085790884718509E-2</v>
      </c>
      <c r="F243" s="110">
        <f>表2_367162629303421[[#This Row],[累计净值]]</f>
        <v>1.113</v>
      </c>
      <c r="G243" s="170">
        <f>表2_367162629303421[[#This Row],[累计净值]]/$B$21-1</f>
        <v>0.10746268656716418</v>
      </c>
      <c r="H243" s="170">
        <f>表2_367162629303421[[#This Row],[单位净值]]/$F$196-1</f>
        <v>9.0661831368994417E-3</v>
      </c>
    </row>
    <row r="244" spans="1:8">
      <c r="A244" s="161">
        <v>44104</v>
      </c>
      <c r="B244" s="162">
        <v>1.1120000000000001</v>
      </c>
      <c r="C244" s="171">
        <f t="shared" si="26"/>
        <v>-9.9999999999988987E-4</v>
      </c>
      <c r="D244" s="168">
        <f t="shared" si="27"/>
        <v>-9.9999999999988987E-4</v>
      </c>
      <c r="E244" s="168">
        <f ca="1">IF(表2_367162629303421[[#This Row],[累计净值]]/MAX(INDIRECT("B21:B" &amp; ROW()))-1&lt;E243,表2_367162629303421[[#This Row],[累计净值]]/MAX(INDIRECT("B21:B" &amp; ROW()))-1,E243)</f>
        <v>-1.6085790884718509E-2</v>
      </c>
      <c r="F244" s="110">
        <f>表2_367162629303421[[#This Row],[累计净值]]</f>
        <v>1.1120000000000001</v>
      </c>
      <c r="G244" s="170">
        <f>表2_367162629303421[[#This Row],[累计净值]]/$B$21-1</f>
        <v>0.10646766169154254</v>
      </c>
      <c r="H244" s="170">
        <f>表2_367162629303421[[#This Row],[单位净值]]/$F$196-1</f>
        <v>8.1595648232095641E-3</v>
      </c>
    </row>
    <row r="245" spans="1:8">
      <c r="A245" s="161">
        <v>44113</v>
      </c>
      <c r="B245" s="162">
        <v>1.113</v>
      </c>
      <c r="C245" s="171">
        <f t="shared" si="26"/>
        <v>9.9999999999988987E-4</v>
      </c>
      <c r="D245" s="168" t="str">
        <f t="shared" si="27"/>
        <v>/</v>
      </c>
      <c r="E245" s="168">
        <f ca="1">IF(表2_367162629303421[[#This Row],[累计净值]]/MAX(INDIRECT("B21:B" &amp; ROW()))-1&lt;E244,表2_367162629303421[[#This Row],[累计净值]]/MAX(INDIRECT("B21:B" &amp; ROW()))-1,E244)</f>
        <v>-1.6085790884718509E-2</v>
      </c>
      <c r="F245" s="110">
        <f>表2_367162629303421[[#This Row],[累计净值]]</f>
        <v>1.113</v>
      </c>
      <c r="G245" s="170">
        <f>表2_367162629303421[[#This Row],[累计净值]]/$B$21-1</f>
        <v>0.10746268656716418</v>
      </c>
      <c r="H245" s="170">
        <f>表2_367162629303421[[#This Row],[单位净值]]/$F$196-1</f>
        <v>9.0661831368994417E-3</v>
      </c>
    </row>
    <row r="246" spans="1:8">
      <c r="A246" s="161">
        <v>44116</v>
      </c>
      <c r="B246" s="162">
        <v>1.115</v>
      </c>
      <c r="C246" s="171">
        <f t="shared" ref="C246:C251" si="28">IFERROR(B246-B245,0)</f>
        <v>2.0000000000000018E-3</v>
      </c>
      <c r="D246" s="168" t="str">
        <f t="shared" ref="D246:D251" si="29">IF(C246&lt;0,C246,"/")</f>
        <v>/</v>
      </c>
      <c r="E246" s="168">
        <f ca="1">IF(表2_367162629303421[[#This Row],[累计净值]]/MAX(INDIRECT("B21:B" &amp; ROW()))-1&lt;E245,表2_367162629303421[[#This Row],[累计净值]]/MAX(INDIRECT("B21:B" &amp; ROW()))-1,E245)</f>
        <v>-1.6085790884718509E-2</v>
      </c>
      <c r="F246" s="110">
        <f>表2_367162629303421[[#This Row],[累计净值]]</f>
        <v>1.115</v>
      </c>
      <c r="G246" s="170">
        <f>表2_367162629303421[[#This Row],[累计净值]]/$B$21-1</f>
        <v>0.10945273631840813</v>
      </c>
      <c r="H246" s="170">
        <f>表2_367162629303421[[#This Row],[单位净值]]/$F$196-1</f>
        <v>1.0879419764279197E-2</v>
      </c>
    </row>
    <row r="247" spans="1:8">
      <c r="A247" s="161">
        <v>44117</v>
      </c>
      <c r="B247" s="162">
        <v>1.115</v>
      </c>
      <c r="C247" s="171">
        <f t="shared" si="28"/>
        <v>0</v>
      </c>
      <c r="D247" s="168" t="str">
        <f t="shared" si="29"/>
        <v>/</v>
      </c>
      <c r="E247" s="168">
        <f ca="1">IF(表2_367162629303421[[#This Row],[累计净值]]/MAX(INDIRECT("B21:B" &amp; ROW()))-1&lt;E246,表2_367162629303421[[#This Row],[累计净值]]/MAX(INDIRECT("B21:B" &amp; ROW()))-1,E246)</f>
        <v>-1.6085790884718509E-2</v>
      </c>
      <c r="F247" s="110">
        <f>表2_367162629303421[[#This Row],[累计净值]]</f>
        <v>1.115</v>
      </c>
      <c r="G247" s="170">
        <f>表2_367162629303421[[#This Row],[累计净值]]/$B$21-1</f>
        <v>0.10945273631840813</v>
      </c>
      <c r="H247" s="170">
        <f>表2_367162629303421[[#This Row],[单位净值]]/$F$196-1</f>
        <v>1.0879419764279197E-2</v>
      </c>
    </row>
    <row r="248" spans="1:8">
      <c r="A248" s="161">
        <v>44118</v>
      </c>
      <c r="B248" s="162">
        <v>1.1140000000000001</v>
      </c>
      <c r="C248" s="171">
        <f t="shared" si="28"/>
        <v>-9.9999999999988987E-4</v>
      </c>
      <c r="D248" s="168">
        <f t="shared" si="29"/>
        <v>-9.9999999999988987E-4</v>
      </c>
      <c r="E248" s="168">
        <f ca="1">IF(表2_367162629303421[[#This Row],[累计净值]]/MAX(INDIRECT("B21:B" &amp; ROW()))-1&lt;E247,表2_367162629303421[[#This Row],[累计净值]]/MAX(INDIRECT("B21:B" &amp; ROW()))-1,E247)</f>
        <v>-1.6085790884718509E-2</v>
      </c>
      <c r="F248" s="110">
        <f>表2_367162629303421[[#This Row],[累计净值]]</f>
        <v>1.1140000000000001</v>
      </c>
      <c r="G248" s="170">
        <f>表2_367162629303421[[#This Row],[累计净值]]/$B$21-1</f>
        <v>0.10845771144278626</v>
      </c>
      <c r="H248" s="170">
        <f>表2_367162629303421[[#This Row],[单位净值]]/$F$196-1</f>
        <v>9.9728014505893192E-3</v>
      </c>
    </row>
    <row r="249" spans="1:8">
      <c r="A249" s="161">
        <v>44119</v>
      </c>
      <c r="B249" s="162">
        <v>1.115</v>
      </c>
      <c r="C249" s="171">
        <f t="shared" si="28"/>
        <v>9.9999999999988987E-4</v>
      </c>
      <c r="D249" s="168" t="str">
        <f t="shared" si="29"/>
        <v>/</v>
      </c>
      <c r="E249" s="168">
        <f ca="1">IF(表2_367162629303421[[#This Row],[累计净值]]/MAX(INDIRECT("B21:B" &amp; ROW()))-1&lt;E248,表2_367162629303421[[#This Row],[累计净值]]/MAX(INDIRECT("B21:B" &amp; ROW()))-1,E248)</f>
        <v>-1.6085790884718509E-2</v>
      </c>
      <c r="F249" s="110">
        <f>表2_367162629303421[[#This Row],[累计净值]]</f>
        <v>1.115</v>
      </c>
      <c r="G249" s="170">
        <f>表2_367162629303421[[#This Row],[累计净值]]/$B$21-1</f>
        <v>0.10945273631840813</v>
      </c>
      <c r="H249" s="170">
        <f>表2_367162629303421[[#This Row],[单位净值]]/$F$196-1</f>
        <v>1.0879419764279197E-2</v>
      </c>
    </row>
    <row r="250" spans="1:8">
      <c r="A250" s="161">
        <v>44120</v>
      </c>
      <c r="B250" s="162">
        <v>1.117</v>
      </c>
      <c r="C250" s="171">
        <f t="shared" si="28"/>
        <v>2.0000000000000018E-3</v>
      </c>
      <c r="D250" s="168" t="str">
        <f t="shared" si="29"/>
        <v>/</v>
      </c>
      <c r="E250" s="168">
        <f ca="1">IF(表2_367162629303421[[#This Row],[累计净值]]/MAX(INDIRECT("B21:B" &amp; ROW()))-1&lt;E249,表2_367162629303421[[#This Row],[累计净值]]/MAX(INDIRECT("B21:B" &amp; ROW()))-1,E249)</f>
        <v>-1.6085790884718509E-2</v>
      </c>
      <c r="F250" s="110">
        <f>表2_367162629303421[[#This Row],[累计净值]]</f>
        <v>1.117</v>
      </c>
      <c r="G250" s="170">
        <f>表2_367162629303421[[#This Row],[累计净值]]/$B$21-1</f>
        <v>0.11144278606965186</v>
      </c>
      <c r="H250" s="170">
        <f>表2_367162629303421[[#This Row],[单位净值]]/$F$196-1</f>
        <v>1.2692656391659174E-2</v>
      </c>
    </row>
    <row r="251" spans="1:8">
      <c r="A251" s="161">
        <v>44123</v>
      </c>
      <c r="B251" s="162">
        <v>1.115</v>
      </c>
      <c r="C251" s="171">
        <f t="shared" si="28"/>
        <v>-2.0000000000000018E-3</v>
      </c>
      <c r="D251" s="168">
        <f t="shared" si="29"/>
        <v>-2.0000000000000018E-3</v>
      </c>
      <c r="E251" s="168">
        <f ca="1">IF(表2_367162629303421[[#This Row],[累计净值]]/MAX(INDIRECT("B21:B" &amp; ROW()))-1&lt;E250,表2_367162629303421[[#This Row],[累计净值]]/MAX(INDIRECT("B21:B" &amp; ROW()))-1,E250)</f>
        <v>-1.6085790884718509E-2</v>
      </c>
      <c r="F251" s="110">
        <f>表2_367162629303421[[#This Row],[累计净值]]</f>
        <v>1.115</v>
      </c>
      <c r="G251" s="170">
        <f>表2_367162629303421[[#This Row],[累计净值]]/$B$21-1</f>
        <v>0.10945273631840813</v>
      </c>
      <c r="H251" s="170">
        <f>表2_367162629303421[[#This Row],[单位净值]]/$F$196-1</f>
        <v>1.0879419764279197E-2</v>
      </c>
    </row>
    <row r="252" spans="1:8">
      <c r="A252" s="161">
        <v>44124</v>
      </c>
      <c r="B252" s="162">
        <v>1.1160000000000001</v>
      </c>
      <c r="C252" s="171">
        <f t="shared" ref="C252:C257" si="30">IFERROR(B252-B251,0)</f>
        <v>1.0000000000001119E-3</v>
      </c>
      <c r="D252" s="168" t="str">
        <f t="shared" ref="D252:D257" si="31">IF(C252&lt;0,C252,"/")</f>
        <v>/</v>
      </c>
      <c r="E252" s="168">
        <f ca="1">IF(表2_367162629303421[[#This Row],[累计净值]]/MAX(INDIRECT("B21:B" &amp; ROW()))-1&lt;E251,表2_367162629303421[[#This Row],[累计净值]]/MAX(INDIRECT("B21:B" &amp; ROW()))-1,E251)</f>
        <v>-1.6085790884718509E-2</v>
      </c>
      <c r="F252" s="110">
        <f>表2_367162629303421[[#This Row],[累计净值]]</f>
        <v>1.1160000000000001</v>
      </c>
      <c r="G252" s="170">
        <f>表2_367162629303421[[#This Row],[累计净值]]/$B$21-1</f>
        <v>0.11044776119402999</v>
      </c>
      <c r="H252" s="170">
        <f>表2_367162629303421[[#This Row],[单位净值]]/$F$196-1</f>
        <v>1.1786038077969296E-2</v>
      </c>
    </row>
    <row r="253" spans="1:8">
      <c r="A253" s="161">
        <v>44125</v>
      </c>
      <c r="B253" s="162">
        <v>1.115</v>
      </c>
      <c r="C253" s="171">
        <f t="shared" si="30"/>
        <v>-1.0000000000001119E-3</v>
      </c>
      <c r="D253" s="168">
        <f t="shared" si="31"/>
        <v>-1.0000000000001119E-3</v>
      </c>
      <c r="E253" s="168">
        <f ca="1">IF(表2_367162629303421[[#This Row],[累计净值]]/MAX(INDIRECT("B21:B" &amp; ROW()))-1&lt;E252,表2_367162629303421[[#This Row],[累计净值]]/MAX(INDIRECT("B21:B" &amp; ROW()))-1,E252)</f>
        <v>-1.6085790884718509E-2</v>
      </c>
      <c r="F253" s="110">
        <f>表2_367162629303421[[#This Row],[累计净值]]</f>
        <v>1.115</v>
      </c>
      <c r="G253" s="170">
        <f>表2_367162629303421[[#This Row],[累计净值]]/$B$21-1</f>
        <v>0.10945273631840813</v>
      </c>
      <c r="H253" s="170">
        <f>表2_367162629303421[[#This Row],[单位净值]]/$F$196-1</f>
        <v>1.0879419764279197E-2</v>
      </c>
    </row>
    <row r="254" spans="1:8">
      <c r="A254" s="161">
        <v>44126</v>
      </c>
      <c r="B254" s="162">
        <v>1.117</v>
      </c>
      <c r="C254" s="171">
        <f t="shared" si="30"/>
        <v>2.0000000000000018E-3</v>
      </c>
      <c r="D254" s="168" t="str">
        <f t="shared" si="31"/>
        <v>/</v>
      </c>
      <c r="E254" s="168">
        <f ca="1">IF(表2_367162629303421[[#This Row],[累计净值]]/MAX(INDIRECT("B21:B" &amp; ROW()))-1&lt;E253,表2_367162629303421[[#This Row],[累计净值]]/MAX(INDIRECT("B21:B" &amp; ROW()))-1,E253)</f>
        <v>-1.6085790884718509E-2</v>
      </c>
      <c r="F254" s="110">
        <f>表2_367162629303421[[#This Row],[累计净值]]</f>
        <v>1.117</v>
      </c>
      <c r="G254" s="170">
        <f>表2_367162629303421[[#This Row],[累计净值]]/$B$21-1</f>
        <v>0.11144278606965186</v>
      </c>
      <c r="H254" s="170">
        <f>表2_367162629303421[[#This Row],[单位净值]]/$F$196-1</f>
        <v>1.2692656391659174E-2</v>
      </c>
    </row>
    <row r="255" spans="1:8">
      <c r="A255" s="161">
        <v>44127</v>
      </c>
      <c r="B255" s="162">
        <v>1.117</v>
      </c>
      <c r="C255" s="171">
        <f t="shared" si="30"/>
        <v>0</v>
      </c>
      <c r="D255" s="168" t="str">
        <f t="shared" si="31"/>
        <v>/</v>
      </c>
      <c r="E255" s="168">
        <f ca="1">IF(表2_367162629303421[[#This Row],[累计净值]]/MAX(INDIRECT("B21:B" &amp; ROW()))-1&lt;E254,表2_367162629303421[[#This Row],[累计净值]]/MAX(INDIRECT("B21:B" &amp; ROW()))-1,E254)</f>
        <v>-1.6085790884718509E-2</v>
      </c>
      <c r="F255" s="110">
        <f>表2_367162629303421[[#This Row],[累计净值]]</f>
        <v>1.117</v>
      </c>
      <c r="G255" s="170">
        <f>表2_367162629303421[[#This Row],[累计净值]]/$B$21-1</f>
        <v>0.11144278606965186</v>
      </c>
      <c r="H255" s="170">
        <f>表2_367162629303421[[#This Row],[单位净值]]/$F$196-1</f>
        <v>1.2692656391659174E-2</v>
      </c>
    </row>
    <row r="256" spans="1:8">
      <c r="A256" s="161">
        <v>44130</v>
      </c>
      <c r="B256" s="162">
        <v>1.1160000000000001</v>
      </c>
      <c r="C256" s="171">
        <f t="shared" si="30"/>
        <v>-9.9999999999988987E-4</v>
      </c>
      <c r="D256" s="168">
        <f t="shared" si="31"/>
        <v>-9.9999999999988987E-4</v>
      </c>
      <c r="E256" s="168">
        <f ca="1">IF(表2_367162629303421[[#This Row],[累计净值]]/MAX(INDIRECT("B21:B" &amp; ROW()))-1&lt;E255,表2_367162629303421[[#This Row],[累计净值]]/MAX(INDIRECT("B21:B" &amp; ROW()))-1,E255)</f>
        <v>-1.6085790884718509E-2</v>
      </c>
      <c r="F256" s="110">
        <f>表2_367162629303421[[#This Row],[累计净值]]</f>
        <v>1.1160000000000001</v>
      </c>
      <c r="G256" s="170">
        <f>表2_367162629303421[[#This Row],[累计净值]]/$B$21-1</f>
        <v>0.11044776119402999</v>
      </c>
      <c r="H256" s="170">
        <f>表2_367162629303421[[#This Row],[单位净值]]/$F$196-1</f>
        <v>1.1786038077969296E-2</v>
      </c>
    </row>
    <row r="257" spans="1:8">
      <c r="A257" s="161">
        <v>44131</v>
      </c>
      <c r="B257" s="162">
        <v>1.117</v>
      </c>
      <c r="C257" s="171">
        <f t="shared" si="30"/>
        <v>9.9999999999988987E-4</v>
      </c>
      <c r="D257" s="168" t="str">
        <f t="shared" si="31"/>
        <v>/</v>
      </c>
      <c r="E257" s="168">
        <f ca="1">IF(表2_367162629303421[[#This Row],[累计净值]]/MAX(INDIRECT("B21:B" &amp; ROW()))-1&lt;E256,表2_367162629303421[[#This Row],[累计净值]]/MAX(INDIRECT("B21:B" &amp; ROW()))-1,E256)</f>
        <v>-1.6085790884718509E-2</v>
      </c>
      <c r="F257" s="110">
        <f>表2_367162629303421[[#This Row],[累计净值]]</f>
        <v>1.117</v>
      </c>
      <c r="G257" s="170">
        <f>表2_367162629303421[[#This Row],[累计净值]]/$B$21-1</f>
        <v>0.11144278606965186</v>
      </c>
      <c r="H257" s="170">
        <f>表2_367162629303421[[#This Row],[单位净值]]/$F$196-1</f>
        <v>1.2692656391659174E-2</v>
      </c>
    </row>
    <row r="258" spans="1:8">
      <c r="A258" s="161">
        <v>44132</v>
      </c>
      <c r="B258" s="162">
        <v>1.1160000000000001</v>
      </c>
      <c r="C258" s="171">
        <f t="shared" ref="C258:C263" si="32">IFERROR(B258-B257,0)</f>
        <v>-9.9999999999988987E-4</v>
      </c>
      <c r="D258" s="168">
        <f t="shared" ref="D258:D263" si="33">IF(C258&lt;0,C258,"/")</f>
        <v>-9.9999999999988987E-4</v>
      </c>
      <c r="E258" s="168">
        <f ca="1">IF(表2_367162629303421[[#This Row],[累计净值]]/MAX(INDIRECT("B21:B" &amp; ROW()))-1&lt;E257,表2_367162629303421[[#This Row],[累计净值]]/MAX(INDIRECT("B21:B" &amp; ROW()))-1,E257)</f>
        <v>-1.6085790884718509E-2</v>
      </c>
      <c r="F258" s="110">
        <f>表2_367162629303421[[#This Row],[累计净值]]</f>
        <v>1.1160000000000001</v>
      </c>
      <c r="G258" s="170">
        <f>表2_367162629303421[[#This Row],[累计净值]]/$B$21-1</f>
        <v>0.11044776119402999</v>
      </c>
      <c r="H258" s="170">
        <f>表2_367162629303421[[#This Row],[单位净值]]/$F$196-1</f>
        <v>1.1786038077969296E-2</v>
      </c>
    </row>
    <row r="259" spans="1:8">
      <c r="A259" s="161">
        <v>44133</v>
      </c>
      <c r="B259" s="162">
        <v>1.1180000000000001</v>
      </c>
      <c r="C259" s="171">
        <f t="shared" si="32"/>
        <v>2.0000000000000018E-3</v>
      </c>
      <c r="D259" s="168" t="str">
        <f t="shared" si="33"/>
        <v>/</v>
      </c>
      <c r="E259" s="168">
        <f ca="1">IF(表2_367162629303421[[#This Row],[累计净值]]/MAX(INDIRECT("B21:B" &amp; ROW()))-1&lt;E258,表2_367162629303421[[#This Row],[累计净值]]/MAX(INDIRECT("B21:B" &amp; ROW()))-1,E258)</f>
        <v>-1.6085790884718509E-2</v>
      </c>
      <c r="F259" s="110">
        <f>表2_367162629303421[[#This Row],[累计净值]]</f>
        <v>1.1180000000000001</v>
      </c>
      <c r="G259" s="170">
        <f>表2_367162629303421[[#This Row],[累计净值]]/$B$21-1</f>
        <v>0.11243781094527394</v>
      </c>
      <c r="H259" s="170">
        <f>表2_367162629303421[[#This Row],[单位净值]]/$F$196-1</f>
        <v>1.3599274705349051E-2</v>
      </c>
    </row>
    <row r="260" spans="1:8">
      <c r="A260" s="161">
        <v>44134</v>
      </c>
      <c r="B260" s="162">
        <v>1.1180000000000001</v>
      </c>
      <c r="C260" s="171">
        <f t="shared" si="32"/>
        <v>0</v>
      </c>
      <c r="D260" s="168" t="str">
        <f t="shared" si="33"/>
        <v>/</v>
      </c>
      <c r="E260" s="168">
        <f ca="1">IF(表2_367162629303421[[#This Row],[累计净值]]/MAX(INDIRECT("B21:B" &amp; ROW()))-1&lt;E259,表2_367162629303421[[#This Row],[累计净值]]/MAX(INDIRECT("B21:B" &amp; ROW()))-1,E259)</f>
        <v>-1.6085790884718509E-2</v>
      </c>
      <c r="F260" s="110">
        <f>表2_367162629303421[[#This Row],[累计净值]]</f>
        <v>1.1180000000000001</v>
      </c>
      <c r="G260" s="170">
        <f>表2_367162629303421[[#This Row],[累计净值]]/$B$21-1</f>
        <v>0.11243781094527394</v>
      </c>
      <c r="H260" s="170">
        <f>表2_367162629303421[[#This Row],[单位净值]]/$F$196-1</f>
        <v>1.3599274705349051E-2</v>
      </c>
    </row>
    <row r="261" spans="1:8">
      <c r="A261" s="161">
        <v>44137</v>
      </c>
      <c r="B261" s="162">
        <v>1.1180000000000001</v>
      </c>
      <c r="C261" s="171">
        <f t="shared" si="32"/>
        <v>0</v>
      </c>
      <c r="D261" s="168" t="str">
        <f t="shared" si="33"/>
        <v>/</v>
      </c>
      <c r="E261" s="168">
        <f ca="1">IF(表2_367162629303421[[#This Row],[累计净值]]/MAX(INDIRECT("B21:B" &amp; ROW()))-1&lt;E260,表2_367162629303421[[#This Row],[累计净值]]/MAX(INDIRECT("B21:B" &amp; ROW()))-1,E260)</f>
        <v>-1.6085790884718509E-2</v>
      </c>
      <c r="F261" s="110">
        <f>表2_367162629303421[[#This Row],[累计净值]]</f>
        <v>1.1180000000000001</v>
      </c>
      <c r="G261" s="170">
        <f>表2_367162629303421[[#This Row],[累计净值]]/$B$21-1</f>
        <v>0.11243781094527394</v>
      </c>
      <c r="H261" s="170">
        <f>表2_367162629303421[[#This Row],[单位净值]]/$F$196-1</f>
        <v>1.3599274705349051E-2</v>
      </c>
    </row>
    <row r="262" spans="1:8">
      <c r="A262" s="161">
        <v>44138</v>
      </c>
      <c r="B262" s="178">
        <v>1.1200000000000001</v>
      </c>
      <c r="C262" s="171">
        <f t="shared" si="32"/>
        <v>2.0000000000000018E-3</v>
      </c>
      <c r="D262" s="168" t="str">
        <f t="shared" si="33"/>
        <v>/</v>
      </c>
      <c r="E262" s="168">
        <f ca="1">IF(表2_367162629303421[[#This Row],[累计净值]]/MAX(INDIRECT("B21:B" &amp; ROW()))-1&lt;E261,表2_367162629303421[[#This Row],[累计净值]]/MAX(INDIRECT("B21:B" &amp; ROW()))-1,E261)</f>
        <v>-1.6085790884718509E-2</v>
      </c>
      <c r="F262" s="110">
        <f>表2_367162629303421[[#This Row],[累计净值]]</f>
        <v>1.1200000000000001</v>
      </c>
      <c r="G262" s="170">
        <f>表2_367162629303421[[#This Row],[累计净值]]/$B$21-1</f>
        <v>0.11442786069651767</v>
      </c>
      <c r="H262" s="170">
        <f>表2_367162629303421[[#This Row],[单位净值]]/$F$196-1</f>
        <v>1.5412511332729029E-2</v>
      </c>
    </row>
    <row r="263" spans="1:8">
      <c r="A263" s="161">
        <v>44139</v>
      </c>
      <c r="B263" s="162">
        <v>1.119</v>
      </c>
      <c r="C263" s="171">
        <f t="shared" si="32"/>
        <v>-1.0000000000001119E-3</v>
      </c>
      <c r="D263" s="168">
        <f t="shared" si="33"/>
        <v>-1.0000000000001119E-3</v>
      </c>
      <c r="E263" s="168">
        <f ca="1">IF(表2_367162629303421[[#This Row],[累计净值]]/MAX(INDIRECT("B21:B" &amp; ROW()))-1&lt;E262,表2_367162629303421[[#This Row],[累计净值]]/MAX(INDIRECT("B21:B" &amp; ROW()))-1,E262)</f>
        <v>-1.6085790884718509E-2</v>
      </c>
      <c r="F263" s="110">
        <f>表2_367162629303421[[#This Row],[累计净值]]</f>
        <v>1.119</v>
      </c>
      <c r="G263" s="170">
        <f>表2_367162629303421[[#This Row],[累计净值]]/$B$21-1</f>
        <v>0.11343283582089558</v>
      </c>
      <c r="H263" s="170">
        <f>表2_367162629303421[[#This Row],[单位净值]]/$F$196-1</f>
        <v>1.4505893019038929E-2</v>
      </c>
    </row>
    <row r="264" spans="1:8">
      <c r="A264" s="161">
        <v>44140</v>
      </c>
      <c r="B264" s="162">
        <v>1.121</v>
      </c>
      <c r="C264" s="171">
        <f t="shared" ref="C264:C269" si="34">IFERROR(B264-B263,0)</f>
        <v>2.0000000000000018E-3</v>
      </c>
      <c r="D264" s="168" t="str">
        <f t="shared" ref="D264:D269" si="35">IF(C264&lt;0,C264,"/")</f>
        <v>/</v>
      </c>
      <c r="E264" s="168">
        <f ca="1">IF(表2_367162629303421[[#This Row],[累计净值]]/MAX(INDIRECT("B21:B" &amp; ROW()))-1&lt;E263,表2_367162629303421[[#This Row],[累计净值]]/MAX(INDIRECT("B21:B" &amp; ROW()))-1,E263)</f>
        <v>-1.6085790884718509E-2</v>
      </c>
      <c r="F264" s="110">
        <f>表2_367162629303421[[#This Row],[累计净值]]</f>
        <v>1.121</v>
      </c>
      <c r="G264" s="170">
        <f>表2_367162629303421[[#This Row],[累计净值]]/$B$21-1</f>
        <v>0.11542288557213931</v>
      </c>
      <c r="H264" s="170">
        <f>表2_367162629303421[[#This Row],[单位净值]]/$F$196-1</f>
        <v>1.6319129646418906E-2</v>
      </c>
    </row>
    <row r="265" spans="1:8">
      <c r="A265" s="161">
        <v>44141</v>
      </c>
      <c r="B265" s="162">
        <v>1.121</v>
      </c>
      <c r="C265" s="171">
        <f t="shared" si="34"/>
        <v>0</v>
      </c>
      <c r="D265" s="168" t="str">
        <f t="shared" si="35"/>
        <v>/</v>
      </c>
      <c r="E265" s="168">
        <f ca="1">IF(表2_367162629303421[[#This Row],[累计净值]]/MAX(INDIRECT("B21:B" &amp; ROW()))-1&lt;E264,表2_367162629303421[[#This Row],[累计净值]]/MAX(INDIRECT("B21:B" &amp; ROW()))-1,E264)</f>
        <v>-1.6085790884718509E-2</v>
      </c>
      <c r="F265" s="110">
        <f>表2_367162629303421[[#This Row],[累计净值]]</f>
        <v>1.121</v>
      </c>
      <c r="G265" s="170">
        <f>表2_367162629303421[[#This Row],[累计净值]]/$B$21-1</f>
        <v>0.11542288557213931</v>
      </c>
      <c r="H265" s="170">
        <f>表2_367162629303421[[#This Row],[单位净值]]/$F$196-1</f>
        <v>1.6319129646418906E-2</v>
      </c>
    </row>
    <row r="266" spans="1:8">
      <c r="A266" s="161">
        <v>44144</v>
      </c>
      <c r="B266" s="162">
        <v>1.1220000000000001</v>
      </c>
      <c r="C266" s="171">
        <f t="shared" si="34"/>
        <v>1.0000000000001119E-3</v>
      </c>
      <c r="D266" s="168" t="str">
        <f t="shared" si="35"/>
        <v>/</v>
      </c>
      <c r="E266" s="168">
        <f ca="1">IF(表2_367162629303421[[#This Row],[累计净值]]/MAX(INDIRECT("B21:B" &amp; ROW()))-1&lt;E265,表2_367162629303421[[#This Row],[累计净值]]/MAX(INDIRECT("B21:B" &amp; ROW()))-1,E265)</f>
        <v>-1.6085790884718509E-2</v>
      </c>
      <c r="F266" s="110">
        <f>表2_367162629303421[[#This Row],[累计净值]]</f>
        <v>1.1220000000000001</v>
      </c>
      <c r="G266" s="170">
        <f>表2_367162629303421[[#This Row],[累计净值]]/$B$21-1</f>
        <v>0.1164179104477614</v>
      </c>
      <c r="H266" s="170">
        <f>表2_367162629303421[[#This Row],[单位净值]]/$F$196-1</f>
        <v>1.7225747960109006E-2</v>
      </c>
    </row>
    <row r="267" spans="1:8">
      <c r="A267" s="161">
        <v>44145</v>
      </c>
      <c r="B267" s="162">
        <v>1.127</v>
      </c>
      <c r="C267" s="171">
        <f t="shared" si="34"/>
        <v>4.9999999999998934E-3</v>
      </c>
      <c r="D267" s="168" t="str">
        <f t="shared" si="35"/>
        <v>/</v>
      </c>
      <c r="E267" s="168">
        <f ca="1">IF(表2_367162629303421[[#This Row],[累计净值]]/MAX(INDIRECT("B21:B" &amp; ROW()))-1&lt;E266,表2_367162629303421[[#This Row],[累计净值]]/MAX(INDIRECT("B21:B" &amp; ROW()))-1,E266)</f>
        <v>-1.6085790884718509E-2</v>
      </c>
      <c r="F267" s="110">
        <f>表2_367162629303421[[#This Row],[累计净值]]</f>
        <v>1.127</v>
      </c>
      <c r="G267" s="170">
        <f>表2_367162629303421[[#This Row],[累计净值]]/$B$21-1</f>
        <v>0.12139303482587072</v>
      </c>
      <c r="H267" s="170">
        <f>表2_367162629303421[[#This Row],[单位净值]]/$F$196-1</f>
        <v>2.1758839528558394E-2</v>
      </c>
    </row>
    <row r="268" spans="1:8">
      <c r="A268" s="161">
        <v>44146</v>
      </c>
      <c r="B268" s="162">
        <v>1.127</v>
      </c>
      <c r="C268" s="171">
        <f t="shared" si="34"/>
        <v>0</v>
      </c>
      <c r="D268" s="168" t="str">
        <f t="shared" si="35"/>
        <v>/</v>
      </c>
      <c r="E268" s="168">
        <f ca="1">IF(表2_367162629303421[[#This Row],[累计净值]]/MAX(INDIRECT("B21:B" &amp; ROW()))-1&lt;E267,表2_367162629303421[[#This Row],[累计净值]]/MAX(INDIRECT("B21:B" &amp; ROW()))-1,E267)</f>
        <v>-1.6085790884718509E-2</v>
      </c>
      <c r="F268" s="110">
        <f>表2_367162629303421[[#This Row],[累计净值]]</f>
        <v>1.127</v>
      </c>
      <c r="G268" s="170">
        <f>表2_367162629303421[[#This Row],[累计净值]]/$B$21-1</f>
        <v>0.12139303482587072</v>
      </c>
      <c r="H268" s="170">
        <f>表2_367162629303421[[#This Row],[单位净值]]/$F$196-1</f>
        <v>2.1758839528558394E-2</v>
      </c>
    </row>
    <row r="269" spans="1:8">
      <c r="A269" s="161">
        <v>44147</v>
      </c>
      <c r="B269" s="162">
        <v>1.1279999999999999</v>
      </c>
      <c r="C269" s="171">
        <f t="shared" si="34"/>
        <v>9.9999999999988987E-4</v>
      </c>
      <c r="D269" s="168" t="str">
        <f t="shared" si="35"/>
        <v>/</v>
      </c>
      <c r="E269" s="168">
        <f ca="1">IF(表2_367162629303421[[#This Row],[累计净值]]/MAX(INDIRECT("B21:B" &amp; ROW()))-1&lt;E268,表2_367162629303421[[#This Row],[累计净值]]/MAX(INDIRECT("B21:B" &amp; ROW()))-1,E268)</f>
        <v>-1.6085790884718509E-2</v>
      </c>
      <c r="F269" s="110">
        <f>表2_367162629303421[[#This Row],[累计净值]]</f>
        <v>1.1279999999999999</v>
      </c>
      <c r="G269" s="170">
        <f>表2_367162629303421[[#This Row],[累计净值]]/$B$21-1</f>
        <v>0.12238805970149258</v>
      </c>
      <c r="H269" s="170">
        <f>表2_367162629303421[[#This Row],[单位净值]]/$F$196-1</f>
        <v>2.2665457842248271E-2</v>
      </c>
    </row>
    <row r="270" spans="1:8">
      <c r="A270" s="161">
        <v>44148</v>
      </c>
      <c r="B270" s="162">
        <v>1.129</v>
      </c>
      <c r="C270" s="171">
        <f t="shared" ref="C270:C275" si="36">IFERROR(B270-B269,0)</f>
        <v>1.0000000000001119E-3</v>
      </c>
      <c r="D270" s="168" t="str">
        <f t="shared" ref="D270:D275" si="37">IF(C270&lt;0,C270,"/")</f>
        <v>/</v>
      </c>
      <c r="E270" s="168">
        <f ca="1">IF(表2_367162629303421[[#This Row],[累计净值]]/MAX(INDIRECT("B21:B" &amp; ROW()))-1&lt;E269,表2_367162629303421[[#This Row],[累计净值]]/MAX(INDIRECT("B21:B" &amp; ROW()))-1,E269)</f>
        <v>-1.6085790884718509E-2</v>
      </c>
      <c r="F270" s="110">
        <f>表2_367162629303421[[#This Row],[累计净值]]</f>
        <v>1.129</v>
      </c>
      <c r="G270" s="170">
        <f>表2_367162629303421[[#This Row],[累计净值]]/$B$21-1</f>
        <v>0.12338308457711444</v>
      </c>
      <c r="H270" s="170">
        <f>表2_367162629303421[[#This Row],[单位净值]]/$F$196-1</f>
        <v>2.3572076155938371E-2</v>
      </c>
    </row>
    <row r="271" spans="1:8">
      <c r="A271" s="161">
        <v>44151</v>
      </c>
      <c r="B271" s="162">
        <v>1.1299999999999999</v>
      </c>
      <c r="C271" s="171">
        <f t="shared" si="36"/>
        <v>9.9999999999988987E-4</v>
      </c>
      <c r="D271" s="168" t="str">
        <f t="shared" si="37"/>
        <v>/</v>
      </c>
      <c r="E271" s="168">
        <f ca="1">IF(表2_367162629303421[[#This Row],[累计净值]]/MAX(INDIRECT("B21:B" &amp; ROW()))-1&lt;E270,表2_367162629303421[[#This Row],[累计净值]]/MAX(INDIRECT("B21:B" &amp; ROW()))-1,E270)</f>
        <v>-1.6085790884718509E-2</v>
      </c>
      <c r="F271" s="110">
        <f>表2_367162629303421[[#This Row],[累计净值]]</f>
        <v>1.1299999999999999</v>
      </c>
      <c r="G271" s="170">
        <f>表2_367162629303421[[#This Row],[累计净值]]/$B$21-1</f>
        <v>0.12437810945273631</v>
      </c>
      <c r="H271" s="170">
        <f>表2_367162629303421[[#This Row],[单位净值]]/$F$196-1</f>
        <v>2.4478694469628248E-2</v>
      </c>
    </row>
    <row r="272" spans="1:8">
      <c r="A272" s="161">
        <v>44152</v>
      </c>
      <c r="B272" s="162">
        <v>1.131</v>
      </c>
      <c r="C272" s="171">
        <f t="shared" si="36"/>
        <v>1.0000000000001119E-3</v>
      </c>
      <c r="D272" s="168" t="str">
        <f t="shared" si="37"/>
        <v>/</v>
      </c>
      <c r="E272" s="168">
        <f ca="1">IF(表2_367162629303421[[#This Row],[累计净值]]/MAX(INDIRECT("B21:B" &amp; ROW()))-1&lt;E271,表2_367162629303421[[#This Row],[累计净值]]/MAX(INDIRECT("B21:B" &amp; ROW()))-1,E271)</f>
        <v>-1.6085790884718509E-2</v>
      </c>
      <c r="F272" s="110">
        <f>表2_367162629303421[[#This Row],[累计净值]]</f>
        <v>1.131</v>
      </c>
      <c r="G272" s="170">
        <f>表2_367162629303421[[#This Row],[累计净值]]/$B$21-1</f>
        <v>0.12537313432835839</v>
      </c>
      <c r="H272" s="170">
        <f>表2_367162629303421[[#This Row],[单位净值]]/$F$196-1</f>
        <v>2.5385312783318348E-2</v>
      </c>
    </row>
    <row r="273" spans="1:8">
      <c r="A273" s="161">
        <v>44153</v>
      </c>
      <c r="B273" s="162">
        <v>1.1339999999999999</v>
      </c>
      <c r="C273" s="171">
        <f t="shared" si="36"/>
        <v>2.9999999999998916E-3</v>
      </c>
      <c r="D273" s="168" t="str">
        <f t="shared" si="37"/>
        <v>/</v>
      </c>
      <c r="E273" s="168">
        <f ca="1">IF(表2_367162629303421[[#This Row],[累计净值]]/MAX(INDIRECT("B21:B" &amp; ROW()))-1&lt;E272,表2_367162629303421[[#This Row],[累计净值]]/MAX(INDIRECT("B21:B" &amp; ROW()))-1,E272)</f>
        <v>-1.6085790884718509E-2</v>
      </c>
      <c r="F273" s="110">
        <f>表2_367162629303421[[#This Row],[累计净值]]</f>
        <v>1.1339999999999999</v>
      </c>
      <c r="G273" s="170">
        <f>表2_367162629303421[[#This Row],[累计净值]]/$B$21-1</f>
        <v>0.12835820895522398</v>
      </c>
      <c r="H273" s="170">
        <f>表2_367162629303421[[#This Row],[单位净值]]/$F$196-1</f>
        <v>2.810516772438798E-2</v>
      </c>
    </row>
    <row r="274" spans="1:8">
      <c r="A274" s="161">
        <v>44154</v>
      </c>
      <c r="B274" s="162">
        <v>1.1339999999999999</v>
      </c>
      <c r="C274" s="171">
        <f t="shared" si="36"/>
        <v>0</v>
      </c>
      <c r="D274" s="168" t="str">
        <f t="shared" si="37"/>
        <v>/</v>
      </c>
      <c r="E274" s="168">
        <f ca="1">IF(表2_367162629303421[[#This Row],[累计净值]]/MAX(INDIRECT("B21:B" &amp; ROW()))-1&lt;E273,表2_367162629303421[[#This Row],[累计净值]]/MAX(INDIRECT("B21:B" &amp; ROW()))-1,E273)</f>
        <v>-1.6085790884718509E-2</v>
      </c>
      <c r="F274" s="110">
        <f>表2_367162629303421[[#This Row],[累计净值]]</f>
        <v>1.1339999999999999</v>
      </c>
      <c r="G274" s="170">
        <f>表2_367162629303421[[#This Row],[累计净值]]/$B$21-1</f>
        <v>0.12835820895522398</v>
      </c>
      <c r="H274" s="170">
        <f>表2_367162629303421[[#This Row],[单位净值]]/$F$196-1</f>
        <v>2.810516772438798E-2</v>
      </c>
    </row>
    <row r="275" spans="1:8">
      <c r="A275" s="161">
        <v>44155</v>
      </c>
      <c r="B275" s="162">
        <v>1.1339999999999999</v>
      </c>
      <c r="C275" s="171">
        <f t="shared" si="36"/>
        <v>0</v>
      </c>
      <c r="D275" s="168" t="str">
        <f t="shared" si="37"/>
        <v>/</v>
      </c>
      <c r="E275" s="168">
        <f ca="1">IF(表2_367162629303421[[#This Row],[累计净值]]/MAX(INDIRECT("B21:B" &amp; ROW()))-1&lt;E274,表2_367162629303421[[#This Row],[累计净值]]/MAX(INDIRECT("B21:B" &amp; ROW()))-1,E274)</f>
        <v>-1.6085790884718509E-2</v>
      </c>
      <c r="F275" s="110">
        <f>表2_367162629303421[[#This Row],[累计净值]]</f>
        <v>1.1339999999999999</v>
      </c>
      <c r="G275" s="170">
        <f>表2_367162629303421[[#This Row],[累计净值]]/$B$21-1</f>
        <v>0.12835820895522398</v>
      </c>
      <c r="H275" s="170">
        <f>表2_367162629303421[[#This Row],[单位净值]]/$F$196-1</f>
        <v>2.810516772438798E-2</v>
      </c>
    </row>
    <row r="276" spans="1:8">
      <c r="A276" s="161">
        <v>44158</v>
      </c>
      <c r="B276" s="162">
        <v>1.1319999999999999</v>
      </c>
      <c r="C276" s="171">
        <f t="shared" ref="C276:C281" si="38">IFERROR(B276-B275,0)</f>
        <v>-2.0000000000000018E-3</v>
      </c>
      <c r="D276" s="168">
        <f t="shared" ref="D276:D281" si="39">IF(C276&lt;0,C276,"/")</f>
        <v>-2.0000000000000018E-3</v>
      </c>
      <c r="E276" s="168">
        <f ca="1">IF(表2_367162629303421[[#This Row],[累计净值]]/MAX(INDIRECT("B21:B" &amp; ROW()))-1&lt;E275,表2_367162629303421[[#This Row],[累计净值]]/MAX(INDIRECT("B21:B" &amp; ROW()))-1,E275)</f>
        <v>-1.6085790884718509E-2</v>
      </c>
      <c r="F276" s="110">
        <f>表2_367162629303421[[#This Row],[累计净值]]</f>
        <v>1.1319999999999999</v>
      </c>
      <c r="G276" s="170">
        <f>表2_367162629303421[[#This Row],[累计净值]]/$B$21-1</f>
        <v>0.12636815920398003</v>
      </c>
      <c r="H276" s="170">
        <f>表2_367162629303421[[#This Row],[单位净值]]/$F$196-1</f>
        <v>2.6291931097008003E-2</v>
      </c>
    </row>
    <row r="277" spans="1:8">
      <c r="A277" s="161">
        <v>44159</v>
      </c>
      <c r="B277" s="162">
        <v>1.133</v>
      </c>
      <c r="C277" s="171">
        <f t="shared" si="38"/>
        <v>1.0000000000001119E-3</v>
      </c>
      <c r="D277" s="168" t="str">
        <f t="shared" si="39"/>
        <v>/</v>
      </c>
      <c r="E277" s="168">
        <f ca="1">IF(表2_367162629303421[[#This Row],[累计净值]]/MAX(INDIRECT("B21:B" &amp; ROW()))-1&lt;E276,表2_367162629303421[[#This Row],[累计净值]]/MAX(INDIRECT("B21:B" &amp; ROW()))-1,E276)</f>
        <v>-1.6085790884718509E-2</v>
      </c>
      <c r="F277" s="110">
        <f>表2_367162629303421[[#This Row],[累计净值]]</f>
        <v>1.133</v>
      </c>
      <c r="G277" s="170">
        <f>表2_367162629303421[[#This Row],[累计净值]]/$B$21-1</f>
        <v>0.12736318407960212</v>
      </c>
      <c r="H277" s="170">
        <f>表2_367162629303421[[#This Row],[单位净值]]/$F$196-1</f>
        <v>2.7198549410698103E-2</v>
      </c>
    </row>
    <row r="278" spans="1:8">
      <c r="A278" s="161">
        <v>44160</v>
      </c>
      <c r="B278" s="162">
        <v>1.1279999999999999</v>
      </c>
      <c r="C278" s="171">
        <f t="shared" si="38"/>
        <v>-5.0000000000001155E-3</v>
      </c>
      <c r="D278" s="168">
        <f t="shared" si="39"/>
        <v>-5.0000000000001155E-3</v>
      </c>
      <c r="E278" s="168">
        <f ca="1">IF(表2_367162629303421[[#This Row],[累计净值]]/MAX(INDIRECT("B21:B" &amp; ROW()))-1&lt;E277,表2_367162629303421[[#This Row],[累计净值]]/MAX(INDIRECT("B21:B" &amp; ROW()))-1,E277)</f>
        <v>-1.6085790884718509E-2</v>
      </c>
      <c r="F278" s="110">
        <f>表2_367162629303421[[#This Row],[累计净值]]</f>
        <v>1.1279999999999999</v>
      </c>
      <c r="G278" s="170">
        <f>表2_367162629303421[[#This Row],[累计净值]]/$B$21-1</f>
        <v>0.12238805970149258</v>
      </c>
      <c r="H278" s="170">
        <f>表2_367162629303421[[#This Row],[单位净值]]/$F$196-1</f>
        <v>2.2665457842248271E-2</v>
      </c>
    </row>
    <row r="279" spans="1:8">
      <c r="A279" s="161">
        <v>44161</v>
      </c>
      <c r="B279" s="162">
        <v>1.1339999999999999</v>
      </c>
      <c r="C279" s="171">
        <f t="shared" si="38"/>
        <v>6.0000000000000053E-3</v>
      </c>
      <c r="D279" s="168" t="str">
        <f t="shared" si="39"/>
        <v>/</v>
      </c>
      <c r="E279" s="168">
        <f ca="1">IF(表2_367162629303421[[#This Row],[累计净值]]/MAX(INDIRECT("B21:B" &amp; ROW()))-1&lt;E278,表2_367162629303421[[#This Row],[累计净值]]/MAX(INDIRECT("B21:B" &amp; ROW()))-1,E278)</f>
        <v>-1.6085790884718509E-2</v>
      </c>
      <c r="F279" s="110">
        <f>表2_367162629303421[[#This Row],[累计净值]]</f>
        <v>1.1339999999999999</v>
      </c>
      <c r="G279" s="170">
        <f>表2_367162629303421[[#This Row],[累计净值]]/$B$21-1</f>
        <v>0.12835820895522398</v>
      </c>
      <c r="H279" s="170">
        <f>表2_367162629303421[[#This Row],[单位净值]]/$F$196-1</f>
        <v>2.810516772438798E-2</v>
      </c>
    </row>
    <row r="280" spans="1:8">
      <c r="A280" s="161">
        <v>44162</v>
      </c>
      <c r="B280" s="162">
        <v>1.135</v>
      </c>
      <c r="C280" s="171">
        <f t="shared" si="38"/>
        <v>1.0000000000001119E-3</v>
      </c>
      <c r="D280" s="168" t="str">
        <f t="shared" si="39"/>
        <v>/</v>
      </c>
      <c r="E280" s="168">
        <f ca="1">IF(表2_367162629303421[[#This Row],[累计净值]]/MAX(INDIRECT("B21:B" &amp; ROW()))-1&lt;E279,表2_367162629303421[[#This Row],[累计净值]]/MAX(INDIRECT("B21:B" &amp; ROW()))-1,E279)</f>
        <v>-1.6085790884718509E-2</v>
      </c>
      <c r="F280" s="110">
        <f>表2_367162629303421[[#This Row],[累计净值]]</f>
        <v>1.135</v>
      </c>
      <c r="G280" s="170">
        <f>表2_367162629303421[[#This Row],[累计净值]]/$B$21-1</f>
        <v>0.12935323383084585</v>
      </c>
      <c r="H280" s="170">
        <f>表2_367162629303421[[#This Row],[单位净值]]/$F$196-1</f>
        <v>2.901178603807808E-2</v>
      </c>
    </row>
    <row r="281" spans="1:8">
      <c r="A281" s="161">
        <v>44165</v>
      </c>
      <c r="B281" s="162">
        <v>1.141</v>
      </c>
      <c r="C281" s="171">
        <f t="shared" si="38"/>
        <v>6.0000000000000053E-3</v>
      </c>
      <c r="D281" s="168" t="str">
        <f t="shared" si="39"/>
        <v>/</v>
      </c>
      <c r="E281" s="168">
        <f ca="1">IF(表2_367162629303421[[#This Row],[累计净值]]/MAX(INDIRECT("B21:B" &amp; ROW()))-1&lt;E280,表2_367162629303421[[#This Row],[累计净值]]/MAX(INDIRECT("B21:B" &amp; ROW()))-1,E280)</f>
        <v>-1.6085790884718509E-2</v>
      </c>
      <c r="F281" s="110">
        <f>表2_367162629303421[[#This Row],[累计净值]]</f>
        <v>1.141</v>
      </c>
      <c r="G281" s="170">
        <f>表2_367162629303421[[#This Row],[累计净值]]/$B$21-1</f>
        <v>0.13532338308457725</v>
      </c>
      <c r="H281" s="170">
        <f>表2_367162629303421[[#This Row],[单位净值]]/$F$196-1</f>
        <v>3.4451495920217567E-2</v>
      </c>
    </row>
    <row r="282" spans="1:8">
      <c r="A282" s="161">
        <v>44166</v>
      </c>
      <c r="B282" s="162">
        <v>1.1419999999999999</v>
      </c>
      <c r="C282" s="171">
        <f t="shared" ref="C282:C287" si="40">IFERROR(B282-B281,0)</f>
        <v>9.9999999999988987E-4</v>
      </c>
      <c r="D282" s="168" t="str">
        <f t="shared" ref="D282:D287" si="41">IF(C282&lt;0,C282,"/")</f>
        <v>/</v>
      </c>
      <c r="E282" s="168">
        <f ca="1">IF(表2_367162629303421[[#This Row],[累计净值]]/MAX(INDIRECT("B21:B" &amp; ROW()))-1&lt;E281,表2_367162629303421[[#This Row],[累计净值]]/MAX(INDIRECT("B21:B" &amp; ROW()))-1,E281)</f>
        <v>-1.6085790884718509E-2</v>
      </c>
      <c r="F282" s="110">
        <f>表2_367162629303421[[#This Row],[累计净值]]</f>
        <v>1.1419999999999999</v>
      </c>
      <c r="G282" s="170">
        <f>表2_367162629303421[[#This Row],[累计净值]]/$B$21-1</f>
        <v>0.13631840796019912</v>
      </c>
      <c r="H282" s="170">
        <f>表2_367162629303421[[#This Row],[单位净值]]/$F$196-1</f>
        <v>3.5358114233907445E-2</v>
      </c>
    </row>
    <row r="283" spans="1:8">
      <c r="A283" s="161">
        <v>44167</v>
      </c>
      <c r="B283" s="162">
        <v>1.1399999999999999</v>
      </c>
      <c r="C283" s="171">
        <f t="shared" si="40"/>
        <v>-2.0000000000000018E-3</v>
      </c>
      <c r="D283" s="168">
        <f t="shared" si="41"/>
        <v>-2.0000000000000018E-3</v>
      </c>
      <c r="E283" s="168">
        <f ca="1">IF(表2_367162629303421[[#This Row],[累计净值]]/MAX(INDIRECT("B21:B" &amp; ROW()))-1&lt;E282,表2_367162629303421[[#This Row],[累计净值]]/MAX(INDIRECT("B21:B" &amp; ROW()))-1,E282)</f>
        <v>-1.6085790884718509E-2</v>
      </c>
      <c r="F283" s="110">
        <f>表2_367162629303421[[#This Row],[累计净值]]</f>
        <v>1.1399999999999999</v>
      </c>
      <c r="G283" s="170">
        <f>表2_367162629303421[[#This Row],[累计净值]]/$B$21-1</f>
        <v>0.13432835820895517</v>
      </c>
      <c r="H283" s="170">
        <f>表2_367162629303421[[#This Row],[单位净值]]/$F$196-1</f>
        <v>3.354487760652769E-2</v>
      </c>
    </row>
    <row r="284" spans="1:8">
      <c r="A284" s="161">
        <v>44168</v>
      </c>
      <c r="B284" s="162">
        <v>1.139</v>
      </c>
      <c r="C284" s="171">
        <f t="shared" si="40"/>
        <v>-9.9999999999988987E-4</v>
      </c>
      <c r="D284" s="168">
        <f t="shared" si="41"/>
        <v>-9.9999999999988987E-4</v>
      </c>
      <c r="E284" s="168">
        <f ca="1">IF(表2_367162629303421[[#This Row],[累计净值]]/MAX(INDIRECT("B21:B" &amp; ROW()))-1&lt;E283,表2_367162629303421[[#This Row],[累计净值]]/MAX(INDIRECT("B21:B" &amp; ROW()))-1,E283)</f>
        <v>-1.6085790884718509E-2</v>
      </c>
      <c r="F284" s="110">
        <f>表2_367162629303421[[#This Row],[累计净值]]</f>
        <v>1.139</v>
      </c>
      <c r="G284" s="170">
        <f>表2_367162629303421[[#This Row],[累计净值]]/$B$21-1</f>
        <v>0.13333333333333353</v>
      </c>
      <c r="H284" s="170">
        <f>表2_367162629303421[[#This Row],[单位净值]]/$F$196-1</f>
        <v>3.2638259292837812E-2</v>
      </c>
    </row>
    <row r="285" spans="1:8">
      <c r="A285" s="161">
        <v>44169</v>
      </c>
      <c r="B285" s="162">
        <v>1.141</v>
      </c>
      <c r="C285" s="171">
        <f t="shared" si="40"/>
        <v>2.0000000000000018E-3</v>
      </c>
      <c r="D285" s="168" t="str">
        <f t="shared" si="41"/>
        <v>/</v>
      </c>
      <c r="E285" s="168">
        <f ca="1">IF(表2_367162629303421[[#This Row],[累计净值]]/MAX(INDIRECT("B21:B" &amp; ROW()))-1&lt;E284,表2_367162629303421[[#This Row],[累计净值]]/MAX(INDIRECT("B21:B" &amp; ROW()))-1,E284)</f>
        <v>-1.6085790884718509E-2</v>
      </c>
      <c r="F285" s="110">
        <f>表2_367162629303421[[#This Row],[累计净值]]</f>
        <v>1.141</v>
      </c>
      <c r="G285" s="170">
        <f>表2_367162629303421[[#This Row],[累计净值]]/$B$21-1</f>
        <v>0.13532338308457725</v>
      </c>
      <c r="H285" s="170">
        <f>表2_367162629303421[[#This Row],[单位净值]]/$F$196-1</f>
        <v>3.4451495920217567E-2</v>
      </c>
    </row>
    <row r="286" spans="1:8">
      <c r="A286" s="161">
        <v>44172</v>
      </c>
      <c r="B286" s="162">
        <v>1.141</v>
      </c>
      <c r="C286" s="171">
        <f t="shared" si="40"/>
        <v>0</v>
      </c>
      <c r="D286" s="168" t="str">
        <f t="shared" si="41"/>
        <v>/</v>
      </c>
      <c r="E286" s="168">
        <f ca="1">IF(表2_367162629303421[[#This Row],[累计净值]]/MAX(INDIRECT("B21:B" &amp; ROW()))-1&lt;E285,表2_367162629303421[[#This Row],[累计净值]]/MAX(INDIRECT("B21:B" &amp; ROW()))-1,E285)</f>
        <v>-1.6085790884718509E-2</v>
      </c>
      <c r="F286" s="110">
        <f>表2_367162629303421[[#This Row],[累计净值]]</f>
        <v>1.141</v>
      </c>
      <c r="G286" s="170">
        <f>表2_367162629303421[[#This Row],[累计净值]]/$B$21-1</f>
        <v>0.13532338308457725</v>
      </c>
      <c r="H286" s="170">
        <f>表2_367162629303421[[#This Row],[单位净值]]/$F$196-1</f>
        <v>3.4451495920217567E-2</v>
      </c>
    </row>
    <row r="287" spans="1:8">
      <c r="A287" s="161">
        <v>44173</v>
      </c>
      <c r="B287" s="162">
        <v>1.1419999999999999</v>
      </c>
      <c r="C287" s="171">
        <f t="shared" si="40"/>
        <v>9.9999999999988987E-4</v>
      </c>
      <c r="D287" s="168" t="str">
        <f t="shared" si="41"/>
        <v>/</v>
      </c>
      <c r="E287" s="168">
        <f ca="1">IF(表2_367162629303421[[#This Row],[累计净值]]/MAX(INDIRECT("B21:B" &amp; ROW()))-1&lt;E286,表2_367162629303421[[#This Row],[累计净值]]/MAX(INDIRECT("B21:B" &amp; ROW()))-1,E286)</f>
        <v>-1.6085790884718509E-2</v>
      </c>
      <c r="F287" s="110">
        <f>表2_367162629303421[[#This Row],[累计净值]]</f>
        <v>1.1419999999999999</v>
      </c>
      <c r="G287" s="170">
        <f>表2_367162629303421[[#This Row],[累计净值]]/$B$21-1</f>
        <v>0.13631840796019912</v>
      </c>
      <c r="H287" s="170">
        <f>表2_367162629303421[[#This Row],[单位净值]]/$F$196-1</f>
        <v>3.5358114233907445E-2</v>
      </c>
    </row>
    <row r="288" spans="1:8">
      <c r="A288" s="161">
        <v>44174</v>
      </c>
      <c r="B288" s="162">
        <v>1.145</v>
      </c>
      <c r="C288" s="171">
        <f t="shared" ref="C288:C293" si="42">IFERROR(B288-B287,0)</f>
        <v>3.0000000000001137E-3</v>
      </c>
      <c r="D288" s="168" t="str">
        <f t="shared" ref="D288:D293" si="43">IF(C288&lt;0,C288,"/")</f>
        <v>/</v>
      </c>
      <c r="E288" s="168">
        <f ca="1">IF(表2_367162629303421[[#This Row],[累计净值]]/MAX(INDIRECT("B21:B" &amp; ROW()))-1&lt;E287,表2_367162629303421[[#This Row],[累计净值]]/MAX(INDIRECT("B21:B" &amp; ROW()))-1,E287)</f>
        <v>-1.6085790884718509E-2</v>
      </c>
      <c r="F288" s="110">
        <f>表2_367162629303421[[#This Row],[累计净值]]</f>
        <v>1.145</v>
      </c>
      <c r="G288" s="170">
        <f>表2_367162629303421[[#This Row],[累计净值]]/$B$21-1</f>
        <v>0.13930348258706471</v>
      </c>
      <c r="H288" s="170">
        <f>表2_367162629303421[[#This Row],[单位净值]]/$F$196-1</f>
        <v>3.80779691749773E-2</v>
      </c>
    </row>
    <row r="289" spans="1:8">
      <c r="A289" s="161">
        <v>44175</v>
      </c>
      <c r="B289" s="162">
        <v>1.1459999999999999</v>
      </c>
      <c r="C289" s="171">
        <f t="shared" si="42"/>
        <v>9.9999999999988987E-4</v>
      </c>
      <c r="D289" s="168" t="str">
        <f t="shared" si="43"/>
        <v>/</v>
      </c>
      <c r="E289" s="168">
        <f ca="1">IF(表2_367162629303421[[#This Row],[累计净值]]/MAX(INDIRECT("B21:B" &amp; ROW()))-1&lt;E288,表2_367162629303421[[#This Row],[累计净值]]/MAX(INDIRECT("B21:B" &amp; ROW()))-1,E288)</f>
        <v>-1.6085790884718509E-2</v>
      </c>
      <c r="F289" s="110">
        <f>表2_367162629303421[[#This Row],[累计净值]]</f>
        <v>1.1459999999999999</v>
      </c>
      <c r="G289" s="170">
        <f>表2_367162629303421[[#This Row],[累计净值]]/$B$21-1</f>
        <v>0.14029850746268657</v>
      </c>
      <c r="H289" s="170">
        <f>表2_367162629303421[[#This Row],[单位净值]]/$F$196-1</f>
        <v>3.8984587488667177E-2</v>
      </c>
    </row>
    <row r="290" spans="1:8">
      <c r="A290" s="161">
        <v>44176</v>
      </c>
      <c r="B290" s="162">
        <v>1.1519999999999999</v>
      </c>
      <c r="C290" s="171">
        <f t="shared" si="42"/>
        <v>6.0000000000000053E-3</v>
      </c>
      <c r="D290" s="168" t="str">
        <f t="shared" si="43"/>
        <v>/</v>
      </c>
      <c r="E290" s="168">
        <f ca="1">IF(表2_367162629303421[[#This Row],[累计净值]]/MAX(INDIRECT("B21:B" &amp; ROW()))-1&lt;E289,表2_367162629303421[[#This Row],[累计净值]]/MAX(INDIRECT("B21:B" &amp; ROW()))-1,E289)</f>
        <v>-1.6085790884718509E-2</v>
      </c>
      <c r="F290" s="110">
        <f>表2_367162629303421[[#This Row],[累计净值]]</f>
        <v>1.1519999999999999</v>
      </c>
      <c r="G290" s="170">
        <f>表2_367162629303421[[#This Row],[累计净值]]/$B$21-1</f>
        <v>0.14626865671641798</v>
      </c>
      <c r="H290" s="170">
        <f>表2_367162629303421[[#This Row],[单位净值]]/$F$196-1</f>
        <v>4.4424297370806887E-2</v>
      </c>
    </row>
    <row r="291" spans="1:8">
      <c r="A291" s="161">
        <v>44179</v>
      </c>
      <c r="B291" s="162">
        <v>1.149</v>
      </c>
      <c r="C291" s="171">
        <f t="shared" si="42"/>
        <v>-2.9999999999998916E-3</v>
      </c>
      <c r="D291" s="168">
        <f t="shared" si="43"/>
        <v>-2.9999999999998916E-3</v>
      </c>
      <c r="E291" s="168">
        <f ca="1">IF(表2_367162629303421[[#This Row],[累计净值]]/MAX(INDIRECT("B21:B" &amp; ROW()))-1&lt;E290,表2_367162629303421[[#This Row],[累计净值]]/MAX(INDIRECT("B21:B" &amp; ROW()))-1,E290)</f>
        <v>-1.6085790884718509E-2</v>
      </c>
      <c r="F291" s="110">
        <f>表2_367162629303421[[#This Row],[累计净值]]</f>
        <v>1.149</v>
      </c>
      <c r="G291" s="170">
        <f>表2_367162629303421[[#This Row],[累计净值]]/$B$21-1</f>
        <v>0.14328358208955239</v>
      </c>
      <c r="H291" s="170">
        <f>表2_367162629303421[[#This Row],[单位净值]]/$F$196-1</f>
        <v>4.1704442429737032E-2</v>
      </c>
    </row>
    <row r="292" spans="1:8">
      <c r="A292" s="161">
        <v>44180</v>
      </c>
      <c r="B292" s="162">
        <v>1.1539999999999999</v>
      </c>
      <c r="C292" s="171">
        <f t="shared" si="42"/>
        <v>4.9999999999998934E-3</v>
      </c>
      <c r="D292" s="168" t="str">
        <f t="shared" si="43"/>
        <v>/</v>
      </c>
      <c r="E292" s="168">
        <f ca="1">IF(表2_367162629303421[[#This Row],[累计净值]]/MAX(INDIRECT("B21:B" &amp; ROW()))-1&lt;E291,表2_367162629303421[[#This Row],[累计净值]]/MAX(INDIRECT("B21:B" &amp; ROW()))-1,E291)</f>
        <v>-1.6085790884718509E-2</v>
      </c>
      <c r="F292" s="110">
        <f>表2_367162629303421[[#This Row],[累计净值]]</f>
        <v>1.1539999999999999</v>
      </c>
      <c r="G292" s="170">
        <f>表2_367162629303421[[#This Row],[累计净值]]/$B$21-1</f>
        <v>0.14825870646766171</v>
      </c>
      <c r="H292" s="170">
        <f>表2_367162629303421[[#This Row],[单位净值]]/$F$196-1</f>
        <v>4.6237533998186642E-2</v>
      </c>
    </row>
    <row r="293" spans="1:8">
      <c r="A293" s="161">
        <v>44181</v>
      </c>
      <c r="B293" s="178">
        <v>1.1559999999999999</v>
      </c>
      <c r="C293" s="171">
        <f t="shared" si="42"/>
        <v>2.0000000000000018E-3</v>
      </c>
      <c r="D293" s="168" t="str">
        <f t="shared" si="43"/>
        <v>/</v>
      </c>
      <c r="E293" s="168">
        <f ca="1">IF(表2_367162629303421[[#This Row],[累计净值]]/MAX(INDIRECT("B21:B" &amp; ROW()))-1&lt;E292,表2_367162629303421[[#This Row],[累计净值]]/MAX(INDIRECT("B21:B" &amp; ROW()))-1,E292)</f>
        <v>-1.6085790884718509E-2</v>
      </c>
      <c r="F293" s="110">
        <f>表2_367162629303421[[#This Row],[累计净值]]</f>
        <v>1.1559999999999999</v>
      </c>
      <c r="G293" s="170">
        <f>表2_367162629303421[[#This Row],[累计净值]]/$B$21-1</f>
        <v>0.15024875621890543</v>
      </c>
      <c r="H293" s="170">
        <f>表2_367162629303421[[#This Row],[单位净值]]/$F$196-1</f>
        <v>4.8050770625566619E-2</v>
      </c>
    </row>
    <row r="294" spans="1:8">
      <c r="A294" s="161">
        <v>44182</v>
      </c>
      <c r="B294" s="162">
        <v>1.153</v>
      </c>
      <c r="C294" s="171">
        <f>IFERROR(B294-B293,0)</f>
        <v>-2.9999999999998916E-3</v>
      </c>
      <c r="D294" s="168">
        <f>IF(C294&lt;0,C294,"/")</f>
        <v>-2.9999999999998916E-3</v>
      </c>
      <c r="E294" s="168">
        <f ca="1">IF(表2_367162629303421[[#This Row],[累计净值]]/MAX(INDIRECT("B21:B" &amp; ROW()))-1&lt;E293,表2_367162629303421[[#This Row],[累计净值]]/MAX(INDIRECT("B21:B" &amp; ROW()))-1,E293)</f>
        <v>-1.6085790884718509E-2</v>
      </c>
      <c r="F294" s="110">
        <f>表2_367162629303421[[#This Row],[累计净值]]</f>
        <v>1.153</v>
      </c>
      <c r="G294" s="170">
        <f>表2_367162629303421[[#This Row],[累计净值]]/$B$21-1</f>
        <v>0.14726368159203984</v>
      </c>
      <c r="H294" s="170">
        <f>表2_367162629303421[[#This Row],[单位净值]]/$F$196-1</f>
        <v>4.5330915684496764E-2</v>
      </c>
    </row>
    <row r="295" spans="1:8">
      <c r="A295" s="161">
        <v>44183</v>
      </c>
      <c r="B295" s="162">
        <v>1.155</v>
      </c>
      <c r="C295" s="171">
        <f>IFERROR(B295-B294,0)</f>
        <v>2.0000000000000018E-3</v>
      </c>
      <c r="D295" s="168" t="str">
        <f>IF(C295&lt;0,C295,"/")</f>
        <v>/</v>
      </c>
      <c r="E295" s="168">
        <f ca="1">IF(表2_367162629303421[[#This Row],[累计净值]]/MAX(INDIRECT("B21:B" &amp; ROW()))-1&lt;E294,表2_367162629303421[[#This Row],[累计净值]]/MAX(INDIRECT("B21:B" &amp; ROW()))-1,E294)</f>
        <v>-1.6085790884718509E-2</v>
      </c>
      <c r="F295" s="110">
        <f>表2_367162629303421[[#This Row],[累计净值]]</f>
        <v>1.155</v>
      </c>
      <c r="G295" s="170">
        <f>表2_367162629303421[[#This Row],[累计净值]]/$B$21-1</f>
        <v>0.14925373134328379</v>
      </c>
      <c r="H295" s="170">
        <f>表2_367162629303421[[#This Row],[单位净值]]/$F$196-1</f>
        <v>4.7144152311876741E-2</v>
      </c>
    </row>
    <row r="296" spans="1:8">
      <c r="A296" s="161">
        <v>44186</v>
      </c>
      <c r="B296" s="162">
        <v>1.1579999999999999</v>
      </c>
      <c r="C296" s="171">
        <f>IFERROR(B296-B295,0)</f>
        <v>2.9999999999998916E-3</v>
      </c>
      <c r="D296" s="168" t="str">
        <f>IF(C296&lt;0,C296,"/")</f>
        <v>/</v>
      </c>
      <c r="E296" s="168">
        <f ca="1">IF(表2_367162629303421[[#This Row],[累计净值]]/MAX(INDIRECT("B21:B" &amp; ROW()))-1&lt;E295,表2_367162629303421[[#This Row],[累计净值]]/MAX(INDIRECT("B21:B" &amp; ROW()))-1,E295)</f>
        <v>-1.6085790884718509E-2</v>
      </c>
      <c r="F296" s="110">
        <f>表2_367162629303421[[#This Row],[累计净值]]-0.145</f>
        <v>1.0129999999999999</v>
      </c>
      <c r="G296" s="170">
        <f>表2_367162629303421[[#This Row],[累计净值]]/$B$21-1</f>
        <v>0.15223880597014938</v>
      </c>
      <c r="H296" s="170">
        <f>表2_367162629303421[[#This Row],[累计净值]]/$F$196-1</f>
        <v>4.9864007252946374E-2</v>
      </c>
    </row>
    <row r="297" spans="1:8">
      <c r="A297" s="161">
        <v>44187</v>
      </c>
      <c r="B297" s="162">
        <v>1.165</v>
      </c>
      <c r="C297" s="171">
        <f>IFERROR(B297-B296,0)</f>
        <v>7.0000000000001172E-3</v>
      </c>
      <c r="D297" s="168" t="str">
        <f>IF(C297&lt;0,C297,"/")</f>
        <v>/</v>
      </c>
      <c r="E297" s="168">
        <f ca="1">IF(表2_367162629303421[[#This Row],[累计净值]]/MAX(INDIRECT("B21:B" &amp; ROW()))-1&lt;E296,表2_367162629303421[[#This Row],[累计净值]]/MAX(INDIRECT("B21:B" &amp; ROW()))-1,E296)</f>
        <v>-1.6085790884718509E-2</v>
      </c>
      <c r="F297" s="110">
        <f>表2_367162629303421[[#This Row],[累计净值]]-0.145</f>
        <v>1.02</v>
      </c>
      <c r="G297" s="170">
        <f>表2_367162629303421[[#This Row],[累计净值]]/$B$21-1</f>
        <v>0.15920398009950265</v>
      </c>
      <c r="H297" s="170">
        <f>表2_367162629303421[[#This Row],[累计净值]]/$F$196-1</f>
        <v>5.6210335448776183E-2</v>
      </c>
    </row>
    <row r="298" spans="1:8">
      <c r="A298" s="161">
        <v>44188</v>
      </c>
      <c r="B298" s="162">
        <v>1.163</v>
      </c>
      <c r="C298" s="171">
        <f>IFERROR(B298-B297,0)</f>
        <v>-2.0000000000000018E-3</v>
      </c>
      <c r="D298" s="168">
        <f>IF(C298&lt;0,C298,"/")</f>
        <v>-2.0000000000000018E-3</v>
      </c>
      <c r="E298" s="168">
        <f ca="1">IF(表2_367162629303421[[#This Row],[累计净值]]/MAX(INDIRECT("B21:B" &amp; ROW()))-1&lt;E297,表2_367162629303421[[#This Row],[累计净值]]/MAX(INDIRECT("B21:B" &amp; ROW()))-1,E297)</f>
        <v>-1.6085790884718509E-2</v>
      </c>
      <c r="F298" s="110">
        <f>表2_367162629303421[[#This Row],[累计净值]]-0.145</f>
        <v>1.018</v>
      </c>
      <c r="G298" s="170">
        <f>表2_367162629303421[[#This Row],[累计净值]]/$B$21-1</f>
        <v>0.15721393034825892</v>
      </c>
      <c r="H298" s="170">
        <f>表2_367162629303421[[#This Row],[累计净值]]/$F$196-1</f>
        <v>5.4397098821396206E-2</v>
      </c>
    </row>
    <row r="299" spans="1:8">
      <c r="A299" s="161">
        <v>44189</v>
      </c>
      <c r="B299" s="162">
        <v>1.1639999999999999</v>
      </c>
      <c r="C299" s="171">
        <f t="shared" ref="C299:C300" si="44">IFERROR(B299-B298,0)</f>
        <v>9.9999999999988987E-4</v>
      </c>
      <c r="D299" s="168" t="str">
        <f t="shared" ref="D299:D300" si="45">IF(C299&lt;0,C299,"/")</f>
        <v>/</v>
      </c>
      <c r="E299" s="168">
        <f ca="1">IF(表2_367162629303421[[#This Row],[累计净值]]/MAX(INDIRECT("B21:B" &amp; ROW()))-1&lt;E298,表2_367162629303421[[#This Row],[累计净值]]/MAX(INDIRECT("B21:B" &amp; ROW()))-1,E298)</f>
        <v>-1.6085790884718509E-2</v>
      </c>
      <c r="F299" s="110">
        <f>表2_367162629303421[[#This Row],[累计净值]]-0.145</f>
        <v>1.0189999999999999</v>
      </c>
      <c r="G299" s="170">
        <f>表2_367162629303421[[#This Row],[累计净值]]/$B$21-1</f>
        <v>0.15820895522388057</v>
      </c>
      <c r="H299" s="170">
        <f>表2_367162629303421[[#This Row],[累计净值]]/$F$196-1</f>
        <v>5.5303717135086083E-2</v>
      </c>
    </row>
    <row r="300" spans="1:8">
      <c r="A300" s="161">
        <v>44190</v>
      </c>
      <c r="B300" s="162">
        <v>1.163</v>
      </c>
      <c r="C300" s="171">
        <f t="shared" si="44"/>
        <v>-9.9999999999988987E-4</v>
      </c>
      <c r="D300" s="168">
        <f t="shared" si="45"/>
        <v>-9.9999999999988987E-4</v>
      </c>
      <c r="E300" s="168">
        <f ca="1">IF(表2_367162629303421[[#This Row],[累计净值]]/MAX(INDIRECT("B21:B" &amp; ROW()))-1&lt;E299,表2_367162629303421[[#This Row],[累计净值]]/MAX(INDIRECT("B21:B" &amp; ROW()))-1,E299)</f>
        <v>-1.6085790884718509E-2</v>
      </c>
      <c r="F300" s="110">
        <f>表2_367162629303421[[#This Row],[累计净值]]-0.145</f>
        <v>1.018</v>
      </c>
      <c r="G300" s="170">
        <f>表2_367162629303421[[#This Row],[累计净值]]/$B$21-1</f>
        <v>0.15721393034825892</v>
      </c>
      <c r="H300" s="170">
        <f>表2_367162629303421[[#This Row],[累计净值]]/$F$196-1</f>
        <v>5.4397098821396206E-2</v>
      </c>
    </row>
    <row r="301" spans="1:8">
      <c r="A301" s="161">
        <v>44193</v>
      </c>
      <c r="B301" s="162">
        <v>1.1639999999999999</v>
      </c>
      <c r="C301" s="171">
        <f t="shared" ref="C301:C307" si="46">IFERROR(B301-B300,0)</f>
        <v>9.9999999999988987E-4</v>
      </c>
      <c r="D301" s="168" t="str">
        <f t="shared" ref="D301:D307" si="47">IF(C301&lt;0,C301,"/")</f>
        <v>/</v>
      </c>
      <c r="E301" s="168">
        <f ca="1">IF(表2_367162629303421[[#This Row],[累计净值]]/MAX(INDIRECT("B21:B" &amp; ROW()))-1&lt;E300,表2_367162629303421[[#This Row],[累计净值]]/MAX(INDIRECT("B21:B" &amp; ROW()))-1,E300)</f>
        <v>-1.6085790884718509E-2</v>
      </c>
      <c r="F301" s="110">
        <f>表2_367162629303421[[#This Row],[累计净值]]-0.145</f>
        <v>1.0189999999999999</v>
      </c>
      <c r="G301" s="170">
        <f>表2_367162629303421[[#This Row],[累计净值]]/$B$21-1</f>
        <v>0.15820895522388057</v>
      </c>
      <c r="H301" s="170">
        <f>表2_367162629303421[[#This Row],[累计净值]]/$F$196-1</f>
        <v>5.5303717135086083E-2</v>
      </c>
    </row>
    <row r="302" spans="1:8">
      <c r="A302" s="161">
        <v>44194</v>
      </c>
      <c r="B302" s="162">
        <v>1.163</v>
      </c>
      <c r="C302" s="171">
        <f t="shared" si="46"/>
        <v>-9.9999999999988987E-4</v>
      </c>
      <c r="D302" s="168">
        <f t="shared" si="47"/>
        <v>-9.9999999999988987E-4</v>
      </c>
      <c r="E302" s="168">
        <f ca="1">IF(表2_367162629303421[[#This Row],[累计净值]]/MAX(INDIRECT("B21:B" &amp; ROW()))-1&lt;E301,表2_367162629303421[[#This Row],[累计净值]]/MAX(INDIRECT("B21:B" &amp; ROW()))-1,E301)</f>
        <v>-1.6085790884718509E-2</v>
      </c>
      <c r="F302" s="110">
        <f>表2_367162629303421[[#This Row],[累计净值]]-0.145</f>
        <v>1.018</v>
      </c>
      <c r="G302" s="170">
        <f>表2_367162629303421[[#This Row],[累计净值]]/$B$21-1</f>
        <v>0.15721393034825892</v>
      </c>
      <c r="H302" s="170">
        <f>表2_367162629303421[[#This Row],[累计净值]]/$F$196-1</f>
        <v>5.4397098821396206E-2</v>
      </c>
    </row>
    <row r="303" spans="1:8">
      <c r="A303" s="161">
        <v>44195</v>
      </c>
      <c r="B303" s="162">
        <v>1.1639999999999999</v>
      </c>
      <c r="C303" s="171">
        <f t="shared" si="46"/>
        <v>9.9999999999988987E-4</v>
      </c>
      <c r="D303" s="168" t="str">
        <f t="shared" si="47"/>
        <v>/</v>
      </c>
      <c r="E303" s="168">
        <f ca="1">IF(表2_367162629303421[[#This Row],[累计净值]]/MAX(INDIRECT("B21:B" &amp; ROW()))-1&lt;E302,表2_367162629303421[[#This Row],[累计净值]]/MAX(INDIRECT("B21:B" &amp; ROW()))-1,E302)</f>
        <v>-1.6085790884718509E-2</v>
      </c>
      <c r="F303" s="110">
        <f>表2_367162629303421[[#This Row],[累计净值]]-0.145</f>
        <v>1.0189999999999999</v>
      </c>
      <c r="G303" s="170">
        <f>表2_367162629303421[[#This Row],[累计净值]]/$B$21-1</f>
        <v>0.15820895522388057</v>
      </c>
      <c r="H303" s="170">
        <f>表2_367162629303421[[#This Row],[累计净值]]/$F$196-1</f>
        <v>5.5303717135086083E-2</v>
      </c>
    </row>
    <row r="304" spans="1:8">
      <c r="A304" s="161">
        <v>44196</v>
      </c>
      <c r="B304" s="162">
        <v>1.165</v>
      </c>
      <c r="C304" s="171">
        <f t="shared" si="46"/>
        <v>1.0000000000001119E-3</v>
      </c>
      <c r="D304" s="168" t="str">
        <f t="shared" si="47"/>
        <v>/</v>
      </c>
      <c r="E304" s="168">
        <f ca="1">IF(表2_367162629303421[[#This Row],[累计净值]]/MAX(INDIRECT("B21:B" &amp; ROW()))-1&lt;E303,表2_367162629303421[[#This Row],[累计净值]]/MAX(INDIRECT("B21:B" &amp; ROW()))-1,E303)</f>
        <v>-1.6085790884718509E-2</v>
      </c>
      <c r="F304" s="110">
        <f>表2_367162629303421[[#This Row],[累计净值]]-0.145</f>
        <v>1.02</v>
      </c>
      <c r="G304" s="170">
        <f>表2_367162629303421[[#This Row],[累计净值]]/$B$21-1</f>
        <v>0.15920398009950265</v>
      </c>
      <c r="H304" s="170">
        <f>表2_367162629303421[[#This Row],[累计净值]]/$F$196-1</f>
        <v>5.6210335448776183E-2</v>
      </c>
    </row>
    <row r="305" spans="1:8">
      <c r="A305" s="161">
        <v>44200</v>
      </c>
      <c r="B305" s="162">
        <v>1.165</v>
      </c>
      <c r="C305" s="171">
        <f t="shared" si="46"/>
        <v>0</v>
      </c>
      <c r="D305" s="168" t="str">
        <f t="shared" si="47"/>
        <v>/</v>
      </c>
      <c r="E305" s="168">
        <f ca="1">IF(表2_367162629303421[[#This Row],[累计净值]]/MAX(INDIRECT("B21:B" &amp; ROW()))-1&lt;E304,表2_367162629303421[[#This Row],[累计净值]]/MAX(INDIRECT("B21:B" &amp; ROW()))-1,E304)</f>
        <v>-1.6085790884718509E-2</v>
      </c>
      <c r="F305" s="110">
        <f>表2_367162629303421[[#This Row],[累计净值]]-0.145</f>
        <v>1.02</v>
      </c>
      <c r="G305" s="170">
        <f>表2_367162629303421[[#This Row],[累计净值]]/$B$21-1</f>
        <v>0.15920398009950265</v>
      </c>
      <c r="H305" s="170">
        <f>表2_367162629303421[[#This Row],[累计净值]]/$F$196-1</f>
        <v>5.6210335448776183E-2</v>
      </c>
    </row>
    <row r="306" spans="1:8">
      <c r="A306" s="161">
        <v>44201</v>
      </c>
      <c r="B306" s="162">
        <v>1.1619999999999999</v>
      </c>
      <c r="C306" s="171">
        <f t="shared" si="46"/>
        <v>-3.0000000000001137E-3</v>
      </c>
      <c r="D306" s="168">
        <f t="shared" si="47"/>
        <v>-3.0000000000001137E-3</v>
      </c>
      <c r="E306" s="168">
        <f ca="1">IF(表2_367162629303421[[#This Row],[累计净值]]/MAX(INDIRECT("B21:B" &amp; ROW()))-1&lt;E305,表2_367162629303421[[#This Row],[累计净值]]/MAX(INDIRECT("B21:B" &amp; ROW()))-1,E305)</f>
        <v>-1.6085790884718509E-2</v>
      </c>
      <c r="F306" s="110">
        <f>表2_367162629303421[[#This Row],[累计净值]]-0.145</f>
        <v>1.0169999999999999</v>
      </c>
      <c r="G306" s="170">
        <f>表2_367162629303421[[#This Row],[累计净值]]/$B$21-1</f>
        <v>0.15621890547263684</v>
      </c>
      <c r="H306" s="170">
        <f>表2_367162629303421[[#This Row],[累计净值]]/$F$196-1</f>
        <v>5.3490480507706106E-2</v>
      </c>
    </row>
    <row r="307" spans="1:8">
      <c r="A307" s="161">
        <v>44202</v>
      </c>
      <c r="B307" s="162">
        <v>1.1619999999999999</v>
      </c>
      <c r="C307" s="171">
        <f t="shared" si="46"/>
        <v>0</v>
      </c>
      <c r="D307" s="168" t="str">
        <f t="shared" si="47"/>
        <v>/</v>
      </c>
      <c r="E307" s="168">
        <f ca="1">IF(表2_367162629303421[[#This Row],[累计净值]]/MAX(INDIRECT("B21:B" &amp; ROW()))-1&lt;E306,表2_367162629303421[[#This Row],[累计净值]]/MAX(INDIRECT("B21:B" &amp; ROW()))-1,E306)</f>
        <v>-1.6085790884718509E-2</v>
      </c>
      <c r="F307" s="110">
        <f>表2_367162629303421[[#This Row],[累计净值]]-0.145</f>
        <v>1.0169999999999999</v>
      </c>
      <c r="G307" s="170">
        <f>表2_367162629303421[[#This Row],[累计净值]]/$B$21-1</f>
        <v>0.15621890547263684</v>
      </c>
      <c r="H307" s="170">
        <f>表2_367162629303421[[#This Row],[累计净值]]/$F$196-1</f>
        <v>5.3490480507706106E-2</v>
      </c>
    </row>
    <row r="308" spans="1:8">
      <c r="A308" s="161">
        <v>44203</v>
      </c>
      <c r="B308" s="162">
        <v>1.1639999999999999</v>
      </c>
      <c r="C308" s="171">
        <f t="shared" ref="C308:C313" si="48">IFERROR(B308-B307,0)</f>
        <v>2.0000000000000018E-3</v>
      </c>
      <c r="D308" s="168" t="str">
        <f t="shared" ref="D308:D313" si="49">IF(C308&lt;0,C308,"/")</f>
        <v>/</v>
      </c>
      <c r="E308" s="168">
        <f ca="1">IF(表2_367162629303421[[#This Row],[累计净值]]/MAX(INDIRECT("B21:B" &amp; ROW()))-1&lt;E307,表2_367162629303421[[#This Row],[累计净值]]/MAX(INDIRECT("B21:B" &amp; ROW()))-1,E307)</f>
        <v>-1.6085790884718509E-2</v>
      </c>
      <c r="F308" s="110">
        <f>表2_367162629303421[[#This Row],[累计净值]]-0.145</f>
        <v>1.0189999999999999</v>
      </c>
      <c r="G308" s="170">
        <f>表2_367162629303421[[#This Row],[累计净值]]/$B$21-1</f>
        <v>0.15820895522388057</v>
      </c>
      <c r="H308" s="170">
        <f>表2_367162629303421[[#This Row],[累计净值]]/$F$196-1</f>
        <v>5.5303717135086083E-2</v>
      </c>
    </row>
    <row r="309" spans="1:8">
      <c r="A309" s="161">
        <v>44204</v>
      </c>
      <c r="B309" s="162">
        <v>1.1619999999999999</v>
      </c>
      <c r="C309" s="171">
        <f t="shared" si="48"/>
        <v>-2.0000000000000018E-3</v>
      </c>
      <c r="D309" s="168">
        <f t="shared" si="49"/>
        <v>-2.0000000000000018E-3</v>
      </c>
      <c r="E309" s="168">
        <f ca="1">IF(表2_367162629303421[[#This Row],[累计净值]]/MAX(INDIRECT("B21:B" &amp; ROW()))-1&lt;E308,表2_367162629303421[[#This Row],[累计净值]]/MAX(INDIRECT("B21:B" &amp; ROW()))-1,E308)</f>
        <v>-1.6085790884718509E-2</v>
      </c>
      <c r="F309" s="110">
        <f>表2_367162629303421[[#This Row],[累计净值]]-0.145</f>
        <v>1.0169999999999999</v>
      </c>
      <c r="G309" s="170">
        <f>表2_367162629303421[[#This Row],[累计净值]]/$B$21-1</f>
        <v>0.15621890547263684</v>
      </c>
      <c r="H309" s="170">
        <f>表2_367162629303421[[#This Row],[累计净值]]/$F$196-1</f>
        <v>5.3490480507706106E-2</v>
      </c>
    </row>
    <row r="310" spans="1:8">
      <c r="A310" s="161">
        <v>44207</v>
      </c>
      <c r="B310" s="162">
        <v>1.167</v>
      </c>
      <c r="C310" s="171">
        <f t="shared" si="48"/>
        <v>5.0000000000001155E-3</v>
      </c>
      <c r="D310" s="168" t="str">
        <f t="shared" si="49"/>
        <v>/</v>
      </c>
      <c r="E310" s="168">
        <f ca="1">IF(表2_367162629303421[[#This Row],[累计净值]]/MAX(INDIRECT("B21:B" &amp; ROW()))-1&lt;E309,表2_367162629303421[[#This Row],[累计净值]]/MAX(INDIRECT("B21:B" &amp; ROW()))-1,E309)</f>
        <v>-1.6085790884718509E-2</v>
      </c>
      <c r="F310" s="110">
        <f>表2_367162629303421[[#This Row],[累计净值]]-0.145</f>
        <v>1.022</v>
      </c>
      <c r="G310" s="170">
        <f>表2_367162629303421[[#This Row],[累计净值]]/$B$21-1</f>
        <v>0.16119402985074638</v>
      </c>
      <c r="H310" s="170">
        <f>表2_367162629303421[[#This Row],[累计净值]]/$F$196-1</f>
        <v>5.8023572076155938E-2</v>
      </c>
    </row>
    <row r="311" spans="1:8">
      <c r="A311" s="161">
        <v>44208</v>
      </c>
      <c r="B311" s="162">
        <v>1.1679999999999999</v>
      </c>
      <c r="C311" s="171">
        <f t="shared" si="48"/>
        <v>9.9999999999988987E-4</v>
      </c>
      <c r="D311" s="168" t="str">
        <f t="shared" si="49"/>
        <v>/</v>
      </c>
      <c r="E311" s="168">
        <f ca="1">IF(表2_367162629303421[[#This Row],[累计净值]]/MAX(INDIRECT("B21:B" &amp; ROW()))-1&lt;E310,表2_367162629303421[[#This Row],[累计净值]]/MAX(INDIRECT("B21:B" &amp; ROW()))-1,E310)</f>
        <v>-1.6085790884718509E-2</v>
      </c>
      <c r="F311" s="110">
        <f>表2_367162629303421[[#This Row],[累计净值]]-0.145</f>
        <v>1.0229999999999999</v>
      </c>
      <c r="G311" s="170">
        <f>表2_367162629303421[[#This Row],[累计净值]]/$B$21-1</f>
        <v>0.16218905472636824</v>
      </c>
      <c r="H311" s="170">
        <f>表2_367162629303421[[#This Row],[累计净值]]/$F$196-1</f>
        <v>5.8930190389845816E-2</v>
      </c>
    </row>
    <row r="312" spans="1:8">
      <c r="A312" s="161">
        <v>44209</v>
      </c>
      <c r="B312" s="162">
        <v>1.1639999999999999</v>
      </c>
      <c r="C312" s="171">
        <f t="shared" si="48"/>
        <v>-4.0000000000000036E-3</v>
      </c>
      <c r="D312" s="168">
        <f t="shared" si="49"/>
        <v>-4.0000000000000036E-3</v>
      </c>
      <c r="E312" s="168">
        <f ca="1">IF(表2_367162629303421[[#This Row],[累计净值]]/MAX(INDIRECT("B21:B" &amp; ROW()))-1&lt;E311,表2_367162629303421[[#This Row],[累计净值]]/MAX(INDIRECT("B21:B" &amp; ROW()))-1,E311)</f>
        <v>-1.6085790884718509E-2</v>
      </c>
      <c r="F312" s="110">
        <f>表2_367162629303421[[#This Row],[累计净值]]-0.145</f>
        <v>1.0189999999999999</v>
      </c>
      <c r="G312" s="170">
        <f>表2_367162629303421[[#This Row],[累计净值]]/$B$21-1</f>
        <v>0.15820895522388057</v>
      </c>
      <c r="H312" s="170">
        <f>表2_367162629303421[[#This Row],[累计净值]]/$F$196-1</f>
        <v>5.5303717135086083E-2</v>
      </c>
    </row>
    <row r="313" spans="1:8">
      <c r="A313" s="161">
        <v>44210</v>
      </c>
      <c r="B313" s="162">
        <v>1.167</v>
      </c>
      <c r="C313" s="171">
        <f t="shared" si="48"/>
        <v>3.0000000000001137E-3</v>
      </c>
      <c r="D313" s="168" t="str">
        <f t="shared" si="49"/>
        <v>/</v>
      </c>
      <c r="E313" s="168">
        <f ca="1">IF(表2_367162629303421[[#This Row],[累计净值]]/MAX(INDIRECT("B21:B" &amp; ROW()))-1&lt;E312,表2_367162629303421[[#This Row],[累计净值]]/MAX(INDIRECT("B21:B" &amp; ROW()))-1,E312)</f>
        <v>-1.6085790884718509E-2</v>
      </c>
      <c r="F313" s="110">
        <f>表2_367162629303421[[#This Row],[累计净值]]-0.145</f>
        <v>1.022</v>
      </c>
      <c r="G313" s="170">
        <f>表2_367162629303421[[#This Row],[累计净值]]/$B$21-1</f>
        <v>0.16119402985074638</v>
      </c>
      <c r="H313" s="170">
        <f>表2_367162629303421[[#This Row],[累计净值]]/$F$196-1</f>
        <v>5.8023572076155938E-2</v>
      </c>
    </row>
    <row r="314" spans="1:8">
      <c r="A314" s="161">
        <v>44211</v>
      </c>
      <c r="B314" s="162">
        <v>1.175</v>
      </c>
      <c r="C314" s="171">
        <f t="shared" ref="C314:C319" si="50">IFERROR(B314-B313,0)</f>
        <v>8.0000000000000071E-3</v>
      </c>
      <c r="D314" s="168" t="str">
        <f t="shared" ref="D314:D319" si="51">IF(C314&lt;0,C314,"/")</f>
        <v>/</v>
      </c>
      <c r="E314" s="168">
        <f ca="1">IF(表2_367162629303421[[#This Row],[累计净值]]/MAX(INDIRECT("B21:B" &amp; ROW()))-1&lt;E313,表2_367162629303421[[#This Row],[累计净值]]/MAX(INDIRECT("B21:B" &amp; ROW()))-1,E313)</f>
        <v>-1.6085790884718509E-2</v>
      </c>
      <c r="F314" s="110">
        <f>表2_367162629303421[[#This Row],[累计净值]]-0.145</f>
        <v>1.03</v>
      </c>
      <c r="G314" s="170">
        <f>表2_367162629303421[[#This Row],[累计净值]]/$B$21-1</f>
        <v>0.16915422885572151</v>
      </c>
      <c r="H314" s="170">
        <f>表2_367162629303421[[#This Row],[累计净值]]/$F$196-1</f>
        <v>6.5276518585675403E-2</v>
      </c>
    </row>
    <row r="315" spans="1:8">
      <c r="A315" s="161">
        <v>44214</v>
      </c>
      <c r="B315" s="162">
        <v>1.173</v>
      </c>
      <c r="C315" s="171">
        <f t="shared" si="50"/>
        <v>-2.0000000000000018E-3</v>
      </c>
      <c r="D315" s="168">
        <f t="shared" si="51"/>
        <v>-2.0000000000000018E-3</v>
      </c>
      <c r="E315" s="168">
        <f ca="1">IF(表2_367162629303421[[#This Row],[累计净值]]/MAX(INDIRECT("B21:B" &amp; ROW()))-1&lt;E314,表2_367162629303421[[#This Row],[累计净值]]/MAX(INDIRECT("B21:B" &amp; ROW()))-1,E314)</f>
        <v>-1.6085790884718509E-2</v>
      </c>
      <c r="F315" s="110">
        <f>表2_367162629303421[[#This Row],[累计净值]]-0.145</f>
        <v>1.028</v>
      </c>
      <c r="G315" s="170">
        <f>表2_367162629303421[[#This Row],[累计净值]]/$B$21-1</f>
        <v>0.16716417910447778</v>
      </c>
      <c r="H315" s="170">
        <f>表2_367162629303421[[#This Row],[累计净值]]/$F$196-1</f>
        <v>6.3463281958295648E-2</v>
      </c>
    </row>
    <row r="316" spans="1:8">
      <c r="A316" s="161">
        <v>44215</v>
      </c>
      <c r="B316" s="162">
        <v>1.173</v>
      </c>
      <c r="C316" s="171">
        <f t="shared" si="50"/>
        <v>0</v>
      </c>
      <c r="D316" s="168" t="str">
        <f t="shared" si="51"/>
        <v>/</v>
      </c>
      <c r="E316" s="168">
        <f ca="1">IF(表2_367162629303421[[#This Row],[累计净值]]/MAX(INDIRECT("B21:B" &amp; ROW()))-1&lt;E315,表2_367162629303421[[#This Row],[累计净值]]/MAX(INDIRECT("B21:B" &amp; ROW()))-1,E315)</f>
        <v>-1.6085790884718509E-2</v>
      </c>
      <c r="F316" s="110">
        <f>表2_367162629303421[[#This Row],[累计净值]]-0.145</f>
        <v>1.028</v>
      </c>
      <c r="G316" s="170">
        <f>表2_367162629303421[[#This Row],[累计净值]]/$B$21-1</f>
        <v>0.16716417910447778</v>
      </c>
      <c r="H316" s="170">
        <f>表2_367162629303421[[#This Row],[累计净值]]/$F$196-1</f>
        <v>6.3463281958295648E-2</v>
      </c>
    </row>
    <row r="317" spans="1:8">
      <c r="A317" s="161">
        <v>44216</v>
      </c>
      <c r="B317" s="162">
        <v>1.1759999999999999</v>
      </c>
      <c r="C317" s="171">
        <f t="shared" si="50"/>
        <v>2.9999999999998916E-3</v>
      </c>
      <c r="D317" s="168" t="str">
        <f t="shared" si="51"/>
        <v>/</v>
      </c>
      <c r="E317" s="168">
        <f ca="1">IF(表2_367162629303421[[#This Row],[累计净值]]/MAX(INDIRECT("B21:B" &amp; ROW()))-1&lt;E316,表2_367162629303421[[#This Row],[累计净值]]/MAX(INDIRECT("B21:B" &amp; ROW()))-1,E316)</f>
        <v>-1.6085790884718509E-2</v>
      </c>
      <c r="F317" s="110">
        <f>表2_367162629303421[[#This Row],[累计净值]]-0.145</f>
        <v>1.0309999999999999</v>
      </c>
      <c r="G317" s="170">
        <f>表2_367162629303421[[#This Row],[累计净值]]/$B$21-1</f>
        <v>0.17014925373134338</v>
      </c>
      <c r="H317" s="170">
        <f>表2_367162629303421[[#This Row],[累计净值]]/$F$196-1</f>
        <v>6.618313689936528E-2</v>
      </c>
    </row>
    <row r="318" spans="1:8">
      <c r="A318" s="161">
        <v>44217</v>
      </c>
      <c r="B318" s="162">
        <v>1.177</v>
      </c>
      <c r="C318" s="171">
        <f t="shared" si="50"/>
        <v>1.0000000000001119E-3</v>
      </c>
      <c r="D318" s="168" t="str">
        <f t="shared" si="51"/>
        <v>/</v>
      </c>
      <c r="E318" s="168">
        <f ca="1">IF(表2_367162629303421[[#This Row],[累计净值]]/MAX(INDIRECT("B21:B" &amp; ROW()))-1&lt;E317,表2_367162629303421[[#This Row],[累计净值]]/MAX(INDIRECT("B21:B" &amp; ROW()))-1,E317)</f>
        <v>-1.6085790884718509E-2</v>
      </c>
      <c r="F318" s="110">
        <f>表2_367162629303421[[#This Row],[累计净值]]-0.145</f>
        <v>1.032</v>
      </c>
      <c r="G318" s="170">
        <f>表2_367162629303421[[#This Row],[累计净值]]/$B$21-1</f>
        <v>0.17114427860696524</v>
      </c>
      <c r="H318" s="170">
        <f>表2_367162629303421[[#This Row],[累计净值]]/$F$196-1</f>
        <v>6.708975521305538E-2</v>
      </c>
    </row>
    <row r="319" spans="1:8">
      <c r="A319" s="161">
        <v>44218</v>
      </c>
      <c r="B319" s="162">
        <v>1.177</v>
      </c>
      <c r="C319" s="171">
        <f t="shared" si="50"/>
        <v>0</v>
      </c>
      <c r="D319" s="168" t="str">
        <f t="shared" si="51"/>
        <v>/</v>
      </c>
      <c r="E319" s="168">
        <f ca="1">IF(表2_367162629303421[[#This Row],[累计净值]]/MAX(INDIRECT("B21:B" &amp; ROW()))-1&lt;E318,表2_367162629303421[[#This Row],[累计净值]]/MAX(INDIRECT("B21:B" &amp; ROW()))-1,E318)</f>
        <v>-1.6085790884718509E-2</v>
      </c>
      <c r="F319" s="110">
        <f>表2_367162629303421[[#This Row],[累计净值]]-0.145</f>
        <v>1.032</v>
      </c>
      <c r="G319" s="170">
        <f>表2_367162629303421[[#This Row],[累计净值]]/$B$21-1</f>
        <v>0.17114427860696524</v>
      </c>
      <c r="H319" s="170">
        <f>表2_367162629303421[[#This Row],[累计净值]]/$F$196-1</f>
        <v>6.708975521305538E-2</v>
      </c>
    </row>
    <row r="320" spans="1:8">
      <c r="A320" s="161">
        <v>44221</v>
      </c>
      <c r="B320" s="162">
        <v>1.179</v>
      </c>
      <c r="C320" s="171">
        <f t="shared" ref="C320:C325" si="52">IFERROR(B320-B319,0)</f>
        <v>2.0000000000000018E-3</v>
      </c>
      <c r="D320" s="168" t="str">
        <f t="shared" ref="D320:D325" si="53">IF(C320&lt;0,C320,"/")</f>
        <v>/</v>
      </c>
      <c r="E320" s="168">
        <f ca="1">IF(表2_367162629303421[[#This Row],[累计净值]]/MAX(INDIRECT("B21:B" &amp; ROW()))-1&lt;E319,表2_367162629303421[[#This Row],[累计净值]]/MAX(INDIRECT("B21:B" &amp; ROW()))-1,E319)</f>
        <v>-1.6085790884718509E-2</v>
      </c>
      <c r="F320" s="110">
        <f>表2_367162629303421[[#This Row],[累计净值]]-0.145</f>
        <v>1.034</v>
      </c>
      <c r="G320" s="170">
        <f>表2_367162629303421[[#This Row],[累计净值]]/$B$21-1</f>
        <v>0.17313432835820919</v>
      </c>
      <c r="H320" s="170">
        <f>表2_367162629303421[[#This Row],[累计净值]]/$F$196-1</f>
        <v>6.8902991840435135E-2</v>
      </c>
    </row>
    <row r="321" spans="1:8">
      <c r="A321" s="161">
        <v>44222</v>
      </c>
      <c r="B321" s="162">
        <v>1.1779999999999999</v>
      </c>
      <c r="C321" s="171">
        <f t="shared" si="52"/>
        <v>-1.0000000000001119E-3</v>
      </c>
      <c r="D321" s="168">
        <f t="shared" si="53"/>
        <v>-1.0000000000001119E-3</v>
      </c>
      <c r="E321" s="168">
        <f ca="1">IF(表2_367162629303421[[#This Row],[累计净值]]/MAX(INDIRECT("B21:B" &amp; ROW()))-1&lt;E320,表2_367162629303421[[#This Row],[累计净值]]/MAX(INDIRECT("B21:B" &amp; ROW()))-1,E320)</f>
        <v>-1.6085790884718509E-2</v>
      </c>
      <c r="F321" s="110">
        <f>表2_367162629303421[[#This Row],[累计净值]]-0.145</f>
        <v>1.0329999999999999</v>
      </c>
      <c r="G321" s="170">
        <f>表2_367162629303421[[#This Row],[累计净值]]/$B$21-1</f>
        <v>0.1721393034825871</v>
      </c>
      <c r="H321" s="170">
        <f>表2_367162629303421[[#This Row],[累计净值]]/$F$196-1</f>
        <v>6.7996373526745257E-2</v>
      </c>
    </row>
    <row r="322" spans="1:8">
      <c r="A322" s="161">
        <v>44223</v>
      </c>
      <c r="B322" s="162">
        <v>1.181</v>
      </c>
      <c r="C322" s="171">
        <f t="shared" si="52"/>
        <v>3.0000000000001137E-3</v>
      </c>
      <c r="D322" s="168" t="str">
        <f t="shared" si="53"/>
        <v>/</v>
      </c>
      <c r="E322" s="168">
        <f ca="1">IF(表2_367162629303421[[#This Row],[累计净值]]/MAX(INDIRECT("B21:B" &amp; ROW()))-1&lt;E321,表2_367162629303421[[#This Row],[累计净值]]/MAX(INDIRECT("B21:B" &amp; ROW()))-1,E321)</f>
        <v>-1.6085790884718509E-2</v>
      </c>
      <c r="F322" s="110">
        <f>表2_367162629303421[[#This Row],[累计净值]]-0.145</f>
        <v>1.036</v>
      </c>
      <c r="G322" s="170">
        <f>表2_367162629303421[[#This Row],[累计净值]]/$B$21-1</f>
        <v>0.17512437810945292</v>
      </c>
      <c r="H322" s="170">
        <f>表2_367162629303421[[#This Row],[累计净值]]/$F$196-1</f>
        <v>7.0716228467815112E-2</v>
      </c>
    </row>
    <row r="323" spans="1:8">
      <c r="A323" s="161">
        <v>44224</v>
      </c>
      <c r="B323" s="162">
        <v>1.181</v>
      </c>
      <c r="C323" s="171">
        <f t="shared" si="52"/>
        <v>0</v>
      </c>
      <c r="D323" s="168" t="str">
        <f t="shared" si="53"/>
        <v>/</v>
      </c>
      <c r="E323" s="168">
        <f ca="1">IF(表2_367162629303421[[#This Row],[累计净值]]/MAX(INDIRECT("B21:B" &amp; ROW()))-1&lt;E322,表2_367162629303421[[#This Row],[累计净值]]/MAX(INDIRECT("B21:B" &amp; ROW()))-1,E322)</f>
        <v>-1.6085790884718509E-2</v>
      </c>
      <c r="F323" s="110">
        <f>表2_367162629303421[[#This Row],[累计净值]]-0.145</f>
        <v>1.036</v>
      </c>
      <c r="G323" s="170">
        <f>表2_367162629303421[[#This Row],[累计净值]]/$B$21-1</f>
        <v>0.17512437810945292</v>
      </c>
      <c r="H323" s="170">
        <f>表2_367162629303421[[#This Row],[累计净值]]/$F$196-1</f>
        <v>7.0716228467815112E-2</v>
      </c>
    </row>
    <row r="324" spans="1:8">
      <c r="A324" s="161">
        <v>44225</v>
      </c>
      <c r="B324" s="162">
        <v>1.1830000000000001</v>
      </c>
      <c r="C324" s="171">
        <f t="shared" si="52"/>
        <v>2.0000000000000018E-3</v>
      </c>
      <c r="D324" s="168" t="str">
        <f t="shared" si="53"/>
        <v>/</v>
      </c>
      <c r="E324" s="168">
        <f ca="1">IF(表2_367162629303421[[#This Row],[累计净值]]/MAX(INDIRECT("B21:B" &amp; ROW()))-1&lt;E323,表2_367162629303421[[#This Row],[累计净值]]/MAX(INDIRECT("B21:B" &amp; ROW()))-1,E323)</f>
        <v>-1.6085790884718509E-2</v>
      </c>
      <c r="F324" s="110">
        <f>表2_367162629303421[[#This Row],[累计净值]]-0.145</f>
        <v>1.038</v>
      </c>
      <c r="G324" s="170">
        <f>表2_367162629303421[[#This Row],[累计净值]]/$B$21-1</f>
        <v>0.17711442786069664</v>
      </c>
      <c r="H324" s="170">
        <f>表2_367162629303421[[#This Row],[累计净值]]/$F$196-1</f>
        <v>7.2529465095195089E-2</v>
      </c>
    </row>
    <row r="325" spans="1:8">
      <c r="A325" s="161">
        <v>44228</v>
      </c>
      <c r="B325" s="162">
        <v>1.1819999999999999</v>
      </c>
      <c r="C325" s="171">
        <f t="shared" si="52"/>
        <v>-1.0000000000001119E-3</v>
      </c>
      <c r="D325" s="168">
        <f t="shared" si="53"/>
        <v>-1.0000000000001119E-3</v>
      </c>
      <c r="E325" s="168">
        <f ca="1">IF(表2_367162629303421[[#This Row],[累计净值]]/MAX(INDIRECT("B21:B" &amp; ROW()))-1&lt;E324,表2_367162629303421[[#This Row],[累计净值]]/MAX(INDIRECT("B21:B" &amp; ROW()))-1,E324)</f>
        <v>-1.6085790884718509E-2</v>
      </c>
      <c r="F325" s="110">
        <f>表2_367162629303421[[#This Row],[累计净值]]-0.145</f>
        <v>1.0369999999999999</v>
      </c>
      <c r="G325" s="170">
        <f>表2_367162629303421[[#This Row],[累计净值]]/$B$21-1</f>
        <v>0.17611940298507478</v>
      </c>
      <c r="H325" s="170">
        <f>表2_367162629303421[[#This Row],[累计净值]]/$F$196-1</f>
        <v>7.162284678150499E-2</v>
      </c>
    </row>
    <row r="326" spans="1:8">
      <c r="A326" s="161">
        <v>44229</v>
      </c>
      <c r="B326" s="162">
        <v>1.1830000000000001</v>
      </c>
      <c r="C326" s="171">
        <f t="shared" ref="C326:C331" si="54">IFERROR(B326-B325,0)</f>
        <v>1.0000000000001119E-3</v>
      </c>
      <c r="D326" s="168" t="str">
        <f t="shared" ref="D326:D331" si="55">IF(C326&lt;0,C326,"/")</f>
        <v>/</v>
      </c>
      <c r="E326" s="168">
        <f ca="1">IF(表2_367162629303421[[#This Row],[累计净值]]/MAX(INDIRECT("B21:B" &amp; ROW()))-1&lt;E325,表2_367162629303421[[#This Row],[累计净值]]/MAX(INDIRECT("B21:B" &amp; ROW()))-1,E325)</f>
        <v>-1.6085790884718509E-2</v>
      </c>
      <c r="F326" s="110">
        <f>表2_367162629303421[[#This Row],[累计净值]]-0.145</f>
        <v>1.038</v>
      </c>
      <c r="G326" s="170">
        <f>表2_367162629303421[[#This Row],[累计净值]]/$B$21-1</f>
        <v>0.17711442786069664</v>
      </c>
      <c r="H326" s="170">
        <f>表2_367162629303421[[#This Row],[累计净值]]/$F$196-1</f>
        <v>7.2529465095195089E-2</v>
      </c>
    </row>
    <row r="327" spans="1:8">
      <c r="A327" s="161">
        <v>44230</v>
      </c>
      <c r="B327" s="162">
        <v>1.1839999999999999</v>
      </c>
      <c r="C327" s="171">
        <f t="shared" si="54"/>
        <v>9.9999999999988987E-4</v>
      </c>
      <c r="D327" s="168" t="str">
        <f t="shared" si="55"/>
        <v>/</v>
      </c>
      <c r="E327" s="168">
        <f ca="1">IF(表2_367162629303421[[#This Row],[累计净值]]/MAX(INDIRECT("B21:B" &amp; ROW()))-1&lt;E326,表2_367162629303421[[#This Row],[累计净值]]/MAX(INDIRECT("B21:B" &amp; ROW()))-1,E326)</f>
        <v>-1.6085790884718509E-2</v>
      </c>
      <c r="F327" s="110">
        <f>表2_367162629303421[[#This Row],[累计净值]]-0.145</f>
        <v>1.0389999999999999</v>
      </c>
      <c r="G327" s="170">
        <f>表2_367162629303421[[#This Row],[累计净值]]/$B$21-1</f>
        <v>0.17810945273631851</v>
      </c>
      <c r="H327" s="170">
        <f>表2_367162629303421[[#This Row],[累计净值]]/$F$196-1</f>
        <v>7.3436083408884745E-2</v>
      </c>
    </row>
    <row r="328" spans="1:8">
      <c r="A328" s="161">
        <v>44231</v>
      </c>
      <c r="B328" s="162">
        <v>1.1830000000000001</v>
      </c>
      <c r="C328" s="171">
        <f t="shared" si="54"/>
        <v>-9.9999999999988987E-4</v>
      </c>
      <c r="D328" s="168">
        <f t="shared" si="55"/>
        <v>-9.9999999999988987E-4</v>
      </c>
      <c r="E328" s="168">
        <f ca="1">IF(表2_367162629303421[[#This Row],[累计净值]]/MAX(INDIRECT("B21:B" &amp; ROW()))-1&lt;E327,表2_367162629303421[[#This Row],[累计净值]]/MAX(INDIRECT("B21:B" &amp; ROW()))-1,E327)</f>
        <v>-1.6085790884718509E-2</v>
      </c>
      <c r="F328" s="110">
        <f>表2_367162629303421[[#This Row],[累计净值]]-0.145</f>
        <v>1.038</v>
      </c>
      <c r="G328" s="170">
        <f>表2_367162629303421[[#This Row],[累计净值]]/$B$21-1</f>
        <v>0.17711442786069664</v>
      </c>
      <c r="H328" s="170">
        <f>表2_367162629303421[[#This Row],[累计净值]]/$F$196-1</f>
        <v>7.2529465095195089E-2</v>
      </c>
    </row>
    <row r="329" spans="1:8">
      <c r="A329" s="161">
        <v>44232</v>
      </c>
      <c r="B329" s="162">
        <v>1.1830000000000001</v>
      </c>
      <c r="C329" s="171">
        <f t="shared" si="54"/>
        <v>0</v>
      </c>
      <c r="D329" s="168" t="str">
        <f t="shared" si="55"/>
        <v>/</v>
      </c>
      <c r="E329" s="168">
        <f ca="1">IF(表2_367162629303421[[#This Row],[累计净值]]/MAX(INDIRECT("B21:B" &amp; ROW()))-1&lt;E328,表2_367162629303421[[#This Row],[累计净值]]/MAX(INDIRECT("B21:B" &amp; ROW()))-1,E328)</f>
        <v>-1.6085790884718509E-2</v>
      </c>
      <c r="F329" s="110">
        <f>表2_367162629303421[[#This Row],[累计净值]]-0.145</f>
        <v>1.038</v>
      </c>
      <c r="G329" s="170">
        <f>表2_367162629303421[[#This Row],[累计净值]]/$B$21-1</f>
        <v>0.17711442786069664</v>
      </c>
      <c r="H329" s="170">
        <f>表2_367162629303421[[#This Row],[累计净值]]/$F$196-1</f>
        <v>7.2529465095195089E-2</v>
      </c>
    </row>
    <row r="330" spans="1:8">
      <c r="A330" s="161">
        <v>44235</v>
      </c>
      <c r="B330" s="162">
        <v>1.1819999999999999</v>
      </c>
      <c r="C330" s="171">
        <f t="shared" si="54"/>
        <v>-1.0000000000001119E-3</v>
      </c>
      <c r="D330" s="168">
        <f t="shared" si="55"/>
        <v>-1.0000000000001119E-3</v>
      </c>
      <c r="E330" s="168">
        <f ca="1">IF(表2_367162629303421[[#This Row],[累计净值]]/MAX(INDIRECT("B21:B" &amp; ROW()))-1&lt;E329,表2_367162629303421[[#This Row],[累计净值]]/MAX(INDIRECT("B21:B" &amp; ROW()))-1,E329)</f>
        <v>-1.6085790884718509E-2</v>
      </c>
      <c r="F330" s="110">
        <f>表2_367162629303421[[#This Row],[累计净值]]-0.145</f>
        <v>1.0369999999999999</v>
      </c>
      <c r="G330" s="170">
        <f>表2_367162629303421[[#This Row],[累计净值]]/$B$21-1</f>
        <v>0.17611940298507478</v>
      </c>
      <c r="H330" s="170">
        <f>表2_367162629303421[[#This Row],[累计净值]]/$F$196-1</f>
        <v>7.162284678150499E-2</v>
      </c>
    </row>
    <row r="331" spans="1:8">
      <c r="A331" s="161">
        <v>44236</v>
      </c>
      <c r="B331" s="162">
        <v>1.1819999999999999</v>
      </c>
      <c r="C331" s="171">
        <f t="shared" si="54"/>
        <v>0</v>
      </c>
      <c r="D331" s="168" t="str">
        <f t="shared" si="55"/>
        <v>/</v>
      </c>
      <c r="E331" s="168">
        <f ca="1">IF(表2_367162629303421[[#This Row],[累计净值]]/MAX(INDIRECT("B21:B" &amp; ROW()))-1&lt;E330,表2_367162629303421[[#This Row],[累计净值]]/MAX(INDIRECT("B21:B" &amp; ROW()))-1,E330)</f>
        <v>-1.6085790884718509E-2</v>
      </c>
      <c r="F331" s="110">
        <f>表2_367162629303421[[#This Row],[累计净值]]-0.145</f>
        <v>1.0369999999999999</v>
      </c>
      <c r="G331" s="170">
        <f>表2_367162629303421[[#This Row],[累计净值]]/$B$21-1</f>
        <v>0.17611940298507478</v>
      </c>
      <c r="H331" s="170">
        <f>表2_367162629303421[[#This Row],[累计净值]]/$F$196-1</f>
        <v>7.162284678150499E-2</v>
      </c>
    </row>
    <row r="332" spans="1:8">
      <c r="A332" s="161">
        <v>44237</v>
      </c>
      <c r="B332" s="162">
        <v>1.181</v>
      </c>
      <c r="C332" s="171">
        <f t="shared" ref="C332:C333" si="56">IFERROR(B332-B331,0)</f>
        <v>-9.9999999999988987E-4</v>
      </c>
      <c r="D332" s="168">
        <f t="shared" ref="D332:D333" si="57">IF(C332&lt;0,C332,"/")</f>
        <v>-9.9999999999988987E-4</v>
      </c>
      <c r="E332" s="168">
        <f ca="1">IF(表2_367162629303421[[#This Row],[累计净值]]/MAX(INDIRECT("B21:B" &amp; ROW()))-1&lt;E331,表2_367162629303421[[#This Row],[累计净值]]/MAX(INDIRECT("B21:B" &amp; ROW()))-1,E331)</f>
        <v>-1.6085790884718509E-2</v>
      </c>
      <c r="F332" s="110">
        <f>表2_367162629303421[[#This Row],[累计净值]]-0.145</f>
        <v>1.036</v>
      </c>
      <c r="G332" s="170">
        <f>表2_367162629303421[[#This Row],[累计净值]]/$B$21-1</f>
        <v>0.17512437810945292</v>
      </c>
      <c r="H332" s="170">
        <f>表2_367162629303421[[#This Row],[累计净值]]/$F$196-1</f>
        <v>7.0716228467815112E-2</v>
      </c>
    </row>
    <row r="333" spans="1:8">
      <c r="A333" s="161">
        <v>44245</v>
      </c>
      <c r="B333" s="162">
        <v>1.1819999999999999</v>
      </c>
      <c r="C333" s="171">
        <f t="shared" si="56"/>
        <v>9.9999999999988987E-4</v>
      </c>
      <c r="D333" s="168" t="str">
        <f t="shared" si="57"/>
        <v>/</v>
      </c>
      <c r="E333" s="168">
        <f ca="1">IF(表2_367162629303421[[#This Row],[累计净值]]/MAX(INDIRECT("B21:B" &amp; ROW()))-1&lt;E332,表2_367162629303421[[#This Row],[累计净值]]/MAX(INDIRECT("B21:B" &amp; ROW()))-1,E332)</f>
        <v>-1.6085790884718509E-2</v>
      </c>
      <c r="F333" s="110">
        <f>表2_367162629303421[[#This Row],[累计净值]]-0.145</f>
        <v>1.0369999999999999</v>
      </c>
      <c r="G333" s="170">
        <f>表2_367162629303421[[#This Row],[累计净值]]/$B$21-1</f>
        <v>0.17611940298507478</v>
      </c>
      <c r="H333" s="170">
        <f>表2_367162629303421[[#This Row],[累计净值]]/$F$196-1</f>
        <v>7.162284678150499E-2</v>
      </c>
    </row>
    <row r="334" spans="1:8">
      <c r="A334" s="161">
        <v>44246</v>
      </c>
      <c r="B334" s="162">
        <v>1.1819999999999999</v>
      </c>
      <c r="C334" s="171">
        <f>IFERROR(B334-B333,0)</f>
        <v>0</v>
      </c>
      <c r="D334" s="168" t="str">
        <f>IF(C334&lt;0,C334,"/")</f>
        <v>/</v>
      </c>
      <c r="E334" s="168">
        <f ca="1">IF(表2_367162629303421[[#This Row],[累计净值]]/MAX(INDIRECT("B21:B" &amp; ROW()))-1&lt;E333,表2_367162629303421[[#This Row],[累计净值]]/MAX(INDIRECT("B21:B" &amp; ROW()))-1,E333)</f>
        <v>-1.6085790884718509E-2</v>
      </c>
      <c r="F334" s="110">
        <f>表2_367162629303421[[#This Row],[累计净值]]-0.145</f>
        <v>1.0369999999999999</v>
      </c>
      <c r="G334" s="170">
        <f>表2_367162629303421[[#This Row],[累计净值]]/$B$21-1</f>
        <v>0.17611940298507478</v>
      </c>
      <c r="H334" s="170">
        <f>表2_367162629303421[[#This Row],[累计净值]]/$F$196-1</f>
        <v>7.162284678150499E-2</v>
      </c>
    </row>
    <row r="335" spans="1:8">
      <c r="A335" s="161">
        <v>44249</v>
      </c>
      <c r="B335" s="162">
        <v>1.1839999999999999</v>
      </c>
      <c r="C335" s="171">
        <f>IFERROR(B335-B334,0)</f>
        <v>2.0000000000000018E-3</v>
      </c>
      <c r="D335" s="168" t="str">
        <f>IF(C335&lt;0,C335,"/")</f>
        <v>/</v>
      </c>
      <c r="E335" s="168">
        <f ca="1">IF(表2_367162629303421[[#This Row],[累计净值]]/MAX(INDIRECT("B21:B" &amp; ROW()))-1&lt;E334,表2_367162629303421[[#This Row],[累计净值]]/MAX(INDIRECT("B21:B" &amp; ROW()))-1,E334)</f>
        <v>-1.6085790884718509E-2</v>
      </c>
      <c r="F335" s="110">
        <f>表2_367162629303421[[#This Row],[累计净值]]-0.145</f>
        <v>1.0389999999999999</v>
      </c>
      <c r="G335" s="170">
        <f>表2_367162629303421[[#This Row],[累计净值]]/$B$21-1</f>
        <v>0.17810945273631851</v>
      </c>
      <c r="H335" s="170">
        <f>表2_367162629303421[[#This Row],[累计净值]]/$F$196-1</f>
        <v>7.3436083408884745E-2</v>
      </c>
    </row>
    <row r="336" spans="1:8">
      <c r="A336" s="161">
        <v>44250</v>
      </c>
      <c r="B336" s="162">
        <v>1.1830000000000001</v>
      </c>
      <c r="C336" s="171">
        <f>IFERROR(B336-B335,0)</f>
        <v>-9.9999999999988987E-4</v>
      </c>
      <c r="D336" s="168">
        <f>IF(C336&lt;0,C336,"/")</f>
        <v>-9.9999999999988987E-4</v>
      </c>
      <c r="E336" s="168">
        <f ca="1">IF(表2_367162629303421[[#This Row],[累计净值]]/MAX(INDIRECT("B21:B" &amp; ROW()))-1&lt;E335,表2_367162629303421[[#This Row],[累计净值]]/MAX(INDIRECT("B21:B" &amp; ROW()))-1,E335)</f>
        <v>-1.6085790884718509E-2</v>
      </c>
      <c r="F336" s="110">
        <f>表2_367162629303421[[#This Row],[累计净值]]-0.145</f>
        <v>1.038</v>
      </c>
      <c r="G336" s="170">
        <f>表2_367162629303421[[#This Row],[累计净值]]/$B$21-1</f>
        <v>0.17711442786069664</v>
      </c>
      <c r="H336" s="170">
        <f>表2_367162629303421[[#This Row],[累计净值]]/$F$196-1</f>
        <v>7.2529465095195089E-2</v>
      </c>
    </row>
    <row r="337" spans="1:8">
      <c r="A337" s="161">
        <v>44251</v>
      </c>
      <c r="B337" s="162">
        <v>1.1830000000000001</v>
      </c>
      <c r="C337" s="171">
        <f>IFERROR(B337-B336,0)</f>
        <v>0</v>
      </c>
      <c r="D337" s="168" t="str">
        <f>IF(C337&lt;0,C337,"/")</f>
        <v>/</v>
      </c>
      <c r="E337" s="168">
        <f ca="1">IF(表2_367162629303421[[#This Row],[累计净值]]/MAX(INDIRECT("B21:B" &amp; ROW()))-1&lt;E336,表2_367162629303421[[#This Row],[累计净值]]/MAX(INDIRECT("B21:B" &amp; ROW()))-1,E336)</f>
        <v>-1.6085790884718509E-2</v>
      </c>
      <c r="F337" s="110">
        <f>表2_367162629303421[[#This Row],[累计净值]]-0.145</f>
        <v>1.038</v>
      </c>
      <c r="G337" s="170">
        <f>表2_367162629303421[[#This Row],[累计净值]]/$B$21-1</f>
        <v>0.17711442786069664</v>
      </c>
      <c r="H337" s="170">
        <f>表2_367162629303421[[#This Row],[累计净值]]/$F$196-1</f>
        <v>7.2529465095195089E-2</v>
      </c>
    </row>
    <row r="338" spans="1:8">
      <c r="A338" s="161">
        <v>44252</v>
      </c>
      <c r="B338" s="162">
        <v>1.1850000000000001</v>
      </c>
      <c r="C338" s="171">
        <f t="shared" ref="C338" si="58">IFERROR(B338-B337,0)</f>
        <v>2.0000000000000018E-3</v>
      </c>
      <c r="D338" s="168" t="str">
        <f t="shared" ref="D338" si="59">IF(C338&lt;0,C338,"/")</f>
        <v>/</v>
      </c>
      <c r="E338" s="168">
        <f ca="1">IF(表2_367162629303421[[#This Row],[累计净值]]/MAX(INDIRECT("B21:B" &amp; ROW()))-1&lt;E337,表2_367162629303421[[#This Row],[累计净值]]/MAX(INDIRECT("B21:B" &amp; ROW()))-1,E337)</f>
        <v>-1.6085790884718509E-2</v>
      </c>
      <c r="F338" s="110">
        <f>表2_367162629303421[[#This Row],[累计净值]]-0.145</f>
        <v>1.04</v>
      </c>
      <c r="G338" s="170">
        <f>表2_367162629303421[[#This Row],[累计净值]]/$B$21-1</f>
        <v>0.17910447761194037</v>
      </c>
      <c r="H338" s="170">
        <f>表2_367162629303421[[#This Row],[累计净值]]/$F$196-1</f>
        <v>7.4342701722574844E-2</v>
      </c>
    </row>
    <row r="339" spans="1:8">
      <c r="A339" s="161">
        <v>44253</v>
      </c>
      <c r="B339" s="162">
        <v>1.1830000000000001</v>
      </c>
      <c r="C339" s="171">
        <f>IFERROR(B339-B338,0)</f>
        <v>-2.0000000000000018E-3</v>
      </c>
      <c r="D339" s="168">
        <f>IF(C339&lt;0,C339,"/")</f>
        <v>-2.0000000000000018E-3</v>
      </c>
      <c r="E339" s="168">
        <f ca="1">IF(表2_367162629303421[[#This Row],[累计净值]]/MAX(INDIRECT("B21:B" &amp; ROW()))-1&lt;E338,表2_367162629303421[[#This Row],[累计净值]]/MAX(INDIRECT("B21:B" &amp; ROW()))-1,E338)</f>
        <v>-1.6085790884718509E-2</v>
      </c>
      <c r="F339" s="110">
        <f>表2_367162629303421[[#This Row],[累计净值]]-0.145</f>
        <v>1.038</v>
      </c>
      <c r="G339" s="170">
        <f>表2_367162629303421[[#This Row],[累计净值]]/$B$21-1</f>
        <v>0.17711442786069664</v>
      </c>
      <c r="H339" s="170">
        <f>表2_367162629303421[[#This Row],[累计净值]]/$F$196-1</f>
        <v>7.2529465095195089E-2</v>
      </c>
    </row>
    <row r="340" spans="1:8">
      <c r="A340" s="161">
        <v>44256</v>
      </c>
      <c r="B340" s="178">
        <v>1.1879999999999999</v>
      </c>
      <c r="C340" s="171">
        <f>IFERROR(B340-B339,0)</f>
        <v>4.9999999999998934E-3</v>
      </c>
      <c r="D340" s="168" t="str">
        <f>IF(C340&lt;0,C340,"/")</f>
        <v>/</v>
      </c>
      <c r="E340" s="168">
        <f ca="1">IF(表2_367162629303421[[#This Row],[累计净值]]/MAX(INDIRECT("B21:B" &amp; ROW()))-1&lt;E339,表2_367162629303421[[#This Row],[累计净值]]/MAX(INDIRECT("B21:B" &amp; ROW()))-1,E339)</f>
        <v>-1.6085790884718509E-2</v>
      </c>
      <c r="F340" s="110">
        <f>表2_367162629303421[[#This Row],[累计净值]]-0.145</f>
        <v>1.0429999999999999</v>
      </c>
      <c r="G340" s="170">
        <f>表2_367162629303421[[#This Row],[累计净值]]/$B$21-1</f>
        <v>0.18208955223880596</v>
      </c>
      <c r="H340" s="170">
        <f>表2_367162629303421[[#This Row],[累计净值]]/$F$196-1</f>
        <v>7.7062556663644477E-2</v>
      </c>
    </row>
    <row r="341" spans="1:8">
      <c r="A341" s="161">
        <v>44257</v>
      </c>
      <c r="B341" s="162">
        <v>1.1859999999999999</v>
      </c>
      <c r="C341" s="171">
        <f t="shared" ref="C341" si="60">IFERROR(B341-B340,0)</f>
        <v>-2.0000000000000018E-3</v>
      </c>
      <c r="D341" s="168">
        <f t="shared" ref="D341" si="61">IF(C341&lt;0,C341,"/")</f>
        <v>-2.0000000000000018E-3</v>
      </c>
      <c r="E341" s="168">
        <f ca="1">IF(表2_367162629303421[[#This Row],[累计净值]]/MAX(INDIRECT("B21:B" &amp; ROW()))-1&lt;E340,表2_367162629303421[[#This Row],[累计净值]]/MAX(INDIRECT("B21:B" &amp; ROW()))-1,E340)</f>
        <v>-1.6085790884718509E-2</v>
      </c>
      <c r="F341" s="110">
        <f>表2_367162629303421[[#This Row],[累计净值]]-0.145</f>
        <v>1.0409999999999999</v>
      </c>
      <c r="G341" s="170">
        <f>表2_367162629303421[[#This Row],[累计净值]]/$B$21-1</f>
        <v>0.18009950248756224</v>
      </c>
      <c r="H341" s="170">
        <f>表2_367162629303421[[#This Row],[累计净值]]/$F$196-1</f>
        <v>7.5249320036264722E-2</v>
      </c>
    </row>
    <row r="342" spans="1:8">
      <c r="A342" s="161">
        <v>44258</v>
      </c>
      <c r="B342" s="162">
        <v>1.1850000000000001</v>
      </c>
      <c r="C342" s="171">
        <f t="shared" ref="C342:C343" si="62">IFERROR(B342-B341,0)</f>
        <v>-9.9999999999988987E-4</v>
      </c>
      <c r="D342" s="168">
        <f t="shared" ref="D342:D343" si="63">IF(C342&lt;0,C342,"/")</f>
        <v>-9.9999999999988987E-4</v>
      </c>
      <c r="E342" s="168">
        <f ca="1">IF(表2_367162629303421[[#This Row],[累计净值]]/MAX(INDIRECT("B21:B" &amp; ROW()))-1&lt;E341,表2_367162629303421[[#This Row],[累计净值]]/MAX(INDIRECT("B21:B" &amp; ROW()))-1,E341)</f>
        <v>-1.6085790884718509E-2</v>
      </c>
      <c r="F342" s="110">
        <f>表2_367162629303421[[#This Row],[累计净值]]-0.145</f>
        <v>1.04</v>
      </c>
      <c r="G342" s="170">
        <f>表2_367162629303421[[#This Row],[累计净值]]/$B$21-1</f>
        <v>0.17910447761194037</v>
      </c>
      <c r="H342" s="170">
        <f>表2_367162629303421[[#This Row],[累计净值]]/$F$196-1</f>
        <v>7.4342701722574844E-2</v>
      </c>
    </row>
    <row r="343" spans="1:8">
      <c r="A343" s="161">
        <v>44259</v>
      </c>
      <c r="B343" s="162">
        <v>1.1870000000000001</v>
      </c>
      <c r="C343" s="171">
        <f t="shared" si="62"/>
        <v>2.0000000000000018E-3</v>
      </c>
      <c r="D343" s="168" t="str">
        <f t="shared" si="63"/>
        <v>/</v>
      </c>
      <c r="E343" s="168">
        <f ca="1">IF(表2_367162629303421[[#This Row],[累计净值]]/MAX(INDIRECT("B21:B" &amp; ROW()))-1&lt;E342,表2_367162629303421[[#This Row],[累计净值]]/MAX(INDIRECT("B21:B" &amp; ROW()))-1,E342)</f>
        <v>-1.6085790884718509E-2</v>
      </c>
      <c r="F343" s="110">
        <f>表2_367162629303421[[#This Row],[累计净值]]-0.145</f>
        <v>1.042</v>
      </c>
      <c r="G343" s="170">
        <f>表2_367162629303421[[#This Row],[累计净值]]/$B$21-1</f>
        <v>0.18109452736318432</v>
      </c>
      <c r="H343" s="170">
        <f>表2_367162629303421[[#This Row],[累计净值]]/$F$196-1</f>
        <v>7.6155938349954821E-2</v>
      </c>
    </row>
    <row r="344" spans="1:8">
      <c r="A344" s="161">
        <v>44260</v>
      </c>
      <c r="B344" s="162">
        <v>1.1850000000000001</v>
      </c>
      <c r="C344" s="171">
        <f t="shared" ref="C344:C345" si="64">IFERROR(B344-B343,0)</f>
        <v>-2.0000000000000018E-3</v>
      </c>
      <c r="D344" s="168">
        <f t="shared" ref="D344:D345" si="65">IF(C344&lt;0,C344,"/")</f>
        <v>-2.0000000000000018E-3</v>
      </c>
      <c r="E344" s="168">
        <f ca="1">IF(表2_367162629303421[[#This Row],[累计净值]]/MAX(INDIRECT("B21:B" &amp; ROW()))-1&lt;E343,表2_367162629303421[[#This Row],[累计净值]]/MAX(INDIRECT("B21:B" &amp; ROW()))-1,E343)</f>
        <v>-1.6085790884718509E-2</v>
      </c>
      <c r="F344" s="110">
        <f>表2_367162629303421[[#This Row],[累计净值]]-0.145</f>
        <v>1.04</v>
      </c>
      <c r="G344" s="170">
        <f>表2_367162629303421[[#This Row],[累计净值]]/$B$21-1</f>
        <v>0.17910447761194037</v>
      </c>
      <c r="H344" s="170">
        <f>表2_367162629303421[[#This Row],[累计净值]]/$F$196-1</f>
        <v>7.4342701722574844E-2</v>
      </c>
    </row>
    <row r="345" spans="1:8">
      <c r="A345" s="161">
        <v>44263</v>
      </c>
      <c r="B345" s="162">
        <v>1.1859999999999999</v>
      </c>
      <c r="C345" s="171">
        <f t="shared" si="64"/>
        <v>9.9999999999988987E-4</v>
      </c>
      <c r="D345" s="168" t="str">
        <f t="shared" si="65"/>
        <v>/</v>
      </c>
      <c r="E345" s="168">
        <f ca="1">IF(表2_367162629303421[[#This Row],[累计净值]]/MAX(INDIRECT("B21:B" &amp; ROW()))-1&lt;E344,表2_367162629303421[[#This Row],[累计净值]]/MAX(INDIRECT("B21:B" &amp; ROW()))-1,E344)</f>
        <v>-1.6085790884718509E-2</v>
      </c>
      <c r="F345" s="110">
        <f>表2_367162629303421[[#This Row],[累计净值]]-0.145</f>
        <v>1.0409999999999999</v>
      </c>
      <c r="G345" s="170">
        <f>表2_367162629303421[[#This Row],[累计净值]]/$B$21-1</f>
        <v>0.18009950248756224</v>
      </c>
      <c r="H345" s="170">
        <f>表2_367162629303421[[#This Row],[累计净值]]/$F$196-1</f>
        <v>7.5249320036264722E-2</v>
      </c>
    </row>
    <row r="346" spans="1:8">
      <c r="A346" s="161">
        <v>44264</v>
      </c>
      <c r="B346" s="162">
        <v>1.1890000000000001</v>
      </c>
      <c r="C346" s="171">
        <f t="shared" ref="C346:C350" si="66">IFERROR(B346-B345,0)</f>
        <v>3.0000000000001137E-3</v>
      </c>
      <c r="D346" s="168" t="str">
        <f t="shared" ref="D346:D350" si="67">IF(C346&lt;0,C346,"/")</f>
        <v>/</v>
      </c>
      <c r="E346" s="168">
        <f ca="1">IF(表2_367162629303421[[#This Row],[累计净值]]/MAX(INDIRECT("B21:B" &amp; ROW()))-1&lt;E345,表2_367162629303421[[#This Row],[累计净值]]/MAX(INDIRECT("B21:B" &amp; ROW()))-1,E345)</f>
        <v>-1.6085790884718509E-2</v>
      </c>
      <c r="F346" s="110">
        <f>表2_367162629303421[[#This Row],[累计净值]]-0.145</f>
        <v>1.044</v>
      </c>
      <c r="G346" s="170">
        <f>表2_367162629303421[[#This Row],[累计净值]]/$B$21-1</f>
        <v>0.18308457711442805</v>
      </c>
      <c r="H346" s="170">
        <f>表2_367162629303421[[#This Row],[累计净值]]/$F$196-1</f>
        <v>7.7969174977334577E-2</v>
      </c>
    </row>
    <row r="347" spans="1:8">
      <c r="A347" s="161">
        <v>44265</v>
      </c>
      <c r="B347" s="162">
        <v>1.19</v>
      </c>
      <c r="C347" s="171">
        <f t="shared" si="66"/>
        <v>9.9999999999988987E-4</v>
      </c>
      <c r="D347" s="168" t="str">
        <f t="shared" si="67"/>
        <v>/</v>
      </c>
      <c r="E347" s="168">
        <f ca="1">IF(表2_367162629303421[[#This Row],[累计净值]]/MAX(INDIRECT("B21:B" &amp; ROW()))-1&lt;E346,表2_367162629303421[[#This Row],[累计净值]]/MAX(INDIRECT("B21:B" &amp; ROW()))-1,E346)</f>
        <v>-1.6085790884718509E-2</v>
      </c>
      <c r="F347" s="110">
        <f>表2_367162629303421[[#This Row],[累计净值]]-0.145</f>
        <v>1.0449999999999999</v>
      </c>
      <c r="G347" s="170">
        <f>表2_367162629303421[[#This Row],[累计净值]]/$B$21-1</f>
        <v>0.18407960199004991</v>
      </c>
      <c r="H347" s="170">
        <f>表2_367162629303421[[#This Row],[累计净值]]/$F$196-1</f>
        <v>7.8875793291024454E-2</v>
      </c>
    </row>
    <row r="348" spans="1:8">
      <c r="A348" s="161">
        <v>44266</v>
      </c>
      <c r="B348" s="162">
        <v>1.1879999999999999</v>
      </c>
      <c r="C348" s="171">
        <f t="shared" si="66"/>
        <v>-2.0000000000000018E-3</v>
      </c>
      <c r="D348" s="168">
        <f t="shared" si="67"/>
        <v>-2.0000000000000018E-3</v>
      </c>
      <c r="E348" s="168">
        <f ca="1">IF(表2_367162629303421[[#This Row],[累计净值]]/MAX(INDIRECT("B21:B" &amp; ROW()))-1&lt;E347,表2_367162629303421[[#This Row],[累计净值]]/MAX(INDIRECT("B21:B" &amp; ROW()))-1,E347)</f>
        <v>-1.6085790884718509E-2</v>
      </c>
      <c r="F348" s="110">
        <f>表2_367162629303421[[#This Row],[累计净值]]-0.145</f>
        <v>1.0429999999999999</v>
      </c>
      <c r="G348" s="170">
        <f>表2_367162629303421[[#This Row],[累计净值]]/$B$21-1</f>
        <v>0.18208955223880596</v>
      </c>
      <c r="H348" s="170">
        <f>表2_367162629303421[[#This Row],[累计净值]]/$F$196-1</f>
        <v>7.7062556663644477E-2</v>
      </c>
    </row>
    <row r="349" spans="1:8">
      <c r="A349" s="161">
        <v>44267</v>
      </c>
      <c r="B349" s="162">
        <v>1.1910000000000001</v>
      </c>
      <c r="C349" s="171">
        <f t="shared" si="66"/>
        <v>3.0000000000001137E-3</v>
      </c>
      <c r="D349" s="168" t="str">
        <f t="shared" si="67"/>
        <v>/</v>
      </c>
      <c r="E349" s="168">
        <f ca="1">IF(表2_367162629303421[[#This Row],[累计净值]]/MAX(INDIRECT("B21:B" &amp; ROW()))-1&lt;E348,表2_367162629303421[[#This Row],[累计净值]]/MAX(INDIRECT("B21:B" &amp; ROW()))-1,E348)</f>
        <v>-1.6085790884718509E-2</v>
      </c>
      <c r="F349" s="110">
        <f>表2_367162629303421[[#This Row],[累计净值]]-0.145</f>
        <v>1.046</v>
      </c>
      <c r="G349" s="170">
        <f>表2_367162629303421[[#This Row],[累计净值]]/$B$21-1</f>
        <v>0.18507462686567178</v>
      </c>
      <c r="H349" s="170">
        <f>表2_367162629303421[[#This Row],[累计净值]]/$F$196-1</f>
        <v>7.9782411604714554E-2</v>
      </c>
    </row>
    <row r="350" spans="1:8">
      <c r="A350" s="161">
        <v>44270</v>
      </c>
      <c r="B350" s="178">
        <v>1.194</v>
      </c>
      <c r="C350" s="171">
        <f t="shared" si="66"/>
        <v>2.9999999999998916E-3</v>
      </c>
      <c r="D350" s="168" t="str">
        <f t="shared" si="67"/>
        <v>/</v>
      </c>
      <c r="E350" s="168">
        <f ca="1">IF(表2_367162629303421[[#This Row],[累计净值]]/MAX(INDIRECT("B21:B" &amp; ROW()))-1&lt;E349,表2_367162629303421[[#This Row],[累计净值]]/MAX(INDIRECT("B21:B" &amp; ROW()))-1,E349)</f>
        <v>-1.6085790884718509E-2</v>
      </c>
      <c r="F350" s="110">
        <f>表2_367162629303421[[#This Row],[累计净值]]-0.145</f>
        <v>1.0489999999999999</v>
      </c>
      <c r="G350" s="170">
        <f>表2_367162629303421[[#This Row],[累计净值]]/$B$21-1</f>
        <v>0.18805970149253737</v>
      </c>
      <c r="H350" s="170">
        <f>表2_367162629303421[[#This Row],[累计净值]]/$F$196-1</f>
        <v>8.2502266545784186E-2</v>
      </c>
    </row>
    <row r="351" spans="1:8">
      <c r="A351" s="161">
        <v>44271</v>
      </c>
      <c r="B351" s="162">
        <v>1.1919999999999999</v>
      </c>
      <c r="C351" s="171">
        <f>IFERROR(B351-B350,0)</f>
        <v>-2.0000000000000018E-3</v>
      </c>
      <c r="D351" s="168">
        <f>IF(C351&lt;0,C351,"/")</f>
        <v>-2.0000000000000018E-3</v>
      </c>
      <c r="E351" s="168">
        <f ca="1">IF(表2_367162629303421[[#This Row],[累计净值]]/MAX(INDIRECT("B21:B" &amp; ROW()))-1&lt;E350,表2_367162629303421[[#This Row],[累计净值]]/MAX(INDIRECT("B21:B" &amp; ROW()))-1,E350)</f>
        <v>-1.6085790884718509E-2</v>
      </c>
      <c r="F351" s="110">
        <f>表2_367162629303421[[#This Row],[累计净值]]-0.145</f>
        <v>1.0469999999999999</v>
      </c>
      <c r="G351" s="170">
        <f>表2_367162629303421[[#This Row],[累计净值]]/$B$21-1</f>
        <v>0.18606965174129364</v>
      </c>
      <c r="H351" s="170">
        <f>表2_367162629303421[[#This Row],[累计净值]]/$F$196-1</f>
        <v>8.0689029918404431E-2</v>
      </c>
    </row>
    <row r="352" spans="1:8">
      <c r="A352" s="161">
        <v>44272</v>
      </c>
      <c r="B352" s="162">
        <v>1.1919999999999999</v>
      </c>
      <c r="C352" s="171">
        <f>IFERROR(B352-B351,0)</f>
        <v>0</v>
      </c>
      <c r="D352" s="168" t="str">
        <f>IF(C352&lt;0,C352,"/")</f>
        <v>/</v>
      </c>
      <c r="E352" s="168">
        <f ca="1">IF(表2_367162629303421[[#This Row],[累计净值]]/MAX(INDIRECT("B21:B" &amp; ROW()))-1&lt;E351,表2_367162629303421[[#This Row],[累计净值]]/MAX(INDIRECT("B21:B" &amp; ROW()))-1,E351)</f>
        <v>-1.6085790884718509E-2</v>
      </c>
      <c r="F352" s="110">
        <f>表2_367162629303421[[#This Row],[累计净值]]-0.145</f>
        <v>1.0469999999999999</v>
      </c>
      <c r="G352" s="170">
        <f>表2_367162629303421[[#This Row],[累计净值]]/$B$21-1</f>
        <v>0.18606965174129364</v>
      </c>
      <c r="H352" s="170">
        <f>表2_367162629303421[[#This Row],[累计净值]]/$F$196-1</f>
        <v>8.0689029918404431E-2</v>
      </c>
    </row>
    <row r="353" spans="1:8">
      <c r="A353" s="161">
        <v>44273</v>
      </c>
      <c r="B353" s="162">
        <v>1.1930000000000001</v>
      </c>
      <c r="C353" s="171">
        <f>IFERROR(B353-B352,0)</f>
        <v>1.0000000000001119E-3</v>
      </c>
      <c r="D353" s="168" t="str">
        <f>IF(C353&lt;0,C353,"/")</f>
        <v>/</v>
      </c>
      <c r="E353" s="168">
        <f ca="1">IF(表2_367162629303421[[#This Row],[累计净值]]/MAX(INDIRECT("B21:B" &amp; ROW()))-1&lt;E352,表2_367162629303421[[#This Row],[累计净值]]/MAX(INDIRECT("B21:B" &amp; ROW()))-1,E352)</f>
        <v>-1.6085790884718509E-2</v>
      </c>
      <c r="F353" s="110">
        <f>表2_367162629303421[[#This Row],[累计净值]]-0.145</f>
        <v>1.048</v>
      </c>
      <c r="G353" s="170">
        <f>表2_367162629303421[[#This Row],[累计净值]]/$B$21-1</f>
        <v>0.1870646766169155</v>
      </c>
      <c r="H353" s="170">
        <f>表2_367162629303421[[#This Row],[累计净值]]/$F$196-1</f>
        <v>8.1595648232094309E-2</v>
      </c>
    </row>
    <row r="354" spans="1:8">
      <c r="A354" s="161">
        <v>44274</v>
      </c>
      <c r="B354" s="162">
        <v>1.196</v>
      </c>
      <c r="C354" s="171">
        <f>IFERROR(B354-B353,0)</f>
        <v>2.9999999999998916E-3</v>
      </c>
      <c r="D354" s="168" t="str">
        <f>IF(C354&lt;0,C354,"/")</f>
        <v>/</v>
      </c>
      <c r="E354" s="168">
        <f ca="1">IF(表2_367162629303421[[#This Row],[累计净值]]/MAX(INDIRECT("B21:B" &amp; ROW()))-1&lt;E353,表2_367162629303421[[#This Row],[累计净值]]/MAX(INDIRECT("B21:B" &amp; ROW()))-1,E353)</f>
        <v>-1.6085790884718509E-2</v>
      </c>
      <c r="F354" s="110">
        <f>表2_367162629303421[[#This Row],[累计净值]]-0.145</f>
        <v>1.0509999999999999</v>
      </c>
      <c r="G354" s="170">
        <f>表2_367162629303421[[#This Row],[累计净值]]/$B$21-1</f>
        <v>0.1900497512437811</v>
      </c>
      <c r="H354" s="170">
        <f>表2_367162629303421[[#This Row],[累计净值]]/$F$196-1</f>
        <v>8.4315503173164164E-2</v>
      </c>
    </row>
    <row r="355" spans="1:8">
      <c r="A355" s="161">
        <v>44277</v>
      </c>
      <c r="B355" s="162">
        <v>1.1950000000000001</v>
      </c>
      <c r="C355" s="171">
        <f>IFERROR(B355-B354,0)</f>
        <v>-9.9999999999988987E-4</v>
      </c>
      <c r="D355" s="168">
        <f>IF(C355&lt;0,C355,"/")</f>
        <v>-9.9999999999988987E-4</v>
      </c>
      <c r="E355" s="168">
        <f ca="1">IF(表2_367162629303421[[#This Row],[累计净值]]/MAX(INDIRECT("B21:B" &amp; ROW()))-1&lt;E354,表2_367162629303421[[#This Row],[累计净值]]/MAX(INDIRECT("B21:B" &amp; ROW()))-1,E354)</f>
        <v>-1.6085790884718509E-2</v>
      </c>
      <c r="F355" s="110">
        <f>表2_367162629303421[[#This Row],[累计净值]]-0.145</f>
        <v>1.05</v>
      </c>
      <c r="G355" s="170">
        <f>表2_367162629303421[[#This Row],[累计净值]]/$B$21-1</f>
        <v>0.18905472636815945</v>
      </c>
      <c r="H355" s="170">
        <f>表2_367162629303421[[#This Row],[累计净值]]/$F$196-1</f>
        <v>8.3408884859474286E-2</v>
      </c>
    </row>
    <row r="356" spans="1:8">
      <c r="A356" s="161">
        <v>44278</v>
      </c>
      <c r="B356" s="162">
        <v>1.196</v>
      </c>
      <c r="C356" s="171">
        <f t="shared" ref="C356:C359" si="68">IFERROR(B356-B355,0)</f>
        <v>9.9999999999988987E-4</v>
      </c>
      <c r="D356" s="168" t="str">
        <f t="shared" ref="D356:D359" si="69">IF(C356&lt;0,C356,"/")</f>
        <v>/</v>
      </c>
      <c r="E356" s="168">
        <f ca="1">IF(表2_367162629303421[[#This Row],[累计净值]]/MAX(INDIRECT("B21:B" &amp; ROW()))-1&lt;E355,表2_367162629303421[[#This Row],[累计净值]]/MAX(INDIRECT("B21:B" &amp; ROW()))-1,E355)</f>
        <v>-1.6085790884718509E-2</v>
      </c>
      <c r="F356" s="110">
        <f>表2_367162629303421[[#This Row],[累计净值]]-0.145</f>
        <v>1.0509999999999999</v>
      </c>
      <c r="G356" s="170">
        <f>表2_367162629303421[[#This Row],[累计净值]]/$B$21-1</f>
        <v>0.1900497512437811</v>
      </c>
      <c r="H356" s="170">
        <f>表2_367162629303421[[#This Row],[累计净值]]/$F$196-1</f>
        <v>8.4315503173164164E-2</v>
      </c>
    </row>
    <row r="357" spans="1:8">
      <c r="A357" s="161">
        <v>44279</v>
      </c>
      <c r="B357" s="162">
        <v>1.1950000000000001</v>
      </c>
      <c r="C357" s="171">
        <f t="shared" si="68"/>
        <v>-9.9999999999988987E-4</v>
      </c>
      <c r="D357" s="168">
        <f t="shared" si="69"/>
        <v>-9.9999999999988987E-4</v>
      </c>
      <c r="E357" s="168">
        <f ca="1">IF(表2_367162629303421[[#This Row],[累计净值]]/MAX(INDIRECT("B21:B" &amp; ROW()))-1&lt;E356,表2_367162629303421[[#This Row],[累计净值]]/MAX(INDIRECT("B21:B" &amp; ROW()))-1,E356)</f>
        <v>-1.6085790884718509E-2</v>
      </c>
      <c r="F357" s="110">
        <f>表2_367162629303421[[#This Row],[累计净值]]-0.145</f>
        <v>1.05</v>
      </c>
      <c r="G357" s="170">
        <f>表2_367162629303421[[#This Row],[累计净值]]/$B$21-1</f>
        <v>0.18905472636815945</v>
      </c>
      <c r="H357" s="170">
        <f>表2_367162629303421[[#This Row],[累计净值]]/$F$196-1</f>
        <v>8.3408884859474286E-2</v>
      </c>
    </row>
    <row r="358" spans="1:8">
      <c r="A358" s="161">
        <v>44280</v>
      </c>
      <c r="B358" s="162">
        <v>1.1970000000000001</v>
      </c>
      <c r="C358" s="171">
        <f t="shared" si="68"/>
        <v>2.0000000000000018E-3</v>
      </c>
      <c r="D358" s="168" t="str">
        <f t="shared" si="69"/>
        <v>/</v>
      </c>
      <c r="E358" s="168">
        <f ca="1">IF(表2_367162629303421[[#This Row],[累计净值]]/MAX(INDIRECT("B21:B" &amp; ROW()))-1&lt;E357,表2_367162629303421[[#This Row],[累计净值]]/MAX(INDIRECT("B21:B" &amp; ROW()))-1,E357)</f>
        <v>-1.6085790884718509E-2</v>
      </c>
      <c r="F358" s="110">
        <f>表2_367162629303421[[#This Row],[累计净值]]-0.145</f>
        <v>1.052</v>
      </c>
      <c r="G358" s="170">
        <f>表2_367162629303421[[#This Row],[累计净值]]/$B$21-1</f>
        <v>0.19104477611940318</v>
      </c>
      <c r="H358" s="170">
        <f>表2_367162629303421[[#This Row],[累计净值]]/$F$196-1</f>
        <v>8.5222121486854041E-2</v>
      </c>
    </row>
    <row r="359" spans="1:8">
      <c r="A359" s="161">
        <v>44281</v>
      </c>
      <c r="B359" s="162">
        <v>1.198</v>
      </c>
      <c r="C359" s="171">
        <f t="shared" si="68"/>
        <v>9.9999999999988987E-4</v>
      </c>
      <c r="D359" s="168" t="str">
        <f t="shared" si="69"/>
        <v>/</v>
      </c>
      <c r="E359" s="168">
        <f ca="1">IF(表2_367162629303421[[#This Row],[累计净值]]/MAX(INDIRECT("B21:B" &amp; ROW()))-1&lt;E358,表2_367162629303421[[#This Row],[累计净值]]/MAX(INDIRECT("B21:B" &amp; ROW()))-1,E358)</f>
        <v>-1.6085790884718509E-2</v>
      </c>
      <c r="F359" s="110">
        <f>表2_367162629303421[[#This Row],[累计净值]]-0.145</f>
        <v>1.0529999999999999</v>
      </c>
      <c r="G359" s="170">
        <f>表2_367162629303421[[#This Row],[累计净值]]/$B$21-1</f>
        <v>0.19203980099502505</v>
      </c>
      <c r="H359" s="170">
        <f>表2_367162629303421[[#This Row],[累计净值]]/$F$196-1</f>
        <v>8.6128739800543919E-2</v>
      </c>
    </row>
    <row r="360" spans="1:8">
      <c r="A360" s="161">
        <v>44284</v>
      </c>
      <c r="B360" s="162">
        <v>1.2</v>
      </c>
      <c r="C360" s="171">
        <f t="shared" ref="C360:C366" si="70">IFERROR(B360-B359,0)</f>
        <v>2.0000000000000018E-3</v>
      </c>
      <c r="D360" s="168" t="str">
        <f t="shared" ref="D360:D366" si="71">IF(C360&lt;0,C360,"/")</f>
        <v>/</v>
      </c>
      <c r="E360" s="168">
        <f ca="1">IF(表2_367162629303421[[#This Row],[累计净值]]/MAX(INDIRECT("B21:B" &amp; ROW()))-1&lt;E359,表2_367162629303421[[#This Row],[累计净值]]/MAX(INDIRECT("B21:B" &amp; ROW()))-1,E359)</f>
        <v>-1.6085790884718509E-2</v>
      </c>
      <c r="F360" s="110">
        <f>表2_367162629303421[[#This Row],[累计净值]]-0.145</f>
        <v>1.0549999999999999</v>
      </c>
      <c r="G360" s="170">
        <f>表2_367162629303421[[#This Row],[累计净值]]/$B$21-1</f>
        <v>0.19402985074626877</v>
      </c>
      <c r="H360" s="170">
        <f>表2_367162629303421[[#This Row],[累计净值]]/$F$196-1</f>
        <v>8.7941976427923896E-2</v>
      </c>
    </row>
    <row r="361" spans="1:8">
      <c r="A361" s="161">
        <v>44285</v>
      </c>
      <c r="B361" s="162">
        <v>1.204</v>
      </c>
      <c r="C361" s="171">
        <f t="shared" si="70"/>
        <v>4.0000000000000036E-3</v>
      </c>
      <c r="D361" s="168" t="str">
        <f t="shared" si="71"/>
        <v>/</v>
      </c>
      <c r="E361" s="168">
        <f ca="1">IF(表2_367162629303421[[#This Row],[累计净值]]/MAX(INDIRECT("B21:B" &amp; ROW()))-1&lt;E360,表2_367162629303421[[#This Row],[累计净值]]/MAX(INDIRECT("B21:B" &amp; ROW()))-1,E360)</f>
        <v>-1.6085790884718509E-2</v>
      </c>
      <c r="F361" s="110">
        <f>表2_367162629303421[[#This Row],[累计净值]]-0.145</f>
        <v>1.0589999999999999</v>
      </c>
      <c r="G361" s="170">
        <f>表2_367162629303421[[#This Row],[累计净值]]/$B$21-1</f>
        <v>0.19800995024875623</v>
      </c>
      <c r="H361" s="170">
        <f>表2_367162629303421[[#This Row],[累计净值]]/$F$196-1</f>
        <v>9.1568449682683628E-2</v>
      </c>
    </row>
    <row r="362" spans="1:8">
      <c r="A362" s="161">
        <v>44286</v>
      </c>
      <c r="B362" s="162">
        <v>1.202</v>
      </c>
      <c r="C362" s="171">
        <f t="shared" si="70"/>
        <v>-2.0000000000000018E-3</v>
      </c>
      <c r="D362" s="168">
        <f t="shared" si="71"/>
        <v>-2.0000000000000018E-3</v>
      </c>
      <c r="E362" s="168">
        <f ca="1">IF(表2_367162629303421[[#This Row],[累计净值]]/MAX(INDIRECT("B21:B" &amp; ROW()))-1&lt;E361,表2_367162629303421[[#This Row],[累计净值]]/MAX(INDIRECT("B21:B" &amp; ROW()))-1,E361)</f>
        <v>-1.6085790884718509E-2</v>
      </c>
      <c r="F362" s="110">
        <f>表2_367162629303421[[#This Row],[累计净值]]-0.145</f>
        <v>1.0569999999999999</v>
      </c>
      <c r="G362" s="170">
        <f>表2_367162629303421[[#This Row],[累计净值]]/$B$21-1</f>
        <v>0.1960199004975125</v>
      </c>
      <c r="H362" s="170">
        <f>表2_367162629303421[[#This Row],[累计净值]]/$F$196-1</f>
        <v>8.9755213055303651E-2</v>
      </c>
    </row>
    <row r="363" spans="1:8">
      <c r="A363" s="161">
        <v>44287</v>
      </c>
      <c r="B363" s="162">
        <v>1.2070000000000001</v>
      </c>
      <c r="C363" s="171">
        <f t="shared" si="70"/>
        <v>5.0000000000001155E-3</v>
      </c>
      <c r="D363" s="168" t="str">
        <f t="shared" si="71"/>
        <v>/</v>
      </c>
      <c r="E363" s="168">
        <f ca="1">IF(表2_367162629303421[[#This Row],[累计净值]]/MAX(INDIRECT("B21:B" &amp; ROW()))-1&lt;E362,表2_367162629303421[[#This Row],[累计净值]]/MAX(INDIRECT("B21:B" &amp; ROW()))-1,E362)</f>
        <v>-1.6085790884718509E-2</v>
      </c>
      <c r="F363" s="110">
        <f>表2_367162629303421[[#This Row],[累计净值]]-0.145</f>
        <v>1.0620000000000001</v>
      </c>
      <c r="G363" s="170">
        <f>表2_367162629303421[[#This Row],[累计净值]]/$B$21-1</f>
        <v>0.20099502487562204</v>
      </c>
      <c r="H363" s="170">
        <f>表2_367162629303421[[#This Row],[累计净值]]/$F$196-1</f>
        <v>9.4288304623753483E-2</v>
      </c>
    </row>
    <row r="364" spans="1:8">
      <c r="A364" s="161">
        <v>44288</v>
      </c>
      <c r="B364" s="162">
        <v>1.208</v>
      </c>
      <c r="C364" s="171">
        <f t="shared" si="70"/>
        <v>9.9999999999988987E-4</v>
      </c>
      <c r="D364" s="168" t="str">
        <f t="shared" si="71"/>
        <v>/</v>
      </c>
      <c r="E364" s="168">
        <f ca="1">IF(表2_367162629303421[[#This Row],[累计净值]]/MAX(INDIRECT("B21:B" &amp; ROW()))-1&lt;E363,表2_367162629303421[[#This Row],[累计净值]]/MAX(INDIRECT("B21:B" &amp; ROW()))-1,E363)</f>
        <v>-1.6085790884718509E-2</v>
      </c>
      <c r="F364" s="110">
        <f>表2_367162629303421[[#This Row],[累计净值]]-0.145</f>
        <v>1.0629999999999999</v>
      </c>
      <c r="G364" s="170">
        <f>表2_367162629303421[[#This Row],[累计净值]]/$B$21-1</f>
        <v>0.20199004975124391</v>
      </c>
      <c r="H364" s="170">
        <f>表2_367162629303421[[#This Row],[累计净值]]/$F$196-1</f>
        <v>9.519492293744336E-2</v>
      </c>
    </row>
    <row r="365" spans="1:8">
      <c r="A365" s="161">
        <v>44292</v>
      </c>
      <c r="B365" s="162">
        <v>1.2090000000000001</v>
      </c>
      <c r="C365" s="171">
        <f t="shared" si="70"/>
        <v>1.0000000000001119E-3</v>
      </c>
      <c r="D365" s="168" t="str">
        <f t="shared" si="71"/>
        <v>/</v>
      </c>
      <c r="E365" s="168">
        <f ca="1">IF(表2_367162629303421[[#This Row],[累计净值]]/MAX(INDIRECT("B21:B" &amp; ROW()))-1&lt;E364,表2_367162629303421[[#This Row],[累计净值]]/MAX(INDIRECT("B21:B" &amp; ROW()))-1,E364)</f>
        <v>-1.6085790884718509E-2</v>
      </c>
      <c r="F365" s="110">
        <f>表2_367162629303421[[#This Row],[累计净值]]-0.145</f>
        <v>1.0640000000000001</v>
      </c>
      <c r="G365" s="170">
        <f>表2_367162629303421[[#This Row],[累计净值]]/$B$21-1</f>
        <v>0.20298507462686577</v>
      </c>
      <c r="H365" s="170">
        <f>表2_367162629303421[[#This Row],[累计净值]]/$F$196-1</f>
        <v>9.610154125113346E-2</v>
      </c>
    </row>
    <row r="366" spans="1:8">
      <c r="A366" s="161">
        <v>44293</v>
      </c>
      <c r="B366" s="162">
        <v>1.208</v>
      </c>
      <c r="C366" s="171">
        <f t="shared" si="70"/>
        <v>-1.0000000000001119E-3</v>
      </c>
      <c r="D366" s="168">
        <f t="shared" si="71"/>
        <v>-1.0000000000001119E-3</v>
      </c>
      <c r="E366" s="168">
        <f ca="1">IF(表2_367162629303421[[#This Row],[累计净值]]/MAX(INDIRECT("B21:B" &amp; ROW()))-1&lt;E365,表2_367162629303421[[#This Row],[累计净值]]/MAX(INDIRECT("B21:B" &amp; ROW()))-1,E365)</f>
        <v>-1.6085790884718509E-2</v>
      </c>
      <c r="F366" s="110">
        <f>表2_367162629303421[[#This Row],[累计净值]]-0.145</f>
        <v>1.0629999999999999</v>
      </c>
      <c r="G366" s="170">
        <f>表2_367162629303421[[#This Row],[累计净值]]/$B$21-1</f>
        <v>0.20199004975124391</v>
      </c>
      <c r="H366" s="170">
        <f>表2_367162629303421[[#This Row],[累计净值]]/$F$196-1</f>
        <v>9.519492293744336E-2</v>
      </c>
    </row>
    <row r="367" spans="1:8">
      <c r="A367" s="161">
        <v>44294</v>
      </c>
      <c r="B367" s="162">
        <v>1.208</v>
      </c>
      <c r="C367" s="171">
        <f t="shared" ref="C367:C373" si="72">IFERROR(B367-B366,0)</f>
        <v>0</v>
      </c>
      <c r="D367" s="168" t="str">
        <f t="shared" ref="D367:D373" si="73">IF(C367&lt;0,C367,"/")</f>
        <v>/</v>
      </c>
      <c r="E367" s="168">
        <f ca="1">IF(表2_367162629303421[[#This Row],[累计净值]]/MAX(INDIRECT("B21:B" &amp; ROW()))-1&lt;E366,表2_367162629303421[[#This Row],[累计净值]]/MAX(INDIRECT("B21:B" &amp; ROW()))-1,E366)</f>
        <v>-1.6085790884718509E-2</v>
      </c>
      <c r="F367" s="110">
        <f>表2_367162629303421[[#This Row],[累计净值]]-0.145</f>
        <v>1.0629999999999999</v>
      </c>
      <c r="G367" s="170">
        <f>表2_367162629303421[[#This Row],[累计净值]]/$B$21-1</f>
        <v>0.20199004975124391</v>
      </c>
      <c r="H367" s="170">
        <f>表2_367162629303421[[#This Row],[累计净值]]/$F$196-1</f>
        <v>9.519492293744336E-2</v>
      </c>
    </row>
    <row r="368" spans="1:8">
      <c r="A368" s="161">
        <v>44295</v>
      </c>
      <c r="B368" s="162">
        <v>1.208</v>
      </c>
      <c r="C368" s="171">
        <f t="shared" si="72"/>
        <v>0</v>
      </c>
      <c r="D368" s="168" t="str">
        <f t="shared" si="73"/>
        <v>/</v>
      </c>
      <c r="E368" s="168">
        <f ca="1">IF(表2_367162629303421[[#This Row],[累计净值]]/MAX(INDIRECT("B21:B" &amp; ROW()))-1&lt;E367,表2_367162629303421[[#This Row],[累计净值]]/MAX(INDIRECT("B21:B" &amp; ROW()))-1,E367)</f>
        <v>-1.6085790884718509E-2</v>
      </c>
      <c r="F368" s="110">
        <f>表2_367162629303421[[#This Row],[累计净值]]-0.145</f>
        <v>1.0629999999999999</v>
      </c>
      <c r="G368" s="170">
        <f>表2_367162629303421[[#This Row],[累计净值]]/$B$21-1</f>
        <v>0.20199004975124391</v>
      </c>
      <c r="H368" s="170">
        <f>表2_367162629303421[[#This Row],[累计净值]]/$F$196-1</f>
        <v>9.519492293744336E-2</v>
      </c>
    </row>
    <row r="369" spans="1:8">
      <c r="A369" s="161">
        <v>44298</v>
      </c>
      <c r="B369" s="162">
        <v>1.2070000000000001</v>
      </c>
      <c r="C369" s="171">
        <f t="shared" si="72"/>
        <v>-9.9999999999988987E-4</v>
      </c>
      <c r="D369" s="168">
        <f t="shared" si="73"/>
        <v>-9.9999999999988987E-4</v>
      </c>
      <c r="E369" s="168">
        <f ca="1">IF(表2_367162629303421[[#This Row],[累计净值]]/MAX(INDIRECT("B21:B" &amp; ROW()))-1&lt;E368,表2_367162629303421[[#This Row],[累计净值]]/MAX(INDIRECT("B21:B" &amp; ROW()))-1,E368)</f>
        <v>-1.6085790884718509E-2</v>
      </c>
      <c r="F369" s="110">
        <f>表2_367162629303421[[#This Row],[累计净值]]-0.145</f>
        <v>1.0620000000000001</v>
      </c>
      <c r="G369" s="170">
        <f>表2_367162629303421[[#This Row],[累计净值]]/$B$21-1</f>
        <v>0.20099502487562204</v>
      </c>
      <c r="H369" s="170">
        <f>表2_367162629303421[[#This Row],[累计净值]]/$F$196-1</f>
        <v>9.4288304623753483E-2</v>
      </c>
    </row>
    <row r="370" spans="1:8">
      <c r="A370" s="161">
        <v>44299</v>
      </c>
      <c r="B370" s="162">
        <v>1.2070000000000001</v>
      </c>
      <c r="C370" s="171">
        <f t="shared" si="72"/>
        <v>0</v>
      </c>
      <c r="D370" s="168" t="str">
        <f t="shared" si="73"/>
        <v>/</v>
      </c>
      <c r="E370" s="168">
        <f ca="1">IF(表2_367162629303421[[#This Row],[累计净值]]/MAX(INDIRECT("B21:B" &amp; ROW()))-1&lt;E369,表2_367162629303421[[#This Row],[累计净值]]/MAX(INDIRECT("B21:B" &amp; ROW()))-1,E369)</f>
        <v>-1.6085790884718509E-2</v>
      </c>
      <c r="F370" s="110">
        <f>表2_367162629303421[[#This Row],[累计净值]]-0.145</f>
        <v>1.0620000000000001</v>
      </c>
      <c r="G370" s="170">
        <f>表2_367162629303421[[#This Row],[累计净值]]/$B$21-1</f>
        <v>0.20099502487562204</v>
      </c>
      <c r="H370" s="170">
        <f>表2_367162629303421[[#This Row],[累计净值]]/$F$196-1</f>
        <v>9.4288304623753483E-2</v>
      </c>
    </row>
    <row r="371" spans="1:8">
      <c r="A371" s="161">
        <v>44300</v>
      </c>
      <c r="B371" s="162">
        <v>1.208</v>
      </c>
      <c r="C371" s="171">
        <f t="shared" si="72"/>
        <v>9.9999999999988987E-4</v>
      </c>
      <c r="D371" s="168" t="str">
        <f t="shared" si="73"/>
        <v>/</v>
      </c>
      <c r="E371" s="168">
        <f ca="1">IF(表2_367162629303421[[#This Row],[累计净值]]/MAX(INDIRECT("B21:B" &amp; ROW()))-1&lt;E370,表2_367162629303421[[#This Row],[累计净值]]/MAX(INDIRECT("B21:B" &amp; ROW()))-1,E370)</f>
        <v>-1.6085790884718509E-2</v>
      </c>
      <c r="F371" s="110">
        <f>表2_367162629303421[[#This Row],[累计净值]]-0.145</f>
        <v>1.0629999999999999</v>
      </c>
      <c r="G371" s="170">
        <f>表2_367162629303421[[#This Row],[累计净值]]/$B$21-1</f>
        <v>0.20199004975124391</v>
      </c>
      <c r="H371" s="170">
        <f>表2_367162629303421[[#This Row],[累计净值]]/$F$196-1</f>
        <v>9.519492293744336E-2</v>
      </c>
    </row>
    <row r="372" spans="1:8">
      <c r="A372" s="161">
        <v>44301</v>
      </c>
      <c r="B372" s="162">
        <v>1.21</v>
      </c>
      <c r="C372" s="171">
        <f t="shared" si="72"/>
        <v>2.0000000000000018E-3</v>
      </c>
      <c r="D372" s="168" t="str">
        <f t="shared" si="73"/>
        <v>/</v>
      </c>
      <c r="E372" s="168">
        <f ca="1">IF(表2_367162629303421[[#This Row],[累计净值]]/MAX(INDIRECT("B21:B" &amp; ROW()))-1&lt;E371,表2_367162629303421[[#This Row],[累计净值]]/MAX(INDIRECT("B21:B" &amp; ROW()))-1,E371)</f>
        <v>-1.6085790884718509E-2</v>
      </c>
      <c r="F372" s="110">
        <f>表2_367162629303421[[#This Row],[累计净值]]-0.145</f>
        <v>1.0649999999999999</v>
      </c>
      <c r="G372" s="170">
        <f>表2_367162629303421[[#This Row],[累计净值]]/$B$21-1</f>
        <v>0.20398009950248763</v>
      </c>
      <c r="H372" s="170">
        <f>表2_367162629303421[[#This Row],[累计净值]]/$F$196-1</f>
        <v>9.7008159564823115E-2</v>
      </c>
    </row>
    <row r="373" spans="1:8">
      <c r="A373" s="161">
        <v>44302</v>
      </c>
      <c r="B373" s="162">
        <v>1.21</v>
      </c>
      <c r="C373" s="171">
        <f t="shared" si="72"/>
        <v>0</v>
      </c>
      <c r="D373" s="168" t="str">
        <f t="shared" si="73"/>
        <v>/</v>
      </c>
      <c r="E373" s="168">
        <f ca="1">IF(表2_367162629303421[[#This Row],[累计净值]]/MAX(INDIRECT("B21:B" &amp; ROW()))-1&lt;E372,表2_367162629303421[[#This Row],[累计净值]]/MAX(INDIRECT("B21:B" &amp; ROW()))-1,E372)</f>
        <v>-1.6085790884718509E-2</v>
      </c>
      <c r="F373" s="110">
        <f>表2_367162629303421[[#This Row],[累计净值]]-0.145</f>
        <v>1.0649999999999999</v>
      </c>
      <c r="G373" s="170">
        <f>表2_367162629303421[[#This Row],[累计净值]]/$B$21-1</f>
        <v>0.20398009950248763</v>
      </c>
      <c r="H373" s="170">
        <f>表2_367162629303421[[#This Row],[累计净值]]/$F$196-1</f>
        <v>9.7008159564823115E-2</v>
      </c>
    </row>
    <row r="374" spans="1:8">
      <c r="A374" s="161">
        <v>44305</v>
      </c>
      <c r="B374" s="162">
        <v>1.2150000000000001</v>
      </c>
      <c r="C374" s="171">
        <f t="shared" ref="C374:C379" si="74">IFERROR(B374-B373,0)</f>
        <v>5.0000000000001155E-3</v>
      </c>
      <c r="D374" s="168" t="str">
        <f t="shared" ref="D374:D379" si="75">IF(C374&lt;0,C374,"/")</f>
        <v>/</v>
      </c>
      <c r="E374" s="168">
        <f ca="1">IF(表2_367162629303421[[#This Row],[累计净值]]/MAX(INDIRECT("B21:B" &amp; ROW()))-1&lt;E373,表2_367162629303421[[#This Row],[累计净值]]/MAX(INDIRECT("B21:B" &amp; ROW()))-1,E373)</f>
        <v>-1.6085790884718509E-2</v>
      </c>
      <c r="F374" s="110">
        <f>表2_367162629303421[[#This Row],[累计净值]]-0.145</f>
        <v>1.07</v>
      </c>
      <c r="G374" s="170">
        <f>表2_367162629303421[[#This Row],[累计净值]]/$B$21-1</f>
        <v>0.20895522388059717</v>
      </c>
      <c r="H374" s="170">
        <f>表2_367162629303421[[#This Row],[累计净值]]/$F$196-1</f>
        <v>0.10154125113327295</v>
      </c>
    </row>
    <row r="375" spans="1:8">
      <c r="A375" s="161">
        <v>44306</v>
      </c>
      <c r="B375" s="162">
        <v>1.214</v>
      </c>
      <c r="C375" s="171">
        <f t="shared" si="74"/>
        <v>-1.0000000000001119E-3</v>
      </c>
      <c r="D375" s="168">
        <f t="shared" si="75"/>
        <v>-1.0000000000001119E-3</v>
      </c>
      <c r="E375" s="168">
        <f ca="1">IF(表2_367162629303421[[#This Row],[累计净值]]/MAX(INDIRECT("B21:B" &amp; ROW()))-1&lt;E374,表2_367162629303421[[#This Row],[累计净值]]/MAX(INDIRECT("B21:B" &amp; ROW()))-1,E374)</f>
        <v>-1.6085790884718509E-2</v>
      </c>
      <c r="F375" s="110">
        <f>表2_367162629303421[[#This Row],[累计净值]]-0.145</f>
        <v>1.069</v>
      </c>
      <c r="G375" s="170">
        <f>表2_367162629303421[[#This Row],[累计净值]]/$B$21-1</f>
        <v>0.20796019900497531</v>
      </c>
      <c r="H375" s="170">
        <f>表2_367162629303421[[#This Row],[累计净值]]/$F$196-1</f>
        <v>0.10063463281958285</v>
      </c>
    </row>
    <row r="376" spans="1:8">
      <c r="A376" s="161">
        <v>44307</v>
      </c>
      <c r="B376" s="162">
        <v>1.2130000000000001</v>
      </c>
      <c r="C376" s="171">
        <f t="shared" si="74"/>
        <v>-9.9999999999988987E-4</v>
      </c>
      <c r="D376" s="168">
        <f t="shared" si="75"/>
        <v>-9.9999999999988987E-4</v>
      </c>
      <c r="E376" s="168">
        <f ca="1">IF(表2_367162629303421[[#This Row],[累计净值]]/MAX(INDIRECT("B21:B" &amp; ROW()))-1&lt;E375,表2_367162629303421[[#This Row],[累计净值]]/MAX(INDIRECT("B21:B" &amp; ROW()))-1,E375)</f>
        <v>-1.6085790884718509E-2</v>
      </c>
      <c r="F376" s="110">
        <f>表2_367162629303421[[#This Row],[累计净值]]-0.145</f>
        <v>1.0680000000000001</v>
      </c>
      <c r="G376" s="170">
        <f>表2_367162629303421[[#This Row],[累计净值]]/$B$21-1</f>
        <v>0.20696517412935345</v>
      </c>
      <c r="H376" s="170">
        <f>表2_367162629303421[[#This Row],[累计净值]]/$F$196-1</f>
        <v>9.9728014505893192E-2</v>
      </c>
    </row>
    <row r="377" spans="1:8">
      <c r="A377" s="161">
        <v>44308</v>
      </c>
      <c r="B377" s="162">
        <v>1.214</v>
      </c>
      <c r="C377" s="171">
        <f t="shared" si="74"/>
        <v>9.9999999999988987E-4</v>
      </c>
      <c r="D377" s="168" t="str">
        <f t="shared" si="75"/>
        <v>/</v>
      </c>
      <c r="E377" s="168">
        <f ca="1">IF(表2_367162629303421[[#This Row],[累计净值]]/MAX(INDIRECT("B21:B" &amp; ROW()))-1&lt;E376,表2_367162629303421[[#This Row],[累计净值]]/MAX(INDIRECT("B21:B" &amp; ROW()))-1,E376)</f>
        <v>-1.6085790884718509E-2</v>
      </c>
      <c r="F377" s="110">
        <f>表2_367162629303421[[#This Row],[累计净值]]-0.145</f>
        <v>1.069</v>
      </c>
      <c r="G377" s="170">
        <f>表2_367162629303421[[#This Row],[累计净值]]/$B$21-1</f>
        <v>0.20796019900497531</v>
      </c>
      <c r="H377" s="170">
        <f>表2_367162629303421[[#This Row],[累计净值]]/$F$196-1</f>
        <v>0.10063463281958285</v>
      </c>
    </row>
    <row r="378" spans="1:8">
      <c r="A378" s="161">
        <v>44309</v>
      </c>
      <c r="B378" s="162">
        <v>1.214</v>
      </c>
      <c r="C378" s="171">
        <f t="shared" si="74"/>
        <v>0</v>
      </c>
      <c r="D378" s="168" t="str">
        <f t="shared" si="75"/>
        <v>/</v>
      </c>
      <c r="E378" s="168">
        <f ca="1">IF(表2_367162629303421[[#This Row],[累计净值]]/MAX(INDIRECT("B21:B" &amp; ROW()))-1&lt;E377,表2_367162629303421[[#This Row],[累计净值]]/MAX(INDIRECT("B21:B" &amp; ROW()))-1,E377)</f>
        <v>-1.6085790884718509E-2</v>
      </c>
      <c r="F378" s="110">
        <f>表2_367162629303421[[#This Row],[累计净值]]-0.145</f>
        <v>1.069</v>
      </c>
      <c r="G378" s="170">
        <f>表2_367162629303421[[#This Row],[累计净值]]/$B$21-1</f>
        <v>0.20796019900497531</v>
      </c>
      <c r="H378" s="170">
        <f>表2_367162629303421[[#This Row],[累计净值]]/$F$196-1</f>
        <v>0.10063463281958285</v>
      </c>
    </row>
    <row r="379" spans="1:8">
      <c r="A379" s="161">
        <v>44312</v>
      </c>
      <c r="B379" s="162">
        <v>1.216</v>
      </c>
      <c r="C379" s="171">
        <f t="shared" si="74"/>
        <v>2.0000000000000018E-3</v>
      </c>
      <c r="D379" s="168" t="str">
        <f t="shared" si="75"/>
        <v>/</v>
      </c>
      <c r="E379" s="168">
        <f ca="1">IF(表2_367162629303421[[#This Row],[累计净值]]/MAX(INDIRECT("B21:B" &amp; ROW()))-1&lt;E378,表2_367162629303421[[#This Row],[累计净值]]/MAX(INDIRECT("B21:B" &amp; ROW()))-1,E378)</f>
        <v>-1.6085790884718509E-2</v>
      </c>
      <c r="F379" s="110">
        <f>表2_367162629303421[[#This Row],[累计净值]]-0.145</f>
        <v>1.071</v>
      </c>
      <c r="G379" s="170">
        <f>表2_367162629303421[[#This Row],[累计净值]]/$B$21-1</f>
        <v>0.20995024875621904</v>
      </c>
      <c r="H379" s="170">
        <f>表2_367162629303421[[#This Row],[累计净值]]/$F$196-1</f>
        <v>0.10244786944696282</v>
      </c>
    </row>
    <row r="380" spans="1:8">
      <c r="A380" s="161">
        <v>44313</v>
      </c>
      <c r="B380" s="162">
        <v>1.214</v>
      </c>
      <c r="C380" s="171">
        <f t="shared" ref="C380:C381" si="76">IFERROR(B380-B379,0)</f>
        <v>-2.0000000000000018E-3</v>
      </c>
      <c r="D380" s="168">
        <f t="shared" ref="D380:D381" si="77">IF(C380&lt;0,C380,"/")</f>
        <v>-2.0000000000000018E-3</v>
      </c>
      <c r="E380" s="168">
        <f ca="1">IF(表2_367162629303421[[#This Row],[累计净值]]/MAX(INDIRECT("B21:B" &amp; ROW()))-1&lt;E379,表2_367162629303421[[#This Row],[累计净值]]/MAX(INDIRECT("B21:B" &amp; ROW()))-1,E379)</f>
        <v>-1.6085790884718509E-2</v>
      </c>
      <c r="F380" s="110">
        <f>表2_367162629303421[[#This Row],[累计净值]]-0.145</f>
        <v>1.069</v>
      </c>
      <c r="G380" s="170">
        <f>表2_367162629303421[[#This Row],[累计净值]]/$B$21-1</f>
        <v>0.20796019900497531</v>
      </c>
      <c r="H380" s="170">
        <f>表2_367162629303421[[#This Row],[累计净值]]/$F$196-1</f>
        <v>0.10063463281958285</v>
      </c>
    </row>
    <row r="381" spans="1:8">
      <c r="A381" s="161">
        <v>44314</v>
      </c>
      <c r="B381" s="162">
        <v>1.214</v>
      </c>
      <c r="C381" s="171">
        <f t="shared" si="76"/>
        <v>0</v>
      </c>
      <c r="D381" s="168" t="str">
        <f t="shared" si="77"/>
        <v>/</v>
      </c>
      <c r="E381" s="168">
        <f ca="1">IF(表2_367162629303421[[#This Row],[累计净值]]/MAX(INDIRECT("B21:B" &amp; ROW()))-1&lt;E380,表2_367162629303421[[#This Row],[累计净值]]/MAX(INDIRECT("B21:B" &amp; ROW()))-1,E380)</f>
        <v>-1.6085790884718509E-2</v>
      </c>
      <c r="F381" s="110">
        <f>表2_367162629303421[[#This Row],[累计净值]]-0.145</f>
        <v>1.069</v>
      </c>
      <c r="G381" s="170">
        <f>表2_367162629303421[[#This Row],[累计净值]]/$B$21-1</f>
        <v>0.20796019900497531</v>
      </c>
      <c r="H381" s="170">
        <f>表2_367162629303421[[#This Row],[累计净值]]/$F$196-1</f>
        <v>0.10063463281958285</v>
      </c>
    </row>
    <row r="382" spans="1:8">
      <c r="A382" s="161">
        <v>44315</v>
      </c>
      <c r="B382" s="162">
        <v>1.214</v>
      </c>
      <c r="C382" s="171">
        <f>IFERROR(B382-B381,0)</f>
        <v>0</v>
      </c>
      <c r="D382" s="168" t="str">
        <f>IF(C382&lt;0,C382,"/")</f>
        <v>/</v>
      </c>
      <c r="E382" s="168">
        <f ca="1">IF(表2_367162629303421[[#This Row],[累计净值]]/MAX(INDIRECT("B21:B" &amp; ROW()))-1&lt;E381,表2_367162629303421[[#This Row],[累计净值]]/MAX(INDIRECT("B21:B" &amp; ROW()))-1,E381)</f>
        <v>-1.6085790884718509E-2</v>
      </c>
      <c r="F382" s="110">
        <f>表2_367162629303421[[#This Row],[累计净值]]-0.145</f>
        <v>1.069</v>
      </c>
      <c r="G382" s="170">
        <f>表2_367162629303421[[#This Row],[累计净值]]/$B$21-1</f>
        <v>0.20796019900497531</v>
      </c>
      <c r="H382" s="170">
        <f>表2_367162629303421[[#This Row],[累计净值]]/$F$196-1</f>
        <v>0.10063463281958285</v>
      </c>
    </row>
    <row r="383" spans="1:8">
      <c r="A383" s="161">
        <v>44316</v>
      </c>
      <c r="B383" s="162">
        <v>1.2110000000000001</v>
      </c>
      <c r="C383" s="171">
        <f t="shared" ref="C383:C384" si="78">IFERROR(B383-B382,0)</f>
        <v>-2.9999999999998916E-3</v>
      </c>
      <c r="D383" s="168">
        <f t="shared" ref="D383:D384" si="79">IF(C383&lt;0,C383,"/")</f>
        <v>-2.9999999999998916E-3</v>
      </c>
      <c r="E383" s="168">
        <f ca="1">IF(表2_367162629303421[[#This Row],[累计净值]]/MAX(INDIRECT("B21:B" &amp; ROW()))-1&lt;E382,表2_367162629303421[[#This Row],[累计净值]]/MAX(INDIRECT("B21:B" &amp; ROW()))-1,E382)</f>
        <v>-1.6085790884718509E-2</v>
      </c>
      <c r="F383" s="110">
        <f>表2_367162629303421[[#This Row],[累计净值]]-0.145</f>
        <v>1.0660000000000001</v>
      </c>
      <c r="G383" s="170">
        <f>表2_367162629303421[[#This Row],[累计净值]]/$B$21-1</f>
        <v>0.20497512437810972</v>
      </c>
      <c r="H383" s="170">
        <f>表2_367162629303421[[#This Row],[累计净值]]/$F$196-1</f>
        <v>9.7914777878513215E-2</v>
      </c>
    </row>
    <row r="384" spans="1:8">
      <c r="A384" s="161">
        <v>44322</v>
      </c>
      <c r="B384" s="162">
        <v>1.2110000000000001</v>
      </c>
      <c r="C384" s="171">
        <f t="shared" si="78"/>
        <v>0</v>
      </c>
      <c r="D384" s="168" t="str">
        <f t="shared" si="79"/>
        <v>/</v>
      </c>
      <c r="E384" s="168">
        <f ca="1">IF(表2_367162629303421[[#This Row],[累计净值]]/MAX(INDIRECT("B21:B" &amp; ROW()))-1&lt;E383,表2_367162629303421[[#This Row],[累计净值]]/MAX(INDIRECT("B21:B" &amp; ROW()))-1,E383)</f>
        <v>-1.6085790884718509E-2</v>
      </c>
      <c r="F384" s="110">
        <f>表2_367162629303421[[#This Row],[累计净值]]-0.145</f>
        <v>1.0660000000000001</v>
      </c>
      <c r="G384" s="170">
        <f>表2_367162629303421[[#This Row],[累计净值]]/$B$21-1</f>
        <v>0.20497512437810972</v>
      </c>
      <c r="H384" s="170">
        <f>表2_367162629303421[[#This Row],[累计净值]]/$F$196-1</f>
        <v>9.7914777878513215E-2</v>
      </c>
    </row>
    <row r="385" spans="1:8">
      <c r="A385" s="161">
        <v>44323</v>
      </c>
      <c r="B385" s="162">
        <v>1.2110000000000001</v>
      </c>
      <c r="C385" s="171">
        <f t="shared" ref="C385:C390" si="80">IFERROR(B385-B384,0)</f>
        <v>0</v>
      </c>
      <c r="D385" s="168" t="str">
        <f t="shared" ref="D385:D390" si="81">IF(C385&lt;0,C385,"/")</f>
        <v>/</v>
      </c>
      <c r="E385" s="168">
        <f ca="1">IF(表2_367162629303421[[#This Row],[累计净值]]/MAX(INDIRECT("B21:B" &amp; ROW()))-1&lt;E384,表2_367162629303421[[#This Row],[累计净值]]/MAX(INDIRECT("B21:B" &amp; ROW()))-1,E384)</f>
        <v>-1.6085790884718509E-2</v>
      </c>
      <c r="F385" s="110">
        <f>表2_367162629303421[[#This Row],[累计净值]]-0.145</f>
        <v>1.0660000000000001</v>
      </c>
      <c r="G385" s="170">
        <f>表2_367162629303421[[#This Row],[累计净值]]/$B$21-1</f>
        <v>0.20497512437810972</v>
      </c>
      <c r="H385" s="170">
        <f>表2_367162629303421[[#This Row],[累计净值]]/$F$196-1</f>
        <v>9.7914777878513215E-2</v>
      </c>
    </row>
    <row r="386" spans="1:8">
      <c r="A386" s="161">
        <v>44326</v>
      </c>
      <c r="B386" s="162">
        <v>1.212</v>
      </c>
      <c r="C386" s="171">
        <f t="shared" si="80"/>
        <v>9.9999999999988987E-4</v>
      </c>
      <c r="D386" s="168" t="str">
        <f t="shared" si="81"/>
        <v>/</v>
      </c>
      <c r="E386" s="168">
        <f ca="1">IF(表2_367162629303421[[#This Row],[累计净值]]/MAX(INDIRECT("B21:B" &amp; ROW()))-1&lt;E385,表2_367162629303421[[#This Row],[累计净值]]/MAX(INDIRECT("B21:B" &amp; ROW()))-1,E385)</f>
        <v>-1.6085790884718509E-2</v>
      </c>
      <c r="F386" s="110">
        <f>表2_367162629303421[[#This Row],[累计净值]]-0.145</f>
        <v>1.0669999999999999</v>
      </c>
      <c r="G386" s="170">
        <f>表2_367162629303421[[#This Row],[累计净值]]/$B$21-1</f>
        <v>0.20597014925373136</v>
      </c>
      <c r="H386" s="170">
        <f>表2_367162629303421[[#This Row],[累计净值]]/$F$196-1</f>
        <v>9.8821396192203093E-2</v>
      </c>
    </row>
    <row r="387" spans="1:8">
      <c r="A387" s="161">
        <v>44327</v>
      </c>
      <c r="B387" s="162">
        <v>1.2130000000000001</v>
      </c>
      <c r="C387" s="171">
        <f t="shared" si="80"/>
        <v>1.0000000000001119E-3</v>
      </c>
      <c r="D387" s="168" t="str">
        <f t="shared" si="81"/>
        <v>/</v>
      </c>
      <c r="E387" s="168">
        <f ca="1">IF(表2_367162629303421[[#This Row],[累计净值]]/MAX(INDIRECT("B21:B" &amp; ROW()))-1&lt;E386,表2_367162629303421[[#This Row],[累计净值]]/MAX(INDIRECT("B21:B" &amp; ROW()))-1,E386)</f>
        <v>-1.6085790884718509E-2</v>
      </c>
      <c r="F387" s="110">
        <f>表2_367162629303421[[#This Row],[累计净值]]-0.145</f>
        <v>1.0680000000000001</v>
      </c>
      <c r="G387" s="170">
        <f>表2_367162629303421[[#This Row],[累计净值]]/$B$21-1</f>
        <v>0.20696517412935345</v>
      </c>
      <c r="H387" s="170">
        <f>表2_367162629303421[[#This Row],[累计净值]]/$F$196-1</f>
        <v>9.9728014505893192E-2</v>
      </c>
    </row>
    <row r="388" spans="1:8">
      <c r="A388" s="161">
        <v>44328</v>
      </c>
      <c r="B388" s="162">
        <v>1.2130000000000001</v>
      </c>
      <c r="C388" s="171">
        <f t="shared" si="80"/>
        <v>0</v>
      </c>
      <c r="D388" s="168" t="str">
        <f t="shared" si="81"/>
        <v>/</v>
      </c>
      <c r="E388" s="168">
        <f ca="1">IF(表2_367162629303421[[#This Row],[累计净值]]/MAX(INDIRECT("B21:B" &amp; ROW()))-1&lt;E387,表2_367162629303421[[#This Row],[累计净值]]/MAX(INDIRECT("B21:B" &amp; ROW()))-1,E387)</f>
        <v>-1.6085790884718509E-2</v>
      </c>
      <c r="F388" s="110">
        <f>表2_367162629303421[[#This Row],[累计净值]]-0.145</f>
        <v>1.0680000000000001</v>
      </c>
      <c r="G388" s="170">
        <f>表2_367162629303421[[#This Row],[累计净值]]/$B$21-1</f>
        <v>0.20696517412935345</v>
      </c>
      <c r="H388" s="170">
        <f>表2_367162629303421[[#This Row],[累计净值]]/$F$196-1</f>
        <v>9.9728014505893192E-2</v>
      </c>
    </row>
    <row r="389" spans="1:8">
      <c r="A389" s="161">
        <v>44329</v>
      </c>
      <c r="B389" s="162">
        <v>1.2130000000000001</v>
      </c>
      <c r="C389" s="171">
        <f t="shared" si="80"/>
        <v>0</v>
      </c>
      <c r="D389" s="168" t="str">
        <f t="shared" si="81"/>
        <v>/</v>
      </c>
      <c r="E389" s="168">
        <f ca="1">IF(表2_367162629303421[[#This Row],[累计净值]]/MAX(INDIRECT("B21:B" &amp; ROW()))-1&lt;E388,表2_367162629303421[[#This Row],[累计净值]]/MAX(INDIRECT("B21:B" &amp; ROW()))-1,E388)</f>
        <v>-1.6085790884718509E-2</v>
      </c>
      <c r="F389" s="110">
        <f>表2_367162629303421[[#This Row],[累计净值]]-0.145</f>
        <v>1.0680000000000001</v>
      </c>
      <c r="G389" s="170">
        <f>表2_367162629303421[[#This Row],[累计净值]]/$B$21-1</f>
        <v>0.20696517412935345</v>
      </c>
      <c r="H389" s="170">
        <f>表2_367162629303421[[#This Row],[累计净值]]/$F$196-1</f>
        <v>9.9728014505893192E-2</v>
      </c>
    </row>
    <row r="390" spans="1:8">
      <c r="A390" s="161">
        <v>44330</v>
      </c>
      <c r="B390" s="162">
        <v>1.2150000000000001</v>
      </c>
      <c r="C390" s="171">
        <f t="shared" si="80"/>
        <v>2.0000000000000018E-3</v>
      </c>
      <c r="D390" s="168" t="str">
        <f t="shared" si="81"/>
        <v>/</v>
      </c>
      <c r="E390" s="168">
        <f ca="1">IF(表2_367162629303421[[#This Row],[累计净值]]/MAX(INDIRECT("B21:B" &amp; ROW()))-1&lt;E389,表2_367162629303421[[#This Row],[累计净值]]/MAX(INDIRECT("B21:B" &amp; ROW()))-1,E389)</f>
        <v>-1.6085790884718509E-2</v>
      </c>
      <c r="F390" s="110">
        <f>表2_367162629303421[[#This Row],[累计净值]]-0.145</f>
        <v>1.07</v>
      </c>
      <c r="G390" s="170">
        <f>表2_367162629303421[[#This Row],[累计净值]]/$B$21-1</f>
        <v>0.20895522388059717</v>
      </c>
      <c r="H390" s="170">
        <f>表2_367162629303421[[#This Row],[累计净值]]/$F$196-1</f>
        <v>0.10154125113327295</v>
      </c>
    </row>
    <row r="391" spans="1:8">
      <c r="A391" s="161">
        <v>44333</v>
      </c>
      <c r="B391" s="162">
        <v>1.2150000000000001</v>
      </c>
      <c r="C391" s="171">
        <f>IFERROR(B391-B390,0)</f>
        <v>0</v>
      </c>
      <c r="D391" s="168" t="str">
        <f>IF(C391&lt;0,C391,"/")</f>
        <v>/</v>
      </c>
      <c r="E391" s="168">
        <f ca="1">IF(表2_367162629303421[[#This Row],[累计净值]]/MAX(INDIRECT("B21:B" &amp; ROW()))-1&lt;E390,表2_367162629303421[[#This Row],[累计净值]]/MAX(INDIRECT("B21:B" &amp; ROW()))-1,E390)</f>
        <v>-1.6085790884718509E-2</v>
      </c>
      <c r="F391" s="110">
        <f>表2_367162629303421[[#This Row],[累计净值]]-0.145</f>
        <v>1.07</v>
      </c>
      <c r="G391" s="170">
        <f>表2_367162629303421[[#This Row],[累计净值]]/$B$21-1</f>
        <v>0.20895522388059717</v>
      </c>
      <c r="H391" s="170">
        <f>表2_367162629303421[[#This Row],[累计净值]]/$F$196-1</f>
        <v>0.10154125113327295</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63"/>
  <sheetViews>
    <sheetView workbookViewId="0">
      <pane xSplit="1" ySplit="20" topLeftCell="B247" activePane="bottomRight" state="frozen"/>
      <selection pane="topRight" activeCell="B1" sqref="B1"/>
      <selection pane="bottomLeft" activeCell="A21" sqref="A21"/>
      <selection pane="bottomRight" activeCell="M255" sqref="M255"/>
    </sheetView>
  </sheetViews>
  <sheetFormatPr baseColWidth="10" defaultColWidth="9" defaultRowHeight="15"/>
  <cols>
    <col min="1" max="1" width="11.6640625" style="1" bestFit="1" customWidth="1"/>
    <col min="2" max="2" width="13" style="1" customWidth="1"/>
    <col min="3" max="4" width="13.5" style="1" bestFit="1" customWidth="1"/>
    <col min="5" max="5" width="10.6640625" style="1" customWidth="1"/>
    <col min="6" max="6" width="11.1640625" style="1" customWidth="1"/>
    <col min="7" max="7" width="18.83203125" style="2" customWidth="1"/>
    <col min="8" max="8" width="14.1640625" style="1" customWidth="1"/>
    <col min="9" max="9" width="12" style="1" bestFit="1" customWidth="1"/>
    <col min="10" max="16384" width="9" style="1"/>
  </cols>
  <sheetData>
    <row r="1" spans="1:7" ht="16" thickBot="1"/>
    <row r="2" spans="1:7" ht="16" thickBot="1">
      <c r="A2" s="23" t="s">
        <v>0</v>
      </c>
      <c r="B2" s="24">
        <f>COUNT(表2_367162629303891213141518[每日盈亏])</f>
        <v>243</v>
      </c>
      <c r="C2" s="27"/>
      <c r="D2" s="3" t="s">
        <v>1</v>
      </c>
      <c r="E2" s="28"/>
      <c r="F2" s="1" t="s">
        <v>2</v>
      </c>
      <c r="G2" s="400" t="s">
        <v>3</v>
      </c>
    </row>
    <row r="3" spans="1:7">
      <c r="A3" s="25" t="s">
        <v>4</v>
      </c>
      <c r="B3" s="26">
        <f>COUNTIF(表2_367162629303891213141518[每日盈亏],"&gt;0")</f>
        <v>113</v>
      </c>
      <c r="C3" s="29"/>
      <c r="D3" s="30" t="s">
        <v>5</v>
      </c>
      <c r="E3" s="31">
        <f>245^0.5*(B10-0.025/365)/E10</f>
        <v>0.88136029056990017</v>
      </c>
      <c r="G3" s="400"/>
    </row>
    <row r="4" spans="1:7">
      <c r="A4" s="25" t="s">
        <v>6</v>
      </c>
      <c r="B4" s="26">
        <f>COUNTIF(表2_367162629303891213141518[每日盈亏],"&lt;0")</f>
        <v>100</v>
      </c>
      <c r="C4" s="29"/>
      <c r="D4" s="32" t="s">
        <v>7</v>
      </c>
      <c r="E4" s="31">
        <f ca="1">-B9/E8</f>
        <v>2.1692953658479124</v>
      </c>
      <c r="G4" s="2">
        <f>LOOKUP(999^10,表2_367162629303891213141518[累计净值])</f>
        <v>1.1419999999999999</v>
      </c>
    </row>
    <row r="5" spans="1:7">
      <c r="A5" s="25" t="s">
        <v>8</v>
      </c>
      <c r="B5" s="26">
        <f>B2-B3-B4</f>
        <v>30</v>
      </c>
      <c r="C5" s="29"/>
      <c r="D5" s="33" t="s">
        <v>9</v>
      </c>
      <c r="E5" s="4">
        <f>245^0.5*(B10-0.025/365)/E9</f>
        <v>1.5268820152069527</v>
      </c>
    </row>
    <row r="6" spans="1:7" ht="16" thickBot="1">
      <c r="A6" s="34"/>
      <c r="B6" s="35"/>
      <c r="C6" s="35"/>
      <c r="D6" s="35"/>
      <c r="E6" s="36"/>
    </row>
    <row r="7" spans="1:7" ht="16" thickBot="1">
      <c r="A7" s="5" t="s">
        <v>10</v>
      </c>
      <c r="B7" s="35"/>
      <c r="C7" s="35"/>
      <c r="D7" s="3" t="s">
        <v>11</v>
      </c>
      <c r="E7" s="37"/>
    </row>
    <row r="8" spans="1:7">
      <c r="A8" s="38" t="s">
        <v>12</v>
      </c>
      <c r="B8" s="39">
        <f>LOOKUP(999^10,表2_367162629303891213141518[累计净值])/$B$21-1</f>
        <v>6.928838951310845E-2</v>
      </c>
      <c r="C8" s="40"/>
      <c r="D8" s="30" t="s">
        <v>13</v>
      </c>
      <c r="E8" s="41">
        <f ca="1">MIN(表2_367162629303891213141518[最大回撤])</f>
        <v>-3.2203389830508522E-2</v>
      </c>
    </row>
    <row r="9" spans="1:7">
      <c r="A9" s="25" t="s">
        <v>14</v>
      </c>
      <c r="B9" s="32">
        <f>B8*245/B2</f>
        <v>6.9858664323915923E-2</v>
      </c>
      <c r="C9" s="40"/>
      <c r="D9" s="33" t="s">
        <v>15</v>
      </c>
      <c r="E9" s="6">
        <f>STDEV(表2_367162629303891213141518[下跌幅度])</f>
        <v>2.4618298195866551E-3</v>
      </c>
    </row>
    <row r="10" spans="1:7">
      <c r="A10" s="42" t="s">
        <v>16</v>
      </c>
      <c r="B10" s="43">
        <f>AVERAGE(表2_367162629303891213141518[每日盈亏])</f>
        <v>3.0864197530864181E-4</v>
      </c>
      <c r="C10" s="44"/>
      <c r="D10" s="33" t="s">
        <v>17</v>
      </c>
      <c r="E10" s="6">
        <f>STDEV(表2_367162629303891213141518[每日盈亏])</f>
        <v>4.26491154213048E-3</v>
      </c>
    </row>
    <row r="11" spans="1:7">
      <c r="A11" s="7" t="s">
        <v>18</v>
      </c>
      <c r="B11" s="32">
        <f>B3/B2</f>
        <v>0.46502057613168724</v>
      </c>
      <c r="C11" s="40"/>
      <c r="D11" s="32" t="s">
        <v>19</v>
      </c>
      <c r="E11" s="41">
        <f>245^0.5*E10</f>
        <v>6.6756424883590487E-2</v>
      </c>
    </row>
    <row r="12" spans="1:7" ht="16" thickBot="1">
      <c r="A12" s="45" t="s">
        <v>20</v>
      </c>
      <c r="B12" s="46">
        <f>-(SUMIF(表2_367162629303891213141518[每日盈亏],"&gt;=0")/B3)/(SUMIF(表2_367162629303891213141518[每日盈亏],"&lt;0")/B4)</f>
        <v>1.0693215339233035</v>
      </c>
      <c r="C12" s="47"/>
      <c r="D12" s="48"/>
      <c r="E12" s="49"/>
    </row>
    <row r="14" spans="1:7" ht="32">
      <c r="A14" s="50" t="s">
        <v>21</v>
      </c>
      <c r="B14" s="50" t="s">
        <v>14</v>
      </c>
      <c r="C14" s="51" t="s">
        <v>19</v>
      </c>
      <c r="D14" s="51" t="s">
        <v>13</v>
      </c>
      <c r="E14" s="51" t="s">
        <v>5</v>
      </c>
      <c r="F14" s="51" t="s">
        <v>7</v>
      </c>
    </row>
    <row r="15" spans="1:7">
      <c r="A15" s="78">
        <f>B2</f>
        <v>243</v>
      </c>
      <c r="B15" s="53">
        <f>B9</f>
        <v>6.9858664323915923E-2</v>
      </c>
      <c r="C15" s="53">
        <f>E11</f>
        <v>6.6756424883590487E-2</v>
      </c>
      <c r="D15" s="53">
        <f ca="1">E8</f>
        <v>-3.2203389830508522E-2</v>
      </c>
      <c r="E15" s="54">
        <f>E3</f>
        <v>0.88136029056990017</v>
      </c>
      <c r="F15" s="54">
        <f ca="1">E4</f>
        <v>2.1692953658479124</v>
      </c>
    </row>
    <row r="19" spans="1:8">
      <c r="A19" s="8"/>
      <c r="B19" s="1" t="s">
        <v>22</v>
      </c>
    </row>
    <row r="20" spans="1:8" ht="16">
      <c r="A20" s="22" t="s">
        <v>23</v>
      </c>
      <c r="B20" s="22" t="s">
        <v>24</v>
      </c>
      <c r="C20" s="22" t="s">
        <v>25</v>
      </c>
      <c r="D20" s="22" t="s">
        <v>26</v>
      </c>
      <c r="E20" s="22" t="s">
        <v>27</v>
      </c>
      <c r="F20" s="22" t="s">
        <v>28</v>
      </c>
      <c r="G20" s="22" t="s">
        <v>29</v>
      </c>
      <c r="H20" s="22" t="s">
        <v>39</v>
      </c>
    </row>
    <row r="21" spans="1:8">
      <c r="A21" s="15">
        <v>43966</v>
      </c>
      <c r="B21" s="96">
        <v>1.0680000000000001</v>
      </c>
      <c r="C21" s="11">
        <f>IFERROR(B21-B20,0)</f>
        <v>0</v>
      </c>
      <c r="D21" s="12" t="str">
        <f>IF(C21&lt;0,C21,"/")</f>
        <v>/</v>
      </c>
      <c r="E21" s="12">
        <f ca="1">IF(表2_367162629303891213141518[[#This Row],[累计净值]]/MAX(INDIRECT("B21:B" &amp; ROW()))-1&lt;E20,表2_367162629303891213141518[[#This Row],[累计净值]]/MAX(INDIRECT("B21:B" &amp; ROW()))-1,E20)</f>
        <v>0</v>
      </c>
      <c r="F21" s="13">
        <f>表2_367162629303891213141518[[#This Row],[累计净值]]-0.12</f>
        <v>0.94800000000000006</v>
      </c>
      <c r="G21" s="119"/>
    </row>
    <row r="22" spans="1:8">
      <c r="A22" s="15">
        <v>43969</v>
      </c>
      <c r="B22" s="104">
        <v>1.07</v>
      </c>
      <c r="C22" s="17">
        <f>IFERROR(B22-B21,0)</f>
        <v>2.0000000000000018E-3</v>
      </c>
      <c r="D22" s="18" t="str">
        <f>IF(C22&lt;0,C22,"/")</f>
        <v>/</v>
      </c>
      <c r="E22" s="18">
        <f ca="1">IF(表2_367162629303891213141518[[#This Row],[累计净值]]/MAX(INDIRECT("B21:B" &amp; ROW()))-1&lt;E21,表2_367162629303891213141518[[#This Row],[累计净值]]/MAX(INDIRECT("B21:B" &amp; ROW()))-1,E21)</f>
        <v>0</v>
      </c>
      <c r="F22" s="19">
        <f>表2_367162629303891213141518[[#This Row],[累计净值]]-0.12</f>
        <v>0.95000000000000007</v>
      </c>
      <c r="G22" s="20"/>
    </row>
    <row r="23" spans="1:8">
      <c r="A23" s="15">
        <v>43970</v>
      </c>
      <c r="B23" s="104">
        <v>1.073</v>
      </c>
      <c r="C23" s="101">
        <f t="shared" ref="C23:C28" si="0">IFERROR(B23-B22,0)</f>
        <v>2.9999999999998916E-3</v>
      </c>
      <c r="D23" s="102" t="str">
        <f t="shared" ref="D23:D28" si="1">IF(C23&lt;0,C23,"/")</f>
        <v>/</v>
      </c>
      <c r="E23" s="102">
        <f ca="1">IF(表2_367162629303891213141518[[#This Row],[累计净值]]/MAX(INDIRECT("B21:B" &amp; ROW()))-1&lt;E22,表2_367162629303891213141518[[#This Row],[累计净值]]/MAX(INDIRECT("B21:B" &amp; ROW()))-1,E22)</f>
        <v>0</v>
      </c>
      <c r="F23" s="103">
        <f>表2_367162629303891213141518[[#This Row],[累计净值]]-0.12</f>
        <v>0.95299999999999996</v>
      </c>
      <c r="G23" s="20"/>
    </row>
    <row r="24" spans="1:8">
      <c r="A24" s="15">
        <v>43971</v>
      </c>
      <c r="B24" s="104">
        <v>1.0780000000000001</v>
      </c>
      <c r="C24" s="101">
        <f t="shared" si="0"/>
        <v>5.0000000000001155E-3</v>
      </c>
      <c r="D24" s="102" t="str">
        <f t="shared" si="1"/>
        <v>/</v>
      </c>
      <c r="E24" s="102">
        <f ca="1">IF(表2_367162629303891213141518[[#This Row],[累计净值]]/MAX(INDIRECT("B21:B" &amp; ROW()))-1&lt;E23,表2_367162629303891213141518[[#This Row],[累计净值]]/MAX(INDIRECT("B21:B" &amp; ROW()))-1,E23)</f>
        <v>0</v>
      </c>
      <c r="F24" s="103">
        <f>表2_367162629303891213141518[[#This Row],[累计净值]]-0.12</f>
        <v>0.95800000000000007</v>
      </c>
      <c r="G24" s="20"/>
    </row>
    <row r="25" spans="1:8">
      <c r="A25" s="15">
        <v>43972</v>
      </c>
      <c r="B25" s="104">
        <v>1.075</v>
      </c>
      <c r="C25" s="101">
        <f t="shared" si="0"/>
        <v>-3.0000000000001137E-3</v>
      </c>
      <c r="D25" s="102">
        <f t="shared" si="1"/>
        <v>-3.0000000000001137E-3</v>
      </c>
      <c r="E25" s="102">
        <f ca="1">IF(表2_367162629303891213141518[[#This Row],[累计净值]]/MAX(INDIRECT("B21:B" &amp; ROW()))-1&lt;E24,表2_367162629303891213141518[[#This Row],[累计净值]]/MAX(INDIRECT("B21:B" &amp; ROW()))-1,E24)</f>
        <v>-2.7829313543600298E-3</v>
      </c>
      <c r="F25" s="103">
        <f>表2_367162629303891213141518[[#This Row],[累计净值]]-0.12</f>
        <v>0.95499999999999996</v>
      </c>
      <c r="G25" s="20"/>
    </row>
    <row r="26" spans="1:8">
      <c r="A26" s="15">
        <v>43973</v>
      </c>
      <c r="B26" s="112">
        <v>1.0649999999999999</v>
      </c>
      <c r="C26" s="108">
        <f t="shared" si="0"/>
        <v>-1.0000000000000009E-2</v>
      </c>
      <c r="D26" s="109">
        <f t="shared" si="1"/>
        <v>-1.0000000000000009E-2</v>
      </c>
      <c r="E26" s="109">
        <f ca="1">IF(表2_367162629303891213141518[[#This Row],[累计净值]]/MAX(INDIRECT("B21:B" &amp; ROW()))-1&lt;E25,表2_367162629303891213141518[[#This Row],[累计净值]]/MAX(INDIRECT("B21:B" &amp; ROW()))-1,E25)</f>
        <v>-1.20593692022265E-2</v>
      </c>
      <c r="F26" s="110">
        <f>表2_367162629303891213141518[[#This Row],[累计净值]]-0.12</f>
        <v>0.94499999999999995</v>
      </c>
      <c r="G26" s="20"/>
    </row>
    <row r="27" spans="1:8">
      <c r="A27" s="15">
        <v>43976</v>
      </c>
      <c r="B27" s="112">
        <v>1.077</v>
      </c>
      <c r="C27" s="108">
        <f t="shared" si="0"/>
        <v>1.2000000000000011E-2</v>
      </c>
      <c r="D27" s="109" t="str">
        <f t="shared" si="1"/>
        <v>/</v>
      </c>
      <c r="E27" s="109">
        <f ca="1">IF(表2_367162629303891213141518[[#This Row],[累计净值]]/MAX(INDIRECT("B21:B" &amp; ROW()))-1&lt;E26,表2_367162629303891213141518[[#This Row],[累计净值]]/MAX(INDIRECT("B21:B" &amp; ROW()))-1,E26)</f>
        <v>-1.20593692022265E-2</v>
      </c>
      <c r="F27" s="110">
        <f>表2_367162629303891213141518[[#This Row],[累计净值]]-0.12</f>
        <v>0.95699999999999996</v>
      </c>
      <c r="G27" s="20"/>
    </row>
    <row r="28" spans="1:8">
      <c r="A28" s="15">
        <v>43977</v>
      </c>
      <c r="B28" s="112">
        <v>1.083</v>
      </c>
      <c r="C28" s="108">
        <f t="shared" si="0"/>
        <v>6.0000000000000053E-3</v>
      </c>
      <c r="D28" s="109" t="str">
        <f t="shared" si="1"/>
        <v>/</v>
      </c>
      <c r="E28" s="109">
        <f ca="1">IF(表2_367162629303891213141518[[#This Row],[累计净值]]/MAX(INDIRECT("B21:B" &amp; ROW()))-1&lt;E27,表2_367162629303891213141518[[#This Row],[累计净值]]/MAX(INDIRECT("B21:B" &amp; ROW()))-1,E27)</f>
        <v>-1.20593692022265E-2</v>
      </c>
      <c r="F28" s="110">
        <f>表2_367162629303891213141518[[#This Row],[累计净值]]-0.12</f>
        <v>0.96299999999999997</v>
      </c>
      <c r="G28" s="20"/>
    </row>
    <row r="29" spans="1:8">
      <c r="A29" s="15">
        <v>43978</v>
      </c>
      <c r="B29" s="112">
        <v>1.081</v>
      </c>
      <c r="C29" s="108">
        <f t="shared" ref="C29:C34" si="2">IFERROR(B29-B28,0)</f>
        <v>-2.0000000000000018E-3</v>
      </c>
      <c r="D29" s="109">
        <f t="shared" ref="D29:D34" si="3">IF(C29&lt;0,C29,"/")</f>
        <v>-2.0000000000000018E-3</v>
      </c>
      <c r="E29" s="109">
        <f ca="1">IF(表2_367162629303891213141518[[#This Row],[累计净值]]/MAX(INDIRECT("B21:B" &amp; ROW()))-1&lt;E28,表2_367162629303891213141518[[#This Row],[累计净值]]/MAX(INDIRECT("B21:B" &amp; ROW()))-1,E28)</f>
        <v>-1.20593692022265E-2</v>
      </c>
      <c r="F29" s="110">
        <f>表2_367162629303891213141518[[#This Row],[累计净值]]-0.12</f>
        <v>0.96099999999999997</v>
      </c>
      <c r="G29" s="20"/>
    </row>
    <row r="30" spans="1:8">
      <c r="A30" s="15">
        <v>43979</v>
      </c>
      <c r="B30" s="112">
        <v>1.081</v>
      </c>
      <c r="C30" s="108">
        <f t="shared" si="2"/>
        <v>0</v>
      </c>
      <c r="D30" s="109" t="str">
        <f t="shared" si="3"/>
        <v>/</v>
      </c>
      <c r="E30" s="109">
        <f ca="1">IF(表2_367162629303891213141518[[#This Row],[累计净值]]/MAX(INDIRECT("B21:B" &amp; ROW()))-1&lt;E29,表2_367162629303891213141518[[#This Row],[累计净值]]/MAX(INDIRECT("B21:B" &amp; ROW()))-1,E29)</f>
        <v>-1.20593692022265E-2</v>
      </c>
      <c r="F30" s="110">
        <f>表2_367162629303891213141518[[#This Row],[累计净值]]-0.12</f>
        <v>0.96099999999999997</v>
      </c>
      <c r="G30" s="20"/>
    </row>
    <row r="31" spans="1:8">
      <c r="A31" s="15">
        <v>43980</v>
      </c>
      <c r="B31" s="112">
        <v>1.087</v>
      </c>
      <c r="C31" s="108">
        <f t="shared" si="2"/>
        <v>6.0000000000000053E-3</v>
      </c>
      <c r="D31" s="109" t="str">
        <f t="shared" si="3"/>
        <v>/</v>
      </c>
      <c r="E31" s="109">
        <f ca="1">IF(表2_367162629303891213141518[[#This Row],[累计净值]]/MAX(INDIRECT("B21:B" &amp; ROW()))-1&lt;E30,表2_367162629303891213141518[[#This Row],[累计净值]]/MAX(INDIRECT("B21:B" &amp; ROW()))-1,E30)</f>
        <v>-1.20593692022265E-2</v>
      </c>
      <c r="F31" s="110">
        <f>表2_367162629303891213141518[[#This Row],[累计净值]]-0.12</f>
        <v>0.96699999999999997</v>
      </c>
      <c r="G31" s="20"/>
    </row>
    <row r="32" spans="1:8">
      <c r="A32" s="15">
        <v>43983</v>
      </c>
      <c r="B32" s="117">
        <v>1.093</v>
      </c>
      <c r="C32" s="108">
        <f t="shared" si="2"/>
        <v>6.0000000000000053E-3</v>
      </c>
      <c r="D32" s="109" t="str">
        <f t="shared" si="3"/>
        <v>/</v>
      </c>
      <c r="E32" s="109">
        <f ca="1">IF(表2_367162629303891213141518[[#This Row],[累计净值]]/MAX(INDIRECT("B21:B" &amp; ROW()))-1&lt;E31,表2_367162629303891213141518[[#This Row],[累计净值]]/MAX(INDIRECT("B21:B" &amp; ROW()))-1,E31)</f>
        <v>-1.20593692022265E-2</v>
      </c>
      <c r="F32" s="110">
        <f>表2_367162629303891213141518[[#This Row],[累计净值]]-0.12</f>
        <v>0.97299999999999998</v>
      </c>
      <c r="G32" s="118"/>
    </row>
    <row r="33" spans="1:7">
      <c r="A33" s="15">
        <v>43984</v>
      </c>
      <c r="B33" s="112">
        <v>1.087</v>
      </c>
      <c r="C33" s="108">
        <f t="shared" si="2"/>
        <v>-6.0000000000000053E-3</v>
      </c>
      <c r="D33" s="109">
        <f t="shared" si="3"/>
        <v>-6.0000000000000053E-3</v>
      </c>
      <c r="E33" s="109">
        <f ca="1">IF(表2_367162629303891213141518[[#This Row],[累计净值]]/MAX(INDIRECT("B21:B" &amp; ROW()))-1&lt;E32,表2_367162629303891213141518[[#This Row],[累计净值]]/MAX(INDIRECT("B21:B" &amp; ROW()))-1,E32)</f>
        <v>-1.20593692022265E-2</v>
      </c>
      <c r="F33" s="110">
        <f>表2_367162629303891213141518[[#This Row],[累计净值]]-0.12</f>
        <v>0.96699999999999997</v>
      </c>
      <c r="G33" s="14" t="s">
        <v>30</v>
      </c>
    </row>
    <row r="34" spans="1:7">
      <c r="A34" s="15">
        <v>43985</v>
      </c>
      <c r="B34" s="112">
        <v>1.091</v>
      </c>
      <c r="C34" s="108">
        <f t="shared" si="2"/>
        <v>4.0000000000000036E-3</v>
      </c>
      <c r="D34" s="109" t="str">
        <f t="shared" si="3"/>
        <v>/</v>
      </c>
      <c r="E34" s="109">
        <f ca="1">IF(表2_367162629303891213141518[[#This Row],[累计净值]]/MAX(INDIRECT("B21:B" &amp; ROW()))-1&lt;E33,表2_367162629303891213141518[[#This Row],[累计净值]]/MAX(INDIRECT("B21:B" &amp; ROW()))-1,E33)</f>
        <v>-1.20593692022265E-2</v>
      </c>
      <c r="F34" s="110">
        <f>表2_367162629303891213141518[[#This Row],[累计净值]]-0.12</f>
        <v>0.97099999999999997</v>
      </c>
      <c r="G34" s="109">
        <f>IF(表2_367162629303891213141518[[#This Row],[累计净值]]&gt;1.087,0.7*(表2_367162629303891213141518[[#This Row],[累计净值]]-1.087)/1.087,(表2_367162629303891213141518[[#This Row],[累计净值]]-1.087)/1.087)</f>
        <v>2.575896964121437E-3</v>
      </c>
    </row>
    <row r="35" spans="1:7">
      <c r="A35" s="15">
        <v>43986</v>
      </c>
      <c r="B35" s="112">
        <v>1.0940000000000001</v>
      </c>
      <c r="C35" s="108">
        <f t="shared" ref="C35:C40" si="4">IFERROR(B35-B34,0)</f>
        <v>3.0000000000001137E-3</v>
      </c>
      <c r="D35" s="109" t="str">
        <f t="shared" ref="D35:D40" si="5">IF(C35&lt;0,C35,"/")</f>
        <v>/</v>
      </c>
      <c r="E35" s="109">
        <f ca="1">IF(表2_367162629303891213141518[[#This Row],[累计净值]]/MAX(INDIRECT("B21:B" &amp; ROW()))-1&lt;E34,表2_367162629303891213141518[[#This Row],[累计净值]]/MAX(INDIRECT("B21:B" &amp; ROW()))-1,E34)</f>
        <v>-1.20593692022265E-2</v>
      </c>
      <c r="F35" s="110">
        <f>表2_367162629303891213141518[[#This Row],[累计净值]]-0.12</f>
        <v>0.97400000000000009</v>
      </c>
      <c r="G35" s="109">
        <f>IF(表2_367162629303891213141518[[#This Row],[累计净值]]&gt;1.087,0.7*(表2_367162629303891213141518[[#This Row],[累计净值]]-1.087)/1.087,(表2_367162629303891213141518[[#This Row],[累计净值]]-1.087)/1.087)</f>
        <v>4.5078196872125869E-3</v>
      </c>
    </row>
    <row r="36" spans="1:7">
      <c r="A36" s="15">
        <v>43987</v>
      </c>
      <c r="B36" s="112">
        <v>1.0920000000000001</v>
      </c>
      <c r="C36" s="108">
        <f t="shared" si="4"/>
        <v>-2.0000000000000018E-3</v>
      </c>
      <c r="D36" s="109">
        <f t="shared" si="5"/>
        <v>-2.0000000000000018E-3</v>
      </c>
      <c r="E36" s="109">
        <f ca="1">IF(表2_367162629303891213141518[[#This Row],[累计净值]]/MAX(INDIRECT("B21:B" &amp; ROW()))-1&lt;E35,表2_367162629303891213141518[[#This Row],[累计净值]]/MAX(INDIRECT("B21:B" &amp; ROW()))-1,E35)</f>
        <v>-1.20593692022265E-2</v>
      </c>
      <c r="F36" s="110">
        <f>表2_367162629303891213141518[[#This Row],[累计净值]]-0.12</f>
        <v>0.97200000000000009</v>
      </c>
      <c r="G36" s="109">
        <f>IF(表2_367162629303891213141518[[#This Row],[累计净值]]&gt;1.087,0.7*(表2_367162629303891213141518[[#This Row],[累计净值]]-1.087)/1.087,(表2_367162629303891213141518[[#This Row],[累计净值]]-1.087)/1.087)</f>
        <v>3.2198712051518682E-3</v>
      </c>
    </row>
    <row r="37" spans="1:7">
      <c r="A37" s="15">
        <v>43990</v>
      </c>
      <c r="B37" s="112">
        <v>1.0900000000000001</v>
      </c>
      <c r="C37" s="108">
        <f t="shared" si="4"/>
        <v>-2.0000000000000018E-3</v>
      </c>
      <c r="D37" s="109">
        <f t="shared" si="5"/>
        <v>-2.0000000000000018E-3</v>
      </c>
      <c r="E37" s="109">
        <f ca="1">IF(表2_367162629303891213141518[[#This Row],[累计净值]]/MAX(INDIRECT("B21:B" &amp; ROW()))-1&lt;E36,表2_367162629303891213141518[[#This Row],[累计净值]]/MAX(INDIRECT("B21:B" &amp; ROW()))-1,E36)</f>
        <v>-1.20593692022265E-2</v>
      </c>
      <c r="F37" s="110">
        <f>表2_367162629303891213141518[[#This Row],[累计净值]]-0.12</f>
        <v>0.97000000000000008</v>
      </c>
      <c r="G37" s="109">
        <f>IF(表2_367162629303891213141518[[#This Row],[累计净值]]&gt;1.087,0.7*(表2_367162629303891213141518[[#This Row],[累计净值]]-1.087)/1.087,(表2_367162629303891213141518[[#This Row],[累计净值]]-1.087)/1.087)</f>
        <v>1.9319227230911492E-3</v>
      </c>
    </row>
    <row r="38" spans="1:7">
      <c r="A38" s="15">
        <v>43991</v>
      </c>
      <c r="B38" s="112">
        <v>1.0900000000000001</v>
      </c>
      <c r="C38" s="108">
        <f t="shared" si="4"/>
        <v>0</v>
      </c>
      <c r="D38" s="109" t="str">
        <f t="shared" si="5"/>
        <v>/</v>
      </c>
      <c r="E38" s="109">
        <f ca="1">IF(表2_367162629303891213141518[[#This Row],[累计净值]]/MAX(INDIRECT("B21:B" &amp; ROW()))-1&lt;E37,表2_367162629303891213141518[[#This Row],[累计净值]]/MAX(INDIRECT("B21:B" &amp; ROW()))-1,E37)</f>
        <v>-1.20593692022265E-2</v>
      </c>
      <c r="F38" s="110">
        <f>表2_367162629303891213141518[[#This Row],[累计净值]]-0.12</f>
        <v>0.97000000000000008</v>
      </c>
      <c r="G38" s="109">
        <f>IF(表2_367162629303891213141518[[#This Row],[累计净值]]&gt;1.087,0.7*(表2_367162629303891213141518[[#This Row],[累计净值]]-1.087)/1.087,(表2_367162629303891213141518[[#This Row],[累计净值]]-1.087)/1.087)</f>
        <v>1.9319227230911492E-3</v>
      </c>
    </row>
    <row r="39" spans="1:7">
      <c r="A39" s="15">
        <v>43992</v>
      </c>
      <c r="B39" s="112">
        <v>1.093</v>
      </c>
      <c r="C39" s="108">
        <f t="shared" si="4"/>
        <v>2.9999999999998916E-3</v>
      </c>
      <c r="D39" s="109" t="str">
        <f t="shared" si="5"/>
        <v>/</v>
      </c>
      <c r="E39" s="109">
        <f ca="1">IF(表2_367162629303891213141518[[#This Row],[累计净值]]/MAX(INDIRECT("B21:B" &amp; ROW()))-1&lt;E38,表2_367162629303891213141518[[#This Row],[累计净值]]/MAX(INDIRECT("B21:B" &amp; ROW()))-1,E38)</f>
        <v>-1.20593692022265E-2</v>
      </c>
      <c r="F39" s="110">
        <f>表2_367162629303891213141518[[#This Row],[累计净值]]-0.12</f>
        <v>0.97299999999999998</v>
      </c>
      <c r="G39" s="109">
        <f>IF(表2_367162629303891213141518[[#This Row],[累计净值]]&gt;1.087,0.7*(表2_367162629303891213141518[[#This Row],[累计净值]]-1.087)/1.087,(表2_367162629303891213141518[[#This Row],[累计净值]]-1.087)/1.087)</f>
        <v>3.8638454461821558E-3</v>
      </c>
    </row>
    <row r="40" spans="1:7">
      <c r="A40" s="15">
        <v>43993</v>
      </c>
      <c r="B40" s="112">
        <v>1.0940000000000001</v>
      </c>
      <c r="C40" s="108">
        <f t="shared" si="4"/>
        <v>1.0000000000001119E-3</v>
      </c>
      <c r="D40" s="109" t="str">
        <f t="shared" si="5"/>
        <v>/</v>
      </c>
      <c r="E40" s="109">
        <f ca="1">IF(表2_367162629303891213141518[[#This Row],[累计净值]]/MAX(INDIRECT("B21:B" &amp; ROW()))-1&lt;E39,表2_367162629303891213141518[[#This Row],[累计净值]]/MAX(INDIRECT("B21:B" &amp; ROW()))-1,E39)</f>
        <v>-1.20593692022265E-2</v>
      </c>
      <c r="F40" s="110">
        <f>表2_367162629303891213141518[[#This Row],[累计净值]]-0.12</f>
        <v>0.97400000000000009</v>
      </c>
      <c r="G40" s="109">
        <f>IF(表2_367162629303891213141518[[#This Row],[累计净值]]&gt;1.087,0.7*(表2_367162629303891213141518[[#This Row],[累计净值]]-1.087)/1.087,(表2_367162629303891213141518[[#This Row],[累计净值]]-1.087)/1.087)</f>
        <v>4.5078196872125869E-3</v>
      </c>
    </row>
    <row r="41" spans="1:7">
      <c r="A41" s="15">
        <v>43994</v>
      </c>
      <c r="B41" s="112">
        <v>1.095</v>
      </c>
      <c r="C41" s="108">
        <f t="shared" ref="C41:C46" si="6">IFERROR(B41-B40,0)</f>
        <v>9.9999999999988987E-4</v>
      </c>
      <c r="D41" s="109" t="str">
        <f t="shared" ref="D41:D46" si="7">IF(C41&lt;0,C41,"/")</f>
        <v>/</v>
      </c>
      <c r="E41" s="109">
        <f ca="1">IF(表2_367162629303891213141518[[#This Row],[累计净值]]/MAX(INDIRECT("B21:B" &amp; ROW()))-1&lt;E40,表2_367162629303891213141518[[#This Row],[累计净值]]/MAX(INDIRECT("B21:B" &amp; ROW()))-1,E40)</f>
        <v>-1.20593692022265E-2</v>
      </c>
      <c r="F41" s="110">
        <f>表2_367162629303891213141518[[#This Row],[累计净值]]-0.12</f>
        <v>0.97499999999999998</v>
      </c>
      <c r="G41" s="109">
        <f>IF(表2_367162629303891213141518[[#This Row],[累计净值]]&gt;1.087,0.7*(表2_367162629303891213141518[[#This Row],[累计净值]]-1.087)/1.087,(表2_367162629303891213141518[[#This Row],[累计净值]]-1.087)/1.087)</f>
        <v>5.1517939282428741E-3</v>
      </c>
    </row>
    <row r="42" spans="1:7">
      <c r="A42" s="15">
        <v>43997</v>
      </c>
      <c r="B42" s="112">
        <v>1.091</v>
      </c>
      <c r="C42" s="108">
        <f t="shared" si="6"/>
        <v>-4.0000000000000036E-3</v>
      </c>
      <c r="D42" s="109">
        <f t="shared" si="7"/>
        <v>-4.0000000000000036E-3</v>
      </c>
      <c r="E42" s="109">
        <f ca="1">IF(表2_367162629303891213141518[[#This Row],[累计净值]]/MAX(INDIRECT("B21:B" &amp; ROW()))-1&lt;E41,表2_367162629303891213141518[[#This Row],[累计净值]]/MAX(INDIRECT("B21:B" &amp; ROW()))-1,E41)</f>
        <v>-1.20593692022265E-2</v>
      </c>
      <c r="F42" s="110">
        <f>表2_367162629303891213141518[[#This Row],[累计净值]]-0.12</f>
        <v>0.97099999999999997</v>
      </c>
      <c r="G42" s="109">
        <f>IF(表2_367162629303891213141518[[#This Row],[累计净值]]&gt;1.087,0.7*(表2_367162629303891213141518[[#This Row],[累计净值]]-1.087)/1.087,(表2_367162629303891213141518[[#This Row],[累计净值]]-1.087)/1.087)</f>
        <v>2.575896964121437E-3</v>
      </c>
    </row>
    <row r="43" spans="1:7">
      <c r="A43" s="15">
        <v>43998</v>
      </c>
      <c r="B43" s="117">
        <v>1.0980000000000001</v>
      </c>
      <c r="C43" s="108">
        <f t="shared" si="6"/>
        <v>7.0000000000001172E-3</v>
      </c>
      <c r="D43" s="109" t="str">
        <f t="shared" si="7"/>
        <v>/</v>
      </c>
      <c r="E43" s="109">
        <f ca="1">IF(表2_367162629303891213141518[[#This Row],[累计净值]]/MAX(INDIRECT("B21:B" &amp; ROW()))-1&lt;E42,表2_367162629303891213141518[[#This Row],[累计净值]]/MAX(INDIRECT("B21:B" &amp; ROW()))-1,E42)</f>
        <v>-1.20593692022265E-2</v>
      </c>
      <c r="F43" s="110">
        <f>表2_367162629303891213141518[[#This Row],[累计净值]]-0.12</f>
        <v>0.97800000000000009</v>
      </c>
      <c r="G43" s="109">
        <f>IF(表2_367162629303891213141518[[#This Row],[累计净值]]&gt;1.087,0.7*(表2_367162629303891213141518[[#This Row],[累计净值]]-1.087)/1.087,(表2_367162629303891213141518[[#This Row],[累计净值]]-1.087)/1.087)</f>
        <v>7.0837166513340244E-3</v>
      </c>
    </row>
    <row r="44" spans="1:7">
      <c r="A44" s="9">
        <v>43999</v>
      </c>
      <c r="B44" s="190">
        <v>1.0980000000000001</v>
      </c>
      <c r="C44" s="191">
        <f t="shared" si="6"/>
        <v>0</v>
      </c>
      <c r="D44" s="192" t="str">
        <f t="shared" si="7"/>
        <v>/</v>
      </c>
      <c r="E44" s="192">
        <f ca="1">IF(表2_367162629303891213141518[[#This Row],[累计净值]]/MAX(INDIRECT("B21:B" &amp; ROW()))-1&lt;E43,表2_367162629303891213141518[[#This Row],[累计净值]]/MAX(INDIRECT("B21:B" &amp; ROW()))-1,E43)</f>
        <v>-1.20593692022265E-2</v>
      </c>
      <c r="F44" s="193">
        <f>表2_367162629303891213141518[[#This Row],[累计净值]]-0.12</f>
        <v>0.97800000000000009</v>
      </c>
      <c r="G44" s="192">
        <f>IF(表2_367162629303891213141518[[#This Row],[累计净值]]&gt;1.087,0.7*(表2_367162629303891213141518[[#This Row],[累计净值]]-1.087)/1.087,(表2_367162629303891213141518[[#This Row],[累计净值]]-1.087)/1.087)</f>
        <v>7.0837166513340244E-3</v>
      </c>
    </row>
    <row r="45" spans="1:7">
      <c r="A45" s="15">
        <v>44000</v>
      </c>
      <c r="B45" s="112">
        <v>1.095</v>
      </c>
      <c r="C45" s="108">
        <f t="shared" si="6"/>
        <v>-3.0000000000001137E-3</v>
      </c>
      <c r="D45" s="109">
        <f t="shared" si="7"/>
        <v>-3.0000000000001137E-3</v>
      </c>
      <c r="E45" s="109">
        <f ca="1">IF(表2_367162629303891213141518[[#This Row],[累计净值]]/MAX(INDIRECT("B21:B" &amp; ROW()))-1&lt;E44,表2_367162629303891213141518[[#This Row],[累计净值]]/MAX(INDIRECT("B21:B" &amp; ROW()))-1,E44)</f>
        <v>-1.20593692022265E-2</v>
      </c>
      <c r="F45" s="110">
        <f>表2_367162629303891213141518[[#This Row],[累计净值]]-0.12</f>
        <v>0.97499999999999998</v>
      </c>
      <c r="G45" s="109">
        <f>IF(表2_367162629303891213141518[[#This Row],[累计净值]]&gt;1.087,0.7*(表2_367162629303891213141518[[#This Row],[累计净值]]-1.087)/1.087,(表2_367162629303891213141518[[#This Row],[累计净值]]-1.087)/1.087)</f>
        <v>5.1517939282428741E-3</v>
      </c>
    </row>
    <row r="46" spans="1:7">
      <c r="A46" s="15">
        <v>44001</v>
      </c>
      <c r="B46" s="112">
        <v>1.089</v>
      </c>
      <c r="C46" s="108">
        <f t="shared" si="6"/>
        <v>-6.0000000000000053E-3</v>
      </c>
      <c r="D46" s="109">
        <f t="shared" si="7"/>
        <v>-6.0000000000000053E-3</v>
      </c>
      <c r="E46" s="109">
        <f ca="1">IF(表2_367162629303891213141518[[#This Row],[累计净值]]/MAX(INDIRECT("B21:B" &amp; ROW()))-1&lt;E45,表2_367162629303891213141518[[#This Row],[累计净值]]/MAX(INDIRECT("B21:B" &amp; ROW()))-1,E45)</f>
        <v>-1.20593692022265E-2</v>
      </c>
      <c r="F46" s="110">
        <f>表2_367162629303891213141518[[#This Row],[累计净值]]-0.12</f>
        <v>0.96899999999999997</v>
      </c>
      <c r="G46" s="109">
        <f>IF(表2_367162629303891213141518[[#This Row],[累计净值]]&gt;1.087,0.7*(表2_367162629303891213141518[[#This Row],[累计净值]]-1.087)/1.087,(表2_367162629303891213141518[[#This Row],[累计净值]]-1.087)/1.087)</f>
        <v>1.2879484820607185E-3</v>
      </c>
    </row>
    <row r="47" spans="1:7">
      <c r="A47" s="15">
        <v>44004</v>
      </c>
      <c r="B47" s="112">
        <v>1.0860000000000001</v>
      </c>
      <c r="C47" s="108">
        <f t="shared" ref="C47:C52" si="8">IFERROR(B47-B46,0)</f>
        <v>-2.9999999999998916E-3</v>
      </c>
      <c r="D47" s="109">
        <f t="shared" ref="D47:D52" si="9">IF(C47&lt;0,C47,"/")</f>
        <v>-2.9999999999998916E-3</v>
      </c>
      <c r="E47" s="109">
        <f ca="1">IF(表2_367162629303891213141518[[#This Row],[累计净值]]/MAX(INDIRECT("B21:B" &amp; ROW()))-1&lt;E46,表2_367162629303891213141518[[#This Row],[累计净值]]/MAX(INDIRECT("B21:B" &amp; ROW()))-1,E46)</f>
        <v>-1.20593692022265E-2</v>
      </c>
      <c r="F47" s="110">
        <f>表2_367162629303891213141518[[#This Row],[累计净值]]-0.12</f>
        <v>0.96600000000000008</v>
      </c>
      <c r="G47" s="109">
        <f>IF(表2_367162629303891213141518[[#This Row],[累计净值]]&gt;1.087,0.7*(表2_367162629303891213141518[[#This Row],[累计净值]]-1.087)/1.087,(表2_367162629303891213141518[[#This Row],[累计净值]]-1.087)/1.087)</f>
        <v>-9.1996320147183985E-4</v>
      </c>
    </row>
    <row r="48" spans="1:7">
      <c r="A48" s="15">
        <v>44005</v>
      </c>
      <c r="B48" s="112">
        <v>1.097</v>
      </c>
      <c r="C48" s="108">
        <f t="shared" si="8"/>
        <v>1.0999999999999899E-2</v>
      </c>
      <c r="D48" s="109" t="str">
        <f t="shared" si="9"/>
        <v>/</v>
      </c>
      <c r="E48" s="109">
        <f ca="1">IF(表2_367162629303891213141518[[#This Row],[累计净值]]/MAX(INDIRECT("B21:B" &amp; ROW()))-1&lt;E47,表2_367162629303891213141518[[#This Row],[累计净值]]/MAX(INDIRECT("B21:B" &amp; ROW()))-1,E47)</f>
        <v>-1.20593692022265E-2</v>
      </c>
      <c r="F48" s="110">
        <f>表2_367162629303891213141518[[#This Row],[累计净值]]-0.12</f>
        <v>0.97699999999999998</v>
      </c>
      <c r="G48" s="109">
        <f>IF(表2_367162629303891213141518[[#This Row],[累计净值]]&gt;1.087,0.7*(表2_367162629303891213141518[[#This Row],[累计净值]]-1.087)/1.087,(表2_367162629303891213141518[[#This Row],[累计净值]]-1.087)/1.087)</f>
        <v>6.4397424103035932E-3</v>
      </c>
    </row>
    <row r="49" spans="1:7">
      <c r="A49" s="15">
        <v>44006</v>
      </c>
      <c r="B49" s="112">
        <v>1.093</v>
      </c>
      <c r="C49" s="108">
        <f t="shared" si="8"/>
        <v>-4.0000000000000036E-3</v>
      </c>
      <c r="D49" s="109">
        <f t="shared" si="9"/>
        <v>-4.0000000000000036E-3</v>
      </c>
      <c r="E49" s="109">
        <f ca="1">IF(表2_367162629303891213141518[[#This Row],[累计净值]]/MAX(INDIRECT("B21:B" &amp; ROW()))-1&lt;E48,表2_367162629303891213141518[[#This Row],[累计净值]]/MAX(INDIRECT("B21:B" &amp; ROW()))-1,E48)</f>
        <v>-1.20593692022265E-2</v>
      </c>
      <c r="F49" s="110">
        <f>表2_367162629303891213141518[[#This Row],[累计净值]]-0.12</f>
        <v>0.97299999999999998</v>
      </c>
      <c r="G49" s="109">
        <f>IF(表2_367162629303891213141518[[#This Row],[累计净值]]&gt;1.087,0.7*(表2_367162629303891213141518[[#This Row],[累计净值]]-1.087)/1.087,(表2_367162629303891213141518[[#This Row],[累计净值]]-1.087)/1.087)</f>
        <v>3.8638454461821558E-3</v>
      </c>
    </row>
    <row r="50" spans="1:7">
      <c r="A50" s="15">
        <v>44011</v>
      </c>
      <c r="B50" s="112">
        <v>1.0940000000000001</v>
      </c>
      <c r="C50" s="108">
        <f t="shared" si="8"/>
        <v>1.0000000000001119E-3</v>
      </c>
      <c r="D50" s="109" t="str">
        <f t="shared" si="9"/>
        <v>/</v>
      </c>
      <c r="E50" s="109">
        <f ca="1">IF(表2_367162629303891213141518[[#This Row],[累计净值]]/MAX(INDIRECT("B21:B" &amp; ROW()))-1&lt;E49,表2_367162629303891213141518[[#This Row],[累计净值]]/MAX(INDIRECT("B21:B" &amp; ROW()))-1,E49)</f>
        <v>-1.20593692022265E-2</v>
      </c>
      <c r="F50" s="110">
        <f>表2_367162629303891213141518[[#This Row],[累计净值]]-0.12</f>
        <v>0.97400000000000009</v>
      </c>
      <c r="G50" s="109">
        <f>IF(表2_367162629303891213141518[[#This Row],[累计净值]]&gt;1.087,0.7*(表2_367162629303891213141518[[#This Row],[累计净值]]-1.087)/1.087,(表2_367162629303891213141518[[#This Row],[累计净值]]-1.087)/1.087)</f>
        <v>4.5078196872125869E-3</v>
      </c>
    </row>
    <row r="51" spans="1:7">
      <c r="A51" s="15">
        <v>44012</v>
      </c>
      <c r="B51" s="112">
        <v>1.095</v>
      </c>
      <c r="C51" s="108">
        <f t="shared" si="8"/>
        <v>9.9999999999988987E-4</v>
      </c>
      <c r="D51" s="109" t="str">
        <f t="shared" si="9"/>
        <v>/</v>
      </c>
      <c r="E51" s="109">
        <f ca="1">IF(表2_367162629303891213141518[[#This Row],[累计净值]]/MAX(INDIRECT("B21:B" &amp; ROW()))-1&lt;E50,表2_367162629303891213141518[[#This Row],[累计净值]]/MAX(INDIRECT("B21:B" &amp; ROW()))-1,E50)</f>
        <v>-1.20593692022265E-2</v>
      </c>
      <c r="F51" s="110">
        <f>表2_367162629303891213141518[[#This Row],[累计净值]]-0.12</f>
        <v>0.97499999999999998</v>
      </c>
      <c r="G51" s="109">
        <f>IF(表2_367162629303891213141518[[#This Row],[累计净值]]&gt;1.087,0.7*(表2_367162629303891213141518[[#This Row],[累计净值]]-1.087)/1.087,(表2_367162629303891213141518[[#This Row],[累计净值]]-1.087)/1.087)</f>
        <v>5.1517939282428741E-3</v>
      </c>
    </row>
    <row r="52" spans="1:7">
      <c r="A52" s="15">
        <v>44013</v>
      </c>
      <c r="B52" s="112">
        <v>1.0920000000000001</v>
      </c>
      <c r="C52" s="108">
        <f t="shared" si="8"/>
        <v>-2.9999999999998916E-3</v>
      </c>
      <c r="D52" s="109">
        <f t="shared" si="9"/>
        <v>-2.9999999999998916E-3</v>
      </c>
      <c r="E52" s="109">
        <f ca="1">IF(表2_367162629303891213141518[[#This Row],[累计净值]]/MAX(INDIRECT("B21:B" &amp; ROW()))-1&lt;E51,表2_367162629303891213141518[[#This Row],[累计净值]]/MAX(INDIRECT("B21:B" &amp; ROW()))-1,E51)</f>
        <v>-1.20593692022265E-2</v>
      </c>
      <c r="F52" s="110">
        <f>表2_367162629303891213141518[[#This Row],[累计净值]]-0.12</f>
        <v>0.97200000000000009</v>
      </c>
      <c r="G52" s="109">
        <f>IF(表2_367162629303891213141518[[#This Row],[累计净值]]&gt;1.087,0.7*(表2_367162629303891213141518[[#This Row],[累计净值]]-1.087)/1.087,(表2_367162629303891213141518[[#This Row],[累计净值]]-1.087)/1.087)</f>
        <v>3.2198712051518682E-3</v>
      </c>
    </row>
    <row r="53" spans="1:7">
      <c r="A53" s="15">
        <v>44014</v>
      </c>
      <c r="B53" s="112">
        <v>1.089</v>
      </c>
      <c r="C53" s="108">
        <f>IFERROR(B53-B52,0)</f>
        <v>-3.0000000000001137E-3</v>
      </c>
      <c r="D53" s="109">
        <f>IF(C53&lt;0,C53,"/")</f>
        <v>-3.0000000000001137E-3</v>
      </c>
      <c r="E53" s="109">
        <f ca="1">IF(表2_367162629303891213141518[[#This Row],[累计净值]]/MAX(INDIRECT("B21:B" &amp; ROW()))-1&lt;E52,表2_367162629303891213141518[[#This Row],[累计净值]]/MAX(INDIRECT("B21:B" &amp; ROW()))-1,E52)</f>
        <v>-1.20593692022265E-2</v>
      </c>
      <c r="F53" s="110">
        <f>表2_367162629303891213141518[[#This Row],[累计净值]]-0.12</f>
        <v>0.96899999999999997</v>
      </c>
      <c r="G53" s="109">
        <f>IF(表2_367162629303891213141518[[#This Row],[累计净值]]&gt;1.087,0.7*(表2_367162629303891213141518[[#This Row],[累计净值]]-1.087)/1.087,(表2_367162629303891213141518[[#This Row],[累计净值]]-1.087)/1.087)</f>
        <v>1.2879484820607185E-3</v>
      </c>
    </row>
    <row r="54" spans="1:7">
      <c r="A54" s="15">
        <v>44015</v>
      </c>
      <c r="B54" s="112">
        <v>1.0920000000000001</v>
      </c>
      <c r="C54" s="108">
        <f>IFERROR(B54-B53,0)</f>
        <v>3.0000000000001137E-3</v>
      </c>
      <c r="D54" s="109" t="str">
        <f>IF(C54&lt;0,C54,"/")</f>
        <v>/</v>
      </c>
      <c r="E54" s="109">
        <f ca="1">IF(表2_367162629303891213141518[[#This Row],[累计净值]]/MAX(INDIRECT("B21:B" &amp; ROW()))-1&lt;E53,表2_367162629303891213141518[[#This Row],[累计净值]]/MAX(INDIRECT("B21:B" &amp; ROW()))-1,E53)</f>
        <v>-1.20593692022265E-2</v>
      </c>
      <c r="F54" s="110">
        <f>表2_367162629303891213141518[[#This Row],[累计净值]]-0.12</f>
        <v>0.97200000000000009</v>
      </c>
      <c r="G54" s="109">
        <f>IF(表2_367162629303891213141518[[#This Row],[累计净值]]&gt;1.087,0.7*(表2_367162629303891213141518[[#This Row],[累计净值]]-1.087)/1.087,(表2_367162629303891213141518[[#This Row],[累计净值]]-1.087)/1.087)</f>
        <v>3.2198712051518682E-3</v>
      </c>
    </row>
    <row r="55" spans="1:7">
      <c r="A55" s="15">
        <v>44018</v>
      </c>
      <c r="B55" s="112">
        <v>1.0760000000000001</v>
      </c>
      <c r="C55" s="108">
        <f t="shared" ref="C55:C60" si="10">IFERROR(B55-B54,0)</f>
        <v>-1.6000000000000014E-2</v>
      </c>
      <c r="D55" s="109">
        <f t="shared" ref="D55:D60" si="11">IF(C55&lt;0,C55,"/")</f>
        <v>-1.6000000000000014E-2</v>
      </c>
      <c r="E55" s="109">
        <f ca="1">IF(表2_367162629303891213141518[[#This Row],[累计净值]]/MAX(INDIRECT("B21:B" &amp; ROW()))-1&lt;E54,表2_367162629303891213141518[[#This Row],[累计净值]]/MAX(INDIRECT("B21:B" &amp; ROW()))-1,E54)</f>
        <v>-2.0036429872495432E-2</v>
      </c>
      <c r="F55" s="110">
        <f>表2_367162629303891213141518[[#This Row],[累计净值]]-0.12</f>
        <v>0.95600000000000007</v>
      </c>
      <c r="G55" s="109">
        <f>IF(表2_367162629303891213141518[[#This Row],[累计净值]]&gt;1.087,0.7*(表2_367162629303891213141518[[#This Row],[累计净值]]-1.087)/1.087,(表2_367162629303891213141518[[#This Row],[累计净值]]-1.087)/1.087)</f>
        <v>-1.011959521619126E-2</v>
      </c>
    </row>
    <row r="56" spans="1:7">
      <c r="A56" s="15">
        <v>44019</v>
      </c>
      <c r="B56" s="112">
        <v>1.073</v>
      </c>
      <c r="C56" s="108">
        <f t="shared" si="10"/>
        <v>-3.0000000000001137E-3</v>
      </c>
      <c r="D56" s="109">
        <f t="shared" si="11"/>
        <v>-3.0000000000001137E-3</v>
      </c>
      <c r="E56" s="109">
        <f ca="1">IF(表2_367162629303891213141518[[#This Row],[累计净值]]/MAX(INDIRECT("B21:B" &amp; ROW()))-1&lt;E55,表2_367162629303891213141518[[#This Row],[累计净值]]/MAX(INDIRECT("B21:B" &amp; ROW()))-1,E55)</f>
        <v>-2.2768670309654016E-2</v>
      </c>
      <c r="F56" s="110">
        <f>表2_367162629303891213141518[[#This Row],[累计净值]]-0.12</f>
        <v>0.95299999999999996</v>
      </c>
      <c r="G56" s="109">
        <f>IF(表2_367162629303891213141518[[#This Row],[累计净值]]&gt;1.087,0.7*(表2_367162629303891213141518[[#This Row],[累计净值]]-1.087)/1.087,(表2_367162629303891213141518[[#This Row],[累计净值]]-1.087)/1.087)</f>
        <v>-1.2879484820607188E-2</v>
      </c>
    </row>
    <row r="57" spans="1:7">
      <c r="A57" s="15">
        <v>44020</v>
      </c>
      <c r="B57" s="112">
        <v>1.0860000000000001</v>
      </c>
      <c r="C57" s="108">
        <f t="shared" si="10"/>
        <v>1.3000000000000123E-2</v>
      </c>
      <c r="D57" s="109" t="str">
        <f t="shared" si="11"/>
        <v>/</v>
      </c>
      <c r="E57" s="109">
        <f ca="1">IF(表2_367162629303891213141518[[#This Row],[累计净值]]/MAX(INDIRECT("B21:B" &amp; ROW()))-1&lt;E56,表2_367162629303891213141518[[#This Row],[累计净值]]/MAX(INDIRECT("B21:B" &amp; ROW()))-1,E56)</f>
        <v>-2.2768670309654016E-2</v>
      </c>
      <c r="F57" s="110">
        <f>表2_367162629303891213141518[[#This Row],[累计净值]]-0.12</f>
        <v>0.96600000000000008</v>
      </c>
      <c r="G57" s="109">
        <f>IF(表2_367162629303891213141518[[#This Row],[累计净值]]&gt;1.087,0.7*(表2_367162629303891213141518[[#This Row],[累计净值]]-1.087)/1.087,(表2_367162629303891213141518[[#This Row],[累计净值]]-1.087)/1.087)</f>
        <v>-9.1996320147183985E-4</v>
      </c>
    </row>
    <row r="58" spans="1:7">
      <c r="A58" s="15">
        <v>44021</v>
      </c>
      <c r="B58" s="112">
        <v>1.093</v>
      </c>
      <c r="C58" s="108">
        <f t="shared" si="10"/>
        <v>6.9999999999998952E-3</v>
      </c>
      <c r="D58" s="109" t="str">
        <f t="shared" si="11"/>
        <v>/</v>
      </c>
      <c r="E58" s="109">
        <f ca="1">IF(表2_367162629303891213141518[[#This Row],[累计净值]]/MAX(INDIRECT("B21:B" &amp; ROW()))-1&lt;E57,表2_367162629303891213141518[[#This Row],[累计净值]]/MAX(INDIRECT("B21:B" &amp; ROW()))-1,E57)</f>
        <v>-2.2768670309654016E-2</v>
      </c>
      <c r="F58" s="110">
        <f>表2_367162629303891213141518[[#This Row],[累计净值]]-0.12</f>
        <v>0.97299999999999998</v>
      </c>
      <c r="G58" s="109">
        <f>IF(表2_367162629303891213141518[[#This Row],[累计净值]]&gt;1.087,0.7*(表2_367162629303891213141518[[#This Row],[累计净值]]-1.087)/1.087,(表2_367162629303891213141518[[#This Row],[累计净值]]-1.087)/1.087)</f>
        <v>3.8638454461821558E-3</v>
      </c>
    </row>
    <row r="59" spans="1:7">
      <c r="A59" s="15">
        <v>44022</v>
      </c>
      <c r="B59" s="112">
        <v>1.087</v>
      </c>
      <c r="C59" s="108">
        <f t="shared" si="10"/>
        <v>-6.0000000000000053E-3</v>
      </c>
      <c r="D59" s="109">
        <f t="shared" si="11"/>
        <v>-6.0000000000000053E-3</v>
      </c>
      <c r="E59" s="109">
        <f ca="1">IF(表2_367162629303891213141518[[#This Row],[累计净值]]/MAX(INDIRECT("B21:B" &amp; ROW()))-1&lt;E58,表2_367162629303891213141518[[#This Row],[累计净值]]/MAX(INDIRECT("B21:B" &amp; ROW()))-1,E58)</f>
        <v>-2.2768670309654016E-2</v>
      </c>
      <c r="F59" s="110">
        <f>表2_367162629303891213141518[[#This Row],[累计净值]]-0.12</f>
        <v>0.96699999999999997</v>
      </c>
      <c r="G59" s="109">
        <f>IF(表2_367162629303891213141518[[#This Row],[累计净值]]&gt;1.087,0.7*(表2_367162629303891213141518[[#This Row],[累计净值]]-1.087)/1.087,(表2_367162629303891213141518[[#This Row],[累计净值]]-1.087)/1.087)</f>
        <v>0</v>
      </c>
    </row>
    <row r="60" spans="1:7">
      <c r="A60" s="15">
        <v>44025</v>
      </c>
      <c r="B60" s="112">
        <v>1.0880000000000001</v>
      </c>
      <c r="C60" s="108">
        <f t="shared" si="10"/>
        <v>1.0000000000001119E-3</v>
      </c>
      <c r="D60" s="109" t="str">
        <f t="shared" si="11"/>
        <v>/</v>
      </c>
      <c r="E60" s="109">
        <f ca="1">IF(表2_367162629303891213141518[[#This Row],[累计净值]]/MAX(INDIRECT("B21:B" &amp; ROW()))-1&lt;E59,表2_367162629303891213141518[[#This Row],[累计净值]]/MAX(INDIRECT("B21:B" &amp; ROW()))-1,E59)</f>
        <v>-2.2768670309654016E-2</v>
      </c>
      <c r="F60" s="110">
        <f>表2_367162629303891213141518[[#This Row],[累计净值]]-0.12</f>
        <v>0.96800000000000008</v>
      </c>
      <c r="G60" s="109">
        <f>IF(表2_367162629303891213141518[[#This Row],[累计净值]]&gt;1.087,0.7*(表2_367162629303891213141518[[#This Row],[累计净值]]-1.087)/1.087,(表2_367162629303891213141518[[#This Row],[累计净值]]-1.087)/1.087)</f>
        <v>6.4397424103043081E-4</v>
      </c>
    </row>
    <row r="61" spans="1:7">
      <c r="A61" s="15">
        <v>44026</v>
      </c>
      <c r="B61" s="112">
        <v>1.0860000000000001</v>
      </c>
      <c r="C61" s="108">
        <f t="shared" ref="C61:C67" si="12">IFERROR(B61-B60,0)</f>
        <v>-2.0000000000000018E-3</v>
      </c>
      <c r="D61" s="109">
        <f t="shared" ref="D61:D67" si="13">IF(C61&lt;0,C61,"/")</f>
        <v>-2.0000000000000018E-3</v>
      </c>
      <c r="E61" s="109">
        <f ca="1">IF(表2_367162629303891213141518[[#This Row],[累计净值]]/MAX(INDIRECT("B21:B" &amp; ROW()))-1&lt;E60,表2_367162629303891213141518[[#This Row],[累计净值]]/MAX(INDIRECT("B21:B" &amp; ROW()))-1,E60)</f>
        <v>-2.2768670309654016E-2</v>
      </c>
      <c r="F61" s="110">
        <f>表2_367162629303891213141518[[#This Row],[累计净值]]-0.12</f>
        <v>0.96600000000000008</v>
      </c>
      <c r="G61" s="109">
        <f>IF(表2_367162629303891213141518[[#This Row],[累计净值]]&gt;1.087,0.7*(表2_367162629303891213141518[[#This Row],[累计净值]]-1.087)/1.087,(表2_367162629303891213141518[[#This Row],[累计净值]]-1.087)/1.087)</f>
        <v>-9.1996320147183985E-4</v>
      </c>
    </row>
    <row r="62" spans="1:7">
      <c r="A62" s="15">
        <v>44027</v>
      </c>
      <c r="B62" s="112">
        <v>1.093</v>
      </c>
      <c r="C62" s="108">
        <f t="shared" si="12"/>
        <v>6.9999999999998952E-3</v>
      </c>
      <c r="D62" s="109" t="str">
        <f t="shared" si="13"/>
        <v>/</v>
      </c>
      <c r="E62" s="109">
        <f ca="1">IF(表2_367162629303891213141518[[#This Row],[累计净值]]/MAX(INDIRECT("B21:B" &amp; ROW()))-1&lt;E61,表2_367162629303891213141518[[#This Row],[累计净值]]/MAX(INDIRECT("B21:B" &amp; ROW()))-1,E61)</f>
        <v>-2.2768670309654016E-2</v>
      </c>
      <c r="F62" s="110">
        <f>表2_367162629303891213141518[[#This Row],[累计净值]]-0.12</f>
        <v>0.97299999999999998</v>
      </c>
      <c r="G62" s="109">
        <f>IF(表2_367162629303891213141518[[#This Row],[累计净值]]&gt;1.087,0.7*(表2_367162629303891213141518[[#This Row],[累计净值]]-1.087)/1.087,(表2_367162629303891213141518[[#This Row],[累计净值]]-1.087)/1.087)</f>
        <v>3.8638454461821558E-3</v>
      </c>
    </row>
    <row r="63" spans="1:7">
      <c r="A63" s="15">
        <v>44028</v>
      </c>
      <c r="B63" s="112">
        <v>1.0900000000000001</v>
      </c>
      <c r="C63" s="108">
        <f t="shared" si="12"/>
        <v>-2.9999999999998916E-3</v>
      </c>
      <c r="D63" s="109">
        <f t="shared" si="13"/>
        <v>-2.9999999999998916E-3</v>
      </c>
      <c r="E63" s="109">
        <f ca="1">IF(表2_367162629303891213141518[[#This Row],[累计净值]]/MAX(INDIRECT("B21:B" &amp; ROW()))-1&lt;E62,表2_367162629303891213141518[[#This Row],[累计净值]]/MAX(INDIRECT("B21:B" &amp; ROW()))-1,E62)</f>
        <v>-2.2768670309654016E-2</v>
      </c>
      <c r="F63" s="110">
        <f>表2_367162629303891213141518[[#This Row],[累计净值]]-0.12</f>
        <v>0.97000000000000008</v>
      </c>
      <c r="G63" s="109">
        <f>IF(表2_367162629303891213141518[[#This Row],[累计净值]]&gt;1.087,0.7*(表2_367162629303891213141518[[#This Row],[累计净值]]-1.087)/1.087,(表2_367162629303891213141518[[#This Row],[累计净值]]-1.087)/1.087)</f>
        <v>1.9319227230911492E-3</v>
      </c>
    </row>
    <row r="64" spans="1:7">
      <c r="A64" s="15">
        <v>44029</v>
      </c>
      <c r="B64" s="112">
        <v>1.1000000000000001</v>
      </c>
      <c r="C64" s="108">
        <f t="shared" si="12"/>
        <v>1.0000000000000009E-2</v>
      </c>
      <c r="D64" s="109" t="str">
        <f t="shared" si="13"/>
        <v>/</v>
      </c>
      <c r="E64" s="109">
        <f ca="1">IF(表2_367162629303891213141518[[#This Row],[累计净值]]/MAX(INDIRECT("B21:B" &amp; ROW()))-1&lt;E63,表2_367162629303891213141518[[#This Row],[累计净值]]/MAX(INDIRECT("B21:B" &amp; ROW()))-1,E63)</f>
        <v>-2.2768670309654016E-2</v>
      </c>
      <c r="F64" s="110">
        <f>表2_367162629303891213141518[[#This Row],[累计净值]]-0.12</f>
        <v>0.98000000000000009</v>
      </c>
      <c r="G64" s="109">
        <f>IF(表2_367162629303891213141518[[#This Row],[累计净值]]&gt;1.087,0.7*(表2_367162629303891213141518[[#This Row],[累计净值]]-1.087)/1.087,(表2_367162629303891213141518[[#This Row],[累计净值]]-1.087)/1.087)</f>
        <v>8.3716651333947435E-3</v>
      </c>
    </row>
    <row r="65" spans="1:7">
      <c r="A65" s="15">
        <v>44032</v>
      </c>
      <c r="B65" s="112">
        <v>1.1000000000000001</v>
      </c>
      <c r="C65" s="108">
        <f t="shared" si="12"/>
        <v>0</v>
      </c>
      <c r="D65" s="109" t="str">
        <f t="shared" si="13"/>
        <v>/</v>
      </c>
      <c r="E65" s="109">
        <f ca="1">IF(表2_367162629303891213141518[[#This Row],[累计净值]]/MAX(INDIRECT("B21:B" &amp; ROW()))-1&lt;E64,表2_367162629303891213141518[[#This Row],[累计净值]]/MAX(INDIRECT("B21:B" &amp; ROW()))-1,E64)</f>
        <v>-2.2768670309654016E-2</v>
      </c>
      <c r="F65" s="110">
        <f>表2_367162629303891213141518[[#This Row],[累计净值]]-0.12</f>
        <v>0.98000000000000009</v>
      </c>
      <c r="G65" s="109">
        <f>IF(表2_367162629303891213141518[[#This Row],[累计净值]]&gt;1.087,0.7*(表2_367162629303891213141518[[#This Row],[累计净值]]-1.087)/1.087,(表2_367162629303891213141518[[#This Row],[累计净值]]-1.087)/1.087)</f>
        <v>8.3716651333947435E-3</v>
      </c>
    </row>
    <row r="66" spans="1:7">
      <c r="A66" s="15">
        <v>44033</v>
      </c>
      <c r="B66" s="112">
        <v>1.1040000000000001</v>
      </c>
      <c r="C66" s="108">
        <f t="shared" si="12"/>
        <v>4.0000000000000036E-3</v>
      </c>
      <c r="D66" s="109" t="str">
        <f t="shared" si="13"/>
        <v>/</v>
      </c>
      <c r="E66" s="109">
        <f ca="1">IF(表2_367162629303891213141518[[#This Row],[累计净值]]/MAX(INDIRECT("B21:B" &amp; ROW()))-1&lt;E65,表2_367162629303891213141518[[#This Row],[累计净值]]/MAX(INDIRECT("B21:B" &amp; ROW()))-1,E65)</f>
        <v>-2.2768670309654016E-2</v>
      </c>
      <c r="F66" s="110">
        <f>表2_367162629303891213141518[[#This Row],[累计净值]]-0.12</f>
        <v>0.9840000000000001</v>
      </c>
      <c r="G66" s="109">
        <f>IF(表2_367162629303891213141518[[#This Row],[累计净值]]&gt;1.087,0.7*(表2_367162629303891213141518[[#This Row],[累计净值]]-1.087)/1.087,(表2_367162629303891213141518[[#This Row],[累计净值]]-1.087)/1.087)</f>
        <v>1.094756209751618E-2</v>
      </c>
    </row>
    <row r="67" spans="1:7">
      <c r="A67" s="15">
        <v>44034</v>
      </c>
      <c r="B67" s="112">
        <v>1.0980000000000001</v>
      </c>
      <c r="C67" s="108">
        <f t="shared" si="12"/>
        <v>-6.0000000000000053E-3</v>
      </c>
      <c r="D67" s="109">
        <f t="shared" si="13"/>
        <v>-6.0000000000000053E-3</v>
      </c>
      <c r="E67" s="109">
        <f ca="1">IF(表2_367162629303891213141518[[#This Row],[累计净值]]/MAX(INDIRECT("B21:B" &amp; ROW()))-1&lt;E66,表2_367162629303891213141518[[#This Row],[累计净值]]/MAX(INDIRECT("B21:B" &amp; ROW()))-1,E66)</f>
        <v>-2.2768670309654016E-2</v>
      </c>
      <c r="F67" s="110">
        <f>表2_367162629303891213141518[[#This Row],[累计净值]]-0.12</f>
        <v>0.97800000000000009</v>
      </c>
      <c r="G67" s="109">
        <f>IF(表2_367162629303891213141518[[#This Row],[累计净值]]&gt;1.087,0.7*(表2_367162629303891213141518[[#This Row],[累计净值]]-1.087)/1.087,(表2_367162629303891213141518[[#This Row],[累计净值]]-1.087)/1.087)</f>
        <v>7.0837166513340244E-3</v>
      </c>
    </row>
    <row r="68" spans="1:7">
      <c r="A68" s="15">
        <v>44035</v>
      </c>
      <c r="B68" s="112">
        <v>1.1040000000000001</v>
      </c>
      <c r="C68" s="108">
        <f>IFERROR(B68-B67,0)</f>
        <v>6.0000000000000053E-3</v>
      </c>
      <c r="D68" s="109" t="str">
        <f>IF(C68&lt;0,C68,"/")</f>
        <v>/</v>
      </c>
      <c r="E68" s="109">
        <f ca="1">IF(表2_367162629303891213141518[[#This Row],[累计净值]]/MAX(INDIRECT("B21:B" &amp; ROW()))-1&lt;E67,表2_367162629303891213141518[[#This Row],[累计净值]]/MAX(INDIRECT("B21:B" &amp; ROW()))-1,E67)</f>
        <v>-2.2768670309654016E-2</v>
      </c>
      <c r="F68" s="110">
        <f>表2_367162629303891213141518[[#This Row],[累计净值]]-0.12</f>
        <v>0.9840000000000001</v>
      </c>
      <c r="G68" s="109">
        <f>IF(表2_367162629303891213141518[[#This Row],[累计净值]]&gt;1.087,0.7*(表2_367162629303891213141518[[#This Row],[累计净值]]-1.087)/1.087,(表2_367162629303891213141518[[#This Row],[累计净值]]-1.087)/1.087)</f>
        <v>1.094756209751618E-2</v>
      </c>
    </row>
    <row r="69" spans="1:7">
      <c r="A69" s="15">
        <v>44036</v>
      </c>
      <c r="B69" s="112">
        <v>1.1040000000000001</v>
      </c>
      <c r="C69" s="108">
        <f>IFERROR(B69-B68,0)</f>
        <v>0</v>
      </c>
      <c r="D69" s="109" t="str">
        <f>IF(C69&lt;0,C69,"/")</f>
        <v>/</v>
      </c>
      <c r="E69" s="109">
        <f ca="1">IF(表2_367162629303891213141518[[#This Row],[累计净值]]/MAX(INDIRECT("B21:B" &amp; ROW()))-1&lt;E68,表2_367162629303891213141518[[#This Row],[累计净值]]/MAX(INDIRECT("B21:B" &amp; ROW()))-1,E68)</f>
        <v>-2.2768670309654016E-2</v>
      </c>
      <c r="F69" s="110">
        <f>表2_367162629303891213141518[[#This Row],[累计净值]]-0.12</f>
        <v>0.9840000000000001</v>
      </c>
      <c r="G69" s="109">
        <f>IF(表2_367162629303891213141518[[#This Row],[累计净值]]&gt;1.087,0.7*(表2_367162629303891213141518[[#This Row],[累计净值]]-1.087)/1.087,(表2_367162629303891213141518[[#This Row],[累计净值]]-1.087)/1.087)</f>
        <v>1.094756209751618E-2</v>
      </c>
    </row>
    <row r="70" spans="1:7">
      <c r="A70" s="15">
        <v>44039</v>
      </c>
      <c r="B70" s="112">
        <v>1.101</v>
      </c>
      <c r="C70" s="108">
        <f t="shared" ref="C70:C75" si="14">IFERROR(B70-B69,0)</f>
        <v>-3.0000000000001137E-3</v>
      </c>
      <c r="D70" s="109">
        <f t="shared" ref="D70:D75" si="15">IF(C70&lt;0,C70,"/")</f>
        <v>-3.0000000000001137E-3</v>
      </c>
      <c r="E70" s="109">
        <f ca="1">IF(表2_367162629303891213141518[[#This Row],[累计净值]]/MAX(INDIRECT("B21:B" &amp; ROW()))-1&lt;E69,表2_367162629303891213141518[[#This Row],[累计净值]]/MAX(INDIRECT("B21:B" &amp; ROW()))-1,E69)</f>
        <v>-2.2768670309654016E-2</v>
      </c>
      <c r="F70" s="110">
        <f>表2_367162629303891213141518[[#This Row],[累计净值]]-0.12</f>
        <v>0.98099999999999998</v>
      </c>
      <c r="G70" s="109">
        <f>IF(表2_367162629303891213141518[[#This Row],[累计净值]]&gt;1.087,0.7*(表2_367162629303891213141518[[#This Row],[累计净值]]-1.087)/1.087,(表2_367162629303891213141518[[#This Row],[累计净值]]-1.087)/1.087)</f>
        <v>9.0156393744250315E-3</v>
      </c>
    </row>
    <row r="71" spans="1:7">
      <c r="A71" s="15">
        <v>44040</v>
      </c>
      <c r="B71" s="112">
        <v>1.107</v>
      </c>
      <c r="C71" s="108">
        <f t="shared" si="14"/>
        <v>6.0000000000000053E-3</v>
      </c>
      <c r="D71" s="109" t="str">
        <f t="shared" si="15"/>
        <v>/</v>
      </c>
      <c r="E71" s="109">
        <f ca="1">IF(表2_367162629303891213141518[[#This Row],[累计净值]]/MAX(INDIRECT("B21:B" &amp; ROW()))-1&lt;E70,表2_367162629303891213141518[[#This Row],[累计净值]]/MAX(INDIRECT("B21:B" &amp; ROW()))-1,E70)</f>
        <v>-2.2768670309654016E-2</v>
      </c>
      <c r="F71" s="110">
        <f>表2_367162629303891213141518[[#This Row],[累计净值]]-0.12</f>
        <v>0.98699999999999999</v>
      </c>
      <c r="G71" s="109">
        <f>IF(表2_367162629303891213141518[[#This Row],[累计净值]]&gt;1.087,0.7*(表2_367162629303891213141518[[#This Row],[累计净值]]-1.087)/1.087,(表2_367162629303891213141518[[#This Row],[累计净值]]-1.087)/1.087)</f>
        <v>1.2879484820607186E-2</v>
      </c>
    </row>
    <row r="72" spans="1:7">
      <c r="A72" s="15">
        <v>44041</v>
      </c>
      <c r="B72" s="112">
        <v>1.1000000000000001</v>
      </c>
      <c r="C72" s="108">
        <f t="shared" si="14"/>
        <v>-6.9999999999998952E-3</v>
      </c>
      <c r="D72" s="109">
        <f t="shared" si="15"/>
        <v>-6.9999999999998952E-3</v>
      </c>
      <c r="E72" s="109">
        <f ca="1">IF(表2_367162629303891213141518[[#This Row],[累计净值]]/MAX(INDIRECT("B21:B" &amp; ROW()))-1&lt;E71,表2_367162629303891213141518[[#This Row],[累计净值]]/MAX(INDIRECT("B21:B" &amp; ROW()))-1,E71)</f>
        <v>-2.2768670309654016E-2</v>
      </c>
      <c r="F72" s="110">
        <f>表2_367162629303891213141518[[#This Row],[累计净值]]-0.12</f>
        <v>0.98000000000000009</v>
      </c>
      <c r="G72" s="109">
        <f>IF(表2_367162629303891213141518[[#This Row],[累计净值]]&gt;1.087,0.7*(表2_367162629303891213141518[[#This Row],[累计净值]]-1.087)/1.087,(表2_367162629303891213141518[[#This Row],[累计净值]]-1.087)/1.087)</f>
        <v>8.3716651333947435E-3</v>
      </c>
    </row>
    <row r="73" spans="1:7">
      <c r="A73" s="15">
        <v>44042</v>
      </c>
      <c r="B73" s="112">
        <v>1.1020000000000001</v>
      </c>
      <c r="C73" s="108">
        <f t="shared" si="14"/>
        <v>2.0000000000000018E-3</v>
      </c>
      <c r="D73" s="109" t="str">
        <f t="shared" si="15"/>
        <v>/</v>
      </c>
      <c r="E73" s="109">
        <f ca="1">IF(表2_367162629303891213141518[[#This Row],[累计净值]]/MAX(INDIRECT("B21:B" &amp; ROW()))-1&lt;E72,表2_367162629303891213141518[[#This Row],[累计净值]]/MAX(INDIRECT("B21:B" &amp; ROW()))-1,E72)</f>
        <v>-2.2768670309654016E-2</v>
      </c>
      <c r="F73" s="110">
        <f>表2_367162629303891213141518[[#This Row],[累计净值]]-0.12</f>
        <v>0.9820000000000001</v>
      </c>
      <c r="G73" s="109">
        <f>IF(表2_367162629303891213141518[[#This Row],[累计净值]]&gt;1.087,0.7*(表2_367162629303891213141518[[#This Row],[累计净值]]-1.087)/1.087,(表2_367162629303891213141518[[#This Row],[累计净值]]-1.087)/1.087)</f>
        <v>9.6596136154554601E-3</v>
      </c>
    </row>
    <row r="74" spans="1:7">
      <c r="A74" s="15">
        <v>44043</v>
      </c>
      <c r="B74" s="112">
        <v>1.1020000000000001</v>
      </c>
      <c r="C74" s="108">
        <f t="shared" si="14"/>
        <v>0</v>
      </c>
      <c r="D74" s="109" t="str">
        <f t="shared" si="15"/>
        <v>/</v>
      </c>
      <c r="E74" s="109">
        <f ca="1">IF(表2_367162629303891213141518[[#This Row],[累计净值]]/MAX(INDIRECT("B21:B" &amp; ROW()))-1&lt;E73,表2_367162629303891213141518[[#This Row],[累计净值]]/MAX(INDIRECT("B21:B" &amp; ROW()))-1,E73)</f>
        <v>-2.2768670309654016E-2</v>
      </c>
      <c r="F74" s="110">
        <f>表2_367162629303891213141518[[#This Row],[累计净值]]-0.12</f>
        <v>0.9820000000000001</v>
      </c>
      <c r="G74" s="109">
        <f>IF(表2_367162629303891213141518[[#This Row],[累计净值]]&gt;1.087,0.7*(表2_367162629303891213141518[[#This Row],[累计净值]]-1.087)/1.087,(表2_367162629303891213141518[[#This Row],[累计净值]]-1.087)/1.087)</f>
        <v>9.6596136154554601E-3</v>
      </c>
    </row>
    <row r="75" spans="1:7">
      <c r="A75" s="15">
        <v>44046</v>
      </c>
      <c r="B75" s="112">
        <v>1.1060000000000001</v>
      </c>
      <c r="C75" s="108">
        <f t="shared" si="14"/>
        <v>4.0000000000000036E-3</v>
      </c>
      <c r="D75" s="109" t="str">
        <f t="shared" si="15"/>
        <v>/</v>
      </c>
      <c r="E75" s="109">
        <f ca="1">IF(表2_367162629303891213141518[[#This Row],[累计净值]]/MAX(INDIRECT("B21:B" &amp; ROW()))-1&lt;E74,表2_367162629303891213141518[[#This Row],[累计净值]]/MAX(INDIRECT("B21:B" &amp; ROW()))-1,E74)</f>
        <v>-2.2768670309654016E-2</v>
      </c>
      <c r="F75" s="110">
        <f>表2_367162629303891213141518[[#This Row],[累计净值]]-0.12</f>
        <v>0.9860000000000001</v>
      </c>
      <c r="G75" s="109">
        <f>IF(表2_367162629303891213141518[[#This Row],[累计净值]]&gt;1.087,0.7*(表2_367162629303891213141518[[#This Row],[累计净值]]-1.087)/1.087,(表2_367162629303891213141518[[#This Row],[累计净值]]-1.087)/1.087)</f>
        <v>1.22355105795769E-2</v>
      </c>
    </row>
    <row r="76" spans="1:7">
      <c r="A76" s="15">
        <v>44047</v>
      </c>
      <c r="B76" s="112">
        <v>1.1080000000000001</v>
      </c>
      <c r="C76" s="108">
        <f t="shared" ref="C76:C81" si="16">IFERROR(B76-B75,0)</f>
        <v>2.0000000000000018E-3</v>
      </c>
      <c r="D76" s="109" t="str">
        <f t="shared" ref="D76:D81" si="17">IF(C76&lt;0,C76,"/")</f>
        <v>/</v>
      </c>
      <c r="E76" s="109">
        <f ca="1">IF(表2_367162629303891213141518[[#This Row],[累计净值]]/MAX(INDIRECT("B21:B" &amp; ROW()))-1&lt;E75,表2_367162629303891213141518[[#This Row],[累计净值]]/MAX(INDIRECT("B21:B" &amp; ROW()))-1,E75)</f>
        <v>-2.2768670309654016E-2</v>
      </c>
      <c r="F76" s="110">
        <f>表2_367162629303891213141518[[#This Row],[累计净值]]-0.12</f>
        <v>0.9880000000000001</v>
      </c>
      <c r="G76" s="109">
        <f>IF(表2_367162629303891213141518[[#This Row],[累计净值]]&gt;1.087,0.7*(表2_367162629303891213141518[[#This Row],[累计净值]]-1.087)/1.087,(表2_367162629303891213141518[[#This Row],[累计净值]]-1.087)/1.087)</f>
        <v>1.3523459061637617E-2</v>
      </c>
    </row>
    <row r="77" spans="1:7">
      <c r="A77" s="15">
        <v>44048</v>
      </c>
      <c r="B77" s="112">
        <v>1.1100000000000001</v>
      </c>
      <c r="C77" s="108">
        <f t="shared" si="16"/>
        <v>2.0000000000000018E-3</v>
      </c>
      <c r="D77" s="109" t="str">
        <f t="shared" si="17"/>
        <v>/</v>
      </c>
      <c r="E77" s="109">
        <f ca="1">IF(表2_367162629303891213141518[[#This Row],[累计净值]]/MAX(INDIRECT("B21:B" &amp; ROW()))-1&lt;E76,表2_367162629303891213141518[[#This Row],[累计净值]]/MAX(INDIRECT("B21:B" &amp; ROW()))-1,E76)</f>
        <v>-2.2768670309654016E-2</v>
      </c>
      <c r="F77" s="110">
        <f>表2_367162629303891213141518[[#This Row],[累计净值]]-0.12</f>
        <v>0.9900000000000001</v>
      </c>
      <c r="G77" s="109">
        <f>IF(表2_367162629303891213141518[[#This Row],[累计净值]]&gt;1.087,0.7*(表2_367162629303891213141518[[#This Row],[累计净值]]-1.087)/1.087,(表2_367162629303891213141518[[#This Row],[累计净值]]-1.087)/1.087)</f>
        <v>1.4811407543698335E-2</v>
      </c>
    </row>
    <row r="78" spans="1:7">
      <c r="A78" s="15">
        <v>44049</v>
      </c>
      <c r="B78" s="112">
        <v>1.109</v>
      </c>
      <c r="C78" s="108">
        <f t="shared" si="16"/>
        <v>-1.0000000000001119E-3</v>
      </c>
      <c r="D78" s="109">
        <f t="shared" si="17"/>
        <v>-1.0000000000001119E-3</v>
      </c>
      <c r="E78" s="109">
        <f ca="1">IF(表2_367162629303891213141518[[#This Row],[累计净值]]/MAX(INDIRECT("B21:B" &amp; ROW()))-1&lt;E77,表2_367162629303891213141518[[#This Row],[累计净值]]/MAX(INDIRECT("B21:B" &amp; ROW()))-1,E77)</f>
        <v>-2.2768670309654016E-2</v>
      </c>
      <c r="F78" s="110">
        <f>表2_367162629303891213141518[[#This Row],[累计净值]]-0.12</f>
        <v>0.98899999999999999</v>
      </c>
      <c r="G78" s="109">
        <f>IF(表2_367162629303891213141518[[#This Row],[累计净值]]&gt;1.087,0.7*(表2_367162629303891213141518[[#This Row],[累计净值]]-1.087)/1.087,(表2_367162629303891213141518[[#This Row],[累计净值]]-1.087)/1.087)</f>
        <v>1.4167433302667905E-2</v>
      </c>
    </row>
    <row r="79" spans="1:7">
      <c r="A79" s="15">
        <v>44050</v>
      </c>
      <c r="B79" s="112">
        <v>1.107</v>
      </c>
      <c r="C79" s="108">
        <f t="shared" si="16"/>
        <v>-2.0000000000000018E-3</v>
      </c>
      <c r="D79" s="109">
        <f t="shared" si="17"/>
        <v>-2.0000000000000018E-3</v>
      </c>
      <c r="E79" s="109">
        <f ca="1">IF(表2_367162629303891213141518[[#This Row],[累计净值]]/MAX(INDIRECT("B21:B" &amp; ROW()))-1&lt;E78,表2_367162629303891213141518[[#This Row],[累计净值]]/MAX(INDIRECT("B21:B" &amp; ROW()))-1,E78)</f>
        <v>-2.2768670309654016E-2</v>
      </c>
      <c r="F79" s="110">
        <f>表2_367162629303891213141518[[#This Row],[累计净值]]-0.12</f>
        <v>0.98699999999999999</v>
      </c>
      <c r="G79" s="109">
        <f>IF(表2_367162629303891213141518[[#This Row],[累计净值]]&gt;1.087,0.7*(表2_367162629303891213141518[[#This Row],[累计净值]]-1.087)/1.087,(表2_367162629303891213141518[[#This Row],[累计净值]]-1.087)/1.087)</f>
        <v>1.2879484820607186E-2</v>
      </c>
    </row>
    <row r="80" spans="1:7">
      <c r="A80" s="15">
        <v>44053</v>
      </c>
      <c r="B80" s="112">
        <v>1.105</v>
      </c>
      <c r="C80" s="108">
        <f t="shared" si="16"/>
        <v>-2.0000000000000018E-3</v>
      </c>
      <c r="D80" s="109">
        <f t="shared" si="17"/>
        <v>-2.0000000000000018E-3</v>
      </c>
      <c r="E80" s="109">
        <f ca="1">IF(表2_367162629303891213141518[[#This Row],[累计净值]]/MAX(INDIRECT("B21:B" &amp; ROW()))-1&lt;E79,表2_367162629303891213141518[[#This Row],[累计净值]]/MAX(INDIRECT("B21:B" &amp; ROW()))-1,E79)</f>
        <v>-2.2768670309654016E-2</v>
      </c>
      <c r="F80" s="110">
        <f>表2_367162629303891213141518[[#This Row],[累计净值]]-0.12</f>
        <v>0.98499999999999999</v>
      </c>
      <c r="G80" s="109">
        <f>IF(表2_367162629303891213141518[[#This Row],[累计净值]]&gt;1.087,0.7*(表2_367162629303891213141518[[#This Row],[累计净值]]-1.087)/1.087,(表2_367162629303891213141518[[#This Row],[累计净值]]-1.087)/1.087)</f>
        <v>1.1591536338546468E-2</v>
      </c>
    </row>
    <row r="81" spans="1:8">
      <c r="A81" s="15">
        <v>44054</v>
      </c>
      <c r="B81" s="112">
        <v>1.1080000000000001</v>
      </c>
      <c r="C81" s="108">
        <f t="shared" si="16"/>
        <v>3.0000000000001137E-3</v>
      </c>
      <c r="D81" s="109" t="str">
        <f t="shared" si="17"/>
        <v>/</v>
      </c>
      <c r="E81" s="109">
        <f ca="1">IF(表2_367162629303891213141518[[#This Row],[累计净值]]/MAX(INDIRECT("B21:B" &amp; ROW()))-1&lt;E80,表2_367162629303891213141518[[#This Row],[累计净值]]/MAX(INDIRECT("B21:B" &amp; ROW()))-1,E80)</f>
        <v>-2.2768670309654016E-2</v>
      </c>
      <c r="F81" s="110">
        <f>表2_367162629303891213141518[[#This Row],[累计净值]]-0.12</f>
        <v>0.9880000000000001</v>
      </c>
      <c r="G81" s="109">
        <f>IF(表2_367162629303891213141518[[#This Row],[累计净值]]&gt;1.087,0.7*(表2_367162629303891213141518[[#This Row],[累计净值]]-1.087)/1.087,(表2_367162629303891213141518[[#This Row],[累计净值]]-1.087)/1.087)</f>
        <v>1.3523459061637617E-2</v>
      </c>
    </row>
    <row r="82" spans="1:8">
      <c r="A82" s="15">
        <v>44055</v>
      </c>
      <c r="B82" s="112">
        <v>1.1080000000000001</v>
      </c>
      <c r="C82" s="108">
        <f t="shared" ref="C82:C87" si="18">IFERROR(B82-B81,0)</f>
        <v>0</v>
      </c>
      <c r="D82" s="109" t="str">
        <f t="shared" ref="D82:D87" si="19">IF(C82&lt;0,C82,"/")</f>
        <v>/</v>
      </c>
      <c r="E82" s="109">
        <f ca="1">IF(表2_367162629303891213141518[[#This Row],[累计净值]]/MAX(INDIRECT("B21:B" &amp; ROW()))-1&lt;E81,表2_367162629303891213141518[[#This Row],[累计净值]]/MAX(INDIRECT("B21:B" &amp; ROW()))-1,E81)</f>
        <v>-2.2768670309654016E-2</v>
      </c>
      <c r="F82" s="110">
        <f>表2_367162629303891213141518[[#This Row],[累计净值]]-0.12</f>
        <v>0.9880000000000001</v>
      </c>
      <c r="G82" s="109">
        <f>IF(表2_367162629303891213141518[[#This Row],[累计净值]]&gt;1.087,0.7*(表2_367162629303891213141518[[#This Row],[累计净值]]-1.087)/1.087,(表2_367162629303891213141518[[#This Row],[累计净值]]-1.087)/1.087)</f>
        <v>1.3523459061637617E-2</v>
      </c>
      <c r="H82" s="196" t="s">
        <v>38</v>
      </c>
    </row>
    <row r="83" spans="1:8">
      <c r="A83" s="15">
        <v>44056</v>
      </c>
      <c r="B83" s="112">
        <v>1.1080000000000001</v>
      </c>
      <c r="C83" s="108">
        <f t="shared" si="18"/>
        <v>0</v>
      </c>
      <c r="D83" s="109" t="str">
        <f t="shared" si="19"/>
        <v>/</v>
      </c>
      <c r="E83" s="109">
        <f ca="1">IF(表2_367162629303891213141518[[#This Row],[累计净值]]/MAX(INDIRECT("B21:B" &amp; ROW()))-1&lt;E82,表2_367162629303891213141518[[#This Row],[累计净值]]/MAX(INDIRECT("B21:B" &amp; ROW()))-1,E82)</f>
        <v>-2.2768670309654016E-2</v>
      </c>
      <c r="F83" s="110">
        <f>表2_367162629303891213141518[[#This Row],[累计净值]]-0.12</f>
        <v>0.9880000000000001</v>
      </c>
      <c r="G83" s="109">
        <f>IF(表2_367162629303891213141518[[#This Row],[累计净值]]&gt;1.087,0.7*(表2_367162629303891213141518[[#This Row],[累计净值]]-1.087)/1.087,(表2_367162629303891213141518[[#This Row],[累计净值]]-1.087)/1.087)</f>
        <v>1.3523459061637617E-2</v>
      </c>
    </row>
    <row r="84" spans="1:8">
      <c r="A84" s="15">
        <v>44057</v>
      </c>
      <c r="B84" s="112">
        <v>1.109</v>
      </c>
      <c r="C84" s="108">
        <f t="shared" si="18"/>
        <v>9.9999999999988987E-4</v>
      </c>
      <c r="D84" s="109" t="str">
        <f t="shared" si="19"/>
        <v>/</v>
      </c>
      <c r="E84" s="109">
        <f ca="1">IF(表2_367162629303891213141518[[#This Row],[累计净值]]/MAX(INDIRECT("B21:B" &amp; ROW()))-1&lt;E83,表2_367162629303891213141518[[#This Row],[累计净值]]/MAX(INDIRECT("B21:B" &amp; ROW()))-1,E83)</f>
        <v>-2.2768670309654016E-2</v>
      </c>
      <c r="F84" s="110">
        <f>表2_367162629303891213141518[[#This Row],[累计净值]]-0.12</f>
        <v>0.98899999999999999</v>
      </c>
      <c r="G84" s="109">
        <f>IF(表2_367162629303891213141518[[#This Row],[累计净值]]&gt;1.087,0.7*(表2_367162629303891213141518[[#This Row],[累计净值]]-1.087)/1.087,(表2_367162629303891213141518[[#This Row],[累计净值]]-1.087)/1.087)</f>
        <v>1.4167433302667905E-2</v>
      </c>
      <c r="H84" s="197"/>
    </row>
    <row r="85" spans="1:8">
      <c r="A85" s="15">
        <v>44060</v>
      </c>
      <c r="B85" s="112">
        <v>1.101</v>
      </c>
      <c r="C85" s="108">
        <f t="shared" si="18"/>
        <v>-8.0000000000000071E-3</v>
      </c>
      <c r="D85" s="109">
        <f t="shared" si="19"/>
        <v>-8.0000000000000071E-3</v>
      </c>
      <c r="E85" s="109">
        <f ca="1">IF(表2_367162629303891213141518[[#This Row],[累计净值]]/MAX(INDIRECT("B21:B" &amp; ROW()))-1&lt;E84,表2_367162629303891213141518[[#This Row],[累计净值]]/MAX(INDIRECT("B21:B" &amp; ROW()))-1,E84)</f>
        <v>-2.2768670309654016E-2</v>
      </c>
      <c r="F85" s="110">
        <f>表2_367162629303891213141518[[#This Row],[累计净值]]-0.12</f>
        <v>0.98099999999999998</v>
      </c>
      <c r="G85" s="109">
        <f>IF(表2_367162629303891213141518[[#This Row],[累计净值]]&gt;1.087,0.7*(表2_367162629303891213141518[[#This Row],[累计净值]]-1.087)/1.087,(表2_367162629303891213141518[[#This Row],[累计净值]]-1.087)/1.087)</f>
        <v>9.0156393744250315E-3</v>
      </c>
      <c r="H85" s="197"/>
    </row>
    <row r="86" spans="1:8">
      <c r="A86" s="15">
        <v>44061</v>
      </c>
      <c r="B86" s="112">
        <v>1.103</v>
      </c>
      <c r="C86" s="108">
        <f t="shared" si="18"/>
        <v>2.0000000000000018E-3</v>
      </c>
      <c r="D86" s="109" t="str">
        <f t="shared" si="19"/>
        <v>/</v>
      </c>
      <c r="E86" s="109">
        <f ca="1">IF(表2_367162629303891213141518[[#This Row],[累计净值]]/MAX(INDIRECT("B21:B" &amp; ROW()))-1&lt;E85,表2_367162629303891213141518[[#This Row],[累计净值]]/MAX(INDIRECT("B21:B" &amp; ROW()))-1,E85)</f>
        <v>-2.2768670309654016E-2</v>
      </c>
      <c r="F86" s="110">
        <f>表2_367162629303891213141518[[#This Row],[累计净值]]-0.12</f>
        <v>0.98299999999999998</v>
      </c>
      <c r="G86" s="109">
        <f>IF(表2_367162629303891213141518[[#This Row],[累计净值]]&gt;1.087,0.7*(表2_367162629303891213141518[[#This Row],[累计净值]]-1.087)/1.087,(表2_367162629303891213141518[[#This Row],[累计净值]]-1.087)/1.087)</f>
        <v>1.0303587856485748E-2</v>
      </c>
      <c r="H86" s="197"/>
    </row>
    <row r="87" spans="1:8">
      <c r="A87" s="15">
        <v>44062</v>
      </c>
      <c r="B87" s="112">
        <v>1.1040000000000001</v>
      </c>
      <c r="C87" s="108">
        <f t="shared" si="18"/>
        <v>1.0000000000001119E-3</v>
      </c>
      <c r="D87" s="109" t="str">
        <f t="shared" si="19"/>
        <v>/</v>
      </c>
      <c r="E87" s="109">
        <f ca="1">IF(表2_367162629303891213141518[[#This Row],[累计净值]]/MAX(INDIRECT("B21:B" &amp; ROW()))-1&lt;E86,表2_367162629303891213141518[[#This Row],[累计净值]]/MAX(INDIRECT("B21:B" &amp; ROW()))-1,E86)</f>
        <v>-2.2768670309654016E-2</v>
      </c>
      <c r="F87" s="110">
        <f>表2_367162629303891213141518[[#This Row],[累计净值]]-0.12</f>
        <v>0.9840000000000001</v>
      </c>
      <c r="G87" s="109">
        <f>IF(表2_367162629303891213141518[[#This Row],[累计净值]]&gt;1.087,0.7*(表2_367162629303891213141518[[#This Row],[累计净值]]-1.087)/1.087,(表2_367162629303891213141518[[#This Row],[累计净值]]-1.087)/1.087)</f>
        <v>1.094756209751618E-2</v>
      </c>
      <c r="H87" s="197"/>
    </row>
    <row r="88" spans="1:8">
      <c r="A88" s="15">
        <v>44063</v>
      </c>
      <c r="B88" s="112">
        <v>1.1060000000000001</v>
      </c>
      <c r="C88" s="108">
        <f t="shared" ref="C88:C93" si="20">IFERROR(B88-B87,0)</f>
        <v>2.0000000000000018E-3</v>
      </c>
      <c r="D88" s="109" t="str">
        <f t="shared" ref="D88:D93" si="21">IF(C88&lt;0,C88,"/")</f>
        <v>/</v>
      </c>
      <c r="E88" s="109">
        <f ca="1">IF(表2_367162629303891213141518[[#This Row],[累计净值]]/MAX(INDIRECT("B21:B" &amp; ROW()))-1&lt;E87,表2_367162629303891213141518[[#This Row],[累计净值]]/MAX(INDIRECT("B21:B" &amp; ROW()))-1,E87)</f>
        <v>-2.2768670309654016E-2</v>
      </c>
      <c r="F88" s="110">
        <f>表2_367162629303891213141518[[#This Row],[累计净值]]-0.12</f>
        <v>0.9860000000000001</v>
      </c>
      <c r="G88" s="109">
        <f>IF(表2_367162629303891213141518[[#This Row],[累计净值]]&gt;1.087,0.7*(表2_367162629303891213141518[[#This Row],[累计净值]]-1.087)/1.087,(表2_367162629303891213141518[[#This Row],[累计净值]]-1.087)/1.087)</f>
        <v>1.22355105795769E-2</v>
      </c>
      <c r="H88" s="197"/>
    </row>
    <row r="89" spans="1:8">
      <c r="A89" s="15">
        <v>44064</v>
      </c>
      <c r="B89" s="112">
        <v>1.109</v>
      </c>
      <c r="C89" s="108">
        <f t="shared" si="20"/>
        <v>2.9999999999998916E-3</v>
      </c>
      <c r="D89" s="109" t="str">
        <f t="shared" si="21"/>
        <v>/</v>
      </c>
      <c r="E89" s="109">
        <f ca="1">IF(表2_367162629303891213141518[[#This Row],[累计净值]]/MAX(INDIRECT("B21:B" &amp; ROW()))-1&lt;E88,表2_367162629303891213141518[[#This Row],[累计净值]]/MAX(INDIRECT("B21:B" &amp; ROW()))-1,E88)</f>
        <v>-2.2768670309654016E-2</v>
      </c>
      <c r="F89" s="110">
        <f>表2_367162629303891213141518[[#This Row],[累计净值]]-0.12</f>
        <v>0.98899999999999999</v>
      </c>
      <c r="G89" s="109">
        <f>IF(表2_367162629303891213141518[[#This Row],[累计净值]]&gt;1.087,0.7*(表2_367162629303891213141518[[#This Row],[累计净值]]-1.087)/1.087,(表2_367162629303891213141518[[#This Row],[累计净值]]-1.087)/1.087)</f>
        <v>1.4167433302667905E-2</v>
      </c>
      <c r="H89" s="197"/>
    </row>
    <row r="90" spans="1:8">
      <c r="A90" s="15">
        <v>44067</v>
      </c>
      <c r="B90" s="112">
        <v>1.115</v>
      </c>
      <c r="C90" s="108">
        <f t="shared" si="20"/>
        <v>6.0000000000000053E-3</v>
      </c>
      <c r="D90" s="109" t="str">
        <f t="shared" si="21"/>
        <v>/</v>
      </c>
      <c r="E90" s="109">
        <f ca="1">IF(表2_367162629303891213141518[[#This Row],[累计净值]]/MAX(INDIRECT("B21:B" &amp; ROW()))-1&lt;E89,表2_367162629303891213141518[[#This Row],[累计净值]]/MAX(INDIRECT("B21:B" &amp; ROW()))-1,E89)</f>
        <v>-2.2768670309654016E-2</v>
      </c>
      <c r="F90" s="110">
        <f>表2_367162629303891213141518[[#This Row],[累计净值]]-0.12</f>
        <v>0.995</v>
      </c>
      <c r="G90" s="109">
        <f>IF(表2_367162629303891213141518[[#This Row],[累计净值]]&gt;1.087,0.7*(表2_367162629303891213141518[[#This Row],[累计净值]]-1.087)/1.087,(表2_367162629303891213141518[[#This Row],[累计净值]]-1.087)/1.087)</f>
        <v>1.8031278748850063E-2</v>
      </c>
      <c r="H90" s="197"/>
    </row>
    <row r="91" spans="1:8">
      <c r="A91" s="15">
        <v>44068</v>
      </c>
      <c r="B91" s="112">
        <v>1.1180000000000001</v>
      </c>
      <c r="C91" s="108">
        <f t="shared" si="20"/>
        <v>3.0000000000001137E-3</v>
      </c>
      <c r="D91" s="109" t="str">
        <f t="shared" si="21"/>
        <v>/</v>
      </c>
      <c r="E91" s="109">
        <f ca="1">IF(表2_367162629303891213141518[[#This Row],[累计净值]]/MAX(INDIRECT("B21:B" &amp; ROW()))-1&lt;E90,表2_367162629303891213141518[[#This Row],[累计净值]]/MAX(INDIRECT("B21:B" &amp; ROW()))-1,E90)</f>
        <v>-2.2768670309654016E-2</v>
      </c>
      <c r="F91" s="110">
        <f>表2_367162629303891213141518[[#This Row],[累计净值]]-0.12</f>
        <v>0.99800000000000011</v>
      </c>
      <c r="G91" s="109">
        <f>IF(表2_367162629303891213141518[[#This Row],[累计净值]]&gt;1.087,0.7*(表2_367162629303891213141518[[#This Row],[累计净值]]-1.087)/1.087,(表2_367162629303891213141518[[#This Row],[累计净值]]-1.087)/1.087)</f>
        <v>1.9963201471941208E-2</v>
      </c>
      <c r="H91" s="197"/>
    </row>
    <row r="92" spans="1:8">
      <c r="A92" s="15">
        <v>44069</v>
      </c>
      <c r="B92" s="112">
        <v>1.123</v>
      </c>
      <c r="C92" s="108">
        <f t="shared" si="20"/>
        <v>4.9999999999998934E-3</v>
      </c>
      <c r="D92" s="109" t="str">
        <f t="shared" si="21"/>
        <v>/</v>
      </c>
      <c r="E92" s="109">
        <f ca="1">IF(表2_367162629303891213141518[[#This Row],[累计净值]]/MAX(INDIRECT("B21:B" &amp; ROW()))-1&lt;E91,表2_367162629303891213141518[[#This Row],[累计净值]]/MAX(INDIRECT("B21:B" &amp; ROW()))-1,E91)</f>
        <v>-2.2768670309654016E-2</v>
      </c>
      <c r="F92" s="110">
        <f>表2_367162629303891213141518[[#This Row],[累计净值]]-0.12</f>
        <v>1.0030000000000001</v>
      </c>
      <c r="G92" s="109">
        <f>IF(表2_367162629303891213141518[[#This Row],[累计净值]]&gt;1.087,0.7*(表2_367162629303891213141518[[#This Row],[累计净值]]-1.087)/1.087,(表2_367162629303891213141518[[#This Row],[累计净值]]-1.087)/1.087)</f>
        <v>2.3183072677092936E-2</v>
      </c>
      <c r="H92" s="197"/>
    </row>
    <row r="93" spans="1:8">
      <c r="A93" s="15">
        <v>44070</v>
      </c>
      <c r="B93" s="117">
        <v>1.1240000000000001</v>
      </c>
      <c r="C93" s="108">
        <f t="shared" si="20"/>
        <v>1.0000000000001119E-3</v>
      </c>
      <c r="D93" s="109" t="str">
        <f t="shared" si="21"/>
        <v>/</v>
      </c>
      <c r="E93" s="109">
        <f ca="1">IF(表2_367162629303891213141518[[#This Row],[累计净值]]/MAX(INDIRECT("B21:B" &amp; ROW()))-1&lt;E92,表2_367162629303891213141518[[#This Row],[累计净值]]/MAX(INDIRECT("B21:B" &amp; ROW()))-1,E92)</f>
        <v>-2.2768670309654016E-2</v>
      </c>
      <c r="F93" s="110">
        <f>表2_367162629303891213141518[[#This Row],[累计净值]]-0.12</f>
        <v>1.004</v>
      </c>
      <c r="G93" s="109">
        <f>IF(表2_367162629303891213141518[[#This Row],[累计净值]]&gt;1.087,0.7*(表2_367162629303891213141518[[#This Row],[累计净值]]-1.087)/1.087,(表2_367162629303891213141518[[#This Row],[累计净值]]-1.087)/1.087)</f>
        <v>2.3827046918123367E-2</v>
      </c>
      <c r="H93" s="197"/>
    </row>
    <row r="94" spans="1:8">
      <c r="A94" s="15">
        <v>44071</v>
      </c>
      <c r="B94" s="112">
        <v>1.1160000000000001</v>
      </c>
      <c r="C94" s="108">
        <f t="shared" ref="C94:C99" si="22">IFERROR(B94-B93,0)</f>
        <v>-8.0000000000000071E-3</v>
      </c>
      <c r="D94" s="109">
        <f t="shared" ref="D94:D99" si="23">IF(C94&lt;0,C94,"/")</f>
        <v>-8.0000000000000071E-3</v>
      </c>
      <c r="E94" s="109">
        <f ca="1">IF(表2_367162629303891213141518[[#This Row],[累计净值]]/MAX(INDIRECT("B21:B" &amp; ROW()))-1&lt;E93,表2_367162629303891213141518[[#This Row],[累计净值]]/MAX(INDIRECT("B21:B" &amp; ROW()))-1,E93)</f>
        <v>-2.2768670309654016E-2</v>
      </c>
      <c r="F94" s="110">
        <f>表2_367162629303891213141518[[#This Row],[累计净值]]-0.12</f>
        <v>0.99600000000000011</v>
      </c>
      <c r="G94" s="109">
        <f>IF(表2_367162629303891213141518[[#This Row],[累计净值]]&gt;1.087,0.7*(表2_367162629303891213141518[[#This Row],[累计净值]]-1.087)/1.087,(表2_367162629303891213141518[[#This Row],[累计净值]]-1.087)/1.087)</f>
        <v>1.8675252989880493E-2</v>
      </c>
      <c r="H94" s="197"/>
    </row>
    <row r="95" spans="1:8">
      <c r="A95" s="15">
        <v>44074</v>
      </c>
      <c r="B95" s="112">
        <v>1.111</v>
      </c>
      <c r="C95" s="108">
        <f t="shared" si="22"/>
        <v>-5.0000000000001155E-3</v>
      </c>
      <c r="D95" s="109">
        <f t="shared" si="23"/>
        <v>-5.0000000000001155E-3</v>
      </c>
      <c r="E95" s="109">
        <f ca="1">IF(表2_367162629303891213141518[[#This Row],[累计净值]]/MAX(INDIRECT("B21:B" &amp; ROW()))-1&lt;E94,表2_367162629303891213141518[[#This Row],[累计净值]]/MAX(INDIRECT("B21:B" &amp; ROW()))-1,E94)</f>
        <v>-2.2768670309654016E-2</v>
      </c>
      <c r="F95" s="110">
        <f>表2_367162629303891213141518[[#This Row],[累计净值]]-0.12</f>
        <v>0.99099999999999999</v>
      </c>
      <c r="G95" s="109">
        <f>IF(表2_367162629303891213141518[[#This Row],[累计净值]]&gt;1.087,0.7*(表2_367162629303891213141518[[#This Row],[累计净值]]-1.087)/1.087,(表2_367162629303891213141518[[#This Row],[累计净值]]-1.087)/1.087)</f>
        <v>1.5455381784728623E-2</v>
      </c>
      <c r="H95" s="197"/>
    </row>
    <row r="96" spans="1:8">
      <c r="A96" s="15">
        <v>44075</v>
      </c>
      <c r="B96" s="112">
        <v>1.1160000000000001</v>
      </c>
      <c r="C96" s="108">
        <f t="shared" si="22"/>
        <v>5.0000000000001155E-3</v>
      </c>
      <c r="D96" s="109" t="str">
        <f t="shared" si="23"/>
        <v>/</v>
      </c>
      <c r="E96" s="109">
        <f ca="1">IF(表2_367162629303891213141518[[#This Row],[累计净值]]/MAX(INDIRECT("B21:B" &amp; ROW()))-1&lt;E95,表2_367162629303891213141518[[#This Row],[累计净值]]/MAX(INDIRECT("B21:B" &amp; ROW()))-1,E95)</f>
        <v>-2.2768670309654016E-2</v>
      </c>
      <c r="F96" s="110">
        <f>表2_367162629303891213141518[[#This Row],[累计净值]]-0.12</f>
        <v>0.99600000000000011</v>
      </c>
      <c r="G96" s="109">
        <f>IF(表2_367162629303891213141518[[#This Row],[累计净值]]&gt;1.087,0.7*(表2_367162629303891213141518[[#This Row],[累计净值]]-1.087)/1.087,(表2_367162629303891213141518[[#This Row],[累计净值]]-1.087)/1.087)</f>
        <v>1.8675252989880493E-2</v>
      </c>
      <c r="H96" s="197"/>
    </row>
    <row r="97" spans="1:8">
      <c r="A97" s="15">
        <v>44076</v>
      </c>
      <c r="B97" s="112">
        <v>1.1220000000000001</v>
      </c>
      <c r="C97" s="108">
        <f t="shared" si="22"/>
        <v>6.0000000000000053E-3</v>
      </c>
      <c r="D97" s="109" t="str">
        <f t="shared" si="23"/>
        <v>/</v>
      </c>
      <c r="E97" s="109">
        <f ca="1">IF(表2_367162629303891213141518[[#This Row],[累计净值]]/MAX(INDIRECT("B21:B" &amp; ROW()))-1&lt;E96,表2_367162629303891213141518[[#This Row],[累计净值]]/MAX(INDIRECT("B21:B" &amp; ROW()))-1,E96)</f>
        <v>-2.2768670309654016E-2</v>
      </c>
      <c r="F97" s="110">
        <f>表2_367162629303891213141518[[#This Row],[累计净值]]-0.12</f>
        <v>1.0020000000000002</v>
      </c>
      <c r="G97" s="109">
        <f>IF(表2_367162629303891213141518[[#This Row],[累计净值]]&gt;1.087,0.7*(表2_367162629303891213141518[[#This Row],[累计净值]]-1.087)/1.087,(表2_367162629303891213141518[[#This Row],[累计净值]]-1.087)/1.087)</f>
        <v>2.2539098436062648E-2</v>
      </c>
      <c r="H97" s="197"/>
    </row>
    <row r="98" spans="1:8">
      <c r="A98" s="15">
        <v>44077</v>
      </c>
      <c r="B98" s="112">
        <v>1.1180000000000001</v>
      </c>
      <c r="C98" s="108">
        <f t="shared" si="22"/>
        <v>-4.0000000000000036E-3</v>
      </c>
      <c r="D98" s="109">
        <f t="shared" si="23"/>
        <v>-4.0000000000000036E-3</v>
      </c>
      <c r="E98" s="109">
        <f ca="1">IF(表2_367162629303891213141518[[#This Row],[累计净值]]/MAX(INDIRECT("B21:B" &amp; ROW()))-1&lt;E97,表2_367162629303891213141518[[#This Row],[累计净值]]/MAX(INDIRECT("B21:B" &amp; ROW()))-1,E97)</f>
        <v>-2.2768670309654016E-2</v>
      </c>
      <c r="F98" s="110">
        <f>表2_367162629303891213141518[[#This Row],[累计净值]]-0.12</f>
        <v>0.99800000000000011</v>
      </c>
      <c r="G98" s="109">
        <f>IF(表2_367162629303891213141518[[#This Row],[累计净值]]&gt;1.087,0.7*(表2_367162629303891213141518[[#This Row],[累计净值]]-1.087)/1.087,(表2_367162629303891213141518[[#This Row],[累计净值]]-1.087)/1.087)</f>
        <v>1.9963201471941208E-2</v>
      </c>
      <c r="H98" s="197"/>
    </row>
    <row r="99" spans="1:8">
      <c r="A99" s="15">
        <v>44078</v>
      </c>
      <c r="B99" s="112">
        <v>1.1160000000000001</v>
      </c>
      <c r="C99" s="108">
        <f t="shared" si="22"/>
        <v>-2.0000000000000018E-3</v>
      </c>
      <c r="D99" s="109">
        <f t="shared" si="23"/>
        <v>-2.0000000000000018E-3</v>
      </c>
      <c r="E99" s="109">
        <f ca="1">IF(表2_367162629303891213141518[[#This Row],[累计净值]]/MAX(INDIRECT("B21:B" &amp; ROW()))-1&lt;E98,表2_367162629303891213141518[[#This Row],[累计净值]]/MAX(INDIRECT("B21:B" &amp; ROW()))-1,E98)</f>
        <v>-2.2768670309654016E-2</v>
      </c>
      <c r="F99" s="110">
        <f>表2_367162629303891213141518[[#This Row],[累计净值]]-0.12</f>
        <v>0.99600000000000011</v>
      </c>
      <c r="G99" s="109">
        <f>IF(表2_367162629303891213141518[[#This Row],[累计净值]]&gt;1.087,0.7*(表2_367162629303891213141518[[#This Row],[累计净值]]-1.087)/1.087,(表2_367162629303891213141518[[#This Row],[累计净值]]-1.087)/1.087)</f>
        <v>1.8675252989880493E-2</v>
      </c>
      <c r="H99" s="197"/>
    </row>
    <row r="100" spans="1:8">
      <c r="A100" s="15">
        <v>44081</v>
      </c>
      <c r="B100" s="112">
        <v>1.117</v>
      </c>
      <c r="C100" s="108">
        <f t="shared" ref="C100:C105" si="24">IFERROR(B100-B99,0)</f>
        <v>9.9999999999988987E-4</v>
      </c>
      <c r="D100" s="109" t="str">
        <f t="shared" ref="D100:D105" si="25">IF(C100&lt;0,C100,"/")</f>
        <v>/</v>
      </c>
      <c r="E100" s="109">
        <f ca="1">IF(表2_367162629303891213141518[[#This Row],[累计净值]]/MAX(INDIRECT("B21:B" &amp; ROW()))-1&lt;E99,表2_367162629303891213141518[[#This Row],[累计净值]]/MAX(INDIRECT("B21:B" &amp; ROW()))-1,E99)</f>
        <v>-2.2768670309654016E-2</v>
      </c>
      <c r="F100" s="110">
        <f>表2_367162629303891213141518[[#This Row],[累计净值]]-0.12</f>
        <v>0.997</v>
      </c>
      <c r="G100" s="109">
        <f>IF(表2_367162629303891213141518[[#This Row],[累计净值]]&gt;1.087,0.7*(表2_367162629303891213141518[[#This Row],[累计净值]]-1.087)/1.087,(表2_367162629303891213141518[[#This Row],[累计净值]]-1.087)/1.087)</f>
        <v>1.9319227230910781E-2</v>
      </c>
      <c r="H100" s="197"/>
    </row>
    <row r="101" spans="1:8">
      <c r="A101" s="15">
        <v>44082</v>
      </c>
      <c r="B101" s="112">
        <v>1.1120000000000001</v>
      </c>
      <c r="C101" s="108">
        <f t="shared" si="24"/>
        <v>-4.9999999999998934E-3</v>
      </c>
      <c r="D101" s="109">
        <f t="shared" si="25"/>
        <v>-4.9999999999998934E-3</v>
      </c>
      <c r="E101" s="109">
        <f ca="1">IF(表2_367162629303891213141518[[#This Row],[累计净值]]/MAX(INDIRECT("B21:B" &amp; ROW()))-1&lt;E100,表2_367162629303891213141518[[#This Row],[累计净值]]/MAX(INDIRECT("B21:B" &amp; ROW()))-1,E100)</f>
        <v>-2.2768670309654016E-2</v>
      </c>
      <c r="F101" s="110">
        <f>表2_367162629303891213141518[[#This Row],[累计净值]]-0.12</f>
        <v>0.9920000000000001</v>
      </c>
      <c r="G101" s="109">
        <f>IF(表2_367162629303891213141518[[#This Row],[累计净值]]&gt;1.087,0.7*(表2_367162629303891213141518[[#This Row],[累计净值]]-1.087)/1.087,(表2_367162629303891213141518[[#This Row],[累计净值]]-1.087)/1.087)</f>
        <v>1.6099356025759053E-2</v>
      </c>
      <c r="H101" s="197"/>
    </row>
    <row r="102" spans="1:8">
      <c r="A102" s="15">
        <v>44083</v>
      </c>
      <c r="B102" s="112">
        <v>1.1160000000000001</v>
      </c>
      <c r="C102" s="108">
        <f t="shared" si="24"/>
        <v>4.0000000000000036E-3</v>
      </c>
      <c r="D102" s="109" t="str">
        <f t="shared" si="25"/>
        <v>/</v>
      </c>
      <c r="E102" s="109">
        <f ca="1">IF(表2_367162629303891213141518[[#This Row],[累计净值]]/MAX(INDIRECT("B21:B" &amp; ROW()))-1&lt;E101,表2_367162629303891213141518[[#This Row],[累计净值]]/MAX(INDIRECT("B21:B" &amp; ROW()))-1,E101)</f>
        <v>-2.2768670309654016E-2</v>
      </c>
      <c r="F102" s="110">
        <f>表2_367162629303891213141518[[#This Row],[累计净值]]-0.12</f>
        <v>0.99600000000000011</v>
      </c>
      <c r="G102" s="109">
        <f>IF(表2_367162629303891213141518[[#This Row],[累计净值]]&gt;1.087,0.7*(表2_367162629303891213141518[[#This Row],[累计净值]]-1.087)/1.087,(表2_367162629303891213141518[[#This Row],[累计净值]]-1.087)/1.087)</f>
        <v>1.8675252989880493E-2</v>
      </c>
      <c r="H102" s="197"/>
    </row>
    <row r="103" spans="1:8">
      <c r="A103" s="15">
        <v>44084</v>
      </c>
      <c r="B103" s="112">
        <v>1.115</v>
      </c>
      <c r="C103" s="108">
        <f t="shared" si="24"/>
        <v>-1.0000000000001119E-3</v>
      </c>
      <c r="D103" s="109">
        <f t="shared" si="25"/>
        <v>-1.0000000000001119E-3</v>
      </c>
      <c r="E103" s="109">
        <f ca="1">IF(表2_367162629303891213141518[[#This Row],[累计净值]]/MAX(INDIRECT("B21:B" &amp; ROW()))-1&lt;E102,表2_367162629303891213141518[[#This Row],[累计净值]]/MAX(INDIRECT("B21:B" &amp; ROW()))-1,E102)</f>
        <v>-2.2768670309654016E-2</v>
      </c>
      <c r="F103" s="110">
        <f>表2_367162629303891213141518[[#This Row],[累计净值]]-0.12</f>
        <v>0.995</v>
      </c>
      <c r="G103" s="109">
        <f>IF(表2_367162629303891213141518[[#This Row],[累计净值]]&gt;1.087,0.7*(表2_367162629303891213141518[[#This Row],[累计净值]]-1.087)/1.087,(表2_367162629303891213141518[[#This Row],[累计净值]]-1.087)/1.087)</f>
        <v>1.8031278748850063E-2</v>
      </c>
      <c r="H103" s="197"/>
    </row>
    <row r="104" spans="1:8">
      <c r="A104" s="15">
        <v>44085</v>
      </c>
      <c r="B104" s="112">
        <v>1.119</v>
      </c>
      <c r="C104" s="108">
        <f t="shared" si="24"/>
        <v>4.0000000000000036E-3</v>
      </c>
      <c r="D104" s="109" t="str">
        <f t="shared" si="25"/>
        <v>/</v>
      </c>
      <c r="E104" s="109">
        <f ca="1">IF(表2_367162629303891213141518[[#This Row],[累计净值]]/MAX(INDIRECT("B21:B" &amp; ROW()))-1&lt;E103,表2_367162629303891213141518[[#This Row],[累计净值]]/MAX(INDIRECT("B21:B" &amp; ROW()))-1,E103)</f>
        <v>-2.2768670309654016E-2</v>
      </c>
      <c r="F104" s="110">
        <f>表2_367162629303891213141518[[#This Row],[累计净值]]-0.12</f>
        <v>0.999</v>
      </c>
      <c r="G104" s="109">
        <f>IF(表2_367162629303891213141518[[#This Row],[累计净值]]&gt;1.087,0.7*(表2_367162629303891213141518[[#This Row],[累计净值]]-1.087)/1.087,(表2_367162629303891213141518[[#This Row],[累计净值]]-1.087)/1.087)</f>
        <v>2.0607175712971496E-2</v>
      </c>
      <c r="H104" s="197"/>
    </row>
    <row r="105" spans="1:8">
      <c r="A105" s="15">
        <v>44088</v>
      </c>
      <c r="B105" s="112">
        <v>1.1200000000000001</v>
      </c>
      <c r="C105" s="108">
        <f t="shared" si="24"/>
        <v>1.0000000000001119E-3</v>
      </c>
      <c r="D105" s="109" t="str">
        <f t="shared" si="25"/>
        <v>/</v>
      </c>
      <c r="E105" s="109">
        <f ca="1">IF(表2_367162629303891213141518[[#This Row],[累计净值]]/MAX(INDIRECT("B21:B" &amp; ROW()))-1&lt;E104,表2_367162629303891213141518[[#This Row],[累计净值]]/MAX(INDIRECT("B21:B" &amp; ROW()))-1,E104)</f>
        <v>-2.2768670309654016E-2</v>
      </c>
      <c r="F105" s="110">
        <f>表2_367162629303891213141518[[#This Row],[累计净值]]-0.12</f>
        <v>1</v>
      </c>
      <c r="G105" s="109">
        <f>IF(表2_367162629303891213141518[[#This Row],[累计净值]]&gt;1.087,0.7*(表2_367162629303891213141518[[#This Row],[累计净值]]-1.087)/1.087,(表2_367162629303891213141518[[#This Row],[累计净值]]-1.087)/1.087)</f>
        <v>2.125114995400193E-2</v>
      </c>
      <c r="H105" s="197"/>
    </row>
    <row r="106" spans="1:8">
      <c r="A106" s="15">
        <v>44089</v>
      </c>
      <c r="B106" s="112">
        <v>1.121</v>
      </c>
      <c r="C106" s="108">
        <f t="shared" ref="C106:C111" si="26">IFERROR(B106-B105,0)</f>
        <v>9.9999999999988987E-4</v>
      </c>
      <c r="D106" s="109" t="str">
        <f t="shared" ref="D106:D111" si="27">IF(C106&lt;0,C106,"/")</f>
        <v>/</v>
      </c>
      <c r="E106" s="109">
        <f ca="1">IF(表2_367162629303891213141518[[#This Row],[累计净值]]/MAX(INDIRECT("B21:B" &amp; ROW()))-1&lt;E105,表2_367162629303891213141518[[#This Row],[累计净值]]/MAX(INDIRECT("B21:B" &amp; ROW()))-1,E105)</f>
        <v>-2.2768670309654016E-2</v>
      </c>
      <c r="F106" s="110">
        <f>表2_367162629303891213141518[[#This Row],[累计净值]]-0.12</f>
        <v>1.0009999999999999</v>
      </c>
      <c r="G106" s="109">
        <f>IF(表2_367162629303891213141518[[#This Row],[累计净值]]&gt;1.087,0.7*(表2_367162629303891213141518[[#This Row],[累计净值]]-1.087)/1.087,(表2_367162629303891213141518[[#This Row],[累计净值]]-1.087)/1.087)</f>
        <v>2.1895124195032218E-2</v>
      </c>
      <c r="H106" s="197"/>
    </row>
    <row r="107" spans="1:8">
      <c r="A107" s="15">
        <v>44090</v>
      </c>
      <c r="B107" s="112">
        <v>1.1240000000000001</v>
      </c>
      <c r="C107" s="108">
        <f t="shared" si="26"/>
        <v>3.0000000000001137E-3</v>
      </c>
      <c r="D107" s="109" t="str">
        <f t="shared" si="27"/>
        <v>/</v>
      </c>
      <c r="E107" s="109">
        <f ca="1">IF(表2_367162629303891213141518[[#This Row],[累计净值]]/MAX(INDIRECT("B21:B" &amp; ROW()))-1&lt;E106,表2_367162629303891213141518[[#This Row],[累计净值]]/MAX(INDIRECT("B21:B" &amp; ROW()))-1,E106)</f>
        <v>-2.2768670309654016E-2</v>
      </c>
      <c r="F107" s="110">
        <f>表2_367162629303891213141518[[#This Row],[累计净值]]-0.12</f>
        <v>1.004</v>
      </c>
      <c r="G107" s="109">
        <f>IF(表2_367162629303891213141518[[#This Row],[累计净值]]&gt;1.087,0.7*(表2_367162629303891213141518[[#This Row],[累计净值]]-1.087)/1.087,(表2_367162629303891213141518[[#This Row],[累计净值]]-1.087)/1.087)</f>
        <v>2.3827046918123367E-2</v>
      </c>
      <c r="H107" s="197"/>
    </row>
    <row r="108" spans="1:8">
      <c r="A108" s="15">
        <v>44091</v>
      </c>
      <c r="B108" s="112">
        <v>1.123</v>
      </c>
      <c r="C108" s="108">
        <f t="shared" si="26"/>
        <v>-1.0000000000001119E-3</v>
      </c>
      <c r="D108" s="109">
        <f t="shared" si="27"/>
        <v>-1.0000000000001119E-3</v>
      </c>
      <c r="E108" s="109">
        <f ca="1">IF(表2_367162629303891213141518[[#This Row],[累计净值]]/MAX(INDIRECT("B21:B" &amp; ROW()))-1&lt;E107,表2_367162629303891213141518[[#This Row],[累计净值]]/MAX(INDIRECT("B21:B" &amp; ROW()))-1,E107)</f>
        <v>-2.2768670309654016E-2</v>
      </c>
      <c r="F108" s="110">
        <f>表2_367162629303891213141518[[#This Row],[累计净值]]-0.12</f>
        <v>1.0030000000000001</v>
      </c>
      <c r="G108" s="109">
        <f>IF(表2_367162629303891213141518[[#This Row],[累计净值]]&gt;1.087,0.7*(表2_367162629303891213141518[[#This Row],[累计净值]]-1.087)/1.087,(表2_367162629303891213141518[[#This Row],[累计净值]]-1.087)/1.087)</f>
        <v>2.3183072677092936E-2</v>
      </c>
      <c r="H108" s="197"/>
    </row>
    <row r="109" spans="1:8">
      <c r="A109" s="15">
        <v>44092</v>
      </c>
      <c r="B109" s="112">
        <v>1.119</v>
      </c>
      <c r="C109" s="108">
        <f t="shared" si="26"/>
        <v>-4.0000000000000036E-3</v>
      </c>
      <c r="D109" s="109">
        <f t="shared" si="27"/>
        <v>-4.0000000000000036E-3</v>
      </c>
      <c r="E109" s="109">
        <f ca="1">IF(表2_367162629303891213141518[[#This Row],[累计净值]]/MAX(INDIRECT("B21:B" &amp; ROW()))-1&lt;E108,表2_367162629303891213141518[[#This Row],[累计净值]]/MAX(INDIRECT("B21:B" &amp; ROW()))-1,E108)</f>
        <v>-2.2768670309654016E-2</v>
      </c>
      <c r="F109" s="110">
        <f>表2_367162629303891213141518[[#This Row],[累计净值]]-0.12</f>
        <v>0.999</v>
      </c>
      <c r="G109" s="109">
        <f>IF(表2_367162629303891213141518[[#This Row],[累计净值]]&gt;1.087,0.7*(表2_367162629303891213141518[[#This Row],[累计净值]]-1.087)/1.087,(表2_367162629303891213141518[[#This Row],[累计净值]]-1.087)/1.087)</f>
        <v>2.0607175712971496E-2</v>
      </c>
      <c r="H109" s="197"/>
    </row>
    <row r="110" spans="1:8">
      <c r="A110" s="15">
        <v>44095</v>
      </c>
      <c r="B110" s="112">
        <v>1.115</v>
      </c>
      <c r="C110" s="108">
        <f t="shared" si="26"/>
        <v>-4.0000000000000036E-3</v>
      </c>
      <c r="D110" s="109">
        <f t="shared" si="27"/>
        <v>-4.0000000000000036E-3</v>
      </c>
      <c r="E110" s="109">
        <f ca="1">IF(表2_367162629303891213141518[[#This Row],[累计净值]]/MAX(INDIRECT("B21:B" &amp; ROW()))-1&lt;E109,表2_367162629303891213141518[[#This Row],[累计净值]]/MAX(INDIRECT("B21:B" &amp; ROW()))-1,E109)</f>
        <v>-2.2768670309654016E-2</v>
      </c>
      <c r="F110" s="110">
        <f>表2_367162629303891213141518[[#This Row],[累计净值]]-0.12</f>
        <v>0.995</v>
      </c>
      <c r="G110" s="109">
        <f>IF(表2_367162629303891213141518[[#This Row],[累计净值]]&gt;1.087,0.7*(表2_367162629303891213141518[[#This Row],[累计净值]]-1.087)/1.087,(表2_367162629303891213141518[[#This Row],[累计净值]]-1.087)/1.087)</f>
        <v>1.8031278748850063E-2</v>
      </c>
      <c r="H110" s="197"/>
    </row>
    <row r="111" spans="1:8">
      <c r="A111" s="15">
        <v>44096</v>
      </c>
      <c r="B111" s="112">
        <v>1.1200000000000001</v>
      </c>
      <c r="C111" s="108">
        <f t="shared" si="26"/>
        <v>5.0000000000001155E-3</v>
      </c>
      <c r="D111" s="109" t="str">
        <f t="shared" si="27"/>
        <v>/</v>
      </c>
      <c r="E111" s="109">
        <f ca="1">IF(表2_367162629303891213141518[[#This Row],[累计净值]]/MAX(INDIRECT("B21:B" &amp; ROW()))-1&lt;E110,表2_367162629303891213141518[[#This Row],[累计净值]]/MAX(INDIRECT("B21:B" &amp; ROW()))-1,E110)</f>
        <v>-2.2768670309654016E-2</v>
      </c>
      <c r="F111" s="110">
        <f>表2_367162629303891213141518[[#This Row],[累计净值]]-0.12</f>
        <v>1</v>
      </c>
      <c r="G111" s="109">
        <f>IF(表2_367162629303891213141518[[#This Row],[累计净值]]&gt;1.087,0.7*(表2_367162629303891213141518[[#This Row],[累计净值]]-1.087)/1.087,(表2_367162629303891213141518[[#This Row],[累计净值]]-1.087)/1.087)</f>
        <v>2.125114995400193E-2</v>
      </c>
      <c r="H111" s="197"/>
    </row>
    <row r="112" spans="1:8">
      <c r="A112" s="15">
        <v>44097</v>
      </c>
      <c r="B112" s="112">
        <v>1.1220000000000001</v>
      </c>
      <c r="C112" s="108">
        <f t="shared" ref="C112:C117" si="28">IFERROR(B112-B111,0)</f>
        <v>2.0000000000000018E-3</v>
      </c>
      <c r="D112" s="109" t="str">
        <f t="shared" ref="D112:D117" si="29">IF(C112&lt;0,C112,"/")</f>
        <v>/</v>
      </c>
      <c r="E112" s="109">
        <f ca="1">IF(表2_367162629303891213141518[[#This Row],[累计净值]]/MAX(INDIRECT("B21:B" &amp; ROW()))-1&lt;E111,表2_367162629303891213141518[[#This Row],[累计净值]]/MAX(INDIRECT("B21:B" &amp; ROW()))-1,E111)</f>
        <v>-2.2768670309654016E-2</v>
      </c>
      <c r="F112" s="110">
        <f>表2_367162629303891213141518[[#This Row],[累计净值]]-0.12</f>
        <v>1.0020000000000002</v>
      </c>
      <c r="G112" s="109">
        <f>IF(表2_367162629303891213141518[[#This Row],[累计净值]]&gt;1.087,0.7*(表2_367162629303891213141518[[#This Row],[累计净值]]-1.087)/1.087,(表2_367162629303891213141518[[#This Row],[累计净值]]-1.087)/1.087)</f>
        <v>2.2539098436062648E-2</v>
      </c>
      <c r="H112" s="197"/>
    </row>
    <row r="113" spans="1:8">
      <c r="A113" s="15">
        <v>44098</v>
      </c>
      <c r="B113" s="112">
        <v>1.119</v>
      </c>
      <c r="C113" s="108">
        <f t="shared" si="28"/>
        <v>-3.0000000000001137E-3</v>
      </c>
      <c r="D113" s="109">
        <f t="shared" si="29"/>
        <v>-3.0000000000001137E-3</v>
      </c>
      <c r="E113" s="109">
        <f ca="1">IF(表2_367162629303891213141518[[#This Row],[累计净值]]/MAX(INDIRECT("B21:B" &amp; ROW()))-1&lt;E112,表2_367162629303891213141518[[#This Row],[累计净值]]/MAX(INDIRECT("B21:B" &amp; ROW()))-1,E112)</f>
        <v>-2.2768670309654016E-2</v>
      </c>
      <c r="F113" s="110">
        <f>表2_367162629303891213141518[[#This Row],[累计净值]]-0.12</f>
        <v>0.999</v>
      </c>
      <c r="G113" s="109">
        <f>IF(表2_367162629303891213141518[[#This Row],[累计净值]]&gt;1.087,0.7*(表2_367162629303891213141518[[#This Row],[累计净值]]-1.087)/1.087,(表2_367162629303891213141518[[#This Row],[累计净值]]-1.087)/1.087)</f>
        <v>2.0607175712971496E-2</v>
      </c>
      <c r="H113" s="197"/>
    </row>
    <row r="114" spans="1:8">
      <c r="A114" s="15">
        <v>44099</v>
      </c>
      <c r="B114" s="112">
        <v>1.117</v>
      </c>
      <c r="C114" s="108">
        <f t="shared" si="28"/>
        <v>-2.0000000000000018E-3</v>
      </c>
      <c r="D114" s="109">
        <f t="shared" si="29"/>
        <v>-2.0000000000000018E-3</v>
      </c>
      <c r="E114" s="109">
        <f ca="1">IF(表2_367162629303891213141518[[#This Row],[累计净值]]/MAX(INDIRECT("B21:B" &amp; ROW()))-1&lt;E113,表2_367162629303891213141518[[#This Row],[累计净值]]/MAX(INDIRECT("B21:B" &amp; ROW()))-1,E113)</f>
        <v>-2.2768670309654016E-2</v>
      </c>
      <c r="F114" s="110">
        <f>表2_367162629303891213141518[[#This Row],[累计净值]]-0.12</f>
        <v>0.997</v>
      </c>
      <c r="G114" s="109">
        <f>IF(表2_367162629303891213141518[[#This Row],[累计净值]]&gt;1.087,0.7*(表2_367162629303891213141518[[#This Row],[累计净值]]-1.087)/1.087,(表2_367162629303891213141518[[#This Row],[累计净值]]-1.087)/1.087)</f>
        <v>1.9319227230910781E-2</v>
      </c>
      <c r="H114" s="197"/>
    </row>
    <row r="115" spans="1:8">
      <c r="A115" s="15">
        <v>44102</v>
      </c>
      <c r="B115" s="112">
        <v>1.1220000000000001</v>
      </c>
      <c r="C115" s="108">
        <f t="shared" si="28"/>
        <v>5.0000000000001155E-3</v>
      </c>
      <c r="D115" s="109" t="str">
        <f t="shared" si="29"/>
        <v>/</v>
      </c>
      <c r="E115" s="109">
        <f ca="1">IF(表2_367162629303891213141518[[#This Row],[累计净值]]/MAX(INDIRECT("B21:B" &amp; ROW()))-1&lt;E114,表2_367162629303891213141518[[#This Row],[累计净值]]/MAX(INDIRECT("B21:B" &amp; ROW()))-1,E114)</f>
        <v>-2.2768670309654016E-2</v>
      </c>
      <c r="F115" s="110">
        <f>表2_367162629303891213141518[[#This Row],[累计净值]]-0.12</f>
        <v>1.0020000000000002</v>
      </c>
      <c r="G115" s="109">
        <f>IF(表2_367162629303891213141518[[#This Row],[累计净值]]&gt;1.087,0.7*(表2_367162629303891213141518[[#This Row],[累计净值]]-1.087)/1.087,(表2_367162629303891213141518[[#This Row],[累计净值]]-1.087)/1.087)</f>
        <v>2.2539098436062648E-2</v>
      </c>
      <c r="H115" s="197"/>
    </row>
    <row r="116" spans="1:8">
      <c r="A116" s="15">
        <v>44103</v>
      </c>
      <c r="B116" s="112">
        <v>1.119</v>
      </c>
      <c r="C116" s="108">
        <f t="shared" si="28"/>
        <v>-3.0000000000001137E-3</v>
      </c>
      <c r="D116" s="109">
        <f t="shared" si="29"/>
        <v>-3.0000000000001137E-3</v>
      </c>
      <c r="E116" s="109">
        <f ca="1">IF(表2_367162629303891213141518[[#This Row],[累计净值]]/MAX(INDIRECT("B21:B" &amp; ROW()))-1&lt;E115,表2_367162629303891213141518[[#This Row],[累计净值]]/MAX(INDIRECT("B21:B" &amp; ROW()))-1,E115)</f>
        <v>-2.2768670309654016E-2</v>
      </c>
      <c r="F116" s="110">
        <f>表2_367162629303891213141518[[#This Row],[累计净值]]-0.12</f>
        <v>0.999</v>
      </c>
      <c r="G116" s="109">
        <f>IF(表2_367162629303891213141518[[#This Row],[累计净值]]&gt;1.087,0.7*(表2_367162629303891213141518[[#This Row],[累计净值]]-1.087)/1.087,(表2_367162629303891213141518[[#This Row],[累计净值]]-1.087)/1.087)</f>
        <v>2.0607175712971496E-2</v>
      </c>
      <c r="H116" s="197"/>
    </row>
    <row r="117" spans="1:8">
      <c r="A117" s="15">
        <v>44104</v>
      </c>
      <c r="B117" s="112">
        <v>1.123</v>
      </c>
      <c r="C117" s="108">
        <f t="shared" si="28"/>
        <v>4.0000000000000036E-3</v>
      </c>
      <c r="D117" s="109" t="str">
        <f t="shared" si="29"/>
        <v>/</v>
      </c>
      <c r="E117" s="109">
        <f ca="1">IF(表2_367162629303891213141518[[#This Row],[累计净值]]/MAX(INDIRECT("B21:B" &amp; ROW()))-1&lt;E116,表2_367162629303891213141518[[#This Row],[累计净值]]/MAX(INDIRECT("B21:B" &amp; ROW()))-1,E116)</f>
        <v>-2.2768670309654016E-2</v>
      </c>
      <c r="F117" s="110">
        <f>表2_367162629303891213141518[[#This Row],[累计净值]]-0.12</f>
        <v>1.0030000000000001</v>
      </c>
      <c r="G117" s="109">
        <f>IF(表2_367162629303891213141518[[#This Row],[累计净值]]&gt;1.087,0.7*(表2_367162629303891213141518[[#This Row],[累计净值]]-1.087)/1.087,(表2_367162629303891213141518[[#This Row],[累计净值]]-1.087)/1.087)</f>
        <v>2.3183072677092936E-2</v>
      </c>
      <c r="H117" s="197"/>
    </row>
    <row r="118" spans="1:8">
      <c r="A118" s="15">
        <v>44113</v>
      </c>
      <c r="B118" s="112">
        <v>1.1279999999999999</v>
      </c>
      <c r="C118" s="108">
        <f t="shared" ref="C118:C124" si="30">IFERROR(B118-B117,0)</f>
        <v>4.9999999999998934E-3</v>
      </c>
      <c r="D118" s="109" t="str">
        <f t="shared" ref="D118:D124" si="31">IF(C118&lt;0,C118,"/")</f>
        <v>/</v>
      </c>
      <c r="E118" s="109">
        <f ca="1">IF(表2_367162629303891213141518[[#This Row],[累计净值]]/MAX(INDIRECT("B21:B" &amp; ROW()))-1&lt;E117,表2_367162629303891213141518[[#This Row],[累计净值]]/MAX(INDIRECT("B21:B" &amp; ROW()))-1,E117)</f>
        <v>-2.2768670309654016E-2</v>
      </c>
      <c r="F118" s="110">
        <f>表2_367162629303891213141518[[#This Row],[累计净值]]-0.12</f>
        <v>1.008</v>
      </c>
      <c r="G118" s="109">
        <f>IF(表2_367162629303891213141518[[#This Row],[累计净值]]&gt;1.087,0.7*(表2_367162629303891213141518[[#This Row],[累计净值]]-1.087)/1.087,(表2_367162629303891213141518[[#This Row],[累计净值]]-1.087)/1.087)</f>
        <v>2.6402943882244661E-2</v>
      </c>
      <c r="H118" s="197"/>
    </row>
    <row r="119" spans="1:8">
      <c r="A119" s="15">
        <v>44116</v>
      </c>
      <c r="B119" s="112">
        <v>1.1259999999999999</v>
      </c>
      <c r="C119" s="108">
        <f t="shared" si="30"/>
        <v>-2.0000000000000018E-3</v>
      </c>
      <c r="D119" s="109">
        <f t="shared" si="31"/>
        <v>-2.0000000000000018E-3</v>
      </c>
      <c r="E119" s="109">
        <f ca="1">IF(表2_367162629303891213141518[[#This Row],[累计净值]]/MAX(INDIRECT("B21:B" &amp; ROW()))-1&lt;E118,表2_367162629303891213141518[[#This Row],[累计净值]]/MAX(INDIRECT("B21:B" &amp; ROW()))-1,E118)</f>
        <v>-2.2768670309654016E-2</v>
      </c>
      <c r="F119" s="110">
        <f>表2_367162629303891213141518[[#This Row],[累计净值]]-0.12</f>
        <v>1.0059999999999998</v>
      </c>
      <c r="G119" s="109">
        <f>IF(表2_367162629303891213141518[[#This Row],[累计净值]]&gt;1.087,0.7*(表2_367162629303891213141518[[#This Row],[累计净值]]-1.087)/1.087,(表2_367162629303891213141518[[#This Row],[累计净值]]-1.087)/1.087)</f>
        <v>2.5114995400183943E-2</v>
      </c>
      <c r="H119" s="197"/>
    </row>
    <row r="120" spans="1:8">
      <c r="A120" s="15">
        <v>44117</v>
      </c>
      <c r="B120" s="112">
        <v>1.1259999999999999</v>
      </c>
      <c r="C120" s="108">
        <f t="shared" si="30"/>
        <v>0</v>
      </c>
      <c r="D120" s="109" t="str">
        <f t="shared" si="31"/>
        <v>/</v>
      </c>
      <c r="E120" s="109">
        <f ca="1">IF(表2_367162629303891213141518[[#This Row],[累计净值]]/MAX(INDIRECT("B21:B" &amp; ROW()))-1&lt;E119,表2_367162629303891213141518[[#This Row],[累计净值]]/MAX(INDIRECT("B21:B" &amp; ROW()))-1,E119)</f>
        <v>-2.2768670309654016E-2</v>
      </c>
      <c r="F120" s="110">
        <f>表2_367162629303891213141518[[#This Row],[累计净值]]-0.12</f>
        <v>1.0059999999999998</v>
      </c>
      <c r="G120" s="109">
        <f>IF(表2_367162629303891213141518[[#This Row],[累计净值]]&gt;1.087,0.7*(表2_367162629303891213141518[[#This Row],[累计净值]]-1.087)/1.087,(表2_367162629303891213141518[[#This Row],[累计净值]]-1.087)/1.087)</f>
        <v>2.5114995400183943E-2</v>
      </c>
      <c r="H120" s="197"/>
    </row>
    <row r="121" spans="1:8">
      <c r="A121" s="15">
        <v>44118</v>
      </c>
      <c r="B121" s="112">
        <v>1.131</v>
      </c>
      <c r="C121" s="108">
        <f t="shared" si="30"/>
        <v>5.0000000000001155E-3</v>
      </c>
      <c r="D121" s="109" t="str">
        <f t="shared" si="31"/>
        <v>/</v>
      </c>
      <c r="E121" s="109">
        <f ca="1">IF(表2_367162629303891213141518[[#This Row],[累计净值]]/MAX(INDIRECT("B21:B" &amp; ROW()))-1&lt;E120,表2_367162629303891213141518[[#This Row],[累计净值]]/MAX(INDIRECT("B21:B" &amp; ROW()))-1,E120)</f>
        <v>-2.2768670309654016E-2</v>
      </c>
      <c r="F121" s="110">
        <f>表2_367162629303891213141518[[#This Row],[累计净值]]-0.12</f>
        <v>1.0110000000000001</v>
      </c>
      <c r="G121" s="109">
        <f>IF(表2_367162629303891213141518[[#This Row],[累计净值]]&gt;1.087,0.7*(表2_367162629303891213141518[[#This Row],[累计净值]]-1.087)/1.087,(表2_367162629303891213141518[[#This Row],[累计净值]]-1.087)/1.087)</f>
        <v>2.8334866605335809E-2</v>
      </c>
      <c r="H121" s="197"/>
    </row>
    <row r="122" spans="1:8">
      <c r="A122" s="15">
        <v>44119</v>
      </c>
      <c r="B122" s="112">
        <v>1.1259999999999999</v>
      </c>
      <c r="C122" s="108">
        <f t="shared" si="30"/>
        <v>-5.0000000000001155E-3</v>
      </c>
      <c r="D122" s="109">
        <f t="shared" si="31"/>
        <v>-5.0000000000001155E-3</v>
      </c>
      <c r="E122" s="109">
        <f ca="1">IF(表2_367162629303891213141518[[#This Row],[累计净值]]/MAX(INDIRECT("B21:B" &amp; ROW()))-1&lt;E121,表2_367162629303891213141518[[#This Row],[累计净值]]/MAX(INDIRECT("B21:B" &amp; ROW()))-1,E121)</f>
        <v>-2.2768670309654016E-2</v>
      </c>
      <c r="F122" s="110">
        <f>表2_367162629303891213141518[[#This Row],[累计净值]]-0.12</f>
        <v>1.0059999999999998</v>
      </c>
      <c r="G122" s="109">
        <f>IF(表2_367162629303891213141518[[#This Row],[累计净值]]&gt;1.087,0.7*(表2_367162629303891213141518[[#This Row],[累计净值]]-1.087)/1.087,(表2_367162629303891213141518[[#This Row],[累计净值]]-1.087)/1.087)</f>
        <v>2.5114995400183943E-2</v>
      </c>
      <c r="H122" s="197"/>
    </row>
    <row r="123" spans="1:8">
      <c r="A123" s="9">
        <v>44120</v>
      </c>
      <c r="B123" s="190">
        <v>1.129</v>
      </c>
      <c r="C123" s="191">
        <f t="shared" si="30"/>
        <v>3.0000000000001137E-3</v>
      </c>
      <c r="D123" s="192" t="str">
        <f t="shared" si="31"/>
        <v>/</v>
      </c>
      <c r="E123" s="192">
        <f ca="1">IF(表2_367162629303891213141518[[#This Row],[累计净值]]/MAX(INDIRECT("B21:B" &amp; ROW()))-1&lt;E122,表2_367162629303891213141518[[#This Row],[累计净值]]/MAX(INDIRECT("B21:B" &amp; ROW()))-1,E122)</f>
        <v>-2.2768670309654016E-2</v>
      </c>
      <c r="F123" s="193">
        <f>表2_367162629303891213141518[[#This Row],[累计净值]]-0.12</f>
        <v>1.0089999999999999</v>
      </c>
      <c r="G123" s="192">
        <f>IF(表2_367162629303891213141518[[#This Row],[累计净值]]&gt;1.087,0.7*(表2_367162629303891213141518[[#This Row],[累计净值]]-1.087)/1.087,(表2_367162629303891213141518[[#This Row],[累计净值]]-1.087)/1.087)</f>
        <v>2.7046918123275091E-2</v>
      </c>
      <c r="H123" s="199"/>
    </row>
    <row r="124" spans="1:8">
      <c r="A124" s="15">
        <v>44123</v>
      </c>
      <c r="B124" s="112">
        <v>1.127</v>
      </c>
      <c r="C124" s="108">
        <f t="shared" si="30"/>
        <v>-2.0000000000000018E-3</v>
      </c>
      <c r="D124" s="109">
        <f t="shared" si="31"/>
        <v>-2.0000000000000018E-3</v>
      </c>
      <c r="E124" s="109">
        <f ca="1">IF(表2_367162629303891213141518[[#This Row],[累计净值]]/MAX(INDIRECT("B21:B" &amp; ROW()))-1&lt;E123,表2_367162629303891213141518[[#This Row],[累计净值]]/MAX(INDIRECT("B21:B" &amp; ROW()))-1,E123)</f>
        <v>-2.2768670309654016E-2</v>
      </c>
      <c r="F124" s="110">
        <f>表2_367162629303891213141518[[#This Row],[累计净值]]-0.12</f>
        <v>1.0070000000000001</v>
      </c>
      <c r="G124" s="109">
        <f>IF(表2_367162629303891213141518[[#This Row],[累计净值]]&gt;1.087,0.7*(表2_367162629303891213141518[[#This Row],[累计净值]]-1.087)/1.087,(表2_367162629303891213141518[[#This Row],[累计净值]]-1.087)/1.087)</f>
        <v>2.5758969641214373E-2</v>
      </c>
      <c r="H124" s="109">
        <f>IF(表2_367162629303891213141518[[#This Row],[累计净值]]&gt;1.129,0.7*(表2_367162629303891213141518[[#This Row],[累计净值]]-1.129)/1.129,(表2_367162629303891213141518[[#This Row],[累计净值]]-1.129)/1.129)</f>
        <v>-1.7714791851195764E-3</v>
      </c>
    </row>
    <row r="125" spans="1:8">
      <c r="A125" s="15">
        <v>44124</v>
      </c>
      <c r="B125" s="112">
        <v>1.1279999999999999</v>
      </c>
      <c r="C125" s="108">
        <f t="shared" ref="C125:C130" si="32">IFERROR(B125-B124,0)</f>
        <v>9.9999999999988987E-4</v>
      </c>
      <c r="D125" s="109" t="str">
        <f t="shared" ref="D125:D130" si="33">IF(C125&lt;0,C125,"/")</f>
        <v>/</v>
      </c>
      <c r="E125" s="109">
        <f ca="1">IF(表2_367162629303891213141518[[#This Row],[累计净值]]/MAX(INDIRECT("B21:B" &amp; ROW()))-1&lt;E124,表2_367162629303891213141518[[#This Row],[累计净值]]/MAX(INDIRECT("B21:B" &amp; ROW()))-1,E124)</f>
        <v>-2.2768670309654016E-2</v>
      </c>
      <c r="F125" s="110">
        <f>表2_367162629303891213141518[[#This Row],[累计净值]]-0.12</f>
        <v>1.008</v>
      </c>
      <c r="G125" s="109">
        <f>IF(表2_367162629303891213141518[[#This Row],[累计净值]]&gt;1.087,0.7*(表2_367162629303891213141518[[#This Row],[累计净值]]-1.087)/1.087,(表2_367162629303891213141518[[#This Row],[累计净值]]-1.087)/1.087)</f>
        <v>2.6402943882244661E-2</v>
      </c>
      <c r="H125" s="109">
        <f>IF(表2_367162629303891213141518[[#This Row],[累计净值]]&gt;1.129,0.7*(表2_367162629303891213141518[[#This Row],[累计净值]]-1.129)/1.129,(表2_367162629303891213141518[[#This Row],[累计净值]]-1.129)/1.129)</f>
        <v>-8.8573959255988655E-4</v>
      </c>
    </row>
    <row r="126" spans="1:8">
      <c r="A126" s="15">
        <v>44125</v>
      </c>
      <c r="B126" s="112">
        <v>1.1279999999999999</v>
      </c>
      <c r="C126" s="108">
        <f t="shared" si="32"/>
        <v>0</v>
      </c>
      <c r="D126" s="109" t="str">
        <f t="shared" si="33"/>
        <v>/</v>
      </c>
      <c r="E126" s="109">
        <f ca="1">IF(表2_367162629303891213141518[[#This Row],[累计净值]]/MAX(INDIRECT("B21:B" &amp; ROW()))-1&lt;E125,表2_367162629303891213141518[[#This Row],[累计净值]]/MAX(INDIRECT("B21:B" &amp; ROW()))-1,E125)</f>
        <v>-2.2768670309654016E-2</v>
      </c>
      <c r="F126" s="110">
        <f>表2_367162629303891213141518[[#This Row],[累计净值]]-0.12</f>
        <v>1.008</v>
      </c>
      <c r="G126" s="109">
        <f>IF(表2_367162629303891213141518[[#This Row],[累计净值]]&gt;1.087,0.7*(表2_367162629303891213141518[[#This Row],[累计净值]]-1.087)/1.087,(表2_367162629303891213141518[[#This Row],[累计净值]]-1.087)/1.087)</f>
        <v>2.6402943882244661E-2</v>
      </c>
      <c r="H126" s="109">
        <f>IF(表2_367162629303891213141518[[#This Row],[累计净值]]&gt;1.129,0.7*(表2_367162629303891213141518[[#This Row],[累计净值]]-1.129)/1.129,(表2_367162629303891213141518[[#This Row],[累计净值]]-1.129)/1.129)</f>
        <v>-8.8573959255988655E-4</v>
      </c>
    </row>
    <row r="127" spans="1:8">
      <c r="A127" s="15">
        <v>44126</v>
      </c>
      <c r="B127" s="112">
        <v>1.1279999999999999</v>
      </c>
      <c r="C127" s="108">
        <f t="shared" si="32"/>
        <v>0</v>
      </c>
      <c r="D127" s="109" t="str">
        <f t="shared" si="33"/>
        <v>/</v>
      </c>
      <c r="E127" s="109">
        <f ca="1">IF(表2_367162629303891213141518[[#This Row],[累计净值]]/MAX(INDIRECT("B21:B" &amp; ROW()))-1&lt;E126,表2_367162629303891213141518[[#This Row],[累计净值]]/MAX(INDIRECT("B21:B" &amp; ROW()))-1,E126)</f>
        <v>-2.2768670309654016E-2</v>
      </c>
      <c r="F127" s="110">
        <f>表2_367162629303891213141518[[#This Row],[累计净值]]-0.12</f>
        <v>1.008</v>
      </c>
      <c r="G127" s="109">
        <f>IF(表2_367162629303891213141518[[#This Row],[累计净值]]&gt;1.087,0.7*(表2_367162629303891213141518[[#This Row],[累计净值]]-1.087)/1.087,(表2_367162629303891213141518[[#This Row],[累计净值]]-1.087)/1.087)</f>
        <v>2.6402943882244661E-2</v>
      </c>
      <c r="H127" s="109">
        <f>IF(表2_367162629303891213141518[[#This Row],[累计净值]]&gt;1.129,0.7*(表2_367162629303891213141518[[#This Row],[累计净值]]-1.129)/1.129,(表2_367162629303891213141518[[#This Row],[累计净值]]-1.129)/1.129)</f>
        <v>-8.8573959255988655E-4</v>
      </c>
    </row>
    <row r="128" spans="1:8">
      <c r="A128" s="15">
        <v>44127</v>
      </c>
      <c r="B128" s="112">
        <v>1.1279999999999999</v>
      </c>
      <c r="C128" s="108">
        <f t="shared" si="32"/>
        <v>0</v>
      </c>
      <c r="D128" s="109" t="str">
        <f t="shared" si="33"/>
        <v>/</v>
      </c>
      <c r="E128" s="109">
        <f ca="1">IF(表2_367162629303891213141518[[#This Row],[累计净值]]/MAX(INDIRECT("B21:B" &amp; ROW()))-1&lt;E127,表2_367162629303891213141518[[#This Row],[累计净值]]/MAX(INDIRECT("B21:B" &amp; ROW()))-1,E127)</f>
        <v>-2.2768670309654016E-2</v>
      </c>
      <c r="F128" s="110">
        <f>表2_367162629303891213141518[[#This Row],[累计净值]]-0.12</f>
        <v>1.008</v>
      </c>
      <c r="G128" s="109">
        <f>IF(表2_367162629303891213141518[[#This Row],[累计净值]]&gt;1.087,0.7*(表2_367162629303891213141518[[#This Row],[累计净值]]-1.087)/1.087,(表2_367162629303891213141518[[#This Row],[累计净值]]-1.087)/1.087)</f>
        <v>2.6402943882244661E-2</v>
      </c>
      <c r="H128" s="109">
        <f>IF(表2_367162629303891213141518[[#This Row],[累计净值]]&gt;1.129,0.7*(表2_367162629303891213141518[[#This Row],[累计净值]]-1.129)/1.129,(表2_367162629303891213141518[[#This Row],[累计净值]]-1.129)/1.129)</f>
        <v>-8.8573959255988655E-4</v>
      </c>
    </row>
    <row r="129" spans="1:8">
      <c r="A129" s="15">
        <v>44130</v>
      </c>
      <c r="B129" s="112">
        <v>1.127</v>
      </c>
      <c r="C129" s="108">
        <f t="shared" si="32"/>
        <v>-9.9999999999988987E-4</v>
      </c>
      <c r="D129" s="109">
        <f t="shared" si="33"/>
        <v>-9.9999999999988987E-4</v>
      </c>
      <c r="E129" s="109">
        <f ca="1">IF(表2_367162629303891213141518[[#This Row],[累计净值]]/MAX(INDIRECT("B21:B" &amp; ROW()))-1&lt;E128,表2_367162629303891213141518[[#This Row],[累计净值]]/MAX(INDIRECT("B21:B" &amp; ROW()))-1,E128)</f>
        <v>-2.2768670309654016E-2</v>
      </c>
      <c r="F129" s="110">
        <f>表2_367162629303891213141518[[#This Row],[累计净值]]-0.12</f>
        <v>1.0070000000000001</v>
      </c>
      <c r="G129" s="109">
        <f>IF(表2_367162629303891213141518[[#This Row],[累计净值]]&gt;1.087,0.7*(表2_367162629303891213141518[[#This Row],[累计净值]]-1.087)/1.087,(表2_367162629303891213141518[[#This Row],[累计净值]]-1.087)/1.087)</f>
        <v>2.5758969641214373E-2</v>
      </c>
      <c r="H129" s="109">
        <f>IF(表2_367162629303891213141518[[#This Row],[累计净值]]&gt;1.129,0.7*(表2_367162629303891213141518[[#This Row],[累计净值]]-1.129)/1.129,(表2_367162629303891213141518[[#This Row],[累计净值]]-1.129)/1.129)</f>
        <v>-1.7714791851195764E-3</v>
      </c>
    </row>
    <row r="130" spans="1:8">
      <c r="A130" s="15">
        <v>44131</v>
      </c>
      <c r="B130" s="112">
        <v>1.1259999999999999</v>
      </c>
      <c r="C130" s="108">
        <f t="shared" si="32"/>
        <v>-1.0000000000001119E-3</v>
      </c>
      <c r="D130" s="109">
        <f t="shared" si="33"/>
        <v>-1.0000000000001119E-3</v>
      </c>
      <c r="E130" s="109">
        <f ca="1">IF(表2_367162629303891213141518[[#This Row],[累计净值]]/MAX(INDIRECT("B21:B" &amp; ROW()))-1&lt;E129,表2_367162629303891213141518[[#This Row],[累计净值]]/MAX(INDIRECT("B21:B" &amp; ROW()))-1,E129)</f>
        <v>-2.2768670309654016E-2</v>
      </c>
      <c r="F130" s="110">
        <f>表2_367162629303891213141518[[#This Row],[累计净值]]-0.12</f>
        <v>1.0059999999999998</v>
      </c>
      <c r="G130" s="109">
        <f>IF(表2_367162629303891213141518[[#This Row],[累计净值]]&gt;1.087,0.7*(表2_367162629303891213141518[[#This Row],[累计净值]]-1.087)/1.087,(表2_367162629303891213141518[[#This Row],[累计净值]]-1.087)/1.087)</f>
        <v>2.5114995400183943E-2</v>
      </c>
      <c r="H130" s="109">
        <f>IF(表2_367162629303891213141518[[#This Row],[累计净值]]&gt;1.129,0.7*(表2_367162629303891213141518[[#This Row],[累计净值]]-1.129)/1.129,(表2_367162629303891213141518[[#This Row],[累计净值]]-1.129)/1.129)</f>
        <v>-2.6572187776794627E-3</v>
      </c>
    </row>
    <row r="131" spans="1:8">
      <c r="A131" s="15">
        <v>44132</v>
      </c>
      <c r="B131" s="112">
        <v>1.1259999999999999</v>
      </c>
      <c r="C131" s="108">
        <f>IFERROR(B131-B130,0)</f>
        <v>0</v>
      </c>
      <c r="D131" s="109" t="str">
        <f>IF(C131&lt;0,C131,"/")</f>
        <v>/</v>
      </c>
      <c r="E131" s="109">
        <f ca="1">IF(表2_367162629303891213141518[[#This Row],[累计净值]]/MAX(INDIRECT("B21:B" &amp; ROW()))-1&lt;E130,表2_367162629303891213141518[[#This Row],[累计净值]]/MAX(INDIRECT("B21:B" &amp; ROW()))-1,E130)</f>
        <v>-2.2768670309654016E-2</v>
      </c>
      <c r="F131" s="110">
        <f>表2_367162629303891213141518[[#This Row],[累计净值]]-0.12</f>
        <v>1.0059999999999998</v>
      </c>
      <c r="G131" s="109">
        <f>IF(表2_367162629303891213141518[[#This Row],[累计净值]]&gt;1.087,0.7*(表2_367162629303891213141518[[#This Row],[累计净值]]-1.087)/1.087,(表2_367162629303891213141518[[#This Row],[累计净值]]-1.087)/1.087)</f>
        <v>2.5114995400183943E-2</v>
      </c>
      <c r="H131" s="109">
        <f>IF(表2_367162629303891213141518[[#This Row],[累计净值]]&gt;1.129,0.7*(表2_367162629303891213141518[[#This Row],[累计净值]]-1.129)/1.129,(表2_367162629303891213141518[[#This Row],[累计净值]]-1.129)/1.129)</f>
        <v>-2.6572187776794627E-3</v>
      </c>
    </row>
    <row r="132" spans="1:8">
      <c r="A132" s="15">
        <v>44133</v>
      </c>
      <c r="B132" s="112">
        <v>1.1279999999999999</v>
      </c>
      <c r="C132" s="108">
        <f>IFERROR(B132-B131,0)</f>
        <v>2.0000000000000018E-3</v>
      </c>
      <c r="D132" s="109" t="str">
        <f>IF(C132&lt;0,C132,"/")</f>
        <v>/</v>
      </c>
      <c r="E132" s="109">
        <f ca="1">IF(表2_367162629303891213141518[[#This Row],[累计净值]]/MAX(INDIRECT("B21:B" &amp; ROW()))-1&lt;E131,表2_367162629303891213141518[[#This Row],[累计净值]]/MAX(INDIRECT("B21:B" &amp; ROW()))-1,E131)</f>
        <v>-2.2768670309654016E-2</v>
      </c>
      <c r="F132" s="110">
        <f>表2_367162629303891213141518[[#This Row],[累计净值]]-0.12</f>
        <v>1.008</v>
      </c>
      <c r="G132" s="109">
        <f>IF(表2_367162629303891213141518[[#This Row],[累计净值]]&gt;1.087,0.7*(表2_367162629303891213141518[[#This Row],[累计净值]]-1.087)/1.087,(表2_367162629303891213141518[[#This Row],[累计净值]]-1.087)/1.087)</f>
        <v>2.6402943882244661E-2</v>
      </c>
      <c r="H132" s="109">
        <f>IF(表2_367162629303891213141518[[#This Row],[累计净值]]&gt;1.129,0.7*(表2_367162629303891213141518[[#This Row],[累计净值]]-1.129)/1.129,(表2_367162629303891213141518[[#This Row],[累计净值]]-1.129)/1.129)</f>
        <v>-8.8573959255988655E-4</v>
      </c>
    </row>
    <row r="133" spans="1:8">
      <c r="A133" s="15">
        <v>44134</v>
      </c>
      <c r="B133" s="112">
        <v>1.127</v>
      </c>
      <c r="C133" s="108">
        <f>IFERROR(B133-B132,0)</f>
        <v>-9.9999999999988987E-4</v>
      </c>
      <c r="D133" s="109">
        <f>IF(C133&lt;0,C133,"/")</f>
        <v>-9.9999999999988987E-4</v>
      </c>
      <c r="E133" s="109">
        <f ca="1">IF(表2_367162629303891213141518[[#This Row],[累计净值]]/MAX(INDIRECT("B21:B" &amp; ROW()))-1&lt;E132,表2_367162629303891213141518[[#This Row],[累计净值]]/MAX(INDIRECT("B21:B" &amp; ROW()))-1,E132)</f>
        <v>-2.2768670309654016E-2</v>
      </c>
      <c r="F133" s="110">
        <f>表2_367162629303891213141518[[#This Row],[累计净值]]-0.12</f>
        <v>1.0070000000000001</v>
      </c>
      <c r="G133" s="109">
        <f>IF(表2_367162629303891213141518[[#This Row],[累计净值]]&gt;1.087,0.7*(表2_367162629303891213141518[[#This Row],[累计净值]]-1.087)/1.087,(表2_367162629303891213141518[[#This Row],[累计净值]]-1.087)/1.087)</f>
        <v>2.5758969641214373E-2</v>
      </c>
      <c r="H133" s="109">
        <f>IF(表2_367162629303891213141518[[#This Row],[累计净值]]&gt;1.129,0.7*(表2_367162629303891213141518[[#This Row],[累计净值]]-1.129)/1.129,(表2_367162629303891213141518[[#This Row],[累计净值]]-1.129)/1.129)</f>
        <v>-1.7714791851195764E-3</v>
      </c>
    </row>
    <row r="134" spans="1:8">
      <c r="A134" s="15">
        <v>44137</v>
      </c>
      <c r="B134" s="112">
        <v>1.1259999999999999</v>
      </c>
      <c r="C134" s="108">
        <f>IFERROR(B134-#REF!,0)</f>
        <v>0</v>
      </c>
      <c r="D134" s="109" t="str">
        <f t="shared" ref="D134:D135" si="34">IF(C134&lt;0,C134,"/")</f>
        <v>/</v>
      </c>
      <c r="E134" s="109">
        <f ca="1">IF(表2_367162629303891213141518[[#This Row],[累计净值]]/MAX(INDIRECT("B21:B" &amp; ROW()))-1&lt;E133,表2_367162629303891213141518[[#This Row],[累计净值]]/MAX(INDIRECT("B21:B" &amp; ROW()))-1,E133)</f>
        <v>-2.2768670309654016E-2</v>
      </c>
      <c r="F134" s="110">
        <f>表2_367162629303891213141518[[#This Row],[累计净值]]-0.12</f>
        <v>1.0059999999999998</v>
      </c>
      <c r="G134" s="109">
        <f>IF(表2_367162629303891213141518[[#This Row],[累计净值]]&gt;1.087,0.7*(表2_367162629303891213141518[[#This Row],[累计净值]]-1.087)/1.087,(表2_367162629303891213141518[[#This Row],[累计净值]]-1.087)/1.087)</f>
        <v>2.5114995400183943E-2</v>
      </c>
      <c r="H134" s="109">
        <f>IF(表2_367162629303891213141518[[#This Row],[累计净值]]&gt;1.129,0.7*(表2_367162629303891213141518[[#This Row],[累计净值]]-1.129)/1.129,(表2_367162629303891213141518[[#This Row],[累计净值]]-1.129)/1.129)</f>
        <v>-2.6572187776794627E-3</v>
      </c>
    </row>
    <row r="135" spans="1:8">
      <c r="A135" s="15">
        <v>44138</v>
      </c>
      <c r="B135" s="112">
        <v>1.1279999999999999</v>
      </c>
      <c r="C135" s="108">
        <f t="shared" ref="C135" si="35">IFERROR(B135-B134,0)</f>
        <v>2.0000000000000018E-3</v>
      </c>
      <c r="D135" s="109" t="str">
        <f t="shared" si="34"/>
        <v>/</v>
      </c>
      <c r="E135" s="109">
        <f ca="1">IF(表2_367162629303891213141518[[#This Row],[累计净值]]/MAX(INDIRECT("B21:B" &amp; ROW()))-1&lt;E134,表2_367162629303891213141518[[#This Row],[累计净值]]/MAX(INDIRECT("B21:B" &amp; ROW()))-1,E134)</f>
        <v>-2.2768670309654016E-2</v>
      </c>
      <c r="F135" s="110">
        <f>表2_367162629303891213141518[[#This Row],[累计净值]]-0.12</f>
        <v>1.008</v>
      </c>
      <c r="G135" s="109">
        <f>IF(表2_367162629303891213141518[[#This Row],[累计净值]]&gt;1.087,0.7*(表2_367162629303891213141518[[#This Row],[累计净值]]-1.087)/1.087,(表2_367162629303891213141518[[#This Row],[累计净值]]-1.087)/1.087)</f>
        <v>2.6402943882244661E-2</v>
      </c>
      <c r="H135" s="109">
        <f>IF(表2_367162629303891213141518[[#This Row],[累计净值]]&gt;1.129,0.7*(表2_367162629303891213141518[[#This Row],[累计净值]]-1.129)/1.129,(表2_367162629303891213141518[[#This Row],[累计净值]]-1.129)/1.129)</f>
        <v>-8.8573959255988655E-4</v>
      </c>
    </row>
    <row r="136" spans="1:8">
      <c r="A136" s="15">
        <v>44139</v>
      </c>
      <c r="B136" s="112">
        <v>1.1279999999999999</v>
      </c>
      <c r="C136" s="108">
        <f t="shared" ref="C136:C141" si="36">IFERROR(B136-B135,0)</f>
        <v>0</v>
      </c>
      <c r="D136" s="109" t="str">
        <f t="shared" ref="D136:D141" si="37">IF(C136&lt;0,C136,"/")</f>
        <v>/</v>
      </c>
      <c r="E136" s="109">
        <f ca="1">IF(表2_367162629303891213141518[[#This Row],[累计净值]]/MAX(INDIRECT("B21:B" &amp; ROW()))-1&lt;E135,表2_367162629303891213141518[[#This Row],[累计净值]]/MAX(INDIRECT("B21:B" &amp; ROW()))-1,E135)</f>
        <v>-2.2768670309654016E-2</v>
      </c>
      <c r="F136" s="110">
        <f>表2_367162629303891213141518[[#This Row],[累计净值]]-0.12</f>
        <v>1.008</v>
      </c>
      <c r="G136" s="109">
        <f>IF(表2_367162629303891213141518[[#This Row],[累计净值]]&gt;1.087,0.7*(表2_367162629303891213141518[[#This Row],[累计净值]]-1.087)/1.087,(表2_367162629303891213141518[[#This Row],[累计净值]]-1.087)/1.087)</f>
        <v>2.6402943882244661E-2</v>
      </c>
      <c r="H136" s="109">
        <f>IF(表2_367162629303891213141518[[#This Row],[累计净值]]&gt;1.129,0.7*(表2_367162629303891213141518[[#This Row],[累计净值]]-1.129)/1.129,(表2_367162629303891213141518[[#This Row],[累计净值]]-1.129)/1.129)</f>
        <v>-8.8573959255988655E-4</v>
      </c>
    </row>
    <row r="137" spans="1:8">
      <c r="A137" s="15">
        <v>44140</v>
      </c>
      <c r="B137" s="117">
        <v>1.1319999999999999</v>
      </c>
      <c r="C137" s="108">
        <f t="shared" si="36"/>
        <v>4.0000000000000036E-3</v>
      </c>
      <c r="D137" s="109" t="str">
        <f t="shared" si="37"/>
        <v>/</v>
      </c>
      <c r="E137" s="109">
        <f ca="1">IF(表2_367162629303891213141518[[#This Row],[累计净值]]/MAX(INDIRECT("B21:B" &amp; ROW()))-1&lt;E136,表2_367162629303891213141518[[#This Row],[累计净值]]/MAX(INDIRECT("B21:B" &amp; ROW()))-1,E136)</f>
        <v>-2.2768670309654016E-2</v>
      </c>
      <c r="F137" s="110">
        <f>表2_367162629303891213141518[[#This Row],[累计净值]]-0.12</f>
        <v>1.012</v>
      </c>
      <c r="G137" s="109">
        <f>IF(表2_367162629303891213141518[[#This Row],[累计净值]]&gt;1.087,0.7*(表2_367162629303891213141518[[#This Row],[累计净值]]-1.087)/1.087,(表2_367162629303891213141518[[#This Row],[累计净值]]-1.087)/1.087)</f>
        <v>2.8978840846366101E-2</v>
      </c>
      <c r="H137" s="109">
        <f>IF(表2_367162629303891213141518[[#This Row],[累计净值]]&gt;1.129,0.7*(表2_367162629303891213141518[[#This Row],[累计净值]]-1.129)/1.129,(表2_367162629303891213141518[[#This Row],[累计净值]]-1.129)/1.129)</f>
        <v>1.8600531443754861E-3</v>
      </c>
    </row>
    <row r="138" spans="1:8">
      <c r="A138" s="15">
        <v>44141</v>
      </c>
      <c r="B138" s="112">
        <v>1.1279999999999999</v>
      </c>
      <c r="C138" s="108">
        <f t="shared" si="36"/>
        <v>-4.0000000000000036E-3</v>
      </c>
      <c r="D138" s="109">
        <f t="shared" si="37"/>
        <v>-4.0000000000000036E-3</v>
      </c>
      <c r="E138" s="109">
        <f ca="1">IF(表2_367162629303891213141518[[#This Row],[累计净值]]/MAX(INDIRECT("B21:B" &amp; ROW()))-1&lt;E137,表2_367162629303891213141518[[#This Row],[累计净值]]/MAX(INDIRECT("B21:B" &amp; ROW()))-1,E137)</f>
        <v>-2.2768670309654016E-2</v>
      </c>
      <c r="F138" s="110">
        <f>表2_367162629303891213141518[[#This Row],[累计净值]]-0.12</f>
        <v>1.008</v>
      </c>
      <c r="G138" s="109">
        <f>IF(表2_367162629303891213141518[[#This Row],[累计净值]]&gt;1.087,0.7*(表2_367162629303891213141518[[#This Row],[累计净值]]-1.087)/1.087,(表2_367162629303891213141518[[#This Row],[累计净值]]-1.087)/1.087)</f>
        <v>2.6402943882244661E-2</v>
      </c>
      <c r="H138" s="109">
        <f>IF(表2_367162629303891213141518[[#This Row],[累计净值]]&gt;1.129,0.7*(表2_367162629303891213141518[[#This Row],[累计净值]]-1.129)/1.129,(表2_367162629303891213141518[[#This Row],[累计净值]]-1.129)/1.129)</f>
        <v>-8.8573959255988655E-4</v>
      </c>
    </row>
    <row r="139" spans="1:8">
      <c r="A139" s="15">
        <v>44144</v>
      </c>
      <c r="B139" s="112">
        <v>1.129</v>
      </c>
      <c r="C139" s="108">
        <f t="shared" si="36"/>
        <v>1.0000000000001119E-3</v>
      </c>
      <c r="D139" s="109" t="str">
        <f t="shared" si="37"/>
        <v>/</v>
      </c>
      <c r="E139" s="109">
        <f ca="1">IF(表2_367162629303891213141518[[#This Row],[累计净值]]/MAX(INDIRECT("B21:B" &amp; ROW()))-1&lt;E138,表2_367162629303891213141518[[#This Row],[累计净值]]/MAX(INDIRECT("B21:B" &amp; ROW()))-1,E138)</f>
        <v>-2.2768670309654016E-2</v>
      </c>
      <c r="F139" s="110">
        <f>表2_367162629303891213141518[[#This Row],[累计净值]]-0.12</f>
        <v>1.0089999999999999</v>
      </c>
      <c r="G139" s="109">
        <f>IF(表2_367162629303891213141518[[#This Row],[累计净值]]&gt;1.087,0.7*(表2_367162629303891213141518[[#This Row],[累计净值]]-1.087)/1.087,(表2_367162629303891213141518[[#This Row],[累计净值]]-1.087)/1.087)</f>
        <v>2.7046918123275091E-2</v>
      </c>
      <c r="H139" s="109">
        <f>IF(表2_367162629303891213141518[[#This Row],[累计净值]]&gt;1.129,0.7*(表2_367162629303891213141518[[#This Row],[累计净值]]-1.129)/1.129,(表2_367162629303891213141518[[#This Row],[累计净值]]-1.129)/1.129)</f>
        <v>0</v>
      </c>
    </row>
    <row r="140" spans="1:8">
      <c r="A140" s="15">
        <v>44145</v>
      </c>
      <c r="B140" s="112">
        <v>1.1259999999999999</v>
      </c>
      <c r="C140" s="108">
        <f t="shared" si="36"/>
        <v>-3.0000000000001137E-3</v>
      </c>
      <c r="D140" s="109">
        <f t="shared" si="37"/>
        <v>-3.0000000000001137E-3</v>
      </c>
      <c r="E140" s="109">
        <f ca="1">IF(表2_367162629303891213141518[[#This Row],[累计净值]]/MAX(INDIRECT("B21:B" &amp; ROW()))-1&lt;E139,表2_367162629303891213141518[[#This Row],[累计净值]]/MAX(INDIRECT("B21:B" &amp; ROW()))-1,E139)</f>
        <v>-2.2768670309654016E-2</v>
      </c>
      <c r="F140" s="110">
        <f>表2_367162629303891213141518[[#This Row],[累计净值]]-0.12</f>
        <v>1.0059999999999998</v>
      </c>
      <c r="G140" s="109">
        <f>IF(表2_367162629303891213141518[[#This Row],[累计净值]]&gt;1.087,0.7*(表2_367162629303891213141518[[#This Row],[累计净值]]-1.087)/1.087,(表2_367162629303891213141518[[#This Row],[累计净值]]-1.087)/1.087)</f>
        <v>2.5114995400183943E-2</v>
      </c>
      <c r="H140" s="109">
        <f>IF(表2_367162629303891213141518[[#This Row],[累计净值]]&gt;1.129,0.7*(表2_367162629303891213141518[[#This Row],[累计净值]]-1.129)/1.129,(表2_367162629303891213141518[[#This Row],[累计净值]]-1.129)/1.129)</f>
        <v>-2.6572187776794627E-3</v>
      </c>
    </row>
    <row r="141" spans="1:8">
      <c r="A141" s="15">
        <v>44146</v>
      </c>
      <c r="B141" s="112">
        <v>1.121</v>
      </c>
      <c r="C141" s="108">
        <f t="shared" si="36"/>
        <v>-4.9999999999998934E-3</v>
      </c>
      <c r="D141" s="109">
        <f t="shared" si="37"/>
        <v>-4.9999999999998934E-3</v>
      </c>
      <c r="E141" s="109">
        <f ca="1">IF(表2_367162629303891213141518[[#This Row],[累计净值]]/MAX(INDIRECT("B21:B" &amp; ROW()))-1&lt;E140,表2_367162629303891213141518[[#This Row],[累计净值]]/MAX(INDIRECT("B21:B" &amp; ROW()))-1,E140)</f>
        <v>-2.2768670309654016E-2</v>
      </c>
      <c r="F141" s="110">
        <f>表2_367162629303891213141518[[#This Row],[累计净值]]-0.12</f>
        <v>1.0009999999999999</v>
      </c>
      <c r="G141" s="109">
        <f>IF(表2_367162629303891213141518[[#This Row],[累计净值]]&gt;1.087,0.7*(表2_367162629303891213141518[[#This Row],[累计净值]]-1.087)/1.087,(表2_367162629303891213141518[[#This Row],[累计净值]]-1.087)/1.087)</f>
        <v>2.1895124195032218E-2</v>
      </c>
      <c r="H141" s="109">
        <f>IF(表2_367162629303891213141518[[#This Row],[累计净值]]&gt;1.129,0.7*(表2_367162629303891213141518[[#This Row],[累计净值]]-1.129)/1.129,(表2_367162629303891213141518[[#This Row],[累计净值]]-1.129)/1.129)</f>
        <v>-7.0859167404783057E-3</v>
      </c>
    </row>
    <row r="142" spans="1:8">
      <c r="A142" s="15">
        <v>44147</v>
      </c>
      <c r="B142" s="112">
        <v>1.1259999999999999</v>
      </c>
      <c r="C142" s="108">
        <f t="shared" ref="C142:C147" si="38">IFERROR(B142-B141,0)</f>
        <v>4.9999999999998934E-3</v>
      </c>
      <c r="D142" s="109" t="str">
        <f t="shared" ref="D142:D147" si="39">IF(C142&lt;0,C142,"/")</f>
        <v>/</v>
      </c>
      <c r="E142" s="109">
        <f ca="1">IF(表2_367162629303891213141518[[#This Row],[累计净值]]/MAX(INDIRECT("B21:B" &amp; ROW()))-1&lt;E141,表2_367162629303891213141518[[#This Row],[累计净值]]/MAX(INDIRECT("B21:B" &amp; ROW()))-1,E141)</f>
        <v>-2.2768670309654016E-2</v>
      </c>
      <c r="F142" s="110">
        <f>表2_367162629303891213141518[[#This Row],[累计净值]]-0.12</f>
        <v>1.0059999999999998</v>
      </c>
      <c r="G142" s="109">
        <f>IF(表2_367162629303891213141518[[#This Row],[累计净值]]&gt;1.087,0.7*(表2_367162629303891213141518[[#This Row],[累计净值]]-1.087)/1.087,(表2_367162629303891213141518[[#This Row],[累计净值]]-1.087)/1.087)</f>
        <v>2.5114995400183943E-2</v>
      </c>
      <c r="H142" s="109">
        <f>IF(表2_367162629303891213141518[[#This Row],[累计净值]]&gt;1.129,0.7*(表2_367162629303891213141518[[#This Row],[累计净值]]-1.129)/1.129,(表2_367162629303891213141518[[#This Row],[累计净值]]-1.129)/1.129)</f>
        <v>-2.6572187776794627E-3</v>
      </c>
    </row>
    <row r="143" spans="1:8">
      <c r="A143" s="15">
        <v>44148</v>
      </c>
      <c r="B143" s="112">
        <v>1.131</v>
      </c>
      <c r="C143" s="108">
        <f t="shared" si="38"/>
        <v>5.0000000000001155E-3</v>
      </c>
      <c r="D143" s="109" t="str">
        <f t="shared" si="39"/>
        <v>/</v>
      </c>
      <c r="E143" s="109">
        <f ca="1">IF(表2_367162629303891213141518[[#This Row],[累计净值]]/MAX(INDIRECT("B21:B" &amp; ROW()))-1&lt;E142,表2_367162629303891213141518[[#This Row],[累计净值]]/MAX(INDIRECT("B21:B" &amp; ROW()))-1,E142)</f>
        <v>-2.2768670309654016E-2</v>
      </c>
      <c r="F143" s="110">
        <f>表2_367162629303891213141518[[#This Row],[累计净值]]-0.12</f>
        <v>1.0110000000000001</v>
      </c>
      <c r="G143" s="109">
        <f>IF(表2_367162629303891213141518[[#This Row],[累计净值]]&gt;1.087,0.7*(表2_367162629303891213141518[[#This Row],[累计净值]]-1.087)/1.087,(表2_367162629303891213141518[[#This Row],[累计净值]]-1.087)/1.087)</f>
        <v>2.8334866605335809E-2</v>
      </c>
      <c r="H143" s="109">
        <f>IF(表2_367162629303891213141518[[#This Row],[累计净值]]&gt;1.129,0.7*(表2_367162629303891213141518[[#This Row],[累计净值]]-1.129)/1.129,(表2_367162629303891213141518[[#This Row],[累计净值]]-1.129)/1.129)</f>
        <v>1.2400354295837033E-3</v>
      </c>
    </row>
    <row r="144" spans="1:8">
      <c r="A144" s="15">
        <v>44151</v>
      </c>
      <c r="B144" s="112">
        <v>1.1319999999999999</v>
      </c>
      <c r="C144" s="108">
        <f t="shared" si="38"/>
        <v>9.9999999999988987E-4</v>
      </c>
      <c r="D144" s="109" t="str">
        <f t="shared" si="39"/>
        <v>/</v>
      </c>
      <c r="E144" s="109">
        <f ca="1">IF(表2_367162629303891213141518[[#This Row],[累计净值]]/MAX(INDIRECT("B21:B" &amp; ROW()))-1&lt;E143,表2_367162629303891213141518[[#This Row],[累计净值]]/MAX(INDIRECT("B21:B" &amp; ROW()))-1,E143)</f>
        <v>-2.2768670309654016E-2</v>
      </c>
      <c r="F144" s="110">
        <f>表2_367162629303891213141518[[#This Row],[累计净值]]-0.12</f>
        <v>1.012</v>
      </c>
      <c r="G144" s="109">
        <f>IF(表2_367162629303891213141518[[#This Row],[累计净值]]&gt;1.087,0.7*(表2_367162629303891213141518[[#This Row],[累计净值]]-1.087)/1.087,(表2_367162629303891213141518[[#This Row],[累计净值]]-1.087)/1.087)</f>
        <v>2.8978840846366101E-2</v>
      </c>
      <c r="H144" s="109">
        <f>IF(表2_367162629303891213141518[[#This Row],[累计净值]]&gt;1.129,0.7*(表2_367162629303891213141518[[#This Row],[累计净值]]-1.129)/1.129,(表2_367162629303891213141518[[#This Row],[累计净值]]-1.129)/1.129)</f>
        <v>1.8600531443754861E-3</v>
      </c>
    </row>
    <row r="145" spans="1:8">
      <c r="A145" s="15">
        <v>44152</v>
      </c>
      <c r="B145" s="112">
        <v>1.131</v>
      </c>
      <c r="C145" s="108">
        <f t="shared" si="38"/>
        <v>-9.9999999999988987E-4</v>
      </c>
      <c r="D145" s="109">
        <f t="shared" si="39"/>
        <v>-9.9999999999988987E-4</v>
      </c>
      <c r="E145" s="109">
        <f ca="1">IF(表2_367162629303891213141518[[#This Row],[累计净值]]/MAX(INDIRECT("B21:B" &amp; ROW()))-1&lt;E144,表2_367162629303891213141518[[#This Row],[累计净值]]/MAX(INDIRECT("B21:B" &amp; ROW()))-1,E144)</f>
        <v>-2.2768670309654016E-2</v>
      </c>
      <c r="F145" s="110">
        <f>表2_367162629303891213141518[[#This Row],[累计净值]]-0.12</f>
        <v>1.0110000000000001</v>
      </c>
      <c r="G145" s="109">
        <f>IF(表2_367162629303891213141518[[#This Row],[累计净值]]&gt;1.087,0.7*(表2_367162629303891213141518[[#This Row],[累计净值]]-1.087)/1.087,(表2_367162629303891213141518[[#This Row],[累计净值]]-1.087)/1.087)</f>
        <v>2.8334866605335809E-2</v>
      </c>
      <c r="H145" s="109">
        <f>IF(表2_367162629303891213141518[[#This Row],[累计净值]]&gt;1.129,0.7*(表2_367162629303891213141518[[#This Row],[累计净值]]-1.129)/1.129,(表2_367162629303891213141518[[#This Row],[累计净值]]-1.129)/1.129)</f>
        <v>1.2400354295837033E-3</v>
      </c>
    </row>
    <row r="146" spans="1:8">
      <c r="A146" s="15">
        <v>44153</v>
      </c>
      <c r="B146" s="112">
        <v>1.1319999999999999</v>
      </c>
      <c r="C146" s="108">
        <f t="shared" si="38"/>
        <v>9.9999999999988987E-4</v>
      </c>
      <c r="D146" s="109" t="str">
        <f t="shared" si="39"/>
        <v>/</v>
      </c>
      <c r="E146" s="109">
        <f ca="1">IF(表2_367162629303891213141518[[#This Row],[累计净值]]/MAX(INDIRECT("B21:B" &amp; ROW()))-1&lt;E145,表2_367162629303891213141518[[#This Row],[累计净值]]/MAX(INDIRECT("B21:B" &amp; ROW()))-1,E145)</f>
        <v>-2.2768670309654016E-2</v>
      </c>
      <c r="F146" s="110">
        <f>表2_367162629303891213141518[[#This Row],[累计净值]]-0.12</f>
        <v>1.012</v>
      </c>
      <c r="G146" s="109">
        <f>IF(表2_367162629303891213141518[[#This Row],[累计净值]]&gt;1.087,0.7*(表2_367162629303891213141518[[#This Row],[累计净值]]-1.087)/1.087,(表2_367162629303891213141518[[#This Row],[累计净值]]-1.087)/1.087)</f>
        <v>2.8978840846366101E-2</v>
      </c>
      <c r="H146" s="109">
        <f>IF(表2_367162629303891213141518[[#This Row],[累计净值]]&gt;1.129,0.7*(表2_367162629303891213141518[[#This Row],[累计净值]]-1.129)/1.129,(表2_367162629303891213141518[[#This Row],[累计净值]]-1.129)/1.129)</f>
        <v>1.8600531443754861E-3</v>
      </c>
    </row>
    <row r="147" spans="1:8">
      <c r="A147" s="15">
        <v>44154</v>
      </c>
      <c r="B147" s="112">
        <v>1.1279999999999999</v>
      </c>
      <c r="C147" s="108">
        <f t="shared" si="38"/>
        <v>-4.0000000000000036E-3</v>
      </c>
      <c r="D147" s="109">
        <f t="shared" si="39"/>
        <v>-4.0000000000000036E-3</v>
      </c>
      <c r="E147" s="109">
        <f ca="1">IF(表2_367162629303891213141518[[#This Row],[累计净值]]/MAX(INDIRECT("B21:B" &amp; ROW()))-1&lt;E146,表2_367162629303891213141518[[#This Row],[累计净值]]/MAX(INDIRECT("B21:B" &amp; ROW()))-1,E146)</f>
        <v>-2.2768670309654016E-2</v>
      </c>
      <c r="F147" s="110">
        <f>表2_367162629303891213141518[[#This Row],[累计净值]]-0.12</f>
        <v>1.008</v>
      </c>
      <c r="G147" s="109">
        <f>IF(表2_367162629303891213141518[[#This Row],[累计净值]]&gt;1.087,0.7*(表2_367162629303891213141518[[#This Row],[累计净值]]-1.087)/1.087,(表2_367162629303891213141518[[#This Row],[累计净值]]-1.087)/1.087)</f>
        <v>2.6402943882244661E-2</v>
      </c>
      <c r="H147" s="109">
        <f>IF(表2_367162629303891213141518[[#This Row],[累计净值]]&gt;1.129,0.7*(表2_367162629303891213141518[[#This Row],[累计净值]]-1.129)/1.129,(表2_367162629303891213141518[[#This Row],[累计净值]]-1.129)/1.129)</f>
        <v>-8.8573959255988655E-4</v>
      </c>
    </row>
    <row r="148" spans="1:8">
      <c r="A148" s="15">
        <v>44155</v>
      </c>
      <c r="B148" s="112">
        <v>1.1299999999999999</v>
      </c>
      <c r="C148" s="108">
        <f t="shared" ref="C148:C153" si="40">IFERROR(B148-B147,0)</f>
        <v>2.0000000000000018E-3</v>
      </c>
      <c r="D148" s="109" t="str">
        <f t="shared" ref="D148:D153" si="41">IF(C148&lt;0,C148,"/")</f>
        <v>/</v>
      </c>
      <c r="E148" s="109">
        <f ca="1">IF(表2_367162629303891213141518[[#This Row],[累计净值]]/MAX(INDIRECT("B21:B" &amp; ROW()))-1&lt;E147,表2_367162629303891213141518[[#This Row],[累计净值]]/MAX(INDIRECT("B21:B" &amp; ROW()))-1,E147)</f>
        <v>-2.2768670309654016E-2</v>
      </c>
      <c r="F148" s="110">
        <f>表2_367162629303891213141518[[#This Row],[累计净值]]-0.12</f>
        <v>1.0099999999999998</v>
      </c>
      <c r="G148" s="109">
        <f>IF(表2_367162629303891213141518[[#This Row],[累计净值]]&gt;1.087,0.7*(表2_367162629303891213141518[[#This Row],[累计净值]]-1.087)/1.087,(表2_367162629303891213141518[[#This Row],[累计净值]]-1.087)/1.087)</f>
        <v>2.7690892364305379E-2</v>
      </c>
      <c r="H148" s="109">
        <f>IF(表2_367162629303891213141518[[#This Row],[累计净值]]&gt;1.129,0.7*(表2_367162629303891213141518[[#This Row],[累计净值]]-1.129)/1.129,(表2_367162629303891213141518[[#This Row],[累计净值]]-1.129)/1.129)</f>
        <v>6.2001771479178289E-4</v>
      </c>
    </row>
    <row r="149" spans="1:8">
      <c r="A149" s="15">
        <v>44158</v>
      </c>
      <c r="B149" s="112">
        <v>1.1279999999999999</v>
      </c>
      <c r="C149" s="108">
        <f t="shared" si="40"/>
        <v>-2.0000000000000018E-3</v>
      </c>
      <c r="D149" s="109">
        <f t="shared" si="41"/>
        <v>-2.0000000000000018E-3</v>
      </c>
      <c r="E149" s="109">
        <f ca="1">IF(表2_367162629303891213141518[[#This Row],[累计净值]]/MAX(INDIRECT("B21:B" &amp; ROW()))-1&lt;E148,表2_367162629303891213141518[[#This Row],[累计净值]]/MAX(INDIRECT("B21:B" &amp; ROW()))-1,E148)</f>
        <v>-2.2768670309654016E-2</v>
      </c>
      <c r="F149" s="110">
        <f>表2_367162629303891213141518[[#This Row],[累计净值]]-0.12</f>
        <v>1.008</v>
      </c>
      <c r="G149" s="109">
        <f>IF(表2_367162629303891213141518[[#This Row],[累计净值]]&gt;1.087,0.7*(表2_367162629303891213141518[[#This Row],[累计净值]]-1.087)/1.087,(表2_367162629303891213141518[[#This Row],[累计净值]]-1.087)/1.087)</f>
        <v>2.6402943882244661E-2</v>
      </c>
      <c r="H149" s="109">
        <f>IF(表2_367162629303891213141518[[#This Row],[累计净值]]&gt;1.129,0.7*(表2_367162629303891213141518[[#This Row],[累计净值]]-1.129)/1.129,(表2_367162629303891213141518[[#This Row],[累计净值]]-1.129)/1.129)</f>
        <v>-8.8573959255988655E-4</v>
      </c>
    </row>
    <row r="150" spans="1:8">
      <c r="A150" s="15">
        <v>44159</v>
      </c>
      <c r="B150" s="112">
        <v>1.125</v>
      </c>
      <c r="C150" s="108">
        <f t="shared" si="40"/>
        <v>-2.9999999999998916E-3</v>
      </c>
      <c r="D150" s="109">
        <f t="shared" si="41"/>
        <v>-2.9999999999998916E-3</v>
      </c>
      <c r="E150" s="109">
        <f ca="1">IF(表2_367162629303891213141518[[#This Row],[累计净值]]/MAX(INDIRECT("B21:B" &amp; ROW()))-1&lt;E149,表2_367162629303891213141518[[#This Row],[累计净值]]/MAX(INDIRECT("B21:B" &amp; ROW()))-1,E149)</f>
        <v>-2.2768670309654016E-2</v>
      </c>
      <c r="F150" s="110">
        <f>表2_367162629303891213141518[[#This Row],[累计净值]]-0.12</f>
        <v>1.0049999999999999</v>
      </c>
      <c r="G150" s="109">
        <f>IF(表2_367162629303891213141518[[#This Row],[累计净值]]&gt;1.087,0.7*(表2_367162629303891213141518[[#This Row],[累计净值]]-1.087)/1.087,(表2_367162629303891213141518[[#This Row],[累计净值]]-1.087)/1.087)</f>
        <v>2.4471021159153655E-2</v>
      </c>
      <c r="H150" s="109">
        <f>IF(表2_367162629303891213141518[[#This Row],[累计净值]]&gt;1.129,0.7*(表2_367162629303891213141518[[#This Row],[累计净值]]-1.129)/1.129,(表2_367162629303891213141518[[#This Row],[累计净值]]-1.129)/1.129)</f>
        <v>-3.5429583702391528E-3</v>
      </c>
    </row>
    <row r="151" spans="1:8">
      <c r="A151" s="15">
        <v>44160</v>
      </c>
      <c r="B151" s="112">
        <v>1.1220000000000001</v>
      </c>
      <c r="C151" s="108">
        <f t="shared" si="40"/>
        <v>-2.9999999999998916E-3</v>
      </c>
      <c r="D151" s="109">
        <f t="shared" si="41"/>
        <v>-2.9999999999998916E-3</v>
      </c>
      <c r="E151" s="109">
        <f ca="1">IF(表2_367162629303891213141518[[#This Row],[累计净值]]/MAX(INDIRECT("B21:B" &amp; ROW()))-1&lt;E150,表2_367162629303891213141518[[#This Row],[累计净值]]/MAX(INDIRECT("B21:B" &amp; ROW()))-1,E150)</f>
        <v>-2.2768670309654016E-2</v>
      </c>
      <c r="F151" s="110">
        <f>表2_367162629303891213141518[[#This Row],[累计净值]]-0.12</f>
        <v>1.0020000000000002</v>
      </c>
      <c r="G151" s="109">
        <f>IF(表2_367162629303891213141518[[#This Row],[累计净值]]&gt;1.087,0.7*(表2_367162629303891213141518[[#This Row],[累计净值]]-1.087)/1.087,(表2_367162629303891213141518[[#This Row],[累计净值]]-1.087)/1.087)</f>
        <v>2.2539098436062648E-2</v>
      </c>
      <c r="H151" s="109">
        <f>IF(表2_367162629303891213141518[[#This Row],[累计净值]]&gt;1.129,0.7*(表2_367162629303891213141518[[#This Row],[累计净值]]-1.129)/1.129,(表2_367162629303891213141518[[#This Row],[累计净值]]-1.129)/1.129)</f>
        <v>-6.2001771479184191E-3</v>
      </c>
    </row>
    <row r="152" spans="1:8">
      <c r="A152" s="15">
        <v>44161</v>
      </c>
      <c r="B152" s="112">
        <v>1.133</v>
      </c>
      <c r="C152" s="108">
        <f t="shared" si="40"/>
        <v>1.0999999999999899E-2</v>
      </c>
      <c r="D152" s="109" t="str">
        <f t="shared" si="41"/>
        <v>/</v>
      </c>
      <c r="E152" s="109">
        <f ca="1">IF(表2_367162629303891213141518[[#This Row],[累计净值]]/MAX(INDIRECT("B21:B" &amp; ROW()))-1&lt;E151,表2_367162629303891213141518[[#This Row],[累计净值]]/MAX(INDIRECT("B21:B" &amp; ROW()))-1,E151)</f>
        <v>-2.2768670309654016E-2</v>
      </c>
      <c r="F152" s="110">
        <f>表2_367162629303891213141518[[#This Row],[累计净值]]-0.12</f>
        <v>1.0129999999999999</v>
      </c>
      <c r="G152" s="109">
        <f>IF(表2_367162629303891213141518[[#This Row],[累计净值]]&gt;1.087,0.7*(表2_367162629303891213141518[[#This Row],[累计净值]]-1.087)/1.087,(表2_367162629303891213141518[[#This Row],[累计净值]]-1.087)/1.087)</f>
        <v>2.9622815087396531E-2</v>
      </c>
      <c r="H152" s="109">
        <f>IF(表2_367162629303891213141518[[#This Row],[累计净值]]&gt;1.129,0.7*(表2_367162629303891213141518[[#This Row],[累计净值]]-1.129)/1.129,(表2_367162629303891213141518[[#This Row],[累计净值]]-1.129)/1.129)</f>
        <v>2.4800708591674065E-3</v>
      </c>
    </row>
    <row r="153" spans="1:8">
      <c r="A153" s="15">
        <v>44162</v>
      </c>
      <c r="B153" s="112">
        <v>1.1299999999999999</v>
      </c>
      <c r="C153" s="108">
        <f t="shared" si="40"/>
        <v>-3.0000000000001137E-3</v>
      </c>
      <c r="D153" s="109">
        <f t="shared" si="41"/>
        <v>-3.0000000000001137E-3</v>
      </c>
      <c r="E153" s="109">
        <f ca="1">IF(表2_367162629303891213141518[[#This Row],[累计净值]]/MAX(INDIRECT("B21:B" &amp; ROW()))-1&lt;E152,表2_367162629303891213141518[[#This Row],[累计净值]]/MAX(INDIRECT("B21:B" &amp; ROW()))-1,E152)</f>
        <v>-2.2768670309654016E-2</v>
      </c>
      <c r="F153" s="110">
        <f>表2_367162629303891213141518[[#This Row],[累计净值]]-0.12</f>
        <v>1.0099999999999998</v>
      </c>
      <c r="G153" s="109">
        <f>IF(表2_367162629303891213141518[[#This Row],[累计净值]]&gt;1.087,0.7*(表2_367162629303891213141518[[#This Row],[累计净值]]-1.087)/1.087,(表2_367162629303891213141518[[#This Row],[累计净值]]-1.087)/1.087)</f>
        <v>2.7690892364305379E-2</v>
      </c>
      <c r="H153" s="109">
        <f>IF(表2_367162629303891213141518[[#This Row],[累计净值]]&gt;1.129,0.7*(表2_367162629303891213141518[[#This Row],[累计净值]]-1.129)/1.129,(表2_367162629303891213141518[[#This Row],[累计净值]]-1.129)/1.129)</f>
        <v>6.2001771479178289E-4</v>
      </c>
    </row>
    <row r="154" spans="1:8">
      <c r="A154" s="15">
        <v>44165</v>
      </c>
      <c r="B154" s="112">
        <v>1.1299999999999999</v>
      </c>
      <c r="C154" s="108">
        <f t="shared" ref="C154:C159" si="42">IFERROR(B154-B153,0)</f>
        <v>0</v>
      </c>
      <c r="D154" s="109" t="str">
        <f t="shared" ref="D154:D159" si="43">IF(C154&lt;0,C154,"/")</f>
        <v>/</v>
      </c>
      <c r="E154" s="109">
        <f ca="1">IF(表2_367162629303891213141518[[#This Row],[累计净值]]/MAX(INDIRECT("B21:B" &amp; ROW()))-1&lt;E153,表2_367162629303891213141518[[#This Row],[累计净值]]/MAX(INDIRECT("B21:B" &amp; ROW()))-1,E153)</f>
        <v>-2.2768670309654016E-2</v>
      </c>
      <c r="F154" s="110">
        <f>表2_367162629303891213141518[[#This Row],[累计净值]]-0.12</f>
        <v>1.0099999999999998</v>
      </c>
      <c r="G154" s="109">
        <f>IF(表2_367162629303891213141518[[#This Row],[累计净值]]&gt;1.087,0.7*(表2_367162629303891213141518[[#This Row],[累计净值]]-1.087)/1.087,(表2_367162629303891213141518[[#This Row],[累计净值]]-1.087)/1.087)</f>
        <v>2.7690892364305379E-2</v>
      </c>
      <c r="H154" s="109">
        <f>IF(表2_367162629303891213141518[[#This Row],[累计净值]]&gt;1.129,0.7*(表2_367162629303891213141518[[#This Row],[累计净值]]-1.129)/1.129,(表2_367162629303891213141518[[#This Row],[累计净值]]-1.129)/1.129)</f>
        <v>6.2001771479178289E-4</v>
      </c>
    </row>
    <row r="155" spans="1:8">
      <c r="A155" s="15">
        <v>44166</v>
      </c>
      <c r="B155" s="112">
        <v>1.127</v>
      </c>
      <c r="C155" s="108">
        <f t="shared" si="42"/>
        <v>-2.9999999999998916E-3</v>
      </c>
      <c r="D155" s="109">
        <f t="shared" si="43"/>
        <v>-2.9999999999998916E-3</v>
      </c>
      <c r="E155" s="109">
        <f ca="1">IF(表2_367162629303891213141518[[#This Row],[累计净值]]/MAX(INDIRECT("B21:B" &amp; ROW()))-1&lt;E154,表2_367162629303891213141518[[#This Row],[累计净值]]/MAX(INDIRECT("B21:B" &amp; ROW()))-1,E154)</f>
        <v>-2.2768670309654016E-2</v>
      </c>
      <c r="F155" s="110">
        <f>表2_367162629303891213141518[[#This Row],[累计净值]]-0.12</f>
        <v>1.0070000000000001</v>
      </c>
      <c r="G155" s="109">
        <f>IF(表2_367162629303891213141518[[#This Row],[累计净值]]&gt;1.087,0.7*(表2_367162629303891213141518[[#This Row],[累计净值]]-1.087)/1.087,(表2_367162629303891213141518[[#This Row],[累计净值]]-1.087)/1.087)</f>
        <v>2.5758969641214373E-2</v>
      </c>
      <c r="H155" s="109">
        <f>IF(表2_367162629303891213141518[[#This Row],[累计净值]]&gt;1.129,0.7*(表2_367162629303891213141518[[#This Row],[累计净值]]-1.129)/1.129,(表2_367162629303891213141518[[#This Row],[累计净值]]-1.129)/1.129)</f>
        <v>-1.7714791851195764E-3</v>
      </c>
    </row>
    <row r="156" spans="1:8">
      <c r="A156" s="15">
        <v>44167</v>
      </c>
      <c r="B156" s="112">
        <v>1.125</v>
      </c>
      <c r="C156" s="108">
        <f t="shared" si="42"/>
        <v>-2.0000000000000018E-3</v>
      </c>
      <c r="D156" s="109">
        <f t="shared" si="43"/>
        <v>-2.0000000000000018E-3</v>
      </c>
      <c r="E156" s="109">
        <f ca="1">IF(表2_367162629303891213141518[[#This Row],[累计净值]]/MAX(INDIRECT("B21:B" &amp; ROW()))-1&lt;E155,表2_367162629303891213141518[[#This Row],[累计净值]]/MAX(INDIRECT("B21:B" &amp; ROW()))-1,E155)</f>
        <v>-2.2768670309654016E-2</v>
      </c>
      <c r="F156" s="110">
        <f>表2_367162629303891213141518[[#This Row],[累计净值]]-0.12</f>
        <v>1.0049999999999999</v>
      </c>
      <c r="G156" s="109">
        <f>IF(表2_367162629303891213141518[[#This Row],[累计净值]]&gt;1.087,0.7*(表2_367162629303891213141518[[#This Row],[累计净值]]-1.087)/1.087,(表2_367162629303891213141518[[#This Row],[累计净值]]-1.087)/1.087)</f>
        <v>2.4471021159153655E-2</v>
      </c>
      <c r="H156" s="109">
        <f>IF(表2_367162629303891213141518[[#This Row],[累计净值]]&gt;1.129,0.7*(表2_367162629303891213141518[[#This Row],[累计净值]]-1.129)/1.129,(表2_367162629303891213141518[[#This Row],[累计净值]]-1.129)/1.129)</f>
        <v>-3.5429583702391528E-3</v>
      </c>
    </row>
    <row r="157" spans="1:8">
      <c r="A157" s="15">
        <v>44168</v>
      </c>
      <c r="B157" s="112">
        <v>1.1279999999999999</v>
      </c>
      <c r="C157" s="108">
        <f t="shared" si="42"/>
        <v>2.9999999999998916E-3</v>
      </c>
      <c r="D157" s="109" t="str">
        <f t="shared" si="43"/>
        <v>/</v>
      </c>
      <c r="E157" s="109">
        <f ca="1">IF(表2_367162629303891213141518[[#This Row],[累计净值]]/MAX(INDIRECT("B21:B" &amp; ROW()))-1&lt;E156,表2_367162629303891213141518[[#This Row],[累计净值]]/MAX(INDIRECT("B21:B" &amp; ROW()))-1,E156)</f>
        <v>-2.2768670309654016E-2</v>
      </c>
      <c r="F157" s="110">
        <f>表2_367162629303891213141518[[#This Row],[累计净值]]-0.12</f>
        <v>1.008</v>
      </c>
      <c r="G157" s="109">
        <f>IF(表2_367162629303891213141518[[#This Row],[累计净值]]&gt;1.087,0.7*(表2_367162629303891213141518[[#This Row],[累计净值]]-1.087)/1.087,(表2_367162629303891213141518[[#This Row],[累计净值]]-1.087)/1.087)</f>
        <v>2.6402943882244661E-2</v>
      </c>
      <c r="H157" s="109">
        <f>IF(表2_367162629303891213141518[[#This Row],[累计净值]]&gt;1.129,0.7*(表2_367162629303891213141518[[#This Row],[累计净值]]-1.129)/1.129,(表2_367162629303891213141518[[#This Row],[累计净值]]-1.129)/1.129)</f>
        <v>-8.8573959255988655E-4</v>
      </c>
    </row>
    <row r="158" spans="1:8">
      <c r="A158" s="15">
        <v>44169</v>
      </c>
      <c r="B158" s="112">
        <v>1.129</v>
      </c>
      <c r="C158" s="108">
        <f t="shared" si="42"/>
        <v>1.0000000000001119E-3</v>
      </c>
      <c r="D158" s="109" t="str">
        <f t="shared" si="43"/>
        <v>/</v>
      </c>
      <c r="E158" s="109">
        <f ca="1">IF(表2_367162629303891213141518[[#This Row],[累计净值]]/MAX(INDIRECT("B21:B" &amp; ROW()))-1&lt;E157,表2_367162629303891213141518[[#This Row],[累计净值]]/MAX(INDIRECT("B21:B" &amp; ROW()))-1,E157)</f>
        <v>-2.2768670309654016E-2</v>
      </c>
      <c r="F158" s="110">
        <f>表2_367162629303891213141518[[#This Row],[累计净值]]-0.12</f>
        <v>1.0089999999999999</v>
      </c>
      <c r="G158" s="109">
        <f>IF(表2_367162629303891213141518[[#This Row],[累计净值]]&gt;1.087,0.7*(表2_367162629303891213141518[[#This Row],[累计净值]]-1.087)/1.087,(表2_367162629303891213141518[[#This Row],[累计净值]]-1.087)/1.087)</f>
        <v>2.7046918123275091E-2</v>
      </c>
      <c r="H158" s="109">
        <f>IF(表2_367162629303891213141518[[#This Row],[累计净值]]&gt;1.129,0.7*(表2_367162629303891213141518[[#This Row],[累计净值]]-1.129)/1.129,(表2_367162629303891213141518[[#This Row],[累计净值]]-1.129)/1.129)</f>
        <v>0</v>
      </c>
    </row>
    <row r="159" spans="1:8">
      <c r="A159" s="15">
        <v>44172</v>
      </c>
      <c r="B159" s="112">
        <v>1.1299999999999999</v>
      </c>
      <c r="C159" s="108">
        <f t="shared" si="42"/>
        <v>9.9999999999988987E-4</v>
      </c>
      <c r="D159" s="109" t="str">
        <f t="shared" si="43"/>
        <v>/</v>
      </c>
      <c r="E159" s="109">
        <f ca="1">IF(表2_367162629303891213141518[[#This Row],[累计净值]]/MAX(INDIRECT("B21:B" &amp; ROW()))-1&lt;E158,表2_367162629303891213141518[[#This Row],[累计净值]]/MAX(INDIRECT("B21:B" &amp; ROW()))-1,E158)</f>
        <v>-2.2768670309654016E-2</v>
      </c>
      <c r="F159" s="110">
        <f>表2_367162629303891213141518[[#This Row],[累计净值]]-0.12</f>
        <v>1.0099999999999998</v>
      </c>
      <c r="G159" s="109">
        <f>IF(表2_367162629303891213141518[[#This Row],[累计净值]]&gt;1.087,0.7*(表2_367162629303891213141518[[#This Row],[累计净值]]-1.087)/1.087,(表2_367162629303891213141518[[#This Row],[累计净值]]-1.087)/1.087)</f>
        <v>2.7690892364305379E-2</v>
      </c>
      <c r="H159" s="109">
        <f>IF(表2_367162629303891213141518[[#This Row],[累计净值]]&gt;1.129,0.7*(表2_367162629303891213141518[[#This Row],[累计净值]]-1.129)/1.129,(表2_367162629303891213141518[[#This Row],[累计净值]]-1.129)/1.129)</f>
        <v>6.2001771479178289E-4</v>
      </c>
    </row>
    <row r="160" spans="1:8">
      <c r="A160" s="15">
        <v>44173</v>
      </c>
      <c r="B160" s="112">
        <v>1.133</v>
      </c>
      <c r="C160" s="108">
        <f t="shared" ref="C160:C165" si="44">IFERROR(B160-B159,0)</f>
        <v>3.0000000000001137E-3</v>
      </c>
      <c r="D160" s="109" t="str">
        <f t="shared" ref="D160:D165" si="45">IF(C160&lt;0,C160,"/")</f>
        <v>/</v>
      </c>
      <c r="E160" s="109">
        <f ca="1">IF(表2_367162629303891213141518[[#This Row],[累计净值]]/MAX(INDIRECT("B21:B" &amp; ROW()))-1&lt;E159,表2_367162629303891213141518[[#This Row],[累计净值]]/MAX(INDIRECT("B21:B" &amp; ROW()))-1,E159)</f>
        <v>-2.2768670309654016E-2</v>
      </c>
      <c r="F160" s="110">
        <f>表2_367162629303891213141518[[#This Row],[累计净值]]-0.12</f>
        <v>1.0129999999999999</v>
      </c>
      <c r="G160" s="109">
        <f>IF(表2_367162629303891213141518[[#This Row],[累计净值]]&gt;1.087,0.7*(表2_367162629303891213141518[[#This Row],[累计净值]]-1.087)/1.087,(表2_367162629303891213141518[[#This Row],[累计净值]]-1.087)/1.087)</f>
        <v>2.9622815087396531E-2</v>
      </c>
      <c r="H160" s="109">
        <f>IF(表2_367162629303891213141518[[#This Row],[累计净值]]&gt;1.129,0.7*(表2_367162629303891213141518[[#This Row],[累计净值]]-1.129)/1.129,(表2_367162629303891213141518[[#This Row],[累计净值]]-1.129)/1.129)</f>
        <v>2.4800708591674065E-3</v>
      </c>
    </row>
    <row r="161" spans="1:10">
      <c r="A161" s="15">
        <v>44174</v>
      </c>
      <c r="B161" s="112">
        <v>1.1339999999999999</v>
      </c>
      <c r="C161" s="108">
        <f t="shared" si="44"/>
        <v>9.9999999999988987E-4</v>
      </c>
      <c r="D161" s="109" t="str">
        <f t="shared" si="45"/>
        <v>/</v>
      </c>
      <c r="E161" s="109">
        <f ca="1">IF(表2_367162629303891213141518[[#This Row],[累计净值]]/MAX(INDIRECT("B21:B" &amp; ROW()))-1&lt;E160,表2_367162629303891213141518[[#This Row],[累计净值]]/MAX(INDIRECT("B21:B" &amp; ROW()))-1,E160)</f>
        <v>-2.2768670309654016E-2</v>
      </c>
      <c r="F161" s="110">
        <f>表2_367162629303891213141518[[#This Row],[累计净值]]-0.12</f>
        <v>1.0139999999999998</v>
      </c>
      <c r="G161" s="109">
        <f>IF(表2_367162629303891213141518[[#This Row],[累计净值]]&gt;1.087,0.7*(表2_367162629303891213141518[[#This Row],[累计净值]]-1.087)/1.087,(表2_367162629303891213141518[[#This Row],[累计净值]]-1.087)/1.087)</f>
        <v>3.0266789328426819E-2</v>
      </c>
      <c r="H161" s="109">
        <f>IF(表2_367162629303891213141518[[#This Row],[累计净值]]&gt;1.129,0.7*(表2_367162629303891213141518[[#This Row],[累计净值]]-1.129)/1.129,(表2_367162629303891213141518[[#This Row],[累计净值]]-1.129)/1.129)</f>
        <v>3.1000885739591896E-3</v>
      </c>
    </row>
    <row r="162" spans="1:10">
      <c r="A162" s="15">
        <v>44175</v>
      </c>
      <c r="B162" s="112">
        <v>1.1339999999999999</v>
      </c>
      <c r="C162" s="108">
        <f t="shared" si="44"/>
        <v>0</v>
      </c>
      <c r="D162" s="109" t="str">
        <f t="shared" si="45"/>
        <v>/</v>
      </c>
      <c r="E162" s="109">
        <f ca="1">IF(表2_367162629303891213141518[[#This Row],[累计净值]]/MAX(INDIRECT("B21:B" &amp; ROW()))-1&lt;E161,表2_367162629303891213141518[[#This Row],[累计净值]]/MAX(INDIRECT("B21:B" &amp; ROW()))-1,E161)</f>
        <v>-2.2768670309654016E-2</v>
      </c>
      <c r="F162" s="110">
        <f>表2_367162629303891213141518[[#This Row],[累计净值]]-0.12</f>
        <v>1.0139999999999998</v>
      </c>
      <c r="G162" s="109">
        <f>IF(表2_367162629303891213141518[[#This Row],[累计净值]]&gt;1.087,0.7*(表2_367162629303891213141518[[#This Row],[累计净值]]-1.087)/1.087,(表2_367162629303891213141518[[#This Row],[累计净值]]-1.087)/1.087)</f>
        <v>3.0266789328426819E-2</v>
      </c>
      <c r="H162" s="109">
        <f>IF(表2_367162629303891213141518[[#This Row],[累计净值]]&gt;1.129,0.7*(表2_367162629303891213141518[[#This Row],[累计净值]]-1.129)/1.129,(表2_367162629303891213141518[[#This Row],[累计净值]]-1.129)/1.129)</f>
        <v>3.1000885739591896E-3</v>
      </c>
    </row>
    <row r="163" spans="1:10">
      <c r="A163" s="15">
        <v>44176</v>
      </c>
      <c r="B163" s="117">
        <v>1.139</v>
      </c>
      <c r="C163" s="108">
        <f t="shared" si="44"/>
        <v>5.0000000000001155E-3</v>
      </c>
      <c r="D163" s="109" t="str">
        <f t="shared" si="45"/>
        <v>/</v>
      </c>
      <c r="E163" s="109">
        <f ca="1">IF(表2_367162629303891213141518[[#This Row],[累计净值]]/MAX(INDIRECT("B21:B" &amp; ROW()))-1&lt;E162,表2_367162629303891213141518[[#This Row],[累计净值]]/MAX(INDIRECT("B21:B" &amp; ROW()))-1,E162)</f>
        <v>-2.2768670309654016E-2</v>
      </c>
      <c r="F163" s="110">
        <f>表2_367162629303891213141518[[#This Row],[累计净值]]-0.12</f>
        <v>1.0190000000000001</v>
      </c>
      <c r="G163" s="109">
        <f>IF(表2_367162629303891213141518[[#This Row],[累计净值]]&gt;1.087,0.7*(表2_367162629303891213141518[[#This Row],[累计净值]]-1.087)/1.087,(表2_367162629303891213141518[[#This Row],[累计净值]]-1.087)/1.087)</f>
        <v>3.3486660533578683E-2</v>
      </c>
      <c r="H163" s="109">
        <f>IF(表2_367162629303891213141518[[#This Row],[累计净值]]&gt;1.129,0.7*(表2_367162629303891213141518[[#This Row],[累计净值]]-1.129)/1.129,(表2_367162629303891213141518[[#This Row],[累计净值]]-1.129)/1.129)</f>
        <v>6.2001771479185163E-3</v>
      </c>
    </row>
    <row r="164" spans="1:10">
      <c r="A164" s="15">
        <v>44179</v>
      </c>
      <c r="B164" s="112">
        <v>1.135</v>
      </c>
      <c r="C164" s="108">
        <f t="shared" si="44"/>
        <v>-4.0000000000000036E-3</v>
      </c>
      <c r="D164" s="109">
        <f t="shared" si="45"/>
        <v>-4.0000000000000036E-3</v>
      </c>
      <c r="E164" s="109">
        <f ca="1">IF(表2_367162629303891213141518[[#This Row],[累计净值]]/MAX(INDIRECT("B21:B" &amp; ROW()))-1&lt;E163,表2_367162629303891213141518[[#This Row],[累计净值]]/MAX(INDIRECT("B21:B" &amp; ROW()))-1,E163)</f>
        <v>-2.2768670309654016E-2</v>
      </c>
      <c r="F164" s="110">
        <f>表2_367162629303891213141518[[#This Row],[累计净值]]-0.12</f>
        <v>1.0150000000000001</v>
      </c>
      <c r="G164" s="109">
        <f>IF(表2_367162629303891213141518[[#This Row],[累计净值]]&gt;1.087,0.7*(表2_367162629303891213141518[[#This Row],[累计净值]]-1.087)/1.087,(表2_367162629303891213141518[[#This Row],[累计净值]]-1.087)/1.087)</f>
        <v>3.0910763569457246E-2</v>
      </c>
      <c r="H164" s="109">
        <f>IF(表2_367162629303891213141518[[#This Row],[累计净值]]&gt;1.129,0.7*(表2_367162629303891213141518[[#This Row],[累计净值]]-1.129)/1.129,(表2_367162629303891213141518[[#This Row],[累计净值]]-1.129)/1.129)</f>
        <v>3.7201062887511102E-3</v>
      </c>
    </row>
    <row r="165" spans="1:10">
      <c r="A165" s="15">
        <v>44180</v>
      </c>
      <c r="B165" s="112">
        <v>1.131</v>
      </c>
      <c r="C165" s="108">
        <f t="shared" si="44"/>
        <v>-4.0000000000000036E-3</v>
      </c>
      <c r="D165" s="109">
        <f t="shared" si="45"/>
        <v>-4.0000000000000036E-3</v>
      </c>
      <c r="E165" s="109">
        <f ca="1">IF(表2_367162629303891213141518[[#This Row],[累计净值]]/MAX(INDIRECT("B21:B" &amp; ROW()))-1&lt;E164,表2_367162629303891213141518[[#This Row],[累计净值]]/MAX(INDIRECT("B21:B" &amp; ROW()))-1,E164)</f>
        <v>-2.2768670309654016E-2</v>
      </c>
      <c r="F165" s="110">
        <f>表2_367162629303891213141518[[#This Row],[累计净值]]-0.12</f>
        <v>1.0110000000000001</v>
      </c>
      <c r="G165" s="109">
        <f>IF(表2_367162629303891213141518[[#This Row],[累计净值]]&gt;1.087,0.7*(表2_367162629303891213141518[[#This Row],[累计净值]]-1.087)/1.087,(表2_367162629303891213141518[[#This Row],[累计净值]]-1.087)/1.087)</f>
        <v>2.8334866605335809E-2</v>
      </c>
      <c r="H165" s="109">
        <f>IF(表2_367162629303891213141518[[#This Row],[累计净值]]&gt;1.129,0.7*(表2_367162629303891213141518[[#This Row],[累计净值]]-1.129)/1.129,(表2_367162629303891213141518[[#This Row],[累计净值]]-1.129)/1.129)</f>
        <v>1.2400354295837033E-3</v>
      </c>
    </row>
    <row r="166" spans="1:10">
      <c r="A166" s="15">
        <v>44181</v>
      </c>
      <c r="B166" s="112">
        <v>1.133</v>
      </c>
      <c r="C166" s="108">
        <f t="shared" ref="C166:C171" si="46">IFERROR(B166-B165,0)</f>
        <v>2.0000000000000018E-3</v>
      </c>
      <c r="D166" s="109" t="str">
        <f t="shared" ref="D166:D171" si="47">IF(C166&lt;0,C166,"/")</f>
        <v>/</v>
      </c>
      <c r="E166" s="109">
        <f ca="1">IF(表2_367162629303891213141518[[#This Row],[累计净值]]/MAX(INDIRECT("B21:B" &amp; ROW()))-1&lt;E165,表2_367162629303891213141518[[#This Row],[累计净值]]/MAX(INDIRECT("B21:B" &amp; ROW()))-1,E165)</f>
        <v>-2.2768670309654016E-2</v>
      </c>
      <c r="F166" s="110">
        <f>表2_367162629303891213141518[[#This Row],[累计净值]]-0.12</f>
        <v>1.0129999999999999</v>
      </c>
      <c r="G166" s="109">
        <f>IF(表2_367162629303891213141518[[#This Row],[累计净值]]&gt;1.087,0.7*(表2_367162629303891213141518[[#This Row],[累计净值]]-1.087)/1.087,(表2_367162629303891213141518[[#This Row],[累计净值]]-1.087)/1.087)</f>
        <v>2.9622815087396531E-2</v>
      </c>
      <c r="H166" s="109">
        <f>IF(表2_367162629303891213141518[[#This Row],[累计净值]]&gt;1.129,0.7*(表2_367162629303891213141518[[#This Row],[累计净值]]-1.129)/1.129,(表2_367162629303891213141518[[#This Row],[累计净值]]-1.129)/1.129)</f>
        <v>2.4800708591674065E-3</v>
      </c>
    </row>
    <row r="167" spans="1:10">
      <c r="A167" s="15">
        <v>44182</v>
      </c>
      <c r="B167" s="112">
        <v>1.1319999999999999</v>
      </c>
      <c r="C167" s="108">
        <f t="shared" si="46"/>
        <v>-1.0000000000001119E-3</v>
      </c>
      <c r="D167" s="109">
        <f t="shared" si="47"/>
        <v>-1.0000000000001119E-3</v>
      </c>
      <c r="E167" s="109">
        <f ca="1">IF(表2_367162629303891213141518[[#This Row],[累计净值]]/MAX(INDIRECT("B21:B" &amp; ROW()))-1&lt;E166,表2_367162629303891213141518[[#This Row],[累计净值]]/MAX(INDIRECT("B21:B" &amp; ROW()))-1,E166)</f>
        <v>-2.2768670309654016E-2</v>
      </c>
      <c r="F167" s="110">
        <f>表2_367162629303891213141518[[#This Row],[累计净值]]-0.12</f>
        <v>1.012</v>
      </c>
      <c r="G167" s="109">
        <f>IF(表2_367162629303891213141518[[#This Row],[累计净值]]&gt;1.087,0.7*(表2_367162629303891213141518[[#This Row],[累计净值]]-1.087)/1.087,(表2_367162629303891213141518[[#This Row],[累计净值]]-1.087)/1.087)</f>
        <v>2.8978840846366101E-2</v>
      </c>
      <c r="H167" s="109">
        <f>IF(表2_367162629303891213141518[[#This Row],[累计净值]]&gt;1.129,0.7*(表2_367162629303891213141518[[#This Row],[累计净值]]-1.129)/1.129,(表2_367162629303891213141518[[#This Row],[累计净值]]-1.129)/1.129)</f>
        <v>1.8600531443754861E-3</v>
      </c>
    </row>
    <row r="168" spans="1:10">
      <c r="A168" s="15">
        <v>44183</v>
      </c>
      <c r="B168" s="112">
        <v>1.1279999999999999</v>
      </c>
      <c r="C168" s="108">
        <f t="shared" si="46"/>
        <v>-4.0000000000000036E-3</v>
      </c>
      <c r="D168" s="109">
        <f t="shared" si="47"/>
        <v>-4.0000000000000036E-3</v>
      </c>
      <c r="E168" s="109">
        <f ca="1">IF(表2_367162629303891213141518[[#This Row],[累计净值]]/MAX(INDIRECT("B21:B" &amp; ROW()))-1&lt;E167,表2_367162629303891213141518[[#This Row],[累计净值]]/MAX(INDIRECT("B21:B" &amp; ROW()))-1,E167)</f>
        <v>-2.2768670309654016E-2</v>
      </c>
      <c r="F168" s="110">
        <f>表2_367162629303891213141518[[#This Row],[累计净值]]-0.12</f>
        <v>1.008</v>
      </c>
      <c r="G168" s="109">
        <f>IF(表2_367162629303891213141518[[#This Row],[累计净值]]&gt;1.087,0.7*(表2_367162629303891213141518[[#This Row],[累计净值]]-1.087)/1.087,(表2_367162629303891213141518[[#This Row],[累计净值]]-1.087)/1.087)</f>
        <v>2.6402943882244661E-2</v>
      </c>
      <c r="H168" s="109">
        <f>IF(表2_367162629303891213141518[[#This Row],[累计净值]]&gt;1.129,0.7*(表2_367162629303891213141518[[#This Row],[累计净值]]-1.129)/1.129,(表2_367162629303891213141518[[#This Row],[累计净值]]-1.129)/1.129)</f>
        <v>-8.8573959255988655E-4</v>
      </c>
    </row>
    <row r="169" spans="1:10">
      <c r="A169" s="15">
        <v>44186</v>
      </c>
      <c r="B169" s="112">
        <v>1.1259999999999999</v>
      </c>
      <c r="C169" s="108">
        <f t="shared" si="46"/>
        <v>-2.0000000000000018E-3</v>
      </c>
      <c r="D169" s="109">
        <f t="shared" si="47"/>
        <v>-2.0000000000000018E-3</v>
      </c>
      <c r="E169" s="109">
        <f ca="1">IF(表2_367162629303891213141518[[#This Row],[累计净值]]/MAX(INDIRECT("B21:B" &amp; ROW()))-1&lt;E168,表2_367162629303891213141518[[#This Row],[累计净值]]/MAX(INDIRECT("B21:B" &amp; ROW()))-1,E168)</f>
        <v>-2.2768670309654016E-2</v>
      </c>
      <c r="F169" s="110">
        <f>表2_367162629303891213141518[[#This Row],[累计净值]]-0.12</f>
        <v>1.0059999999999998</v>
      </c>
      <c r="G169" s="109">
        <f>IF(表2_367162629303891213141518[[#This Row],[累计净值]]&gt;1.087,0.7*(表2_367162629303891213141518[[#This Row],[累计净值]]-1.087)/1.087,(表2_367162629303891213141518[[#This Row],[累计净值]]-1.087)/1.087)</f>
        <v>2.5114995400183943E-2</v>
      </c>
      <c r="H169" s="109">
        <f>IF(表2_367162629303891213141518[[#This Row],[累计净值]]&gt;1.129,0.7*(表2_367162629303891213141518[[#This Row],[累计净值]]-1.129)/1.129,(表2_367162629303891213141518[[#This Row],[累计净值]]-1.129)/1.129)</f>
        <v>-2.6572187776794627E-3</v>
      </c>
    </row>
    <row r="170" spans="1:10">
      <c r="A170" s="15">
        <v>44187</v>
      </c>
      <c r="B170" s="112">
        <v>1.1319999999999999</v>
      </c>
      <c r="C170" s="108">
        <f t="shared" si="46"/>
        <v>6.0000000000000053E-3</v>
      </c>
      <c r="D170" s="109" t="str">
        <f t="shared" si="47"/>
        <v>/</v>
      </c>
      <c r="E170" s="109">
        <f ca="1">IF(表2_367162629303891213141518[[#This Row],[累计净值]]/MAX(INDIRECT("B21:B" &amp; ROW()))-1&lt;E169,表2_367162629303891213141518[[#This Row],[累计净值]]/MAX(INDIRECT("B21:B" &amp; ROW()))-1,E169)</f>
        <v>-2.2768670309654016E-2</v>
      </c>
      <c r="F170" s="110">
        <f>表2_367162629303891213141518[[#This Row],[累计净值]]-0.12</f>
        <v>1.012</v>
      </c>
      <c r="G170" s="109">
        <f>IF(表2_367162629303891213141518[[#This Row],[累计净值]]&gt;1.087,0.7*(表2_367162629303891213141518[[#This Row],[累计净值]]-1.087)/1.087,(表2_367162629303891213141518[[#This Row],[累计净值]]-1.087)/1.087)</f>
        <v>2.8978840846366101E-2</v>
      </c>
      <c r="H170" s="109">
        <f>IF(表2_367162629303891213141518[[#This Row],[累计净值]]&gt;1.129,0.7*(表2_367162629303891213141518[[#This Row],[累计净值]]-1.129)/1.129,(表2_367162629303891213141518[[#This Row],[累计净值]]-1.129)/1.129)</f>
        <v>1.8600531443754861E-3</v>
      </c>
    </row>
    <row r="171" spans="1:10">
      <c r="A171" s="15">
        <v>44188</v>
      </c>
      <c r="B171" s="112">
        <v>1.131</v>
      </c>
      <c r="C171" s="108">
        <f t="shared" si="46"/>
        <v>-9.9999999999988987E-4</v>
      </c>
      <c r="D171" s="109">
        <f t="shared" si="47"/>
        <v>-9.9999999999988987E-4</v>
      </c>
      <c r="E171" s="109">
        <f ca="1">IF(表2_367162629303891213141518[[#This Row],[累计净值]]/MAX(INDIRECT("B21:B" &amp; ROW()))-1&lt;E170,表2_367162629303891213141518[[#This Row],[累计净值]]/MAX(INDIRECT("B21:B" &amp; ROW()))-1,E170)</f>
        <v>-2.2768670309654016E-2</v>
      </c>
      <c r="F171" s="110">
        <f>表2_367162629303891213141518[[#This Row],[累计净值]]-0.12</f>
        <v>1.0110000000000001</v>
      </c>
      <c r="G171" s="109">
        <f>IF(表2_367162629303891213141518[[#This Row],[累计净值]]&gt;1.087,0.7*(表2_367162629303891213141518[[#This Row],[累计净值]]-1.087)/1.087,(表2_367162629303891213141518[[#This Row],[累计净值]]-1.087)/1.087)</f>
        <v>2.8334866605335809E-2</v>
      </c>
      <c r="H171" s="109">
        <f>IF(表2_367162629303891213141518[[#This Row],[累计净值]]&gt;1.129,0.7*(表2_367162629303891213141518[[#This Row],[累计净值]]-1.129)/1.129,(表2_367162629303891213141518[[#This Row],[累计净值]]-1.129)/1.129)</f>
        <v>1.2400354295837033E-3</v>
      </c>
    </row>
    <row r="172" spans="1:10">
      <c r="A172" s="15">
        <v>44189</v>
      </c>
      <c r="B172" s="112">
        <v>1.1279999999999999</v>
      </c>
      <c r="C172" s="108">
        <f t="shared" ref="C172:C178" si="48">IFERROR(B172-B171,0)</f>
        <v>-3.0000000000001137E-3</v>
      </c>
      <c r="D172" s="109">
        <f t="shared" ref="D172:D178" si="49">IF(C172&lt;0,C172,"/")</f>
        <v>-3.0000000000001137E-3</v>
      </c>
      <c r="E172" s="109">
        <f ca="1">IF(表2_367162629303891213141518[[#This Row],[累计净值]]/MAX(INDIRECT("B21:B" &amp; ROW()))-1&lt;E171,表2_367162629303891213141518[[#This Row],[累计净值]]/MAX(INDIRECT("B21:B" &amp; ROW()))-1,E171)</f>
        <v>-2.2768670309654016E-2</v>
      </c>
      <c r="F172" s="110">
        <f>表2_367162629303891213141518[[#This Row],[累计净值]]-0.12</f>
        <v>1.008</v>
      </c>
      <c r="G172" s="109">
        <f>IF(表2_367162629303891213141518[[#This Row],[累计净值]]&gt;1.087,0.7*(表2_367162629303891213141518[[#This Row],[累计净值]]-1.087)/1.087,(表2_367162629303891213141518[[#This Row],[累计净值]]-1.087)/1.087)</f>
        <v>2.6402943882244661E-2</v>
      </c>
      <c r="H172" s="109">
        <f>IF(表2_367162629303891213141518[[#This Row],[累计净值]]&gt;1.129,0.7*(表2_367162629303891213141518[[#This Row],[累计净值]]-1.129)/1.129,(表2_367162629303891213141518[[#This Row],[累计净值]]-1.129)/1.129)</f>
        <v>-8.8573959255988655E-4</v>
      </c>
    </row>
    <row r="173" spans="1:10">
      <c r="A173" s="15">
        <v>44190</v>
      </c>
      <c r="B173" s="112">
        <v>1.125</v>
      </c>
      <c r="C173" s="108">
        <f t="shared" si="48"/>
        <v>-2.9999999999998916E-3</v>
      </c>
      <c r="D173" s="109">
        <f t="shared" si="49"/>
        <v>-2.9999999999998916E-3</v>
      </c>
      <c r="E173" s="109">
        <f ca="1">IF(表2_367162629303891213141518[[#This Row],[累计净值]]/MAX(INDIRECT("B21:B" &amp; ROW()))-1&lt;E172,表2_367162629303891213141518[[#This Row],[累计净值]]/MAX(INDIRECT("B21:B" &amp; ROW()))-1,E172)</f>
        <v>-2.2768670309654016E-2</v>
      </c>
      <c r="F173" s="110">
        <f>表2_367162629303891213141518[[#This Row],[累计净值]]-0.12</f>
        <v>1.0049999999999999</v>
      </c>
      <c r="G173" s="109">
        <f>IF(表2_367162629303891213141518[[#This Row],[累计净值]]&gt;1.087,0.7*(表2_367162629303891213141518[[#This Row],[累计净值]]-1.087)/1.087,(表2_367162629303891213141518[[#This Row],[累计净值]]-1.087)/1.087)</f>
        <v>2.4471021159153655E-2</v>
      </c>
      <c r="H173" s="109">
        <f>IF(表2_367162629303891213141518[[#This Row],[累计净值]]&gt;1.129,0.7*(表2_367162629303891213141518[[#This Row],[累计净值]]-1.129)/1.129,(表2_367162629303891213141518[[#This Row],[累计净值]]-1.129)/1.129)</f>
        <v>-3.5429583702391528E-3</v>
      </c>
    </row>
    <row r="174" spans="1:10">
      <c r="A174" s="15">
        <v>44193</v>
      </c>
      <c r="B174" s="112">
        <v>1.121</v>
      </c>
      <c r="C174" s="108">
        <f t="shared" si="48"/>
        <v>-4.0000000000000036E-3</v>
      </c>
      <c r="D174" s="109">
        <f t="shared" si="49"/>
        <v>-4.0000000000000036E-3</v>
      </c>
      <c r="E174" s="109">
        <f ca="1">IF(表2_367162629303891213141518[[#This Row],[累计净值]]/MAX(INDIRECT("B21:B" &amp; ROW()))-1&lt;E173,表2_367162629303891213141518[[#This Row],[累计净值]]/MAX(INDIRECT("B21:B" &amp; ROW()))-1,E173)</f>
        <v>-2.2768670309654016E-2</v>
      </c>
      <c r="F174" s="110">
        <f>表2_367162629303891213141518[[#This Row],[累计净值]]-0.12</f>
        <v>1.0009999999999999</v>
      </c>
      <c r="G174" s="109">
        <f>IF(表2_367162629303891213141518[[#This Row],[累计净值]]&gt;1.087,0.7*(表2_367162629303891213141518[[#This Row],[累计净值]]-1.087)/1.087,(表2_367162629303891213141518[[#This Row],[累计净值]]-1.087)/1.087)</f>
        <v>2.1895124195032218E-2</v>
      </c>
      <c r="H174" s="109">
        <f>IF(表2_367162629303891213141518[[#This Row],[累计净值]]&gt;1.129,0.7*(表2_367162629303891213141518[[#This Row],[累计净值]]-1.129)/1.129,(表2_367162629303891213141518[[#This Row],[累计净值]]-1.129)/1.129)</f>
        <v>-7.0859167404783057E-3</v>
      </c>
      <c r="J174" s="209" t="s">
        <v>46</v>
      </c>
    </row>
    <row r="175" spans="1:10">
      <c r="A175" s="15">
        <v>44194</v>
      </c>
      <c r="B175" s="112">
        <v>1.125</v>
      </c>
      <c r="C175" s="108">
        <f t="shared" si="48"/>
        <v>4.0000000000000036E-3</v>
      </c>
      <c r="D175" s="109" t="str">
        <f t="shared" si="49"/>
        <v>/</v>
      </c>
      <c r="E175" s="109">
        <f ca="1">IF(表2_367162629303891213141518[[#This Row],[累计净值]]/MAX(INDIRECT("B21:B" &amp; ROW()))-1&lt;E174,表2_367162629303891213141518[[#This Row],[累计净值]]/MAX(INDIRECT("B21:B" &amp; ROW()))-1,E174)</f>
        <v>-2.2768670309654016E-2</v>
      </c>
      <c r="F175" s="110">
        <f>表2_367162629303891213141518[[#This Row],[累计净值]]-0.12</f>
        <v>1.0049999999999999</v>
      </c>
      <c r="G175" s="109">
        <f>IF(表2_367162629303891213141518[[#This Row],[累计净值]]&gt;1.087,0.7*(表2_367162629303891213141518[[#This Row],[累计净值]]-1.087)/1.087,(表2_367162629303891213141518[[#This Row],[累计净值]]-1.087)/1.087)</f>
        <v>2.4471021159153655E-2</v>
      </c>
      <c r="H175" s="109">
        <f>IF(表2_367162629303891213141518[[#This Row],[累计净值]]&gt;1.129,0.7*(表2_367162629303891213141518[[#This Row],[累计净值]]-1.129)/1.129,(表2_367162629303891213141518[[#This Row],[累计净值]]-1.129)/1.129)</f>
        <v>-3.5429583702391528E-3</v>
      </c>
    </row>
    <row r="176" spans="1:10">
      <c r="A176" s="15">
        <v>44195</v>
      </c>
      <c r="B176" s="112">
        <v>1.1279999999999999</v>
      </c>
      <c r="C176" s="108">
        <f t="shared" si="48"/>
        <v>2.9999999999998916E-3</v>
      </c>
      <c r="D176" s="109" t="str">
        <f t="shared" si="49"/>
        <v>/</v>
      </c>
      <c r="E176" s="109">
        <f ca="1">IF(表2_367162629303891213141518[[#This Row],[累计净值]]/MAX(INDIRECT("B21:B" &amp; ROW()))-1&lt;E175,表2_367162629303891213141518[[#This Row],[累计净值]]/MAX(INDIRECT("B21:B" &amp; ROW()))-1,E175)</f>
        <v>-2.2768670309654016E-2</v>
      </c>
      <c r="F176" s="110">
        <f>表2_367162629303891213141518[[#This Row],[累计净值]]-0.12</f>
        <v>1.008</v>
      </c>
      <c r="G176" s="109">
        <f>IF(表2_367162629303891213141518[[#This Row],[累计净值]]&gt;1.087,0.7*(表2_367162629303891213141518[[#This Row],[累计净值]]-1.087)/1.087,(表2_367162629303891213141518[[#This Row],[累计净值]]-1.087)/1.087)</f>
        <v>2.6402943882244661E-2</v>
      </c>
      <c r="H176" s="109">
        <f>IF(表2_367162629303891213141518[[#This Row],[累计净值]]&gt;1.129,0.7*(表2_367162629303891213141518[[#This Row],[累计净值]]-1.129)/1.129,(表2_367162629303891213141518[[#This Row],[累计净值]]-1.129)/1.129)</f>
        <v>-8.8573959255988655E-4</v>
      </c>
    </row>
    <row r="177" spans="1:8">
      <c r="A177" s="15">
        <v>44196</v>
      </c>
      <c r="B177" s="112">
        <v>1.129</v>
      </c>
      <c r="C177" s="108">
        <f t="shared" si="48"/>
        <v>1.0000000000001119E-3</v>
      </c>
      <c r="D177" s="109" t="str">
        <f t="shared" si="49"/>
        <v>/</v>
      </c>
      <c r="E177" s="109">
        <f ca="1">IF(表2_367162629303891213141518[[#This Row],[累计净值]]/MAX(INDIRECT("B21:B" &amp; ROW()))-1&lt;E176,表2_367162629303891213141518[[#This Row],[累计净值]]/MAX(INDIRECT("B21:B" &amp; ROW()))-1,E176)</f>
        <v>-2.2768670309654016E-2</v>
      </c>
      <c r="F177" s="110">
        <f>表2_367162629303891213141518[[#This Row],[累计净值]]-0.12</f>
        <v>1.0089999999999999</v>
      </c>
      <c r="G177" s="109">
        <f>IF(表2_367162629303891213141518[[#This Row],[累计净值]]&gt;1.087,0.7*(表2_367162629303891213141518[[#This Row],[累计净值]]-1.087)/1.087,(表2_367162629303891213141518[[#This Row],[累计净值]]-1.087)/1.087)</f>
        <v>2.7046918123275091E-2</v>
      </c>
      <c r="H177" s="109">
        <f>IF(表2_367162629303891213141518[[#This Row],[累计净值]]&gt;1.129,0.7*(表2_367162629303891213141518[[#This Row],[累计净值]]-1.129)/1.129,(表2_367162629303891213141518[[#This Row],[累计净值]]-1.129)/1.129)</f>
        <v>0</v>
      </c>
    </row>
    <row r="178" spans="1:8">
      <c r="A178" s="15">
        <v>44200</v>
      </c>
      <c r="B178" s="112">
        <v>1.1240000000000001</v>
      </c>
      <c r="C178" s="108">
        <f t="shared" si="48"/>
        <v>-4.9999999999998934E-3</v>
      </c>
      <c r="D178" s="109">
        <f t="shared" si="49"/>
        <v>-4.9999999999998934E-3</v>
      </c>
      <c r="E178" s="109">
        <f ca="1">IF(表2_367162629303891213141518[[#This Row],[累计净值]]/MAX(INDIRECT("B21:B" &amp; ROW()))-1&lt;E177,表2_367162629303891213141518[[#This Row],[累计净值]]/MAX(INDIRECT("B21:B" &amp; ROW()))-1,E177)</f>
        <v>-2.2768670309654016E-2</v>
      </c>
      <c r="F178" s="110">
        <f>表2_367162629303891213141518[[#This Row],[累计净值]]-0.12</f>
        <v>1.004</v>
      </c>
      <c r="G178" s="109">
        <f>IF(表2_367162629303891213141518[[#This Row],[累计净值]]&gt;1.087,0.7*(表2_367162629303891213141518[[#This Row],[累计净值]]-1.087)/1.087,(表2_367162629303891213141518[[#This Row],[累计净值]]-1.087)/1.087)</f>
        <v>2.3827046918123367E-2</v>
      </c>
      <c r="H178" s="109">
        <f>IF(表2_367162629303891213141518[[#This Row],[累计净值]]&gt;1.129,0.7*(表2_367162629303891213141518[[#This Row],[累计净值]]-1.129)/1.129,(表2_367162629303891213141518[[#This Row],[累计净值]]-1.129)/1.129)</f>
        <v>-4.4286979627988429E-3</v>
      </c>
    </row>
    <row r="179" spans="1:8">
      <c r="A179" s="15">
        <v>44201</v>
      </c>
      <c r="B179" s="112">
        <v>1.121</v>
      </c>
      <c r="C179" s="108">
        <f t="shared" ref="C179:C185" si="50">IFERROR(B179-B178,0)</f>
        <v>-3.0000000000001137E-3</v>
      </c>
      <c r="D179" s="109">
        <f t="shared" ref="D179:D185" si="51">IF(C179&lt;0,C179,"/")</f>
        <v>-3.0000000000001137E-3</v>
      </c>
      <c r="E179" s="109">
        <f ca="1">IF(表2_367162629303891213141518[[#This Row],[累计净值]]/MAX(INDIRECT("B21:B" &amp; ROW()))-1&lt;E178,表2_367162629303891213141518[[#This Row],[累计净值]]/MAX(INDIRECT("B21:B" &amp; ROW()))-1,E178)</f>
        <v>-2.2768670309654016E-2</v>
      </c>
      <c r="F179" s="110">
        <f>表2_367162629303891213141518[[#This Row],[累计净值]]-0.12</f>
        <v>1.0009999999999999</v>
      </c>
      <c r="G179" s="109">
        <f>IF(表2_367162629303891213141518[[#This Row],[累计净值]]&gt;1.087,0.7*(表2_367162629303891213141518[[#This Row],[累计净值]]-1.087)/1.087,(表2_367162629303891213141518[[#This Row],[累计净值]]-1.087)/1.087)</f>
        <v>2.1895124195032218E-2</v>
      </c>
      <c r="H179" s="109">
        <f>IF(表2_367162629303891213141518[[#This Row],[累计净值]]&gt;1.129,0.7*(表2_367162629303891213141518[[#This Row],[累计净值]]-1.129)/1.129,(表2_367162629303891213141518[[#This Row],[累计净值]]-1.129)/1.129)</f>
        <v>-7.0859167404783057E-3</v>
      </c>
    </row>
    <row r="180" spans="1:8">
      <c r="A180" s="15">
        <v>44202</v>
      </c>
      <c r="B180" s="112">
        <v>1.1220000000000001</v>
      </c>
      <c r="C180" s="108">
        <f t="shared" si="50"/>
        <v>1.0000000000001119E-3</v>
      </c>
      <c r="D180" s="109" t="str">
        <f t="shared" si="51"/>
        <v>/</v>
      </c>
      <c r="E180" s="109">
        <f ca="1">IF(表2_367162629303891213141518[[#This Row],[累计净值]]/MAX(INDIRECT("B21:B" &amp; ROW()))-1&lt;E179,表2_367162629303891213141518[[#This Row],[累计净值]]/MAX(INDIRECT("B21:B" &amp; ROW()))-1,E179)</f>
        <v>-2.2768670309654016E-2</v>
      </c>
      <c r="F180" s="110">
        <f>表2_367162629303891213141518[[#This Row],[累计净值]]-0.12</f>
        <v>1.0020000000000002</v>
      </c>
      <c r="G180" s="109">
        <f>IF(表2_367162629303891213141518[[#This Row],[累计净值]]&gt;1.087,0.7*(表2_367162629303891213141518[[#This Row],[累计净值]]-1.087)/1.087,(表2_367162629303891213141518[[#This Row],[累计净值]]-1.087)/1.087)</f>
        <v>2.2539098436062648E-2</v>
      </c>
      <c r="H180" s="109">
        <f>IF(表2_367162629303891213141518[[#This Row],[累计净值]]&gt;1.129,0.7*(表2_367162629303891213141518[[#This Row],[累计净值]]-1.129)/1.129,(表2_367162629303891213141518[[#This Row],[累计净值]]-1.129)/1.129)</f>
        <v>-6.2001771479184191E-3</v>
      </c>
    </row>
    <row r="181" spans="1:8">
      <c r="A181" s="15">
        <v>44203</v>
      </c>
      <c r="B181" s="112">
        <v>1.1160000000000001</v>
      </c>
      <c r="C181" s="108">
        <f t="shared" si="50"/>
        <v>-6.0000000000000053E-3</v>
      </c>
      <c r="D181" s="109">
        <f t="shared" si="51"/>
        <v>-6.0000000000000053E-3</v>
      </c>
      <c r="E181" s="109">
        <f ca="1">IF(表2_367162629303891213141518[[#This Row],[累计净值]]/MAX(INDIRECT("B21:B" &amp; ROW()))-1&lt;E180,表2_367162629303891213141518[[#This Row],[累计净值]]/MAX(INDIRECT("B21:B" &amp; ROW()))-1,E180)</f>
        <v>-2.2768670309654016E-2</v>
      </c>
      <c r="F181" s="110">
        <f>表2_367162629303891213141518[[#This Row],[累计净值]]-0.12</f>
        <v>0.99600000000000011</v>
      </c>
      <c r="G181" s="109">
        <f>IF(表2_367162629303891213141518[[#This Row],[累计净值]]&gt;1.087,0.7*(表2_367162629303891213141518[[#This Row],[累计净值]]-1.087)/1.087,(表2_367162629303891213141518[[#This Row],[累计净值]]-1.087)/1.087)</f>
        <v>1.8675252989880493E-2</v>
      </c>
      <c r="H181" s="109">
        <f>IF(表2_367162629303891213141518[[#This Row],[累计净值]]&gt;1.129,0.7*(表2_367162629303891213141518[[#This Row],[累计净值]]-1.129)/1.129,(表2_367162629303891213141518[[#This Row],[累计净值]]-1.129)/1.129)</f>
        <v>-1.1514614703277148E-2</v>
      </c>
    </row>
    <row r="182" spans="1:8">
      <c r="A182" s="15">
        <v>44204</v>
      </c>
      <c r="B182" s="112">
        <v>1.1140000000000001</v>
      </c>
      <c r="C182" s="108">
        <f t="shared" si="50"/>
        <v>-2.0000000000000018E-3</v>
      </c>
      <c r="D182" s="109">
        <f t="shared" si="51"/>
        <v>-2.0000000000000018E-3</v>
      </c>
      <c r="E182" s="109">
        <f ca="1">IF(表2_367162629303891213141518[[#This Row],[累计净值]]/MAX(INDIRECT("B21:B" &amp; ROW()))-1&lt;E181,表2_367162629303891213141518[[#This Row],[累计净值]]/MAX(INDIRECT("B21:B" &amp; ROW()))-1,E181)</f>
        <v>-2.2768670309654016E-2</v>
      </c>
      <c r="F182" s="110">
        <f>表2_367162629303891213141518[[#This Row],[累计净值]]-0.12</f>
        <v>0.99400000000000011</v>
      </c>
      <c r="G182" s="109">
        <f>IF(表2_367162629303891213141518[[#This Row],[累计净值]]&gt;1.087,0.7*(表2_367162629303891213141518[[#This Row],[累计净值]]-1.087)/1.087,(表2_367162629303891213141518[[#This Row],[累计净值]]-1.087)/1.087)</f>
        <v>1.7387304507819775E-2</v>
      </c>
      <c r="H182" s="109">
        <f>IF(表2_367162629303891213141518[[#This Row],[累计净值]]&gt;1.129,0.7*(表2_367162629303891213141518[[#This Row],[累计净值]]-1.129)/1.129,(表2_367162629303891213141518[[#This Row],[累计净值]]-1.129)/1.129)</f>
        <v>-1.3286093888396725E-2</v>
      </c>
    </row>
    <row r="183" spans="1:8">
      <c r="A183" s="15">
        <v>44207</v>
      </c>
      <c r="B183" s="112">
        <v>1.1200000000000001</v>
      </c>
      <c r="C183" s="108">
        <f t="shared" si="50"/>
        <v>6.0000000000000053E-3</v>
      </c>
      <c r="D183" s="109" t="str">
        <f t="shared" si="51"/>
        <v>/</v>
      </c>
      <c r="E183" s="109">
        <f ca="1">IF(表2_367162629303891213141518[[#This Row],[累计净值]]/MAX(INDIRECT("B21:B" &amp; ROW()))-1&lt;E182,表2_367162629303891213141518[[#This Row],[累计净值]]/MAX(INDIRECT("B21:B" &amp; ROW()))-1,E182)</f>
        <v>-2.2768670309654016E-2</v>
      </c>
      <c r="F183" s="110">
        <f>表2_367162629303891213141518[[#This Row],[累计净值]]-0.12</f>
        <v>1</v>
      </c>
      <c r="G183" s="109">
        <f>IF(表2_367162629303891213141518[[#This Row],[累计净值]]&gt;1.087,0.7*(表2_367162629303891213141518[[#This Row],[累计净值]]-1.087)/1.087,(表2_367162629303891213141518[[#This Row],[累计净值]]-1.087)/1.087)</f>
        <v>2.125114995400193E-2</v>
      </c>
      <c r="H183" s="109">
        <f>IF(表2_367162629303891213141518[[#This Row],[累计净值]]&gt;1.129,0.7*(表2_367162629303891213141518[[#This Row],[累计净值]]-1.129)/1.129,(表2_367162629303891213141518[[#This Row],[累计净值]]-1.129)/1.129)</f>
        <v>-7.9716563330379953E-3</v>
      </c>
    </row>
    <row r="184" spans="1:8">
      <c r="A184" s="15">
        <v>44208</v>
      </c>
      <c r="B184" s="112">
        <v>1.121</v>
      </c>
      <c r="C184" s="108">
        <f t="shared" si="50"/>
        <v>9.9999999999988987E-4</v>
      </c>
      <c r="D184" s="109" t="str">
        <f t="shared" si="51"/>
        <v>/</v>
      </c>
      <c r="E184" s="109">
        <f ca="1">IF(表2_367162629303891213141518[[#This Row],[累计净值]]/MAX(INDIRECT("B21:B" &amp; ROW()))-1&lt;E183,表2_367162629303891213141518[[#This Row],[累计净值]]/MAX(INDIRECT("B21:B" &amp; ROW()))-1,E183)</f>
        <v>-2.2768670309654016E-2</v>
      </c>
      <c r="F184" s="110">
        <f>表2_367162629303891213141518[[#This Row],[累计净值]]-0.12</f>
        <v>1.0009999999999999</v>
      </c>
      <c r="G184" s="109">
        <f>IF(表2_367162629303891213141518[[#This Row],[累计净值]]&gt;1.087,0.7*(表2_367162629303891213141518[[#This Row],[累计净值]]-1.087)/1.087,(表2_367162629303891213141518[[#This Row],[累计净值]]-1.087)/1.087)</f>
        <v>2.1895124195032218E-2</v>
      </c>
      <c r="H184" s="109">
        <f>IF(表2_367162629303891213141518[[#This Row],[累计净值]]&gt;1.129,0.7*(表2_367162629303891213141518[[#This Row],[累计净值]]-1.129)/1.129,(表2_367162629303891213141518[[#This Row],[累计净值]]-1.129)/1.129)</f>
        <v>-7.0859167404783057E-3</v>
      </c>
    </row>
    <row r="185" spans="1:8">
      <c r="A185" s="15">
        <v>44209</v>
      </c>
      <c r="B185" s="112">
        <v>1.1180000000000001</v>
      </c>
      <c r="C185" s="108">
        <f t="shared" si="50"/>
        <v>-2.9999999999998916E-3</v>
      </c>
      <c r="D185" s="109">
        <f t="shared" si="51"/>
        <v>-2.9999999999998916E-3</v>
      </c>
      <c r="E185" s="109">
        <f ca="1">IF(表2_367162629303891213141518[[#This Row],[累计净值]]/MAX(INDIRECT("B21:B" &amp; ROW()))-1&lt;E184,表2_367162629303891213141518[[#This Row],[累计净值]]/MAX(INDIRECT("B21:B" &amp; ROW()))-1,E184)</f>
        <v>-2.2768670309654016E-2</v>
      </c>
      <c r="F185" s="110">
        <f>表2_367162629303891213141518[[#This Row],[累计净值]]-0.12</f>
        <v>0.99800000000000011</v>
      </c>
      <c r="G185" s="109">
        <f>IF(表2_367162629303891213141518[[#This Row],[累计净值]]&gt;1.087,0.7*(表2_367162629303891213141518[[#This Row],[累计净值]]-1.087)/1.087,(表2_367162629303891213141518[[#This Row],[累计净值]]-1.087)/1.087)</f>
        <v>1.9963201471941208E-2</v>
      </c>
      <c r="H185" s="109">
        <f>IF(表2_367162629303891213141518[[#This Row],[累计净值]]&gt;1.129,0.7*(表2_367162629303891213141518[[#This Row],[累计净值]]-1.129)/1.129,(表2_367162629303891213141518[[#This Row],[累计净值]]-1.129)/1.129)</f>
        <v>-9.7431355181575724E-3</v>
      </c>
    </row>
    <row r="186" spans="1:8">
      <c r="A186" s="15">
        <v>44210</v>
      </c>
      <c r="B186" s="112">
        <v>1.125</v>
      </c>
      <c r="C186" s="108">
        <f t="shared" ref="C186:C191" si="52">IFERROR(B186-B185,0)</f>
        <v>6.9999999999998952E-3</v>
      </c>
      <c r="D186" s="109" t="str">
        <f t="shared" ref="D186:D191" si="53">IF(C186&lt;0,C186,"/")</f>
        <v>/</v>
      </c>
      <c r="E186" s="109">
        <f ca="1">IF(表2_367162629303891213141518[[#This Row],[累计净值]]/MAX(INDIRECT("B21:B" &amp; ROW()))-1&lt;E185,表2_367162629303891213141518[[#This Row],[累计净值]]/MAX(INDIRECT("B21:B" &amp; ROW()))-1,E185)</f>
        <v>-2.2768670309654016E-2</v>
      </c>
      <c r="F186" s="110">
        <f>表2_367162629303891213141518[[#This Row],[累计净值]]-0.12</f>
        <v>1.0049999999999999</v>
      </c>
      <c r="G186" s="109">
        <f>IF(表2_367162629303891213141518[[#This Row],[累计净值]]&gt;1.087,0.7*(表2_367162629303891213141518[[#This Row],[累计净值]]-1.087)/1.087,(表2_367162629303891213141518[[#This Row],[累计净值]]-1.087)/1.087)</f>
        <v>2.4471021159153655E-2</v>
      </c>
      <c r="H186" s="109">
        <f>IF(表2_367162629303891213141518[[#This Row],[累计净值]]&gt;1.129,0.7*(表2_367162629303891213141518[[#This Row],[累计净值]]-1.129)/1.129,(表2_367162629303891213141518[[#This Row],[累计净值]]-1.129)/1.129)</f>
        <v>-3.5429583702391528E-3</v>
      </c>
    </row>
    <row r="187" spans="1:8">
      <c r="A187" s="15">
        <v>44211</v>
      </c>
      <c r="B187" s="112">
        <v>1.1259999999999999</v>
      </c>
      <c r="C187" s="108">
        <f t="shared" si="52"/>
        <v>9.9999999999988987E-4</v>
      </c>
      <c r="D187" s="109" t="str">
        <f t="shared" si="53"/>
        <v>/</v>
      </c>
      <c r="E187" s="109">
        <f ca="1">IF(表2_367162629303891213141518[[#This Row],[累计净值]]/MAX(INDIRECT("B21:B" &amp; ROW()))-1&lt;E186,表2_367162629303891213141518[[#This Row],[累计净值]]/MAX(INDIRECT("B21:B" &amp; ROW()))-1,E186)</f>
        <v>-2.2768670309654016E-2</v>
      </c>
      <c r="F187" s="110">
        <f>表2_367162629303891213141518[[#This Row],[累计净值]]-0.12</f>
        <v>1.0059999999999998</v>
      </c>
      <c r="G187" s="109">
        <f>IF(表2_367162629303891213141518[[#This Row],[累计净值]]&gt;1.087,0.7*(表2_367162629303891213141518[[#This Row],[累计净值]]-1.087)/1.087,(表2_367162629303891213141518[[#This Row],[累计净值]]-1.087)/1.087)</f>
        <v>2.5114995400183943E-2</v>
      </c>
      <c r="H187" s="109">
        <f>IF(表2_367162629303891213141518[[#This Row],[累计净值]]&gt;1.129,0.7*(表2_367162629303891213141518[[#This Row],[累计净值]]-1.129)/1.129,(表2_367162629303891213141518[[#This Row],[累计净值]]-1.129)/1.129)</f>
        <v>-2.6572187776794627E-3</v>
      </c>
    </row>
    <row r="188" spans="1:8">
      <c r="A188" s="15">
        <v>44214</v>
      </c>
      <c r="B188" s="112">
        <v>1.1259999999999999</v>
      </c>
      <c r="C188" s="108">
        <f t="shared" si="52"/>
        <v>0</v>
      </c>
      <c r="D188" s="109" t="str">
        <f t="shared" si="53"/>
        <v>/</v>
      </c>
      <c r="E188" s="109">
        <f ca="1">IF(表2_367162629303891213141518[[#This Row],[累计净值]]/MAX(INDIRECT("B21:B" &amp; ROW()))-1&lt;E187,表2_367162629303891213141518[[#This Row],[累计净值]]/MAX(INDIRECT("B21:B" &amp; ROW()))-1,E187)</f>
        <v>-2.2768670309654016E-2</v>
      </c>
      <c r="F188" s="110">
        <f>表2_367162629303891213141518[[#This Row],[累计净值]]-0.12</f>
        <v>1.0059999999999998</v>
      </c>
      <c r="G188" s="109">
        <f>IF(表2_367162629303891213141518[[#This Row],[累计净值]]&gt;1.087,0.7*(表2_367162629303891213141518[[#This Row],[累计净值]]-1.087)/1.087,(表2_367162629303891213141518[[#This Row],[累计净值]]-1.087)/1.087)</f>
        <v>2.5114995400183943E-2</v>
      </c>
      <c r="H188" s="109">
        <f>IF(表2_367162629303891213141518[[#This Row],[累计净值]]&gt;1.129,0.7*(表2_367162629303891213141518[[#This Row],[累计净值]]-1.129)/1.129,(表2_367162629303891213141518[[#This Row],[累计净值]]-1.129)/1.129)</f>
        <v>-2.6572187776794627E-3</v>
      </c>
    </row>
    <row r="189" spans="1:8">
      <c r="A189" s="15">
        <v>44215</v>
      </c>
      <c r="B189" s="112">
        <v>1.1319999999999999</v>
      </c>
      <c r="C189" s="108">
        <f t="shared" si="52"/>
        <v>6.0000000000000053E-3</v>
      </c>
      <c r="D189" s="109" t="str">
        <f t="shared" si="53"/>
        <v>/</v>
      </c>
      <c r="E189" s="109">
        <f ca="1">IF(表2_367162629303891213141518[[#This Row],[累计净值]]/MAX(INDIRECT("B21:B" &amp; ROW()))-1&lt;E188,表2_367162629303891213141518[[#This Row],[累计净值]]/MAX(INDIRECT("B21:B" &amp; ROW()))-1,E188)</f>
        <v>-2.2768670309654016E-2</v>
      </c>
      <c r="F189" s="110">
        <f>表2_367162629303891213141518[[#This Row],[累计净值]]-0.12</f>
        <v>1.012</v>
      </c>
      <c r="G189" s="109">
        <f>IF(表2_367162629303891213141518[[#This Row],[累计净值]]&gt;1.087,0.7*(表2_367162629303891213141518[[#This Row],[累计净值]]-1.087)/1.087,(表2_367162629303891213141518[[#This Row],[累计净值]]-1.087)/1.087)</f>
        <v>2.8978840846366101E-2</v>
      </c>
      <c r="H189" s="109">
        <f>IF(表2_367162629303891213141518[[#This Row],[累计净值]]&gt;1.129,0.7*(表2_367162629303891213141518[[#This Row],[累计净值]]-1.129)/1.129,(表2_367162629303891213141518[[#This Row],[累计净值]]-1.129)/1.129)</f>
        <v>1.8600531443754861E-3</v>
      </c>
    </row>
    <row r="190" spans="1:8">
      <c r="A190" s="15">
        <v>44216</v>
      </c>
      <c r="B190" s="112">
        <v>1.137</v>
      </c>
      <c r="C190" s="108">
        <f t="shared" si="52"/>
        <v>5.0000000000001155E-3</v>
      </c>
      <c r="D190" s="109" t="str">
        <f t="shared" si="53"/>
        <v>/</v>
      </c>
      <c r="E190" s="109">
        <f ca="1">IF(表2_367162629303891213141518[[#This Row],[累计净值]]/MAX(INDIRECT("B21:B" &amp; ROW()))-1&lt;E189,表2_367162629303891213141518[[#This Row],[累计净值]]/MAX(INDIRECT("B21:B" &amp; ROW()))-1,E189)</f>
        <v>-2.2768670309654016E-2</v>
      </c>
      <c r="F190" s="110">
        <f>表2_367162629303891213141518[[#This Row],[累计净值]]-0.12</f>
        <v>1.0169999999999999</v>
      </c>
      <c r="G190" s="109">
        <f>IF(表2_367162629303891213141518[[#This Row],[累计净值]]&gt;1.087,0.7*(表2_367162629303891213141518[[#This Row],[累计净值]]-1.087)/1.087,(表2_367162629303891213141518[[#This Row],[累计净值]]-1.087)/1.087)</f>
        <v>3.2198712051517968E-2</v>
      </c>
      <c r="H190" s="109">
        <f>IF(表2_367162629303891213141518[[#This Row],[累计净值]]&gt;1.129,0.7*(表2_367162629303891213141518[[#This Row],[累计净值]]-1.129)/1.129,(表2_367162629303891213141518[[#This Row],[累计净值]]-1.129)/1.129)</f>
        <v>4.960141718334813E-3</v>
      </c>
    </row>
    <row r="191" spans="1:8">
      <c r="A191" s="15">
        <v>44217</v>
      </c>
      <c r="B191" s="112">
        <v>1.1299999999999999</v>
      </c>
      <c r="C191" s="108">
        <f t="shared" si="52"/>
        <v>-7.0000000000001172E-3</v>
      </c>
      <c r="D191" s="109">
        <f t="shared" si="53"/>
        <v>-7.0000000000001172E-3</v>
      </c>
      <c r="E191" s="109">
        <f ca="1">IF(表2_367162629303891213141518[[#This Row],[累计净值]]/MAX(INDIRECT("B21:B" &amp; ROW()))-1&lt;E190,表2_367162629303891213141518[[#This Row],[累计净值]]/MAX(INDIRECT("B21:B" &amp; ROW()))-1,E190)</f>
        <v>-2.2768670309654016E-2</v>
      </c>
      <c r="F191" s="110">
        <f>表2_367162629303891213141518[[#This Row],[累计净值]]-0.12</f>
        <v>1.0099999999999998</v>
      </c>
      <c r="G191" s="109">
        <f>IF(表2_367162629303891213141518[[#This Row],[累计净值]]&gt;1.087,0.7*(表2_367162629303891213141518[[#This Row],[累计净值]]-1.087)/1.087,(表2_367162629303891213141518[[#This Row],[累计净值]]-1.087)/1.087)</f>
        <v>2.7690892364305379E-2</v>
      </c>
      <c r="H191" s="109">
        <f>IF(表2_367162629303891213141518[[#This Row],[累计净值]]&gt;1.129,0.7*(表2_367162629303891213141518[[#This Row],[累计净值]]-1.129)/1.129,(表2_367162629303891213141518[[#This Row],[累计净值]]-1.129)/1.129)</f>
        <v>6.2001771479178289E-4</v>
      </c>
    </row>
    <row r="192" spans="1:8">
      <c r="A192" s="15">
        <v>44218</v>
      </c>
      <c r="B192" s="112">
        <v>1.1339999999999999</v>
      </c>
      <c r="C192" s="108">
        <f t="shared" ref="C192:C197" si="54">IFERROR(B192-B191,0)</f>
        <v>4.0000000000000036E-3</v>
      </c>
      <c r="D192" s="109" t="str">
        <f t="shared" ref="D192:D197" si="55">IF(C192&lt;0,C192,"/")</f>
        <v>/</v>
      </c>
      <c r="E192" s="109">
        <f ca="1">IF(表2_367162629303891213141518[[#This Row],[累计净值]]/MAX(INDIRECT("B21:B" &amp; ROW()))-1&lt;E191,表2_367162629303891213141518[[#This Row],[累计净值]]/MAX(INDIRECT("B21:B" &amp; ROW()))-1,E191)</f>
        <v>-2.2768670309654016E-2</v>
      </c>
      <c r="F192" s="110">
        <f>表2_367162629303891213141518[[#This Row],[累计净值]]-0.12</f>
        <v>1.0139999999999998</v>
      </c>
      <c r="G192" s="109">
        <f>IF(表2_367162629303891213141518[[#This Row],[累计净值]]&gt;1.087,0.7*(表2_367162629303891213141518[[#This Row],[累计净值]]-1.087)/1.087,(表2_367162629303891213141518[[#This Row],[累计净值]]-1.087)/1.087)</f>
        <v>3.0266789328426819E-2</v>
      </c>
      <c r="H192" s="109">
        <f>IF(表2_367162629303891213141518[[#This Row],[累计净值]]&gt;1.129,0.7*(表2_367162629303891213141518[[#This Row],[累计净值]]-1.129)/1.129,(表2_367162629303891213141518[[#This Row],[累计净值]]-1.129)/1.129)</f>
        <v>3.1000885739591896E-3</v>
      </c>
    </row>
    <row r="193" spans="1:8">
      <c r="A193" s="15">
        <v>44221</v>
      </c>
      <c r="B193" s="112">
        <v>1.1479999999999999</v>
      </c>
      <c r="C193" s="108">
        <f t="shared" si="54"/>
        <v>1.4000000000000012E-2</v>
      </c>
      <c r="D193" s="109" t="str">
        <f t="shared" si="55"/>
        <v>/</v>
      </c>
      <c r="E193" s="109">
        <f ca="1">IF(表2_367162629303891213141518[[#This Row],[累计净值]]/MAX(INDIRECT("B21:B" &amp; ROW()))-1&lt;E192,表2_367162629303891213141518[[#This Row],[累计净值]]/MAX(INDIRECT("B21:B" &amp; ROW()))-1,E192)</f>
        <v>-2.2768670309654016E-2</v>
      </c>
      <c r="F193" s="110">
        <f>表2_367162629303891213141518[[#This Row],[累计净值]]-0.12</f>
        <v>1.028</v>
      </c>
      <c r="G193" s="109">
        <f>IF(表2_367162629303891213141518[[#This Row],[累计净值]]&gt;1.087,0.7*(表2_367162629303891213141518[[#This Row],[累计净值]]-1.087)/1.087,(表2_367162629303891213141518[[#This Row],[累计净值]]-1.087)/1.087)</f>
        <v>3.9282428702851847E-2</v>
      </c>
      <c r="H193" s="109">
        <f>IF(表2_367162629303891213141518[[#This Row],[累计净值]]&gt;1.129,0.7*(表2_367162629303891213141518[[#This Row],[累计净值]]-1.129)/1.129,(表2_367162629303891213141518[[#This Row],[累计净值]]-1.129)/1.129)</f>
        <v>1.1780336581045114E-2</v>
      </c>
    </row>
    <row r="194" spans="1:8">
      <c r="A194" s="15">
        <v>44222</v>
      </c>
      <c r="B194" s="112">
        <v>1.1439999999999999</v>
      </c>
      <c r="C194" s="108">
        <f t="shared" si="54"/>
        <v>-4.0000000000000036E-3</v>
      </c>
      <c r="D194" s="109">
        <f t="shared" si="55"/>
        <v>-4.0000000000000036E-3</v>
      </c>
      <c r="E194" s="109">
        <f ca="1">IF(表2_367162629303891213141518[[#This Row],[累计净值]]/MAX(INDIRECT("B21:B" &amp; ROW()))-1&lt;E193,表2_367162629303891213141518[[#This Row],[累计净值]]/MAX(INDIRECT("B21:B" &amp; ROW()))-1,E193)</f>
        <v>-2.2768670309654016E-2</v>
      </c>
      <c r="F194" s="110">
        <f>表2_367162629303891213141518[[#This Row],[累计净值]]-0.12</f>
        <v>1.024</v>
      </c>
      <c r="G194" s="109">
        <f>IF(表2_367162629303891213141518[[#This Row],[累计净值]]&gt;1.087,0.7*(表2_367162629303891213141518[[#This Row],[累计净值]]-1.087)/1.087,(表2_367162629303891213141518[[#This Row],[累计净值]]-1.087)/1.087)</f>
        <v>3.6706531738730411E-2</v>
      </c>
      <c r="H194" s="109">
        <f>IF(表2_367162629303891213141518[[#This Row],[累计净值]]&gt;1.129,0.7*(表2_367162629303891213141518[[#This Row],[累计净值]]-1.129)/1.129,(表2_367162629303891213141518[[#This Row],[累计净值]]-1.129)/1.129)</f>
        <v>9.3002657218777072E-3</v>
      </c>
    </row>
    <row r="195" spans="1:8">
      <c r="A195" s="15">
        <v>44223</v>
      </c>
      <c r="B195" s="112">
        <v>1.1379999999999999</v>
      </c>
      <c r="C195" s="108">
        <f t="shared" si="54"/>
        <v>-6.0000000000000053E-3</v>
      </c>
      <c r="D195" s="109">
        <f t="shared" si="55"/>
        <v>-6.0000000000000053E-3</v>
      </c>
      <c r="E195" s="109">
        <f ca="1">IF(表2_367162629303891213141518[[#This Row],[累计净值]]/MAX(INDIRECT("B21:B" &amp; ROW()))-1&lt;E194,表2_367162629303891213141518[[#This Row],[累计净值]]/MAX(INDIRECT("B21:B" &amp; ROW()))-1,E194)</f>
        <v>-2.2768670309654016E-2</v>
      </c>
      <c r="F195" s="110">
        <f>表2_367162629303891213141518[[#This Row],[累计净值]]-0.12</f>
        <v>1.0179999999999998</v>
      </c>
      <c r="G195" s="109">
        <f>IF(表2_367162629303891213141518[[#This Row],[累计净值]]&gt;1.087,0.7*(表2_367162629303891213141518[[#This Row],[累计净值]]-1.087)/1.087,(表2_367162629303891213141518[[#This Row],[累计净值]]-1.087)/1.087)</f>
        <v>3.2842686292548259E-2</v>
      </c>
      <c r="H195" s="109">
        <f>IF(表2_367162629303891213141518[[#This Row],[累计净值]]&gt;1.129,0.7*(表2_367162629303891213141518[[#This Row],[累计净值]]-1.129)/1.129,(表2_367162629303891213141518[[#This Row],[累计净值]]-1.129)/1.129)</f>
        <v>5.5801594331265966E-3</v>
      </c>
    </row>
    <row r="196" spans="1:8">
      <c r="A196" s="15">
        <v>44224</v>
      </c>
      <c r="B196" s="112">
        <v>1.1419999999999999</v>
      </c>
      <c r="C196" s="108">
        <f t="shared" si="54"/>
        <v>4.0000000000000036E-3</v>
      </c>
      <c r="D196" s="109" t="str">
        <f t="shared" si="55"/>
        <v>/</v>
      </c>
      <c r="E196" s="109">
        <f ca="1">IF(表2_367162629303891213141518[[#This Row],[累计净值]]/MAX(INDIRECT("B21:B" &amp; ROW()))-1&lt;E195,表2_367162629303891213141518[[#This Row],[累计净值]]/MAX(INDIRECT("B21:B" &amp; ROW()))-1,E195)</f>
        <v>-2.2768670309654016E-2</v>
      </c>
      <c r="F196" s="110">
        <f>表2_367162629303891213141518[[#This Row],[累计净值]]-0.12</f>
        <v>1.0219999999999998</v>
      </c>
      <c r="G196" s="109">
        <f>IF(表2_367162629303891213141518[[#This Row],[累计净值]]&gt;1.087,0.7*(表2_367162629303891213141518[[#This Row],[累计净值]]-1.087)/1.087,(表2_367162629303891213141518[[#This Row],[累计净值]]-1.087)/1.087)</f>
        <v>3.5418583256669689E-2</v>
      </c>
      <c r="H196" s="109">
        <f>IF(表2_367162629303891213141518[[#This Row],[累计净值]]&gt;1.129,0.7*(表2_367162629303891213141518[[#This Row],[累计净值]]-1.129)/1.129,(表2_367162629303891213141518[[#This Row],[累计净值]]-1.129)/1.129)</f>
        <v>8.0602302922940031E-3</v>
      </c>
    </row>
    <row r="197" spans="1:8">
      <c r="A197" s="15">
        <v>44225</v>
      </c>
      <c r="B197" s="112">
        <v>1.1419999999999999</v>
      </c>
      <c r="C197" s="108">
        <f t="shared" si="54"/>
        <v>0</v>
      </c>
      <c r="D197" s="109" t="str">
        <f t="shared" si="55"/>
        <v>/</v>
      </c>
      <c r="E197" s="109">
        <f ca="1">IF(表2_367162629303891213141518[[#This Row],[累计净值]]/MAX(INDIRECT("B21:B" &amp; ROW()))-1&lt;E196,表2_367162629303891213141518[[#This Row],[累计净值]]/MAX(INDIRECT("B21:B" &amp; ROW()))-1,E196)</f>
        <v>-2.2768670309654016E-2</v>
      </c>
      <c r="F197" s="110">
        <f>表2_367162629303891213141518[[#This Row],[累计净值]]-0.12</f>
        <v>1.0219999999999998</v>
      </c>
      <c r="G197" s="109">
        <f>IF(表2_367162629303891213141518[[#This Row],[累计净值]]&gt;1.087,0.7*(表2_367162629303891213141518[[#This Row],[累计净值]]-1.087)/1.087,(表2_367162629303891213141518[[#This Row],[累计净值]]-1.087)/1.087)</f>
        <v>3.5418583256669689E-2</v>
      </c>
      <c r="H197" s="109">
        <f>IF(表2_367162629303891213141518[[#This Row],[累计净值]]&gt;1.129,0.7*(表2_367162629303891213141518[[#This Row],[累计净值]]-1.129)/1.129,(表2_367162629303891213141518[[#This Row],[累计净值]]-1.129)/1.129)</f>
        <v>8.0602302922940031E-3</v>
      </c>
    </row>
    <row r="198" spans="1:8">
      <c r="A198" s="15">
        <v>44228</v>
      </c>
      <c r="B198" s="112">
        <v>1.149</v>
      </c>
      <c r="C198" s="108">
        <f t="shared" ref="C198:C203" si="56">IFERROR(B198-B197,0)</f>
        <v>7.0000000000001172E-3</v>
      </c>
      <c r="D198" s="109" t="str">
        <f t="shared" ref="D198:D203" si="57">IF(C198&lt;0,C198,"/")</f>
        <v>/</v>
      </c>
      <c r="E198" s="109">
        <f ca="1">IF(表2_367162629303891213141518[[#This Row],[累计净值]]/MAX(INDIRECT("B21:B" &amp; ROW()))-1&lt;E197,表2_367162629303891213141518[[#This Row],[累计净值]]/MAX(INDIRECT("B21:B" &amp; ROW()))-1,E197)</f>
        <v>-2.2768670309654016E-2</v>
      </c>
      <c r="F198" s="110">
        <f>表2_367162629303891213141518[[#This Row],[累计净值]]-0.12</f>
        <v>1.0289999999999999</v>
      </c>
      <c r="G198" s="109">
        <f>IF(表2_367162629303891213141518[[#This Row],[累计净值]]&gt;1.087,0.7*(表2_367162629303891213141518[[#This Row],[累计净值]]-1.087)/1.087,(表2_367162629303891213141518[[#This Row],[累计净值]]-1.087)/1.087)</f>
        <v>3.9926402943882278E-2</v>
      </c>
      <c r="H198" s="109">
        <f>IF(表2_367162629303891213141518[[#This Row],[累计净值]]&gt;1.129,0.7*(表2_367162629303891213141518[[#This Row],[累计净值]]-1.129)/1.129,(表2_367162629303891213141518[[#This Row],[累计净值]]-1.129)/1.129)</f>
        <v>1.2400354295837033E-2</v>
      </c>
    </row>
    <row r="199" spans="1:8">
      <c r="A199" s="15">
        <v>44229</v>
      </c>
      <c r="B199" s="112">
        <v>1.1499999999999999</v>
      </c>
      <c r="C199" s="108">
        <f t="shared" si="56"/>
        <v>9.9999999999988987E-4</v>
      </c>
      <c r="D199" s="109" t="str">
        <f t="shared" si="57"/>
        <v>/</v>
      </c>
      <c r="E199" s="109">
        <f ca="1">IF(表2_367162629303891213141518[[#This Row],[累计净值]]/MAX(INDIRECT("B21:B" &amp; ROW()))-1&lt;E198,表2_367162629303891213141518[[#This Row],[累计净值]]/MAX(INDIRECT("B21:B" &amp; ROW()))-1,E198)</f>
        <v>-2.2768670309654016E-2</v>
      </c>
      <c r="F199" s="110">
        <f>表2_367162629303891213141518[[#This Row],[累计净值]]-0.12</f>
        <v>1.0299999999999998</v>
      </c>
      <c r="G199" s="109">
        <f>IF(表2_367162629303891213141518[[#This Row],[累计净值]]&gt;1.087,0.7*(表2_367162629303891213141518[[#This Row],[累计净值]]-1.087)/1.087,(表2_367162629303891213141518[[#This Row],[累计净值]]-1.087)/1.087)</f>
        <v>4.0570377184912569E-2</v>
      </c>
      <c r="H199" s="109">
        <f>IF(表2_367162629303891213141518[[#This Row],[累计净值]]&gt;1.129,0.7*(表2_367162629303891213141518[[#This Row],[累计净值]]-1.129)/1.129,(表2_367162629303891213141518[[#This Row],[累计净值]]-1.129)/1.129)</f>
        <v>1.3020372010628816E-2</v>
      </c>
    </row>
    <row r="200" spans="1:8">
      <c r="A200" s="15">
        <v>44230</v>
      </c>
      <c r="B200" s="112">
        <v>1.155</v>
      </c>
      <c r="C200" s="108">
        <f t="shared" si="56"/>
        <v>5.0000000000001155E-3</v>
      </c>
      <c r="D200" s="109" t="str">
        <f t="shared" si="57"/>
        <v>/</v>
      </c>
      <c r="E200" s="109">
        <f ca="1">IF(表2_367162629303891213141518[[#This Row],[累计净值]]/MAX(INDIRECT("B21:B" &amp; ROW()))-1&lt;E199,表2_367162629303891213141518[[#This Row],[累计净值]]/MAX(INDIRECT("B21:B" &amp; ROW()))-1,E199)</f>
        <v>-2.2768670309654016E-2</v>
      </c>
      <c r="F200" s="110">
        <f>表2_367162629303891213141518[[#This Row],[累计净值]]-0.12</f>
        <v>1.0350000000000001</v>
      </c>
      <c r="G200" s="109">
        <f>IF(表2_367162629303891213141518[[#This Row],[累计净值]]&gt;1.087,0.7*(表2_367162629303891213141518[[#This Row],[累计净值]]-1.087)/1.087,(表2_367162629303891213141518[[#This Row],[累计净值]]-1.087)/1.087)</f>
        <v>4.3790248390064436E-2</v>
      </c>
      <c r="H200" s="109">
        <f>IF(表2_367162629303891213141518[[#This Row],[累计净值]]&gt;1.129,0.7*(表2_367162629303891213141518[[#This Row],[累计净值]]-1.129)/1.129,(表2_367162629303891213141518[[#This Row],[累计净值]]-1.129)/1.129)</f>
        <v>1.6120460584588145E-2</v>
      </c>
    </row>
    <row r="201" spans="1:8">
      <c r="A201" s="15">
        <v>44231</v>
      </c>
      <c r="B201" s="112">
        <v>1.1619999999999999</v>
      </c>
      <c r="C201" s="108">
        <f t="shared" si="56"/>
        <v>6.9999999999998952E-3</v>
      </c>
      <c r="D201" s="109" t="str">
        <f t="shared" si="57"/>
        <v>/</v>
      </c>
      <c r="E201" s="109">
        <f ca="1">IF(表2_367162629303891213141518[[#This Row],[累计净值]]/MAX(INDIRECT("B21:B" &amp; ROW()))-1&lt;E200,表2_367162629303891213141518[[#This Row],[累计净值]]/MAX(INDIRECT("B21:B" &amp; ROW()))-1,E200)</f>
        <v>-2.2768670309654016E-2</v>
      </c>
      <c r="F201" s="110">
        <f>表2_367162629303891213141518[[#This Row],[累计净值]]-0.12</f>
        <v>1.0419999999999998</v>
      </c>
      <c r="G201" s="109">
        <f>IF(表2_367162629303891213141518[[#This Row],[累计净值]]&gt;1.087,0.7*(表2_367162629303891213141518[[#This Row],[累计净值]]-1.087)/1.087,(表2_367162629303891213141518[[#This Row],[累计净值]]-1.087)/1.087)</f>
        <v>4.8298068077276879E-2</v>
      </c>
      <c r="H201" s="109">
        <f>IF(表2_367162629303891213141518[[#This Row],[累计净值]]&gt;1.129,0.7*(表2_367162629303891213141518[[#This Row],[累计净值]]-1.129)/1.129,(表2_367162629303891213141518[[#This Row],[累计净值]]-1.129)/1.129)</f>
        <v>2.0460584588131037E-2</v>
      </c>
    </row>
    <row r="202" spans="1:8">
      <c r="A202" s="15">
        <v>44232</v>
      </c>
      <c r="B202" s="112">
        <v>1.161</v>
      </c>
      <c r="C202" s="108">
        <f t="shared" si="56"/>
        <v>-9.9999999999988987E-4</v>
      </c>
      <c r="D202" s="109">
        <f t="shared" si="57"/>
        <v>-9.9999999999988987E-4</v>
      </c>
      <c r="E202" s="109">
        <f ca="1">IF(表2_367162629303891213141518[[#This Row],[累计净值]]/MAX(INDIRECT("B21:B" &amp; ROW()))-1&lt;E201,表2_367162629303891213141518[[#This Row],[累计净值]]/MAX(INDIRECT("B21:B" &amp; ROW()))-1,E201)</f>
        <v>-2.2768670309654016E-2</v>
      </c>
      <c r="F202" s="110">
        <f>表2_367162629303891213141518[[#This Row],[累计净值]]-0.12</f>
        <v>1.0409999999999999</v>
      </c>
      <c r="G202" s="109">
        <f>IF(表2_367162629303891213141518[[#This Row],[累计净值]]&gt;1.087,0.7*(表2_367162629303891213141518[[#This Row],[累计净值]]-1.087)/1.087,(表2_367162629303891213141518[[#This Row],[累计净值]]-1.087)/1.087)</f>
        <v>4.7654093836246587E-2</v>
      </c>
      <c r="H202" s="109">
        <f>IF(表2_367162629303891213141518[[#This Row],[累计净值]]&gt;1.129,0.7*(表2_367162629303891213141518[[#This Row],[累计净值]]-1.129)/1.129,(表2_367162629303891213141518[[#This Row],[累计净值]]-1.129)/1.129)</f>
        <v>1.9840566873339252E-2</v>
      </c>
    </row>
    <row r="203" spans="1:8">
      <c r="A203" s="15">
        <v>44235</v>
      </c>
      <c r="B203" s="112">
        <v>1.1619999999999999</v>
      </c>
      <c r="C203" s="108">
        <f t="shared" si="56"/>
        <v>9.9999999999988987E-4</v>
      </c>
      <c r="D203" s="109" t="str">
        <f t="shared" si="57"/>
        <v>/</v>
      </c>
      <c r="E203" s="109">
        <f ca="1">IF(表2_367162629303891213141518[[#This Row],[累计净值]]/MAX(INDIRECT("B21:B" &amp; ROW()))-1&lt;E202,表2_367162629303891213141518[[#This Row],[累计净值]]/MAX(INDIRECT("B21:B" &amp; ROW()))-1,E202)</f>
        <v>-2.2768670309654016E-2</v>
      </c>
      <c r="F203" s="110">
        <f>表2_367162629303891213141518[[#This Row],[累计净值]]-0.12</f>
        <v>1.0419999999999998</v>
      </c>
      <c r="G203" s="109">
        <f>IF(表2_367162629303891213141518[[#This Row],[累计净值]]&gt;1.087,0.7*(表2_367162629303891213141518[[#This Row],[累计净值]]-1.087)/1.087,(表2_367162629303891213141518[[#This Row],[累计净值]]-1.087)/1.087)</f>
        <v>4.8298068077276879E-2</v>
      </c>
      <c r="H203" s="109">
        <f>IF(表2_367162629303891213141518[[#This Row],[累计净值]]&gt;1.129,0.7*(表2_367162629303891213141518[[#This Row],[累计净值]]-1.129)/1.129,(表2_367162629303891213141518[[#This Row],[累计净值]]-1.129)/1.129)</f>
        <v>2.0460584588131037E-2</v>
      </c>
    </row>
    <row r="204" spans="1:8">
      <c r="A204" s="15">
        <v>44236</v>
      </c>
      <c r="B204" s="112">
        <v>1.1539999999999999</v>
      </c>
      <c r="C204" s="108">
        <f>IFERROR(B204-B203,0)</f>
        <v>-8.0000000000000071E-3</v>
      </c>
      <c r="D204" s="109">
        <f>IF(C204&lt;0,C204,"/")</f>
        <v>-8.0000000000000071E-3</v>
      </c>
      <c r="E204" s="109">
        <f ca="1">IF(表2_367162629303891213141518[[#This Row],[累计净值]]/MAX(INDIRECT("B21:B" &amp; ROW()))-1&lt;E203,表2_367162629303891213141518[[#This Row],[累计净值]]/MAX(INDIRECT("B21:B" &amp; ROW()))-1,E203)</f>
        <v>-2.2768670309654016E-2</v>
      </c>
      <c r="F204" s="110">
        <f>表2_367162629303891213141518[[#This Row],[累计净值]]-0.12</f>
        <v>1.0339999999999998</v>
      </c>
      <c r="G204" s="109">
        <f>IF(表2_367162629303891213141518[[#This Row],[累计净值]]&gt;1.087,0.7*(表2_367162629303891213141518[[#This Row],[累计净值]]-1.087)/1.087,(表2_367162629303891213141518[[#This Row],[累计净值]]-1.087)/1.087)</f>
        <v>4.3146274149034006E-2</v>
      </c>
      <c r="H204" s="109">
        <f>IF(表2_367162629303891213141518[[#This Row],[累计净值]]&gt;1.129,0.7*(表2_367162629303891213141518[[#This Row],[累计净值]]-1.129)/1.129,(表2_367162629303891213141518[[#This Row],[累计净值]]-1.129)/1.129)</f>
        <v>1.5500442869796223E-2</v>
      </c>
    </row>
    <row r="205" spans="1:8">
      <c r="A205" s="15">
        <v>44237</v>
      </c>
      <c r="B205" s="112">
        <v>1.157</v>
      </c>
      <c r="C205" s="108">
        <f t="shared" ref="C205:C206" si="58">IFERROR(B205-B204,0)</f>
        <v>3.0000000000001137E-3</v>
      </c>
      <c r="D205" s="109" t="str">
        <f t="shared" ref="D205:D206" si="59">IF(C205&lt;0,C205,"/")</f>
        <v>/</v>
      </c>
      <c r="E205" s="109">
        <f ca="1">IF(表2_367162629303891213141518[[#This Row],[累计净值]]/MAX(INDIRECT("B21:B" &amp; ROW()))-1&lt;E204,表2_367162629303891213141518[[#This Row],[累计净值]]/MAX(INDIRECT("B21:B" &amp; ROW()))-1,E204)</f>
        <v>-2.2768670309654016E-2</v>
      </c>
      <c r="F205" s="110">
        <f>表2_367162629303891213141518[[#This Row],[累计净值]]-0.12</f>
        <v>1.0369999999999999</v>
      </c>
      <c r="G205" s="109">
        <f>IF(表2_367162629303891213141518[[#This Row],[累计净值]]&gt;1.087,0.7*(表2_367162629303891213141518[[#This Row],[累计净值]]-1.087)/1.087,(表2_367162629303891213141518[[#This Row],[累计净值]]-1.087)/1.087)</f>
        <v>4.5078196872125158E-2</v>
      </c>
      <c r="H205" s="109">
        <f>IF(表2_367162629303891213141518[[#This Row],[累计净值]]&gt;1.129,0.7*(表2_367162629303891213141518[[#This Row],[累计净值]]-1.129)/1.129,(表2_367162629303891213141518[[#This Row],[累计净值]]-1.129)/1.129)</f>
        <v>1.7360496014171847E-2</v>
      </c>
    </row>
    <row r="206" spans="1:8">
      <c r="A206" s="15">
        <v>44245</v>
      </c>
      <c r="B206" s="112">
        <v>1.157</v>
      </c>
      <c r="C206" s="108">
        <f t="shared" si="58"/>
        <v>0</v>
      </c>
      <c r="D206" s="109" t="str">
        <f t="shared" si="59"/>
        <v>/</v>
      </c>
      <c r="E206" s="109">
        <f ca="1">IF(表2_367162629303891213141518[[#This Row],[累计净值]]/MAX(INDIRECT("B21:B" &amp; ROW()))-1&lt;E205,表2_367162629303891213141518[[#This Row],[累计净值]]/MAX(INDIRECT("B21:B" &amp; ROW()))-1,E205)</f>
        <v>-2.2768670309654016E-2</v>
      </c>
      <c r="F206" s="110">
        <f>表2_367162629303891213141518[[#This Row],[累计净值]]-0.12</f>
        <v>1.0369999999999999</v>
      </c>
      <c r="G206" s="109">
        <f>IF(表2_367162629303891213141518[[#This Row],[累计净值]]&gt;1.087,0.7*(表2_367162629303891213141518[[#This Row],[累计净值]]-1.087)/1.087,(表2_367162629303891213141518[[#This Row],[累计净值]]-1.087)/1.087)</f>
        <v>4.5078196872125158E-2</v>
      </c>
      <c r="H206" s="109">
        <f>IF(表2_367162629303891213141518[[#This Row],[累计净值]]&gt;1.129,0.7*(表2_367162629303891213141518[[#This Row],[累计净值]]-1.129)/1.129,(表2_367162629303891213141518[[#This Row],[累计净值]]-1.129)/1.129)</f>
        <v>1.7360496014171847E-2</v>
      </c>
    </row>
    <row r="207" spans="1:8">
      <c r="A207" s="15">
        <v>44246</v>
      </c>
      <c r="B207" s="112">
        <v>1.163</v>
      </c>
      <c r="C207" s="108">
        <f>IFERROR(B207-B206,0)</f>
        <v>6.0000000000000053E-3</v>
      </c>
      <c r="D207" s="109" t="str">
        <f>IF(C207&lt;0,C207,"/")</f>
        <v>/</v>
      </c>
      <c r="E207" s="109">
        <f ca="1">IF(表2_367162629303891213141518[[#This Row],[累计净值]]/MAX(INDIRECT("B21:B" &amp; ROW()))-1&lt;E206,表2_367162629303891213141518[[#This Row],[累计净值]]/MAX(INDIRECT("B21:B" &amp; ROW()))-1,E206)</f>
        <v>-2.2768670309654016E-2</v>
      </c>
      <c r="F207" s="110">
        <f>表2_367162629303891213141518[[#This Row],[累计净值]]-0.12</f>
        <v>1.0430000000000001</v>
      </c>
      <c r="G207" s="109">
        <f>IF(表2_367162629303891213141518[[#This Row],[累计净值]]&gt;1.087,0.7*(表2_367162629303891213141518[[#This Row],[累计净值]]-1.087)/1.087,(表2_367162629303891213141518[[#This Row],[累计净值]]-1.087)/1.087)</f>
        <v>4.8942042318307309E-2</v>
      </c>
      <c r="H207" s="109">
        <f>IF(表2_367162629303891213141518[[#This Row],[累计净值]]&gt;1.129,0.7*(表2_367162629303891213141518[[#This Row],[累计净值]]-1.129)/1.129,(表2_367162629303891213141518[[#This Row],[累计净值]]-1.129)/1.129)</f>
        <v>2.1080602302922958E-2</v>
      </c>
    </row>
    <row r="208" spans="1:8">
      <c r="A208" s="15">
        <v>44249</v>
      </c>
      <c r="B208" s="112">
        <v>1.1539999999999999</v>
      </c>
      <c r="C208" s="108">
        <f>IFERROR(B208-B207,0)</f>
        <v>-9.000000000000119E-3</v>
      </c>
      <c r="D208" s="109">
        <f>IF(C208&lt;0,C208,"/")</f>
        <v>-9.000000000000119E-3</v>
      </c>
      <c r="E208" s="109">
        <f ca="1">IF(表2_367162629303891213141518[[#This Row],[累计净值]]/MAX(INDIRECT("B21:B" &amp; ROW()))-1&lt;E207,表2_367162629303891213141518[[#This Row],[累计净值]]/MAX(INDIRECT("B21:B" &amp; ROW()))-1,E207)</f>
        <v>-2.2768670309654016E-2</v>
      </c>
      <c r="F208" s="110">
        <f>表2_367162629303891213141518[[#This Row],[累计净值]]-0.12</f>
        <v>1.0339999999999998</v>
      </c>
      <c r="G208" s="109">
        <f>IF(表2_367162629303891213141518[[#This Row],[累计净值]]&gt;1.087,0.7*(表2_367162629303891213141518[[#This Row],[累计净值]]-1.087)/1.087,(表2_367162629303891213141518[[#This Row],[累计净值]]-1.087)/1.087)</f>
        <v>4.3146274149034006E-2</v>
      </c>
      <c r="H208" s="109">
        <f>IF(表2_367162629303891213141518[[#This Row],[累计净值]]&gt;1.129,0.7*(表2_367162629303891213141518[[#This Row],[累计净值]]-1.129)/1.129,(表2_367162629303891213141518[[#This Row],[累计净值]]-1.129)/1.129)</f>
        <v>1.5500442869796223E-2</v>
      </c>
    </row>
    <row r="209" spans="1:8">
      <c r="A209" s="15">
        <v>44250</v>
      </c>
      <c r="B209" s="112">
        <v>1.1579999999999999</v>
      </c>
      <c r="C209" s="108">
        <f>IFERROR(B209-B208,0)</f>
        <v>4.0000000000000036E-3</v>
      </c>
      <c r="D209" s="109" t="str">
        <f>IF(C209&lt;0,C209,"/")</f>
        <v>/</v>
      </c>
      <c r="E209" s="109">
        <f ca="1">IF(表2_367162629303891213141518[[#This Row],[累计净值]]/MAX(INDIRECT("B21:B" &amp; ROW()))-1&lt;E208,表2_367162629303891213141518[[#This Row],[累计净值]]/MAX(INDIRECT("B21:B" &amp; ROW()))-1,E208)</f>
        <v>-2.2768670309654016E-2</v>
      </c>
      <c r="F209" s="110">
        <f>表2_367162629303891213141518[[#This Row],[累计净值]]-0.12</f>
        <v>1.0379999999999998</v>
      </c>
      <c r="G209" s="109">
        <f>IF(表2_367162629303891213141518[[#This Row],[累计净值]]&gt;1.087,0.7*(表2_367162629303891213141518[[#This Row],[累计净值]]-1.087)/1.087,(表2_367162629303891213141518[[#This Row],[累计净值]]-1.087)/1.087)</f>
        <v>4.5722171113155442E-2</v>
      </c>
      <c r="H209" s="109">
        <f>IF(表2_367162629303891213141518[[#This Row],[累计净值]]&gt;1.129,0.7*(表2_367162629303891213141518[[#This Row],[累计净值]]-1.129)/1.129,(表2_367162629303891213141518[[#This Row],[累计净值]]-1.129)/1.129)</f>
        <v>1.7980513728963633E-2</v>
      </c>
    </row>
    <row r="210" spans="1:8">
      <c r="A210" s="15">
        <v>44251</v>
      </c>
      <c r="B210" s="112">
        <v>1.157</v>
      </c>
      <c r="C210" s="108">
        <f t="shared" ref="C210:C212" si="60">IFERROR(B210-B209,0)</f>
        <v>-9.9999999999988987E-4</v>
      </c>
      <c r="D210" s="109">
        <f t="shared" ref="D210:D212" si="61">IF(C210&lt;0,C210,"/")</f>
        <v>-9.9999999999988987E-4</v>
      </c>
      <c r="E210" s="109">
        <f ca="1">IF(表2_367162629303891213141518[[#This Row],[累计净值]]/MAX(INDIRECT("B21:B" &amp; ROW()))-1&lt;E209,表2_367162629303891213141518[[#This Row],[累计净值]]/MAX(INDIRECT("B21:B" &amp; ROW()))-1,E209)</f>
        <v>-2.2768670309654016E-2</v>
      </c>
      <c r="F210" s="110">
        <f>表2_367162629303891213141518[[#This Row],[累计净值]]-0.12</f>
        <v>1.0369999999999999</v>
      </c>
      <c r="G210" s="109">
        <f>IF(表2_367162629303891213141518[[#This Row],[累计净值]]&gt;1.087,0.7*(表2_367162629303891213141518[[#This Row],[累计净值]]-1.087)/1.087,(表2_367162629303891213141518[[#This Row],[累计净值]]-1.087)/1.087)</f>
        <v>4.5078196872125158E-2</v>
      </c>
      <c r="H210" s="109">
        <f>IF(表2_367162629303891213141518[[#This Row],[累计净值]]&gt;1.129,0.7*(表2_367162629303891213141518[[#This Row],[累计净值]]-1.129)/1.129,(表2_367162629303891213141518[[#This Row],[累计净值]]-1.129)/1.129)</f>
        <v>1.7360496014171847E-2</v>
      </c>
    </row>
    <row r="211" spans="1:8">
      <c r="A211" s="15">
        <v>44252</v>
      </c>
      <c r="B211" s="112">
        <v>1.1579999999999999</v>
      </c>
      <c r="C211" s="108">
        <f t="shared" si="60"/>
        <v>9.9999999999988987E-4</v>
      </c>
      <c r="D211" s="109" t="str">
        <f t="shared" si="61"/>
        <v>/</v>
      </c>
      <c r="E211" s="109">
        <f ca="1">IF(表2_367162629303891213141518[[#This Row],[累计净值]]/MAX(INDIRECT("B21:B" &amp; ROW()))-1&lt;E210,表2_367162629303891213141518[[#This Row],[累计净值]]/MAX(INDIRECT("B21:B" &amp; ROW()))-1,E210)</f>
        <v>-2.2768670309654016E-2</v>
      </c>
      <c r="F211" s="110">
        <f>表2_367162629303891213141518[[#This Row],[累计净值]]-0.12</f>
        <v>1.0379999999999998</v>
      </c>
      <c r="G211" s="109">
        <f>IF(表2_367162629303891213141518[[#This Row],[累计净值]]&gt;1.087,0.7*(表2_367162629303891213141518[[#This Row],[累计净值]]-1.087)/1.087,(表2_367162629303891213141518[[#This Row],[累计净值]]-1.087)/1.087)</f>
        <v>4.5722171113155442E-2</v>
      </c>
      <c r="H211" s="109">
        <f>IF(表2_367162629303891213141518[[#This Row],[累计净值]]&gt;1.129,0.7*(表2_367162629303891213141518[[#This Row],[累计净值]]-1.129)/1.129,(表2_367162629303891213141518[[#This Row],[累计净值]]-1.129)/1.129)</f>
        <v>1.7980513728963633E-2</v>
      </c>
    </row>
    <row r="212" spans="1:8">
      <c r="A212" s="15">
        <v>44253</v>
      </c>
      <c r="B212" s="112">
        <v>1.1559999999999999</v>
      </c>
      <c r="C212" s="108">
        <f t="shared" si="60"/>
        <v>-2.0000000000000018E-3</v>
      </c>
      <c r="D212" s="109">
        <f t="shared" si="61"/>
        <v>-2.0000000000000018E-3</v>
      </c>
      <c r="E212" s="109">
        <f ca="1">IF(表2_367162629303891213141518[[#This Row],[累计净值]]/MAX(INDIRECT("B21:B" &amp; ROW()))-1&lt;E211,表2_367162629303891213141518[[#This Row],[累计净值]]/MAX(INDIRECT("B21:B" &amp; ROW()))-1,E211)</f>
        <v>-2.2768670309654016E-2</v>
      </c>
      <c r="F212" s="110">
        <f>表2_367162629303891213141518[[#This Row],[累计净值]]-0.12</f>
        <v>1.036</v>
      </c>
      <c r="G212" s="109">
        <f>IF(表2_367162629303891213141518[[#This Row],[累计净值]]&gt;1.087,0.7*(表2_367162629303891213141518[[#This Row],[累计净值]]-1.087)/1.087,(表2_367162629303891213141518[[#This Row],[累计净值]]-1.087)/1.087)</f>
        <v>4.4434222631094721E-2</v>
      </c>
      <c r="H212" s="109">
        <f>IF(表2_367162629303891213141518[[#This Row],[累计净值]]&gt;1.129,0.7*(表2_367162629303891213141518[[#This Row],[累计净值]]-1.129)/1.129,(表2_367162629303891213141518[[#This Row],[累计净值]]-1.129)/1.129)</f>
        <v>1.6740478299379927E-2</v>
      </c>
    </row>
    <row r="213" spans="1:8">
      <c r="A213" s="15">
        <v>44256</v>
      </c>
      <c r="B213" s="112">
        <v>1.161</v>
      </c>
      <c r="C213" s="108">
        <f t="shared" ref="C213:C215" si="62">IFERROR(B213-B212,0)</f>
        <v>5.0000000000001155E-3</v>
      </c>
      <c r="D213" s="109" t="str">
        <f t="shared" ref="D213:D215" si="63">IF(C213&lt;0,C213,"/")</f>
        <v>/</v>
      </c>
      <c r="E213" s="109">
        <f ca="1">IF(表2_367162629303891213141518[[#This Row],[累计净值]]/MAX(INDIRECT("B21:B" &amp; ROW()))-1&lt;E212,表2_367162629303891213141518[[#This Row],[累计净值]]/MAX(INDIRECT("B21:B" &amp; ROW()))-1,E212)</f>
        <v>-2.2768670309654016E-2</v>
      </c>
      <c r="F213" s="110">
        <f>表2_367162629303891213141518[[#This Row],[累计净值]]-0.12</f>
        <v>1.0409999999999999</v>
      </c>
      <c r="G213" s="109">
        <f>IF(表2_367162629303891213141518[[#This Row],[累计净值]]&gt;1.087,0.7*(表2_367162629303891213141518[[#This Row],[累计净值]]-1.087)/1.087,(表2_367162629303891213141518[[#This Row],[累计净值]]-1.087)/1.087)</f>
        <v>4.7654093836246587E-2</v>
      </c>
      <c r="H213" s="109">
        <f>IF(表2_367162629303891213141518[[#This Row],[累计净值]]&gt;1.129,0.7*(表2_367162629303891213141518[[#This Row],[累计净值]]-1.129)/1.129,(表2_367162629303891213141518[[#This Row],[累计净值]]-1.129)/1.129)</f>
        <v>1.9840566873339252E-2</v>
      </c>
    </row>
    <row r="214" spans="1:8">
      <c r="A214" s="15">
        <v>44257</v>
      </c>
      <c r="B214" s="112">
        <v>1.1599999999999999</v>
      </c>
      <c r="C214" s="108">
        <f t="shared" si="62"/>
        <v>-1.0000000000001119E-3</v>
      </c>
      <c r="D214" s="109">
        <f t="shared" si="63"/>
        <v>-1.0000000000001119E-3</v>
      </c>
      <c r="E214" s="109">
        <f ca="1">IF(表2_367162629303891213141518[[#This Row],[累计净值]]/MAX(INDIRECT("B21:B" &amp; ROW()))-1&lt;E213,表2_367162629303891213141518[[#This Row],[累计净值]]/MAX(INDIRECT("B21:B" &amp; ROW()))-1,E213)</f>
        <v>-2.2768670309654016E-2</v>
      </c>
      <c r="F214" s="110">
        <f>表2_367162629303891213141518[[#This Row],[累计净值]]-0.12</f>
        <v>1.04</v>
      </c>
      <c r="G214" s="109">
        <f>IF(表2_367162629303891213141518[[#This Row],[累计净值]]&gt;1.087,0.7*(表2_367162629303891213141518[[#This Row],[累计净值]]-1.087)/1.087,(表2_367162629303891213141518[[#This Row],[累计净值]]-1.087)/1.087)</f>
        <v>4.7010119595216157E-2</v>
      </c>
      <c r="H214" s="109">
        <f>IF(表2_367162629303891213141518[[#This Row],[累计净值]]&gt;1.129,0.7*(表2_367162629303891213141518[[#This Row],[累计净值]]-1.129)/1.129,(表2_367162629303891213141518[[#This Row],[累计净值]]-1.129)/1.129)</f>
        <v>1.9220549158547335E-2</v>
      </c>
    </row>
    <row r="215" spans="1:8">
      <c r="A215" s="15">
        <v>44258</v>
      </c>
      <c r="B215" s="112">
        <v>1.165</v>
      </c>
      <c r="C215" s="108">
        <f t="shared" si="62"/>
        <v>5.0000000000001155E-3</v>
      </c>
      <c r="D215" s="109" t="str">
        <f t="shared" si="63"/>
        <v>/</v>
      </c>
      <c r="E215" s="109">
        <f ca="1">IF(表2_367162629303891213141518[[#This Row],[累计净值]]/MAX(INDIRECT("B21:B" &amp; ROW()))-1&lt;E214,表2_367162629303891213141518[[#This Row],[累计净值]]/MAX(INDIRECT("B21:B" &amp; ROW()))-1,E214)</f>
        <v>-2.2768670309654016E-2</v>
      </c>
      <c r="F215" s="110">
        <f>表2_367162629303891213141518[[#This Row],[累计净值]]-0.12</f>
        <v>1.0449999999999999</v>
      </c>
      <c r="G215" s="109">
        <f>IF(表2_367162629303891213141518[[#This Row],[累计净值]]&gt;1.087,0.7*(表2_367162629303891213141518[[#This Row],[累计净值]]-1.087)/1.087,(表2_367162629303891213141518[[#This Row],[累计净值]]-1.087)/1.087)</f>
        <v>5.0229990800368031E-2</v>
      </c>
      <c r="H215" s="109">
        <f>IF(表2_367162629303891213141518[[#This Row],[累计净值]]&gt;1.129,0.7*(表2_367162629303891213141518[[#This Row],[累计净值]]-1.129)/1.129,(表2_367162629303891213141518[[#This Row],[累计净值]]-1.129)/1.129)</f>
        <v>2.232063773250666E-2</v>
      </c>
    </row>
    <row r="216" spans="1:8">
      <c r="A216" s="15">
        <v>44259</v>
      </c>
      <c r="B216" s="112">
        <v>1.1619999999999999</v>
      </c>
      <c r="C216" s="108">
        <f t="shared" ref="C216:C217" si="64">IFERROR(B216-B215,0)</f>
        <v>-3.0000000000001137E-3</v>
      </c>
      <c r="D216" s="109">
        <f t="shared" ref="D216:D217" si="65">IF(C216&lt;0,C216,"/")</f>
        <v>-3.0000000000001137E-3</v>
      </c>
      <c r="E216" s="109">
        <f ca="1">IF(表2_367162629303891213141518[[#This Row],[累计净值]]/MAX(INDIRECT("B21:B" &amp; ROW()))-1&lt;E215,表2_367162629303891213141518[[#This Row],[累计净值]]/MAX(INDIRECT("B21:B" &amp; ROW()))-1,E215)</f>
        <v>-2.2768670309654016E-2</v>
      </c>
      <c r="F216" s="110">
        <f>表2_367162629303891213141518[[#This Row],[累计净值]]-0.12</f>
        <v>1.0419999999999998</v>
      </c>
      <c r="G216" s="109">
        <f>IF(表2_367162629303891213141518[[#This Row],[累计净值]]&gt;1.087,0.7*(表2_367162629303891213141518[[#This Row],[累计净值]]-1.087)/1.087,(表2_367162629303891213141518[[#This Row],[累计净值]]-1.087)/1.087)</f>
        <v>4.8298068077276879E-2</v>
      </c>
      <c r="H216" s="109">
        <f>IF(表2_367162629303891213141518[[#This Row],[累计净值]]&gt;1.129,0.7*(表2_367162629303891213141518[[#This Row],[累计净值]]-1.129)/1.129,(表2_367162629303891213141518[[#This Row],[累计净值]]-1.129)/1.129)</f>
        <v>2.0460584588131037E-2</v>
      </c>
    </row>
    <row r="217" spans="1:8">
      <c r="A217" s="15">
        <v>44260</v>
      </c>
      <c r="B217" s="112">
        <v>1.159</v>
      </c>
      <c r="C217" s="108">
        <f t="shared" si="64"/>
        <v>-2.9999999999998916E-3</v>
      </c>
      <c r="D217" s="109">
        <f t="shared" si="65"/>
        <v>-2.9999999999998916E-3</v>
      </c>
      <c r="E217" s="109">
        <f ca="1">IF(表2_367162629303891213141518[[#This Row],[累计净值]]/MAX(INDIRECT("B21:B" &amp; ROW()))-1&lt;E216,表2_367162629303891213141518[[#This Row],[累计净值]]/MAX(INDIRECT("B21:B" &amp; ROW()))-1,E216)</f>
        <v>-2.2768670309654016E-2</v>
      </c>
      <c r="F217" s="110">
        <f>表2_367162629303891213141518[[#This Row],[累计净值]]-0.12</f>
        <v>1.0390000000000001</v>
      </c>
      <c r="G217" s="109">
        <f>IF(表2_367162629303891213141518[[#This Row],[累计净值]]&gt;1.087,0.7*(表2_367162629303891213141518[[#This Row],[累计净值]]-1.087)/1.087,(表2_367162629303891213141518[[#This Row],[累计净值]]-1.087)/1.087)</f>
        <v>4.6366145354185873E-2</v>
      </c>
      <c r="H217" s="109">
        <f>IF(表2_367162629303891213141518[[#This Row],[累计净值]]&gt;1.129,0.7*(表2_367162629303891213141518[[#This Row],[累计净值]]-1.129)/1.129,(表2_367162629303891213141518[[#This Row],[累计净值]]-1.129)/1.129)</f>
        <v>1.8600531443755553E-2</v>
      </c>
    </row>
    <row r="218" spans="1:8">
      <c r="A218" s="15">
        <v>44263</v>
      </c>
      <c r="B218" s="112">
        <v>1.1619999999999999</v>
      </c>
      <c r="C218" s="108">
        <f t="shared" ref="C218:C221" si="66">IFERROR(B218-B217,0)</f>
        <v>2.9999999999998916E-3</v>
      </c>
      <c r="D218" s="109" t="str">
        <f t="shared" ref="D218:D221" si="67">IF(C218&lt;0,C218,"/")</f>
        <v>/</v>
      </c>
      <c r="E218" s="109">
        <f ca="1">IF(表2_367162629303891213141518[[#This Row],[累计净值]]/MAX(INDIRECT("B21:B" &amp; ROW()))-1&lt;E217,表2_367162629303891213141518[[#This Row],[累计净值]]/MAX(INDIRECT("B21:B" &amp; ROW()))-1,E217)</f>
        <v>-2.2768670309654016E-2</v>
      </c>
      <c r="F218" s="110">
        <f>表2_367162629303891213141518[[#This Row],[累计净值]]-0.12</f>
        <v>1.0419999999999998</v>
      </c>
      <c r="G218" s="109">
        <f>IF(表2_367162629303891213141518[[#This Row],[累计净值]]&gt;1.087,0.7*(表2_367162629303891213141518[[#This Row],[累计净值]]-1.087)/1.087,(表2_367162629303891213141518[[#This Row],[累计净值]]-1.087)/1.087)</f>
        <v>4.8298068077276879E-2</v>
      </c>
      <c r="H218" s="109">
        <f>IF(表2_367162629303891213141518[[#This Row],[累计净值]]&gt;1.129,0.7*(表2_367162629303891213141518[[#This Row],[累计净值]]-1.129)/1.129,(表2_367162629303891213141518[[#This Row],[累计净值]]-1.129)/1.129)</f>
        <v>2.0460584588131037E-2</v>
      </c>
    </row>
    <row r="219" spans="1:8">
      <c r="A219" s="15">
        <v>44264</v>
      </c>
      <c r="B219" s="112">
        <v>1.1719999999999999</v>
      </c>
      <c r="C219" s="108">
        <f t="shared" si="66"/>
        <v>1.0000000000000009E-2</v>
      </c>
      <c r="D219" s="109" t="str">
        <f t="shared" si="67"/>
        <v>/</v>
      </c>
      <c r="E219" s="109">
        <f ca="1">IF(表2_367162629303891213141518[[#This Row],[累计净值]]/MAX(INDIRECT("B21:B" &amp; ROW()))-1&lt;E218,表2_367162629303891213141518[[#This Row],[累计净值]]/MAX(INDIRECT("B21:B" &amp; ROW()))-1,E218)</f>
        <v>-2.2768670309654016E-2</v>
      </c>
      <c r="F219" s="110">
        <f>表2_367162629303891213141518[[#This Row],[累计净值]]-0.12</f>
        <v>1.052</v>
      </c>
      <c r="G219" s="109">
        <f>IF(表2_367162629303891213141518[[#This Row],[累计净值]]&gt;1.087,0.7*(表2_367162629303891213141518[[#This Row],[累计净值]]-1.087)/1.087,(表2_367162629303891213141518[[#This Row],[累计净值]]-1.087)/1.087)</f>
        <v>5.4737810487580474E-2</v>
      </c>
      <c r="H219" s="109">
        <f>IF(表2_367162629303891213141518[[#This Row],[累计净值]]&gt;1.129,0.7*(表2_367162629303891213141518[[#This Row],[累计净值]]-1.129)/1.129,(表2_367162629303891213141518[[#This Row],[累计净值]]-1.129)/1.129)</f>
        <v>2.6660761736049553E-2</v>
      </c>
    </row>
    <row r="220" spans="1:8">
      <c r="A220" s="15">
        <v>44265</v>
      </c>
      <c r="B220" s="112">
        <v>1.173</v>
      </c>
      <c r="C220" s="108">
        <f t="shared" si="66"/>
        <v>1.0000000000001119E-3</v>
      </c>
      <c r="D220" s="109" t="str">
        <f t="shared" si="67"/>
        <v>/</v>
      </c>
      <c r="E220" s="109">
        <f ca="1">IF(表2_367162629303891213141518[[#This Row],[累计净值]]/MAX(INDIRECT("B21:B" &amp; ROW()))-1&lt;E219,表2_367162629303891213141518[[#This Row],[累计净值]]/MAX(INDIRECT("B21:B" &amp; ROW()))-1,E219)</f>
        <v>-2.2768670309654016E-2</v>
      </c>
      <c r="F220" s="110">
        <f>表2_367162629303891213141518[[#This Row],[累计净值]]-0.12</f>
        <v>1.0529999999999999</v>
      </c>
      <c r="G220" s="109">
        <f>IF(表2_367162629303891213141518[[#This Row],[累计净值]]&gt;1.087,0.7*(表2_367162629303891213141518[[#This Row],[累计净值]]-1.087)/1.087,(表2_367162629303891213141518[[#This Row],[累计净值]]-1.087)/1.087)</f>
        <v>5.5381784728610904E-2</v>
      </c>
      <c r="H220" s="109">
        <f>IF(表2_367162629303891213141518[[#This Row],[累计净值]]&gt;1.129,0.7*(表2_367162629303891213141518[[#This Row],[累计净值]]-1.129)/1.129,(表2_367162629303891213141518[[#This Row],[累计净值]]-1.129)/1.129)</f>
        <v>2.7280779450841473E-2</v>
      </c>
    </row>
    <row r="221" spans="1:8">
      <c r="A221" s="15">
        <v>44266</v>
      </c>
      <c r="B221" s="112">
        <v>1.1759999999999999</v>
      </c>
      <c r="C221" s="108">
        <f t="shared" si="66"/>
        <v>2.9999999999998916E-3</v>
      </c>
      <c r="D221" s="109" t="str">
        <f t="shared" si="67"/>
        <v>/</v>
      </c>
      <c r="E221" s="109">
        <f ca="1">IF(表2_367162629303891213141518[[#This Row],[累计净值]]/MAX(INDIRECT("B21:B" &amp; ROW()))-1&lt;E220,表2_367162629303891213141518[[#This Row],[累计净值]]/MAX(INDIRECT("B21:B" &amp; ROW()))-1,E220)</f>
        <v>-2.2768670309654016E-2</v>
      </c>
      <c r="F221" s="110">
        <f>表2_367162629303891213141518[[#This Row],[累计净值]]-0.12</f>
        <v>1.056</v>
      </c>
      <c r="G221" s="109">
        <f>IF(表2_367162629303891213141518[[#This Row],[累计净值]]&gt;1.087,0.7*(表2_367162629303891213141518[[#This Row],[累计净值]]-1.087)/1.087,(表2_367162629303891213141518[[#This Row],[累计净值]]-1.087)/1.087)</f>
        <v>5.731370745170191E-2</v>
      </c>
      <c r="H221" s="109">
        <f>IF(表2_367162629303891213141518[[#This Row],[累计净值]]&gt;1.129,0.7*(表2_367162629303891213141518[[#This Row],[累计净值]]-1.129)/1.129,(表2_367162629303891213141518[[#This Row],[累计净值]]-1.129)/1.129)</f>
        <v>2.9140832595216961E-2</v>
      </c>
    </row>
    <row r="222" spans="1:8">
      <c r="A222" s="15">
        <v>44267</v>
      </c>
      <c r="B222" s="112">
        <v>1.169</v>
      </c>
      <c r="C222" s="108">
        <f t="shared" ref="C222:C227" si="68">IFERROR(B222-B221,0)</f>
        <v>-6.9999999999998952E-3</v>
      </c>
      <c r="D222" s="109">
        <f t="shared" ref="D222:D227" si="69">IF(C222&lt;0,C222,"/")</f>
        <v>-6.9999999999998952E-3</v>
      </c>
      <c r="E222" s="109">
        <f ca="1">IF(表2_367162629303891213141518[[#This Row],[累计净值]]/MAX(INDIRECT("B21:B" &amp; ROW()))-1&lt;E221,表2_367162629303891213141518[[#This Row],[累计净值]]/MAX(INDIRECT("B21:B" &amp; ROW()))-1,E221)</f>
        <v>-2.2768670309654016E-2</v>
      </c>
      <c r="F222" s="110">
        <f>表2_367162629303891213141518[[#This Row],[累计净值]]-0.12</f>
        <v>1.0489999999999999</v>
      </c>
      <c r="G222" s="109">
        <f>IF(表2_367162629303891213141518[[#This Row],[累计净值]]&gt;1.087,0.7*(表2_367162629303891213141518[[#This Row],[累计净值]]-1.087)/1.087,(表2_367162629303891213141518[[#This Row],[累计净值]]-1.087)/1.087)</f>
        <v>5.2805887764489468E-2</v>
      </c>
      <c r="H222" s="109">
        <f>IF(表2_367162629303891213141518[[#This Row],[累计净值]]&gt;1.129,0.7*(表2_367162629303891213141518[[#This Row],[累计净值]]-1.129)/1.129,(表2_367162629303891213141518[[#This Row],[累计净值]]-1.129)/1.129)</f>
        <v>2.4800708591674065E-2</v>
      </c>
    </row>
    <row r="223" spans="1:8">
      <c r="A223" s="15">
        <v>44270</v>
      </c>
      <c r="B223" s="112">
        <v>1.17</v>
      </c>
      <c r="C223" s="108">
        <f t="shared" si="68"/>
        <v>9.9999999999988987E-4</v>
      </c>
      <c r="D223" s="109" t="str">
        <f t="shared" si="69"/>
        <v>/</v>
      </c>
      <c r="E223" s="109">
        <f ca="1">IF(表2_367162629303891213141518[[#This Row],[累计净值]]/MAX(INDIRECT("B21:B" &amp; ROW()))-1&lt;E222,表2_367162629303891213141518[[#This Row],[累计净值]]/MAX(INDIRECT("B21:B" &amp; ROW()))-1,E222)</f>
        <v>-2.2768670309654016E-2</v>
      </c>
      <c r="F223" s="110">
        <f>表2_367162629303891213141518[[#This Row],[累计净值]]-0.12</f>
        <v>1.0499999999999998</v>
      </c>
      <c r="G223" s="109">
        <f>IF(表2_367162629303891213141518[[#This Row],[累计净值]]&gt;1.087,0.7*(表2_367162629303891213141518[[#This Row],[累计净值]]-1.087)/1.087,(表2_367162629303891213141518[[#This Row],[累计净值]]-1.087)/1.087)</f>
        <v>5.3449862005519752E-2</v>
      </c>
      <c r="H223" s="109">
        <f>IF(表2_367162629303891213141518[[#This Row],[累计净值]]&gt;1.129,0.7*(表2_367162629303891213141518[[#This Row],[累计净值]]-1.129)/1.129,(表2_367162629303891213141518[[#This Row],[累计净值]]-1.129)/1.129)</f>
        <v>2.542072630646585E-2</v>
      </c>
    </row>
    <row r="224" spans="1:8">
      <c r="A224" s="15">
        <v>44271</v>
      </c>
      <c r="B224" s="112">
        <v>1.175</v>
      </c>
      <c r="C224" s="108">
        <f t="shared" si="68"/>
        <v>5.0000000000001155E-3</v>
      </c>
      <c r="D224" s="109" t="str">
        <f t="shared" si="69"/>
        <v>/</v>
      </c>
      <c r="E224" s="109">
        <f ca="1">IF(表2_367162629303891213141518[[#This Row],[累计净值]]/MAX(INDIRECT("B21:B" &amp; ROW()))-1&lt;E223,表2_367162629303891213141518[[#This Row],[累计净值]]/MAX(INDIRECT("B21:B" &amp; ROW()))-1,E223)</f>
        <v>-2.2768670309654016E-2</v>
      </c>
      <c r="F224" s="110">
        <f>表2_367162629303891213141518[[#This Row],[累计净值]]-0.12</f>
        <v>1.0550000000000002</v>
      </c>
      <c r="G224" s="109">
        <f>IF(表2_367162629303891213141518[[#This Row],[累计净值]]&gt;1.087,0.7*(表2_367162629303891213141518[[#This Row],[累计净值]]-1.087)/1.087,(表2_367162629303891213141518[[#This Row],[累计净值]]-1.087)/1.087)</f>
        <v>5.6669733210671619E-2</v>
      </c>
      <c r="H224" s="109">
        <f>IF(表2_367162629303891213141518[[#This Row],[累计净值]]&gt;1.129,0.7*(表2_367162629303891213141518[[#This Row],[累计净值]]-1.129)/1.129,(表2_367162629303891213141518[[#This Row],[累计净值]]-1.129)/1.129)</f>
        <v>2.8520814880425179E-2</v>
      </c>
    </row>
    <row r="225" spans="1:8">
      <c r="A225" s="15">
        <v>44272</v>
      </c>
      <c r="B225" s="112">
        <v>1.1739999999999999</v>
      </c>
      <c r="C225" s="108">
        <f t="shared" si="68"/>
        <v>-1.0000000000001119E-3</v>
      </c>
      <c r="D225" s="109">
        <f t="shared" si="69"/>
        <v>-1.0000000000001119E-3</v>
      </c>
      <c r="E225" s="109">
        <f ca="1">IF(表2_367162629303891213141518[[#This Row],[累计净值]]/MAX(INDIRECT("B21:B" &amp; ROW()))-1&lt;E224,表2_367162629303891213141518[[#This Row],[累计净值]]/MAX(INDIRECT("B21:B" &amp; ROW()))-1,E224)</f>
        <v>-2.2768670309654016E-2</v>
      </c>
      <c r="F225" s="110">
        <f>表2_367162629303891213141518[[#This Row],[累计净值]]-0.12</f>
        <v>1.0539999999999998</v>
      </c>
      <c r="G225" s="109">
        <f>IF(表2_367162629303891213141518[[#This Row],[累计净值]]&gt;1.087,0.7*(表2_367162629303891213141518[[#This Row],[累计净值]]-1.087)/1.087,(表2_367162629303891213141518[[#This Row],[累计净值]]-1.087)/1.087)</f>
        <v>5.6025758969641196E-2</v>
      </c>
      <c r="H225" s="109">
        <f>IF(表2_367162629303891213141518[[#This Row],[累计净值]]&gt;1.129,0.7*(表2_367162629303891213141518[[#This Row],[累计净值]]-1.129)/1.129,(表2_367162629303891213141518[[#This Row],[累计净值]]-1.129)/1.129)</f>
        <v>2.7900797165633262E-2</v>
      </c>
    </row>
    <row r="226" spans="1:8">
      <c r="A226" s="15">
        <v>44273</v>
      </c>
      <c r="B226" s="112">
        <v>1.177</v>
      </c>
      <c r="C226" s="108">
        <f t="shared" si="68"/>
        <v>3.0000000000001137E-3</v>
      </c>
      <c r="D226" s="109" t="str">
        <f t="shared" si="69"/>
        <v>/</v>
      </c>
      <c r="E226" s="109">
        <f ca="1">IF(表2_367162629303891213141518[[#This Row],[累计净值]]/MAX(INDIRECT("B21:B" &amp; ROW()))-1&lt;E225,表2_367162629303891213141518[[#This Row],[累计净值]]/MAX(INDIRECT("B21:B" &amp; ROW()))-1,E225)</f>
        <v>-2.2768670309654016E-2</v>
      </c>
      <c r="F226" s="110">
        <f>表2_367162629303891213141518[[#This Row],[累计净值]]-0.12</f>
        <v>1.0569999999999999</v>
      </c>
      <c r="G226" s="109">
        <f>IF(表2_367162629303891213141518[[#This Row],[累计净值]]&gt;1.087,0.7*(表2_367162629303891213141518[[#This Row],[累计净值]]-1.087)/1.087,(表2_367162629303891213141518[[#This Row],[累计净值]]-1.087)/1.087)</f>
        <v>5.7957681692732341E-2</v>
      </c>
      <c r="H226" s="109">
        <f>IF(表2_367162629303891213141518[[#This Row],[累计净值]]&gt;1.129,0.7*(表2_367162629303891213141518[[#This Row],[累计净值]]-1.129)/1.129,(表2_367162629303891213141518[[#This Row],[累计净值]]-1.129)/1.129)</f>
        <v>2.9760850310008882E-2</v>
      </c>
    </row>
    <row r="227" spans="1:8">
      <c r="A227" s="15">
        <v>44274</v>
      </c>
      <c r="B227" s="112">
        <v>1.18</v>
      </c>
      <c r="C227" s="108">
        <f t="shared" si="68"/>
        <v>2.9999999999998916E-3</v>
      </c>
      <c r="D227" s="109" t="str">
        <f t="shared" si="69"/>
        <v>/</v>
      </c>
      <c r="E227" s="109">
        <f ca="1">IF(表2_367162629303891213141518[[#This Row],[累计净值]]/MAX(INDIRECT("B21:B" &amp; ROW()))-1&lt;E226,表2_367162629303891213141518[[#This Row],[累计净值]]/MAX(INDIRECT("B21:B" &amp; ROW()))-1,E226)</f>
        <v>-2.2768670309654016E-2</v>
      </c>
      <c r="F227" s="110">
        <f>表2_367162629303891213141518[[#This Row],[累计净值]]-0.12</f>
        <v>1.06</v>
      </c>
      <c r="G227" s="109">
        <f>IF(表2_367162629303891213141518[[#This Row],[累计净值]]&gt;1.087,0.7*(表2_367162629303891213141518[[#This Row],[累计净值]]-1.087)/1.087,(表2_367162629303891213141518[[#This Row],[累计净值]]-1.087)/1.087)</f>
        <v>5.9889604415823347E-2</v>
      </c>
      <c r="H227" s="109">
        <f>IF(表2_367162629303891213141518[[#This Row],[累计净值]]&gt;1.129,0.7*(表2_367162629303891213141518[[#This Row],[累计净值]]-1.129)/1.129,(表2_367162629303891213141518[[#This Row],[累计净值]]-1.129)/1.129)</f>
        <v>3.1620903454384369E-2</v>
      </c>
    </row>
    <row r="228" spans="1:8">
      <c r="A228" s="15">
        <v>44277</v>
      </c>
      <c r="B228" s="112">
        <v>1.18</v>
      </c>
      <c r="C228" s="108">
        <f>IFERROR(B228-B227,0)</f>
        <v>0</v>
      </c>
      <c r="D228" s="109" t="str">
        <f>IF(C228&lt;0,C228,"/")</f>
        <v>/</v>
      </c>
      <c r="E228" s="109">
        <f ca="1">IF(表2_367162629303891213141518[[#This Row],[累计净值]]/MAX(INDIRECT("B21:B" &amp; ROW()))-1&lt;E227,表2_367162629303891213141518[[#This Row],[累计净值]]/MAX(INDIRECT("B21:B" &amp; ROW()))-1,E227)</f>
        <v>-2.2768670309654016E-2</v>
      </c>
      <c r="F228" s="110">
        <f>表2_367162629303891213141518[[#This Row],[累计净值]]-0.12</f>
        <v>1.06</v>
      </c>
      <c r="G228" s="109">
        <f>IF(表2_367162629303891213141518[[#This Row],[累计净值]]&gt;1.087,0.7*(表2_367162629303891213141518[[#This Row],[累计净值]]-1.087)/1.087,(表2_367162629303891213141518[[#This Row],[累计净值]]-1.087)/1.087)</f>
        <v>5.9889604415823347E-2</v>
      </c>
      <c r="H228" s="109">
        <f>IF(表2_367162629303891213141518[[#This Row],[累计净值]]&gt;1.129,0.7*(表2_367162629303891213141518[[#This Row],[累计净值]]-1.129)/1.129,(表2_367162629303891213141518[[#This Row],[累计净值]]-1.129)/1.129)</f>
        <v>3.1620903454384369E-2</v>
      </c>
    </row>
    <row r="229" spans="1:8">
      <c r="A229" s="15">
        <v>44278</v>
      </c>
      <c r="B229" s="112">
        <v>1.175</v>
      </c>
      <c r="C229" s="108">
        <f t="shared" ref="C229:C232" si="70">IFERROR(B229-B228,0)</f>
        <v>-4.9999999999998934E-3</v>
      </c>
      <c r="D229" s="109">
        <f t="shared" ref="D229:D232" si="71">IF(C229&lt;0,C229,"/")</f>
        <v>-4.9999999999998934E-3</v>
      </c>
      <c r="E229" s="109">
        <f ca="1">IF(表2_367162629303891213141518[[#This Row],[累计净值]]/MAX(INDIRECT("B21:B" &amp; ROW()))-1&lt;E228,表2_367162629303891213141518[[#This Row],[累计净值]]/MAX(INDIRECT("B21:B" &amp; ROW()))-1,E228)</f>
        <v>-2.2768670309654016E-2</v>
      </c>
      <c r="F229" s="110">
        <f>表2_367162629303891213141518[[#This Row],[累计净值]]-0.12</f>
        <v>1.0550000000000002</v>
      </c>
      <c r="G229" s="109">
        <f>IF(表2_367162629303891213141518[[#This Row],[累计净值]]&gt;1.087,0.7*(表2_367162629303891213141518[[#This Row],[累计净值]]-1.087)/1.087,(表2_367162629303891213141518[[#This Row],[累计净值]]-1.087)/1.087)</f>
        <v>5.6669733210671619E-2</v>
      </c>
      <c r="H229" s="109">
        <f>IF(表2_367162629303891213141518[[#This Row],[累计净值]]&gt;1.129,0.7*(表2_367162629303891213141518[[#This Row],[累计净值]]-1.129)/1.129,(表2_367162629303891213141518[[#This Row],[累计净值]]-1.129)/1.129)</f>
        <v>2.8520814880425179E-2</v>
      </c>
    </row>
    <row r="230" spans="1:8">
      <c r="A230" s="15">
        <v>44279</v>
      </c>
      <c r="B230" s="112">
        <v>1.175</v>
      </c>
      <c r="C230" s="108">
        <f t="shared" si="70"/>
        <v>0</v>
      </c>
      <c r="D230" s="109" t="str">
        <f t="shared" si="71"/>
        <v>/</v>
      </c>
      <c r="E230" s="109">
        <f ca="1">IF(表2_367162629303891213141518[[#This Row],[累计净值]]/MAX(INDIRECT("B21:B" &amp; ROW()))-1&lt;E229,表2_367162629303891213141518[[#This Row],[累计净值]]/MAX(INDIRECT("B21:B" &amp; ROW()))-1,E229)</f>
        <v>-2.2768670309654016E-2</v>
      </c>
      <c r="F230" s="110">
        <f>表2_367162629303891213141518[[#This Row],[累计净值]]-0.12</f>
        <v>1.0550000000000002</v>
      </c>
      <c r="G230" s="109">
        <f>IF(表2_367162629303891213141518[[#This Row],[累计净值]]&gt;1.087,0.7*(表2_367162629303891213141518[[#This Row],[累计净值]]-1.087)/1.087,(表2_367162629303891213141518[[#This Row],[累计净值]]-1.087)/1.087)</f>
        <v>5.6669733210671619E-2</v>
      </c>
      <c r="H230" s="109">
        <f>IF(表2_367162629303891213141518[[#This Row],[累计净值]]&gt;1.129,0.7*(表2_367162629303891213141518[[#This Row],[累计净值]]-1.129)/1.129,(表2_367162629303891213141518[[#This Row],[累计净值]]-1.129)/1.129)</f>
        <v>2.8520814880425179E-2</v>
      </c>
    </row>
    <row r="231" spans="1:8">
      <c r="A231" s="15">
        <v>44280</v>
      </c>
      <c r="B231" s="112">
        <v>1.17</v>
      </c>
      <c r="C231" s="108">
        <f t="shared" si="70"/>
        <v>-5.0000000000001155E-3</v>
      </c>
      <c r="D231" s="109">
        <f t="shared" si="71"/>
        <v>-5.0000000000001155E-3</v>
      </c>
      <c r="E231" s="109">
        <f ca="1">IF(表2_367162629303891213141518[[#This Row],[累计净值]]/MAX(INDIRECT("B21:B" &amp; ROW()))-1&lt;E230,表2_367162629303891213141518[[#This Row],[累计净值]]/MAX(INDIRECT("B21:B" &amp; ROW()))-1,E230)</f>
        <v>-2.2768670309654016E-2</v>
      </c>
      <c r="F231" s="110">
        <f>表2_367162629303891213141518[[#This Row],[累计净值]]-0.12</f>
        <v>1.0499999999999998</v>
      </c>
      <c r="G231" s="109">
        <f>IF(表2_367162629303891213141518[[#This Row],[累计净值]]&gt;1.087,0.7*(表2_367162629303891213141518[[#This Row],[累计净值]]-1.087)/1.087,(表2_367162629303891213141518[[#This Row],[累计净值]]-1.087)/1.087)</f>
        <v>5.3449862005519752E-2</v>
      </c>
      <c r="H231" s="109">
        <f>IF(表2_367162629303891213141518[[#This Row],[累计净值]]&gt;1.129,0.7*(表2_367162629303891213141518[[#This Row],[累计净值]]-1.129)/1.129,(表2_367162629303891213141518[[#This Row],[累计净值]]-1.129)/1.129)</f>
        <v>2.542072630646585E-2</v>
      </c>
    </row>
    <row r="232" spans="1:8">
      <c r="A232" s="15">
        <v>44281</v>
      </c>
      <c r="B232" s="112">
        <v>1.17</v>
      </c>
      <c r="C232" s="108">
        <f t="shared" si="70"/>
        <v>0</v>
      </c>
      <c r="D232" s="109" t="str">
        <f t="shared" si="71"/>
        <v>/</v>
      </c>
      <c r="E232" s="109">
        <f ca="1">IF(表2_367162629303891213141518[[#This Row],[累计净值]]/MAX(INDIRECT("B21:B" &amp; ROW()))-1&lt;E231,表2_367162629303891213141518[[#This Row],[累计净值]]/MAX(INDIRECT("B21:B" &amp; ROW()))-1,E231)</f>
        <v>-2.2768670309654016E-2</v>
      </c>
      <c r="F232" s="110">
        <f>表2_367162629303891213141518[[#This Row],[累计净值]]-0.12</f>
        <v>1.0499999999999998</v>
      </c>
      <c r="G232" s="109">
        <f>IF(表2_367162629303891213141518[[#This Row],[累计净值]]&gt;1.087,0.7*(表2_367162629303891213141518[[#This Row],[累计净值]]-1.087)/1.087,(表2_367162629303891213141518[[#This Row],[累计净值]]-1.087)/1.087)</f>
        <v>5.3449862005519752E-2</v>
      </c>
      <c r="H232" s="109">
        <f>IF(表2_367162629303891213141518[[#This Row],[累计净值]]&gt;1.129,0.7*(表2_367162629303891213141518[[#This Row],[累计净值]]-1.129)/1.129,(表2_367162629303891213141518[[#This Row],[累计净值]]-1.129)/1.129)</f>
        <v>2.542072630646585E-2</v>
      </c>
    </row>
    <row r="233" spans="1:8">
      <c r="A233" s="15">
        <v>44284</v>
      </c>
      <c r="B233" s="112">
        <v>1.167</v>
      </c>
      <c r="C233" s="108">
        <f t="shared" ref="C233:C239" si="72">IFERROR(B233-B232,0)</f>
        <v>-2.9999999999998916E-3</v>
      </c>
      <c r="D233" s="109">
        <f t="shared" ref="D233:D239" si="73">IF(C233&lt;0,C233,"/")</f>
        <v>-2.9999999999998916E-3</v>
      </c>
      <c r="E233" s="109">
        <f ca="1">IF(表2_367162629303891213141518[[#This Row],[累计净值]]/MAX(INDIRECT("B21:B" &amp; ROW()))-1&lt;E232,表2_367162629303891213141518[[#This Row],[累计净值]]/MAX(INDIRECT("B21:B" &amp; ROW()))-1,E232)</f>
        <v>-2.2768670309654016E-2</v>
      </c>
      <c r="F233" s="110">
        <f>表2_367162629303891213141518[[#This Row],[累计净值]]-0.12</f>
        <v>1.0470000000000002</v>
      </c>
      <c r="G233" s="109">
        <f>IF(表2_367162629303891213141518[[#This Row],[累计净值]]&gt;1.087,0.7*(表2_367162629303891213141518[[#This Row],[累计净值]]-1.087)/1.087,(表2_367162629303891213141518[[#This Row],[累计净值]]-1.087)/1.087)</f>
        <v>5.1517939282428746E-2</v>
      </c>
      <c r="H233" s="109">
        <f>IF(表2_367162629303891213141518[[#This Row],[累计净值]]&gt;1.129,0.7*(表2_367162629303891213141518[[#This Row],[累计净值]]-1.129)/1.129,(表2_367162629303891213141518[[#This Row],[累计净值]]-1.129)/1.129)</f>
        <v>2.3560673162090366E-2</v>
      </c>
    </row>
    <row r="234" spans="1:8">
      <c r="A234" s="15">
        <v>44285</v>
      </c>
      <c r="B234" s="112">
        <v>1.17</v>
      </c>
      <c r="C234" s="108">
        <f t="shared" si="72"/>
        <v>2.9999999999998916E-3</v>
      </c>
      <c r="D234" s="109" t="str">
        <f t="shared" si="73"/>
        <v>/</v>
      </c>
      <c r="E234" s="109">
        <f ca="1">IF(表2_367162629303891213141518[[#This Row],[累计净值]]/MAX(INDIRECT("B21:B" &amp; ROW()))-1&lt;E233,表2_367162629303891213141518[[#This Row],[累计净值]]/MAX(INDIRECT("B21:B" &amp; ROW()))-1,E233)</f>
        <v>-2.2768670309654016E-2</v>
      </c>
      <c r="F234" s="110">
        <f>表2_367162629303891213141518[[#This Row],[累计净值]]-0.12</f>
        <v>1.0499999999999998</v>
      </c>
      <c r="G234" s="109">
        <f>IF(表2_367162629303891213141518[[#This Row],[累计净值]]&gt;1.087,0.7*(表2_367162629303891213141518[[#This Row],[累计净值]]-1.087)/1.087,(表2_367162629303891213141518[[#This Row],[累计净值]]-1.087)/1.087)</f>
        <v>5.3449862005519752E-2</v>
      </c>
      <c r="H234" s="109">
        <f>IF(表2_367162629303891213141518[[#This Row],[累计净值]]&gt;1.129,0.7*(表2_367162629303891213141518[[#This Row],[累计净值]]-1.129)/1.129,(表2_367162629303891213141518[[#This Row],[累计净值]]-1.129)/1.129)</f>
        <v>2.542072630646585E-2</v>
      </c>
    </row>
    <row r="235" spans="1:8">
      <c r="A235" s="15">
        <v>44286</v>
      </c>
      <c r="B235" s="112">
        <v>1.169</v>
      </c>
      <c r="C235" s="108">
        <f t="shared" si="72"/>
        <v>-9.9999999999988987E-4</v>
      </c>
      <c r="D235" s="109">
        <f t="shared" si="73"/>
        <v>-9.9999999999988987E-4</v>
      </c>
      <c r="E235" s="109">
        <f ca="1">IF(表2_367162629303891213141518[[#This Row],[累计净值]]/MAX(INDIRECT("B21:B" &amp; ROW()))-1&lt;E234,表2_367162629303891213141518[[#This Row],[累计净值]]/MAX(INDIRECT("B21:B" &amp; ROW()))-1,E234)</f>
        <v>-2.2768670309654016E-2</v>
      </c>
      <c r="F235" s="110">
        <f>表2_367162629303891213141518[[#This Row],[累计净值]]-0.12</f>
        <v>1.0489999999999999</v>
      </c>
      <c r="G235" s="109">
        <f>IF(表2_367162629303891213141518[[#This Row],[累计净值]]&gt;1.087,0.7*(表2_367162629303891213141518[[#This Row],[累计净值]]-1.087)/1.087,(表2_367162629303891213141518[[#This Row],[累计净值]]-1.087)/1.087)</f>
        <v>5.2805887764489468E-2</v>
      </c>
      <c r="H235" s="109">
        <f>IF(表2_367162629303891213141518[[#This Row],[累计净值]]&gt;1.129,0.7*(表2_367162629303891213141518[[#This Row],[累计净值]]-1.129)/1.129,(表2_367162629303891213141518[[#This Row],[累计净值]]-1.129)/1.129)</f>
        <v>2.4800708591674065E-2</v>
      </c>
    </row>
    <row r="236" spans="1:8">
      <c r="A236" s="15">
        <v>44287</v>
      </c>
      <c r="B236" s="112">
        <v>1.1759999999999999</v>
      </c>
      <c r="C236" s="108">
        <f t="shared" si="72"/>
        <v>6.9999999999998952E-3</v>
      </c>
      <c r="D236" s="109" t="str">
        <f t="shared" si="73"/>
        <v>/</v>
      </c>
      <c r="E236" s="109">
        <f ca="1">IF(表2_367162629303891213141518[[#This Row],[累计净值]]/MAX(INDIRECT("B21:B" &amp; ROW()))-1&lt;E235,表2_367162629303891213141518[[#This Row],[累计净值]]/MAX(INDIRECT("B21:B" &amp; ROW()))-1,E235)</f>
        <v>-2.2768670309654016E-2</v>
      </c>
      <c r="F236" s="110">
        <f>表2_367162629303891213141518[[#This Row],[累计净值]]-0.12</f>
        <v>1.056</v>
      </c>
      <c r="G236" s="109">
        <f>IF(表2_367162629303891213141518[[#This Row],[累计净值]]&gt;1.087,0.7*(表2_367162629303891213141518[[#This Row],[累计净值]]-1.087)/1.087,(表2_367162629303891213141518[[#This Row],[累计净值]]-1.087)/1.087)</f>
        <v>5.731370745170191E-2</v>
      </c>
      <c r="H236" s="109">
        <f>IF(表2_367162629303891213141518[[#This Row],[累计净值]]&gt;1.129,0.7*(表2_367162629303891213141518[[#This Row],[累计净值]]-1.129)/1.129,(表2_367162629303891213141518[[#This Row],[累计净值]]-1.129)/1.129)</f>
        <v>2.9140832595216961E-2</v>
      </c>
    </row>
    <row r="237" spans="1:8">
      <c r="A237" s="15">
        <v>44288</v>
      </c>
      <c r="B237" s="112">
        <v>1.1779999999999999</v>
      </c>
      <c r="C237" s="108">
        <f t="shared" si="72"/>
        <v>2.0000000000000018E-3</v>
      </c>
      <c r="D237" s="109" t="str">
        <f t="shared" si="73"/>
        <v>/</v>
      </c>
      <c r="E237" s="109">
        <f ca="1">IF(表2_367162629303891213141518[[#This Row],[累计净值]]/MAX(INDIRECT("B21:B" &amp; ROW()))-1&lt;E236,表2_367162629303891213141518[[#This Row],[累计净值]]/MAX(INDIRECT("B21:B" &amp; ROW()))-1,E236)</f>
        <v>-2.2768670309654016E-2</v>
      </c>
      <c r="F237" s="110">
        <f>表2_367162629303891213141518[[#This Row],[累计净值]]-0.12</f>
        <v>1.0579999999999998</v>
      </c>
      <c r="G237" s="109">
        <f>IF(表2_367162629303891213141518[[#This Row],[累计净值]]&gt;1.087,0.7*(表2_367162629303891213141518[[#This Row],[累计净值]]-1.087)/1.087,(表2_367162629303891213141518[[#This Row],[累计净值]]-1.087)/1.087)</f>
        <v>5.8601655933762632E-2</v>
      </c>
      <c r="H237" s="109">
        <f>IF(表2_367162629303891213141518[[#This Row],[累计净值]]&gt;1.129,0.7*(表2_367162629303891213141518[[#This Row],[累计净值]]-1.129)/1.129,(表2_367162629303891213141518[[#This Row],[累计净值]]-1.129)/1.129)</f>
        <v>3.0380868024800663E-2</v>
      </c>
    </row>
    <row r="238" spans="1:8">
      <c r="A238" s="15">
        <v>44292</v>
      </c>
      <c r="B238" s="112">
        <v>1.1779999999999999</v>
      </c>
      <c r="C238" s="108">
        <f t="shared" si="72"/>
        <v>0</v>
      </c>
      <c r="D238" s="109" t="str">
        <f t="shared" si="73"/>
        <v>/</v>
      </c>
      <c r="E238" s="109">
        <f ca="1">IF(表2_367162629303891213141518[[#This Row],[累计净值]]/MAX(INDIRECT("B21:B" &amp; ROW()))-1&lt;E237,表2_367162629303891213141518[[#This Row],[累计净值]]/MAX(INDIRECT("B21:B" &amp; ROW()))-1,E237)</f>
        <v>-2.2768670309654016E-2</v>
      </c>
      <c r="F238" s="110">
        <f>表2_367162629303891213141518[[#This Row],[累计净值]]-0.12</f>
        <v>1.0579999999999998</v>
      </c>
      <c r="G238" s="109">
        <f>IF(表2_367162629303891213141518[[#This Row],[累计净值]]&gt;1.087,0.7*(表2_367162629303891213141518[[#This Row],[累计净值]]-1.087)/1.087,(表2_367162629303891213141518[[#This Row],[累计净值]]-1.087)/1.087)</f>
        <v>5.8601655933762632E-2</v>
      </c>
      <c r="H238" s="109">
        <f>IF(表2_367162629303891213141518[[#This Row],[累计净值]]&gt;1.129,0.7*(表2_367162629303891213141518[[#This Row],[累计净值]]-1.129)/1.129,(表2_367162629303891213141518[[#This Row],[累计净值]]-1.129)/1.129)</f>
        <v>3.0380868024800663E-2</v>
      </c>
    </row>
    <row r="239" spans="1:8">
      <c r="A239" s="15">
        <v>44293</v>
      </c>
      <c r="B239" s="112">
        <v>1.17</v>
      </c>
      <c r="C239" s="108">
        <f t="shared" si="72"/>
        <v>-8.0000000000000071E-3</v>
      </c>
      <c r="D239" s="109">
        <f t="shared" si="73"/>
        <v>-8.0000000000000071E-3</v>
      </c>
      <c r="E239" s="109">
        <f ca="1">IF(表2_367162629303891213141518[[#This Row],[累计净值]]/MAX(INDIRECT("B21:B" &amp; ROW()))-1&lt;E238,表2_367162629303891213141518[[#This Row],[累计净值]]/MAX(INDIRECT("B21:B" &amp; ROW()))-1,E238)</f>
        <v>-2.2768670309654016E-2</v>
      </c>
      <c r="F239" s="110">
        <f>表2_367162629303891213141518[[#This Row],[累计净值]]-0.12</f>
        <v>1.0499999999999998</v>
      </c>
      <c r="G239" s="109">
        <f>IF(表2_367162629303891213141518[[#This Row],[累计净值]]&gt;1.087,0.7*(表2_367162629303891213141518[[#This Row],[累计净值]]-1.087)/1.087,(表2_367162629303891213141518[[#This Row],[累计净值]]-1.087)/1.087)</f>
        <v>5.3449862005519752E-2</v>
      </c>
      <c r="H239" s="109">
        <f>IF(表2_367162629303891213141518[[#This Row],[累计净值]]&gt;1.129,0.7*(表2_367162629303891213141518[[#This Row],[累计净值]]-1.129)/1.129,(表2_367162629303891213141518[[#This Row],[累计净值]]-1.129)/1.129)</f>
        <v>2.542072630646585E-2</v>
      </c>
    </row>
    <row r="240" spans="1:8">
      <c r="A240" s="15">
        <v>44294</v>
      </c>
      <c r="B240" s="112">
        <v>1.169</v>
      </c>
      <c r="C240" s="108">
        <f t="shared" ref="C240:C245" si="74">IFERROR(B240-B239,0)</f>
        <v>-9.9999999999988987E-4</v>
      </c>
      <c r="D240" s="109">
        <f t="shared" ref="D240:D245" si="75">IF(C240&lt;0,C240,"/")</f>
        <v>-9.9999999999988987E-4</v>
      </c>
      <c r="E240" s="109">
        <f ca="1">IF(表2_367162629303891213141518[[#This Row],[累计净值]]/MAX(INDIRECT("B21:B" &amp; ROW()))-1&lt;E239,表2_367162629303891213141518[[#This Row],[累计净值]]/MAX(INDIRECT("B21:B" &amp; ROW()))-1,E239)</f>
        <v>-2.2768670309654016E-2</v>
      </c>
      <c r="F240" s="110">
        <f>表2_367162629303891213141518[[#This Row],[累计净值]]-0.12</f>
        <v>1.0489999999999999</v>
      </c>
      <c r="G240" s="109">
        <f>IF(表2_367162629303891213141518[[#This Row],[累计净值]]&gt;1.087,0.7*(表2_367162629303891213141518[[#This Row],[累计净值]]-1.087)/1.087,(表2_367162629303891213141518[[#This Row],[累计净值]]-1.087)/1.087)</f>
        <v>5.2805887764489468E-2</v>
      </c>
      <c r="H240" s="109">
        <f>IF(表2_367162629303891213141518[[#This Row],[累计净值]]&gt;1.129,0.7*(表2_367162629303891213141518[[#This Row],[累计净值]]-1.129)/1.129,(表2_367162629303891213141518[[#This Row],[累计净值]]-1.129)/1.129)</f>
        <v>2.4800708591674065E-2</v>
      </c>
    </row>
    <row r="241" spans="1:8">
      <c r="A241" s="15">
        <v>44295</v>
      </c>
      <c r="B241" s="112">
        <v>1.1679999999999999</v>
      </c>
      <c r="C241" s="108">
        <f t="shared" si="74"/>
        <v>-1.0000000000001119E-3</v>
      </c>
      <c r="D241" s="109">
        <f t="shared" si="75"/>
        <v>-1.0000000000001119E-3</v>
      </c>
      <c r="E241" s="109">
        <f ca="1">IF(表2_367162629303891213141518[[#This Row],[累计净值]]/MAX(INDIRECT("B21:B" &amp; ROW()))-1&lt;E240,表2_367162629303891213141518[[#This Row],[累计净值]]/MAX(INDIRECT("B21:B" &amp; ROW()))-1,E240)</f>
        <v>-2.2768670309654016E-2</v>
      </c>
      <c r="F241" s="110">
        <f>表2_367162629303891213141518[[#This Row],[累计净值]]-0.12</f>
        <v>1.048</v>
      </c>
      <c r="G241" s="109">
        <f>IF(表2_367162629303891213141518[[#This Row],[累计净值]]&gt;1.087,0.7*(表2_367162629303891213141518[[#This Row],[累计净值]]-1.087)/1.087,(表2_367162629303891213141518[[#This Row],[累计净值]]-1.087)/1.087)</f>
        <v>5.216191352345903E-2</v>
      </c>
      <c r="H241" s="109">
        <f>IF(表2_367162629303891213141518[[#This Row],[累计净值]]&gt;1.129,0.7*(表2_367162629303891213141518[[#This Row],[累计净值]]-1.129)/1.129,(表2_367162629303891213141518[[#This Row],[累计净值]]-1.129)/1.129)</f>
        <v>2.4180690876882148E-2</v>
      </c>
    </row>
    <row r="242" spans="1:8">
      <c r="A242" s="15">
        <v>44298</v>
      </c>
      <c r="B242" s="112">
        <v>1.1719999999999999</v>
      </c>
      <c r="C242" s="108">
        <f t="shared" si="74"/>
        <v>4.0000000000000036E-3</v>
      </c>
      <c r="D242" s="109" t="str">
        <f t="shared" si="75"/>
        <v>/</v>
      </c>
      <c r="E242" s="109">
        <f ca="1">IF(表2_367162629303891213141518[[#This Row],[累计净值]]/MAX(INDIRECT("B21:B" &amp; ROW()))-1&lt;E241,表2_367162629303891213141518[[#This Row],[累计净值]]/MAX(INDIRECT("B21:B" &amp; ROW()))-1,E241)</f>
        <v>-2.2768670309654016E-2</v>
      </c>
      <c r="F242" s="110">
        <f>表2_367162629303891213141518[[#This Row],[累计净值]]-0.12</f>
        <v>1.052</v>
      </c>
      <c r="G242" s="109">
        <f>IF(表2_367162629303891213141518[[#This Row],[累计净值]]&gt;1.087,0.7*(表2_367162629303891213141518[[#This Row],[累计净值]]-1.087)/1.087,(表2_367162629303891213141518[[#This Row],[累计净值]]-1.087)/1.087)</f>
        <v>5.4737810487580474E-2</v>
      </c>
      <c r="H242" s="109">
        <f>IF(表2_367162629303891213141518[[#This Row],[累计净值]]&gt;1.129,0.7*(表2_367162629303891213141518[[#This Row],[累计净值]]-1.129)/1.129,(表2_367162629303891213141518[[#This Row],[累计净值]]-1.129)/1.129)</f>
        <v>2.6660761736049553E-2</v>
      </c>
    </row>
    <row r="243" spans="1:8">
      <c r="A243" s="15">
        <v>44299</v>
      </c>
      <c r="B243" s="112">
        <v>1.1659999999999999</v>
      </c>
      <c r="C243" s="108">
        <f t="shared" si="74"/>
        <v>-6.0000000000000053E-3</v>
      </c>
      <c r="D243" s="109">
        <f t="shared" si="75"/>
        <v>-6.0000000000000053E-3</v>
      </c>
      <c r="E243" s="109">
        <f ca="1">IF(表2_367162629303891213141518[[#This Row],[累计净值]]/MAX(INDIRECT("B21:B" &amp; ROW()))-1&lt;E242,表2_367162629303891213141518[[#This Row],[累计净值]]/MAX(INDIRECT("B21:B" &amp; ROW()))-1,E242)</f>
        <v>-2.2768670309654016E-2</v>
      </c>
      <c r="F243" s="110">
        <f>表2_367162629303891213141518[[#This Row],[累计净值]]-0.12</f>
        <v>1.0459999999999998</v>
      </c>
      <c r="G243" s="109">
        <f>IF(表2_367162629303891213141518[[#This Row],[累计净值]]&gt;1.087,0.7*(表2_367162629303891213141518[[#This Row],[累计净值]]-1.087)/1.087,(表2_367162629303891213141518[[#This Row],[累计净值]]-1.087)/1.087)</f>
        <v>5.0873965041398315E-2</v>
      </c>
      <c r="H243" s="109">
        <f>IF(表2_367162629303891213141518[[#This Row],[累计净值]]&gt;1.129,0.7*(表2_367162629303891213141518[[#This Row],[累计净值]]-1.129)/1.129,(表2_367162629303891213141518[[#This Row],[累计净值]]-1.129)/1.129)</f>
        <v>2.2940655447298446E-2</v>
      </c>
    </row>
    <row r="244" spans="1:8">
      <c r="A244" s="15">
        <v>44300</v>
      </c>
      <c r="B244" s="112">
        <v>1.17</v>
      </c>
      <c r="C244" s="108">
        <f t="shared" si="74"/>
        <v>4.0000000000000036E-3</v>
      </c>
      <c r="D244" s="109" t="str">
        <f t="shared" si="75"/>
        <v>/</v>
      </c>
      <c r="E244" s="109">
        <f ca="1">IF(表2_367162629303891213141518[[#This Row],[累计净值]]/MAX(INDIRECT("B21:B" &amp; ROW()))-1&lt;E243,表2_367162629303891213141518[[#This Row],[累计净值]]/MAX(INDIRECT("B21:B" &amp; ROW()))-1,E243)</f>
        <v>-2.2768670309654016E-2</v>
      </c>
      <c r="F244" s="110">
        <f>表2_367162629303891213141518[[#This Row],[累计净值]]-0.12</f>
        <v>1.0499999999999998</v>
      </c>
      <c r="G244" s="109">
        <f>IF(表2_367162629303891213141518[[#This Row],[累计净值]]&gt;1.087,0.7*(表2_367162629303891213141518[[#This Row],[累计净值]]-1.087)/1.087,(表2_367162629303891213141518[[#This Row],[累计净值]]-1.087)/1.087)</f>
        <v>5.3449862005519752E-2</v>
      </c>
      <c r="H244" s="109">
        <f>IF(表2_367162629303891213141518[[#This Row],[累计净值]]&gt;1.129,0.7*(表2_367162629303891213141518[[#This Row],[累计净值]]-1.129)/1.129,(表2_367162629303891213141518[[#This Row],[累计净值]]-1.129)/1.129)</f>
        <v>2.542072630646585E-2</v>
      </c>
    </row>
    <row r="245" spans="1:8">
      <c r="A245" s="15">
        <v>44301</v>
      </c>
      <c r="B245" s="112">
        <v>1.17</v>
      </c>
      <c r="C245" s="108">
        <f t="shared" si="74"/>
        <v>0</v>
      </c>
      <c r="D245" s="109" t="str">
        <f t="shared" si="75"/>
        <v>/</v>
      </c>
      <c r="E245" s="109">
        <f ca="1">IF(表2_367162629303891213141518[[#This Row],[累计净值]]/MAX(INDIRECT("B21:B" &amp; ROW()))-1&lt;E244,表2_367162629303891213141518[[#This Row],[累计净值]]/MAX(INDIRECT("B21:B" &amp; ROW()))-1,E244)</f>
        <v>-2.2768670309654016E-2</v>
      </c>
      <c r="F245" s="110">
        <f>表2_367162629303891213141518[[#This Row],[累计净值]]-0.12</f>
        <v>1.0499999999999998</v>
      </c>
      <c r="G245" s="109">
        <f>IF(表2_367162629303891213141518[[#This Row],[累计净值]]&gt;1.087,0.7*(表2_367162629303891213141518[[#This Row],[累计净值]]-1.087)/1.087,(表2_367162629303891213141518[[#This Row],[累计净值]]-1.087)/1.087)</f>
        <v>5.3449862005519752E-2</v>
      </c>
      <c r="H245" s="109">
        <f>IF(表2_367162629303891213141518[[#This Row],[累计净值]]&gt;1.129,0.7*(表2_367162629303891213141518[[#This Row],[累计净值]]-1.129)/1.129,(表2_367162629303891213141518[[#This Row],[累计净值]]-1.129)/1.129)</f>
        <v>2.542072630646585E-2</v>
      </c>
    </row>
    <row r="246" spans="1:8">
      <c r="A246" s="15">
        <v>44302</v>
      </c>
      <c r="B246" s="112">
        <v>1.173</v>
      </c>
      <c r="C246" s="108">
        <f t="shared" ref="C246:C252" si="76">IFERROR(B246-B245,0)</f>
        <v>3.0000000000001137E-3</v>
      </c>
      <c r="D246" s="109" t="str">
        <f t="shared" ref="D246:D252" si="77">IF(C246&lt;0,C246,"/")</f>
        <v>/</v>
      </c>
      <c r="E246" s="109">
        <f ca="1">IF(表2_367162629303891213141518[[#This Row],[累计净值]]/MAX(INDIRECT("B21:B" &amp; ROW()))-1&lt;E245,表2_367162629303891213141518[[#This Row],[累计净值]]/MAX(INDIRECT("B21:B" &amp; ROW()))-1,E245)</f>
        <v>-2.2768670309654016E-2</v>
      </c>
      <c r="F246" s="110">
        <f>表2_367162629303891213141518[[#This Row],[累计净值]]-0.12</f>
        <v>1.0529999999999999</v>
      </c>
      <c r="G246" s="109">
        <f>IF(表2_367162629303891213141518[[#This Row],[累计净值]]&gt;1.087,0.7*(表2_367162629303891213141518[[#This Row],[累计净值]]-1.087)/1.087,(表2_367162629303891213141518[[#This Row],[累计净值]]-1.087)/1.087)</f>
        <v>5.5381784728610904E-2</v>
      </c>
      <c r="H246" s="109">
        <f>IF(表2_367162629303891213141518[[#This Row],[累计净值]]&gt;1.129,0.7*(表2_367162629303891213141518[[#This Row],[累计净值]]-1.129)/1.129,(表2_367162629303891213141518[[#This Row],[累计净值]]-1.129)/1.129)</f>
        <v>2.7280779450841473E-2</v>
      </c>
    </row>
    <row r="247" spans="1:8">
      <c r="A247" s="15">
        <v>44305</v>
      </c>
      <c r="B247" s="112">
        <v>1.167</v>
      </c>
      <c r="C247" s="108">
        <f t="shared" si="76"/>
        <v>-6.0000000000000053E-3</v>
      </c>
      <c r="D247" s="109">
        <f t="shared" si="77"/>
        <v>-6.0000000000000053E-3</v>
      </c>
      <c r="E247" s="109">
        <f ca="1">IF(表2_367162629303891213141518[[#This Row],[累计净值]]/MAX(INDIRECT("B21:B" &amp; ROW()))-1&lt;E246,表2_367162629303891213141518[[#This Row],[累计净值]]/MAX(INDIRECT("B21:B" &amp; ROW()))-1,E246)</f>
        <v>-2.2768670309654016E-2</v>
      </c>
      <c r="F247" s="110">
        <f>表2_367162629303891213141518[[#This Row],[累计净值]]-0.12</f>
        <v>1.0470000000000002</v>
      </c>
      <c r="G247" s="109">
        <f>IF(表2_367162629303891213141518[[#This Row],[累计净值]]&gt;1.087,0.7*(表2_367162629303891213141518[[#This Row],[累计净值]]-1.087)/1.087,(表2_367162629303891213141518[[#This Row],[累计净值]]-1.087)/1.087)</f>
        <v>5.1517939282428746E-2</v>
      </c>
      <c r="H247" s="109">
        <f>IF(表2_367162629303891213141518[[#This Row],[累计净值]]&gt;1.129,0.7*(表2_367162629303891213141518[[#This Row],[累计净值]]-1.129)/1.129,(表2_367162629303891213141518[[#This Row],[累计净值]]-1.129)/1.129)</f>
        <v>2.3560673162090366E-2</v>
      </c>
    </row>
    <row r="248" spans="1:8">
      <c r="A248" s="15">
        <v>44306</v>
      </c>
      <c r="B248" s="112">
        <v>1.167</v>
      </c>
      <c r="C248" s="108">
        <f t="shared" si="76"/>
        <v>0</v>
      </c>
      <c r="D248" s="109" t="str">
        <f t="shared" si="77"/>
        <v>/</v>
      </c>
      <c r="E248" s="109">
        <f ca="1">IF(表2_367162629303891213141518[[#This Row],[累计净值]]/MAX(INDIRECT("B21:B" &amp; ROW()))-1&lt;E247,表2_367162629303891213141518[[#This Row],[累计净值]]/MAX(INDIRECT("B21:B" &amp; ROW()))-1,E247)</f>
        <v>-2.2768670309654016E-2</v>
      </c>
      <c r="F248" s="110">
        <f>表2_367162629303891213141518[[#This Row],[累计净值]]-0.12</f>
        <v>1.0470000000000002</v>
      </c>
      <c r="G248" s="109">
        <f>IF(表2_367162629303891213141518[[#This Row],[累计净值]]&gt;1.087,0.7*(表2_367162629303891213141518[[#This Row],[累计净值]]-1.087)/1.087,(表2_367162629303891213141518[[#This Row],[累计净值]]-1.087)/1.087)</f>
        <v>5.1517939282428746E-2</v>
      </c>
      <c r="H248" s="109">
        <f>IF(表2_367162629303891213141518[[#This Row],[累计净值]]&gt;1.129,0.7*(表2_367162629303891213141518[[#This Row],[累计净值]]-1.129)/1.129,(表2_367162629303891213141518[[#This Row],[累计净值]]-1.129)/1.129)</f>
        <v>2.3560673162090366E-2</v>
      </c>
    </row>
    <row r="249" spans="1:8">
      <c r="A249" s="15">
        <v>44307</v>
      </c>
      <c r="B249" s="112">
        <v>1.159</v>
      </c>
      <c r="C249" s="108">
        <f t="shared" si="76"/>
        <v>-8.0000000000000071E-3</v>
      </c>
      <c r="D249" s="109">
        <f t="shared" si="77"/>
        <v>-8.0000000000000071E-3</v>
      </c>
      <c r="E249" s="109">
        <f ca="1">IF(表2_367162629303891213141518[[#This Row],[累计净值]]/MAX(INDIRECT("B21:B" &amp; ROW()))-1&lt;E248,表2_367162629303891213141518[[#This Row],[累计净值]]/MAX(INDIRECT("B21:B" &amp; ROW()))-1,E248)</f>
        <v>-2.2768670309654016E-2</v>
      </c>
      <c r="F249" s="110">
        <f>表2_367162629303891213141518[[#This Row],[累计净值]]-0.12</f>
        <v>1.0390000000000001</v>
      </c>
      <c r="G249" s="109">
        <f>IF(表2_367162629303891213141518[[#This Row],[累计净值]]&gt;1.087,0.7*(表2_367162629303891213141518[[#This Row],[累计净值]]-1.087)/1.087,(表2_367162629303891213141518[[#This Row],[累计净值]]-1.087)/1.087)</f>
        <v>4.6366145354185873E-2</v>
      </c>
      <c r="H249" s="109">
        <f>IF(表2_367162629303891213141518[[#This Row],[累计净值]]&gt;1.129,0.7*(表2_367162629303891213141518[[#This Row],[累计净值]]-1.129)/1.129,(表2_367162629303891213141518[[#This Row],[累计净值]]-1.129)/1.129)</f>
        <v>1.8600531443755553E-2</v>
      </c>
    </row>
    <row r="250" spans="1:8">
      <c r="A250" s="15">
        <v>44308</v>
      </c>
      <c r="B250" s="112">
        <v>1.1619999999999999</v>
      </c>
      <c r="C250" s="108">
        <f t="shared" si="76"/>
        <v>2.9999999999998916E-3</v>
      </c>
      <c r="D250" s="109" t="str">
        <f t="shared" si="77"/>
        <v>/</v>
      </c>
      <c r="E250" s="109">
        <f ca="1">IF(表2_367162629303891213141518[[#This Row],[累计净值]]/MAX(INDIRECT("B21:B" &amp; ROW()))-1&lt;E249,表2_367162629303891213141518[[#This Row],[累计净值]]/MAX(INDIRECT("B21:B" &amp; ROW()))-1,E249)</f>
        <v>-2.2768670309654016E-2</v>
      </c>
      <c r="F250" s="110">
        <f>表2_367162629303891213141518[[#This Row],[累计净值]]-0.12</f>
        <v>1.0419999999999998</v>
      </c>
      <c r="G250" s="109">
        <f>IF(表2_367162629303891213141518[[#This Row],[累计净值]]&gt;1.087,0.7*(表2_367162629303891213141518[[#This Row],[累计净值]]-1.087)/1.087,(表2_367162629303891213141518[[#This Row],[累计净值]]-1.087)/1.087)</f>
        <v>4.8298068077276879E-2</v>
      </c>
      <c r="H250" s="109">
        <f>IF(表2_367162629303891213141518[[#This Row],[累计净值]]&gt;1.129,0.7*(表2_367162629303891213141518[[#This Row],[累计净值]]-1.129)/1.129,(表2_367162629303891213141518[[#This Row],[累计净值]]-1.129)/1.129)</f>
        <v>2.0460584588131037E-2</v>
      </c>
    </row>
    <row r="251" spans="1:8">
      <c r="A251" s="15">
        <v>44309</v>
      </c>
      <c r="B251" s="112">
        <v>1.1619999999999999</v>
      </c>
      <c r="C251" s="108">
        <f t="shared" si="76"/>
        <v>0</v>
      </c>
      <c r="D251" s="109" t="str">
        <f t="shared" si="77"/>
        <v>/</v>
      </c>
      <c r="E251" s="109">
        <f ca="1">IF(表2_367162629303891213141518[[#This Row],[累计净值]]/MAX(INDIRECT("B21:B" &amp; ROW()))-1&lt;E250,表2_367162629303891213141518[[#This Row],[累计净值]]/MAX(INDIRECT("B21:B" &amp; ROW()))-1,E250)</f>
        <v>-2.2768670309654016E-2</v>
      </c>
      <c r="F251" s="110">
        <f>表2_367162629303891213141518[[#This Row],[累计净值]]-0.12</f>
        <v>1.0419999999999998</v>
      </c>
      <c r="G251" s="109">
        <f>IF(表2_367162629303891213141518[[#This Row],[累计净值]]&gt;1.087,0.7*(表2_367162629303891213141518[[#This Row],[累计净值]]-1.087)/1.087,(表2_367162629303891213141518[[#This Row],[累计净值]]-1.087)/1.087)</f>
        <v>4.8298068077276879E-2</v>
      </c>
      <c r="H251" s="109">
        <f>IF(表2_367162629303891213141518[[#This Row],[累计净值]]&gt;1.129,0.7*(表2_367162629303891213141518[[#This Row],[累计净值]]-1.129)/1.129,(表2_367162629303891213141518[[#This Row],[累计净值]]-1.129)/1.129)</f>
        <v>2.0460584588131037E-2</v>
      </c>
    </row>
    <row r="252" spans="1:8">
      <c r="A252" s="15">
        <v>44312</v>
      </c>
      <c r="B252" s="112">
        <v>1.161</v>
      </c>
      <c r="C252" s="108">
        <f t="shared" si="76"/>
        <v>-9.9999999999988987E-4</v>
      </c>
      <c r="D252" s="109">
        <f t="shared" si="77"/>
        <v>-9.9999999999988987E-4</v>
      </c>
      <c r="E252" s="109">
        <f ca="1">IF(表2_367162629303891213141518[[#This Row],[累计净值]]/MAX(INDIRECT("B21:B" &amp; ROW()))-1&lt;E251,表2_367162629303891213141518[[#This Row],[累计净值]]/MAX(INDIRECT("B21:B" &amp; ROW()))-1,E251)</f>
        <v>-2.2768670309654016E-2</v>
      </c>
      <c r="F252" s="110">
        <f>表2_367162629303891213141518[[#This Row],[累计净值]]-0.12</f>
        <v>1.0409999999999999</v>
      </c>
      <c r="G252" s="109">
        <f>IF(表2_367162629303891213141518[[#This Row],[累计净值]]&gt;1.087,0.7*(表2_367162629303891213141518[[#This Row],[累计净值]]-1.087)/1.087,(表2_367162629303891213141518[[#This Row],[累计净值]]-1.087)/1.087)</f>
        <v>4.7654093836246587E-2</v>
      </c>
      <c r="H252" s="109">
        <f>IF(表2_367162629303891213141518[[#This Row],[累计净值]]&gt;1.129,0.7*(表2_367162629303891213141518[[#This Row],[累计净值]]-1.129)/1.129,(表2_367162629303891213141518[[#This Row],[累计净值]]-1.129)/1.129)</f>
        <v>1.9840566873339252E-2</v>
      </c>
    </row>
    <row r="253" spans="1:8">
      <c r="A253" s="15">
        <v>44313</v>
      </c>
      <c r="B253" s="112">
        <v>1.1599999999999999</v>
      </c>
      <c r="C253" s="108">
        <f t="shared" ref="C253:C254" si="78">IFERROR(B253-B252,0)</f>
        <v>-1.0000000000001119E-3</v>
      </c>
      <c r="D253" s="109">
        <f t="shared" ref="D253:D254" si="79">IF(C253&lt;0,C253,"/")</f>
        <v>-1.0000000000001119E-3</v>
      </c>
      <c r="E253" s="109">
        <f ca="1">IF(表2_367162629303891213141518[[#This Row],[累计净值]]/MAX(INDIRECT("B21:B" &amp; ROW()))-1&lt;E252,表2_367162629303891213141518[[#This Row],[累计净值]]/MAX(INDIRECT("B21:B" &amp; ROW()))-1,E252)</f>
        <v>-2.2768670309654016E-2</v>
      </c>
      <c r="F253" s="110">
        <f>表2_367162629303891213141518[[#This Row],[累计净值]]-0.12</f>
        <v>1.04</v>
      </c>
      <c r="G253" s="109">
        <f>IF(表2_367162629303891213141518[[#This Row],[累计净值]]&gt;1.087,0.7*(表2_367162629303891213141518[[#This Row],[累计净值]]-1.087)/1.087,(表2_367162629303891213141518[[#This Row],[累计净值]]-1.087)/1.087)</f>
        <v>4.7010119595216157E-2</v>
      </c>
      <c r="H253" s="109">
        <f>IF(表2_367162629303891213141518[[#This Row],[累计净值]]&gt;1.129,0.7*(表2_367162629303891213141518[[#This Row],[累计净值]]-1.129)/1.129,(表2_367162629303891213141518[[#This Row],[累计净值]]-1.129)/1.129)</f>
        <v>1.9220549158547335E-2</v>
      </c>
    </row>
    <row r="254" spans="1:8">
      <c r="A254" s="15">
        <v>44314</v>
      </c>
      <c r="B254" s="112">
        <v>1.157</v>
      </c>
      <c r="C254" s="108">
        <f t="shared" si="78"/>
        <v>-2.9999999999998916E-3</v>
      </c>
      <c r="D254" s="109">
        <f t="shared" si="79"/>
        <v>-2.9999999999998916E-3</v>
      </c>
      <c r="E254" s="109">
        <f ca="1">IF(表2_367162629303891213141518[[#This Row],[累计净值]]/MAX(INDIRECT("B21:B" &amp; ROW()))-1&lt;E253,表2_367162629303891213141518[[#This Row],[累计净值]]/MAX(INDIRECT("B21:B" &amp; ROW()))-1,E253)</f>
        <v>-2.2768670309654016E-2</v>
      </c>
      <c r="F254" s="110">
        <f>表2_367162629303891213141518[[#This Row],[累计净值]]-0.12</f>
        <v>1.0369999999999999</v>
      </c>
      <c r="G254" s="109">
        <f>IF(表2_367162629303891213141518[[#This Row],[累计净值]]&gt;1.087,0.7*(表2_367162629303891213141518[[#This Row],[累计净值]]-1.087)/1.087,(表2_367162629303891213141518[[#This Row],[累计净值]]-1.087)/1.087)</f>
        <v>4.5078196872125158E-2</v>
      </c>
      <c r="H254" s="109">
        <f>IF(表2_367162629303891213141518[[#This Row],[累计净值]]&gt;1.129,0.7*(表2_367162629303891213141518[[#This Row],[累计净值]]-1.129)/1.129,(表2_367162629303891213141518[[#This Row],[累计净值]]-1.129)/1.129)</f>
        <v>1.7360496014171847E-2</v>
      </c>
    </row>
    <row r="255" spans="1:8">
      <c r="A255" s="15">
        <v>44315</v>
      </c>
      <c r="B255" s="112">
        <v>1.155</v>
      </c>
      <c r="C255" s="108">
        <f t="shared" ref="C255:C256" si="80">IFERROR(B255-B254,0)</f>
        <v>-2.0000000000000018E-3</v>
      </c>
      <c r="D255" s="109">
        <f t="shared" ref="D255:D256" si="81">IF(C255&lt;0,C255,"/")</f>
        <v>-2.0000000000000018E-3</v>
      </c>
      <c r="E255" s="109">
        <f ca="1">IF(表2_367162629303891213141518[[#This Row],[累计净值]]/MAX(INDIRECT("B21:B" &amp; ROW()))-1&lt;E254,表2_367162629303891213141518[[#This Row],[累计净值]]/MAX(INDIRECT("B21:B" &amp; ROW()))-1,E254)</f>
        <v>-2.2768670309654016E-2</v>
      </c>
      <c r="F255" s="110">
        <f>表2_367162629303891213141518[[#This Row],[累计净值]]-0.12</f>
        <v>1.0350000000000001</v>
      </c>
      <c r="G255" s="109">
        <f>IF(表2_367162629303891213141518[[#This Row],[累计净值]]&gt;1.087,0.7*(表2_367162629303891213141518[[#This Row],[累计净值]]-1.087)/1.087,(表2_367162629303891213141518[[#This Row],[累计净值]]-1.087)/1.087)</f>
        <v>4.3790248390064436E-2</v>
      </c>
      <c r="H255" s="109">
        <f>IF(表2_367162629303891213141518[[#This Row],[累计净值]]&gt;1.129,0.7*(表2_367162629303891213141518[[#This Row],[累计净值]]-1.129)/1.129,(表2_367162629303891213141518[[#This Row],[累计净值]]-1.129)/1.129)</f>
        <v>1.6120460584588145E-2</v>
      </c>
    </row>
    <row r="256" spans="1:8">
      <c r="A256" s="15">
        <v>44316</v>
      </c>
      <c r="B256" s="112">
        <v>1.1519999999999999</v>
      </c>
      <c r="C256" s="108">
        <f t="shared" si="80"/>
        <v>-3.0000000000001137E-3</v>
      </c>
      <c r="D256" s="109">
        <f t="shared" si="81"/>
        <v>-3.0000000000001137E-3</v>
      </c>
      <c r="E256" s="109">
        <f ca="1">IF(表2_367162629303891213141518[[#This Row],[累计净值]]/MAX(INDIRECT("B21:B" &amp; ROW()))-1&lt;E255,表2_367162629303891213141518[[#This Row],[累计净值]]/MAX(INDIRECT("B21:B" &amp; ROW()))-1,E255)</f>
        <v>-2.3728813559322104E-2</v>
      </c>
      <c r="F256" s="110">
        <f>表2_367162629303891213141518[[#This Row],[累计净值]]-0.12</f>
        <v>1.032</v>
      </c>
      <c r="G256" s="109">
        <f>IF(表2_367162629303891213141518[[#This Row],[累计净值]]&gt;1.087,0.7*(表2_367162629303891213141518[[#This Row],[累计净值]]-1.087)/1.087,(表2_367162629303891213141518[[#This Row],[累计净值]]-1.087)/1.087)</f>
        <v>4.1858325666973284E-2</v>
      </c>
      <c r="H256" s="109">
        <f>IF(表2_367162629303891213141518[[#This Row],[累计净值]]&gt;1.129,0.7*(表2_367162629303891213141518[[#This Row],[累计净值]]-1.129)/1.129,(表2_367162629303891213141518[[#This Row],[累计净值]]-1.129)/1.129)</f>
        <v>1.4260407440212522E-2</v>
      </c>
    </row>
    <row r="257" spans="1:8">
      <c r="A257" s="15">
        <v>44322</v>
      </c>
      <c r="B257" s="112">
        <v>1.1499999999999999</v>
      </c>
      <c r="C257" s="108">
        <f t="shared" ref="C257:C262" si="82">IFERROR(B257-B256,0)</f>
        <v>-2.0000000000000018E-3</v>
      </c>
      <c r="D257" s="109">
        <f t="shared" ref="D257:D262" si="83">IF(C257&lt;0,C257,"/")</f>
        <v>-2.0000000000000018E-3</v>
      </c>
      <c r="E257" s="109">
        <f ca="1">IF(表2_367162629303891213141518[[#This Row],[累计净值]]/MAX(INDIRECT("B21:B" &amp; ROW()))-1&lt;E256,表2_367162629303891213141518[[#This Row],[累计净值]]/MAX(INDIRECT("B21:B" &amp; ROW()))-1,E256)</f>
        <v>-2.5423728813559365E-2</v>
      </c>
      <c r="F257" s="110">
        <f>表2_367162629303891213141518[[#This Row],[累计净值]]-0.12</f>
        <v>1.0299999999999998</v>
      </c>
      <c r="G257" s="109">
        <f>IF(表2_367162629303891213141518[[#This Row],[累计净值]]&gt;1.087,0.7*(表2_367162629303891213141518[[#This Row],[累计净值]]-1.087)/1.087,(表2_367162629303891213141518[[#This Row],[累计净值]]-1.087)/1.087)</f>
        <v>4.0570377184912569E-2</v>
      </c>
      <c r="H257" s="109">
        <f>IF(表2_367162629303891213141518[[#This Row],[累计净值]]&gt;1.129,0.7*(表2_367162629303891213141518[[#This Row],[累计净值]]-1.129)/1.129,(表2_367162629303891213141518[[#This Row],[累计净值]]-1.129)/1.129)</f>
        <v>1.3020372010628816E-2</v>
      </c>
    </row>
    <row r="258" spans="1:8">
      <c r="A258" s="15">
        <v>44323</v>
      </c>
      <c r="B258" s="112">
        <v>1.1499999999999999</v>
      </c>
      <c r="C258" s="108">
        <f t="shared" si="82"/>
        <v>0</v>
      </c>
      <c r="D258" s="109" t="str">
        <f t="shared" si="83"/>
        <v>/</v>
      </c>
      <c r="E258" s="109">
        <f ca="1">IF(表2_367162629303891213141518[[#This Row],[累计净值]]/MAX(INDIRECT("B21:B" &amp; ROW()))-1&lt;E257,表2_367162629303891213141518[[#This Row],[累计净值]]/MAX(INDIRECT("B21:B" &amp; ROW()))-1,E257)</f>
        <v>-2.5423728813559365E-2</v>
      </c>
      <c r="F258" s="110">
        <f>表2_367162629303891213141518[[#This Row],[累计净值]]-0.12</f>
        <v>1.0299999999999998</v>
      </c>
      <c r="G258" s="109">
        <f>IF(表2_367162629303891213141518[[#This Row],[累计净值]]&gt;1.087,0.7*(表2_367162629303891213141518[[#This Row],[累计净值]]-1.087)/1.087,(表2_367162629303891213141518[[#This Row],[累计净值]]-1.087)/1.087)</f>
        <v>4.0570377184912569E-2</v>
      </c>
      <c r="H258" s="109">
        <f>IF(表2_367162629303891213141518[[#This Row],[累计净值]]&gt;1.129,0.7*(表2_367162629303891213141518[[#This Row],[累计净值]]-1.129)/1.129,(表2_367162629303891213141518[[#This Row],[累计净值]]-1.129)/1.129)</f>
        <v>1.3020372010628816E-2</v>
      </c>
    </row>
    <row r="259" spans="1:8">
      <c r="A259" s="15">
        <v>44326</v>
      </c>
      <c r="B259" s="112">
        <v>1.147</v>
      </c>
      <c r="C259" s="108">
        <f t="shared" si="82"/>
        <v>-2.9999999999998916E-3</v>
      </c>
      <c r="D259" s="109">
        <f t="shared" si="83"/>
        <v>-2.9999999999998916E-3</v>
      </c>
      <c r="E259" s="109">
        <f ca="1">IF(表2_367162629303891213141518[[#This Row],[累计净值]]/MAX(INDIRECT("B21:B" &amp; ROW()))-1&lt;E258,表2_367162629303891213141518[[#This Row],[累计净值]]/MAX(INDIRECT("B21:B" &amp; ROW()))-1,E258)</f>
        <v>-2.7966101694915202E-2</v>
      </c>
      <c r="F259" s="110">
        <f>表2_367162629303891213141518[[#This Row],[累计净值]]-0.12</f>
        <v>1.0270000000000001</v>
      </c>
      <c r="G259" s="109">
        <f>IF(表2_367162629303891213141518[[#This Row],[累计净值]]&gt;1.087,0.7*(表2_367162629303891213141518[[#This Row],[累计净值]]-1.087)/1.087,(表2_367162629303891213141518[[#This Row],[累计净值]]-1.087)/1.087)</f>
        <v>3.8638454461821563E-2</v>
      </c>
      <c r="H259" s="109">
        <f>IF(表2_367162629303891213141518[[#This Row],[累计净值]]&gt;1.129,0.7*(表2_367162629303891213141518[[#This Row],[累计净值]]-1.129)/1.129,(表2_367162629303891213141518[[#This Row],[累计净值]]-1.129)/1.129)</f>
        <v>1.116031886625333E-2</v>
      </c>
    </row>
    <row r="260" spans="1:8">
      <c r="A260" s="15">
        <v>44327</v>
      </c>
      <c r="B260" s="112">
        <v>1.147</v>
      </c>
      <c r="C260" s="108">
        <f t="shared" si="82"/>
        <v>0</v>
      </c>
      <c r="D260" s="109" t="str">
        <f t="shared" si="83"/>
        <v>/</v>
      </c>
      <c r="E260" s="109">
        <f ca="1">IF(表2_367162629303891213141518[[#This Row],[累计净值]]/MAX(INDIRECT("B21:B" &amp; ROW()))-1&lt;E259,表2_367162629303891213141518[[#This Row],[累计净值]]/MAX(INDIRECT("B21:B" &amp; ROW()))-1,E259)</f>
        <v>-2.7966101694915202E-2</v>
      </c>
      <c r="F260" s="110">
        <f>表2_367162629303891213141518[[#This Row],[累计净值]]-0.12</f>
        <v>1.0270000000000001</v>
      </c>
      <c r="G260" s="109">
        <f>IF(表2_367162629303891213141518[[#This Row],[累计净值]]&gt;1.087,0.7*(表2_367162629303891213141518[[#This Row],[累计净值]]-1.087)/1.087,(表2_367162629303891213141518[[#This Row],[累计净值]]-1.087)/1.087)</f>
        <v>3.8638454461821563E-2</v>
      </c>
      <c r="H260" s="109">
        <f>IF(表2_367162629303891213141518[[#This Row],[累计净值]]&gt;1.129,0.7*(表2_367162629303891213141518[[#This Row],[累计净值]]-1.129)/1.129,(表2_367162629303891213141518[[#This Row],[累计净值]]-1.129)/1.129)</f>
        <v>1.116031886625333E-2</v>
      </c>
    </row>
    <row r="261" spans="1:8">
      <c r="A261" s="15">
        <v>44328</v>
      </c>
      <c r="B261" s="112">
        <v>1.1479999999999999</v>
      </c>
      <c r="C261" s="108">
        <f t="shared" si="82"/>
        <v>9.9999999999988987E-4</v>
      </c>
      <c r="D261" s="109" t="str">
        <f t="shared" si="83"/>
        <v>/</v>
      </c>
      <c r="E261" s="109">
        <f ca="1">IF(表2_367162629303891213141518[[#This Row],[累计净值]]/MAX(INDIRECT("B21:B" &amp; ROW()))-1&lt;E260,表2_367162629303891213141518[[#This Row],[累计净值]]/MAX(INDIRECT("B21:B" &amp; ROW()))-1,E260)</f>
        <v>-2.7966101694915202E-2</v>
      </c>
      <c r="F261" s="110">
        <f>表2_367162629303891213141518[[#This Row],[累计净值]]-0.12</f>
        <v>1.028</v>
      </c>
      <c r="G261" s="109">
        <f>IF(表2_367162629303891213141518[[#This Row],[累计净值]]&gt;1.087,0.7*(表2_367162629303891213141518[[#This Row],[累计净值]]-1.087)/1.087,(表2_367162629303891213141518[[#This Row],[累计净值]]-1.087)/1.087)</f>
        <v>3.9282428702851847E-2</v>
      </c>
      <c r="H261" s="109">
        <f>IF(表2_367162629303891213141518[[#This Row],[累计净值]]&gt;1.129,0.7*(表2_367162629303891213141518[[#This Row],[累计净值]]-1.129)/1.129,(表2_367162629303891213141518[[#This Row],[累计净值]]-1.129)/1.129)</f>
        <v>1.1780336581045114E-2</v>
      </c>
    </row>
    <row r="262" spans="1:8">
      <c r="A262" s="15">
        <v>44329</v>
      </c>
      <c r="B262" s="112">
        <v>1.147</v>
      </c>
      <c r="C262" s="108">
        <f t="shared" si="82"/>
        <v>-9.9999999999988987E-4</v>
      </c>
      <c r="D262" s="109">
        <f t="shared" si="83"/>
        <v>-9.9999999999988987E-4</v>
      </c>
      <c r="E262" s="109">
        <f ca="1">IF(表2_367162629303891213141518[[#This Row],[累计净值]]/MAX(INDIRECT("B21:B" &amp; ROW()))-1&lt;E261,表2_367162629303891213141518[[#This Row],[累计净值]]/MAX(INDIRECT("B21:B" &amp; ROW()))-1,E261)</f>
        <v>-2.7966101694915202E-2</v>
      </c>
      <c r="F262" s="110">
        <f>表2_367162629303891213141518[[#This Row],[累计净值]]-0.12</f>
        <v>1.0270000000000001</v>
      </c>
      <c r="G262" s="109">
        <f>IF(表2_367162629303891213141518[[#This Row],[累计净值]]&gt;1.087,0.7*(表2_367162629303891213141518[[#This Row],[累计净值]]-1.087)/1.087,(表2_367162629303891213141518[[#This Row],[累计净值]]-1.087)/1.087)</f>
        <v>3.8638454461821563E-2</v>
      </c>
      <c r="H262" s="109">
        <f>IF(表2_367162629303891213141518[[#This Row],[累计净值]]&gt;1.129,0.7*(表2_367162629303891213141518[[#This Row],[累计净值]]-1.129)/1.129,(表2_367162629303891213141518[[#This Row],[累计净值]]-1.129)/1.129)</f>
        <v>1.116031886625333E-2</v>
      </c>
    </row>
    <row r="263" spans="1:8">
      <c r="A263" s="15">
        <v>44330</v>
      </c>
      <c r="B263" s="112">
        <v>1.1419999999999999</v>
      </c>
      <c r="C263" s="108">
        <f>IFERROR(B263-B262,0)</f>
        <v>-5.0000000000001155E-3</v>
      </c>
      <c r="D263" s="109">
        <f>IF(C263&lt;0,C263,"/")</f>
        <v>-5.0000000000001155E-3</v>
      </c>
      <c r="E263" s="109">
        <f ca="1">IF(表2_367162629303891213141518[[#This Row],[累计净值]]/MAX(INDIRECT("B21:B" &amp; ROW()))-1&lt;E262,表2_367162629303891213141518[[#This Row],[累计净值]]/MAX(INDIRECT("B21:B" &amp; ROW()))-1,E262)</f>
        <v>-3.2203389830508522E-2</v>
      </c>
      <c r="F263" s="110">
        <f>表2_367162629303891213141518[[#This Row],[累计净值]]-0.12</f>
        <v>1.0219999999999998</v>
      </c>
      <c r="G263" s="109">
        <f>IF(表2_367162629303891213141518[[#This Row],[累计净值]]&gt;1.087,0.7*(表2_367162629303891213141518[[#This Row],[累计净值]]-1.087)/1.087,(表2_367162629303891213141518[[#This Row],[累计净值]]-1.087)/1.087)</f>
        <v>3.5418583256669689E-2</v>
      </c>
      <c r="H263" s="109">
        <f>IF(表2_367162629303891213141518[[#This Row],[累计净值]]&gt;1.129,0.7*(表2_367162629303891213141518[[#This Row],[累计净值]]-1.129)/1.129,(表2_367162629303891213141518[[#This Row],[累计净值]]-1.129)/1.129)</f>
        <v>8.0602302922940031E-3</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324"/>
  <sheetViews>
    <sheetView workbookViewId="0">
      <pane xSplit="1" ySplit="20" topLeftCell="B307" activePane="bottomRight" state="frozen"/>
      <selection pane="topRight" activeCell="B1" sqref="B1"/>
      <selection pane="bottomLeft" activeCell="A21" sqref="A21"/>
      <selection pane="bottomRight" activeCell="G323" sqref="G323:H324"/>
    </sheetView>
  </sheetViews>
  <sheetFormatPr baseColWidth="10" defaultColWidth="9" defaultRowHeight="15"/>
  <cols>
    <col min="1" max="1" width="11.6640625" style="120" bestFit="1" customWidth="1"/>
    <col min="2" max="2" width="13" style="120" customWidth="1"/>
    <col min="3" max="4" width="13.5" style="120" bestFit="1" customWidth="1"/>
    <col min="5" max="5" width="10.6640625" style="120" customWidth="1"/>
    <col min="6" max="6" width="11.1640625" style="120" customWidth="1"/>
    <col min="7" max="7" width="18.83203125" style="121" customWidth="1"/>
    <col min="8" max="8" width="9" style="120"/>
    <col min="9" max="9" width="14.1640625" style="120" customWidth="1"/>
    <col min="10" max="10" width="12" style="120" bestFit="1" customWidth="1"/>
    <col min="11" max="16384" width="9" style="120"/>
  </cols>
  <sheetData>
    <row r="1" spans="1:7" ht="16" thickBot="1"/>
    <row r="2" spans="1:7" ht="16" thickBot="1">
      <c r="A2" s="122" t="s">
        <v>0</v>
      </c>
      <c r="B2" s="123">
        <f>COUNT(表2_36716262930389121314153[每日盈亏])</f>
        <v>304</v>
      </c>
      <c r="C2" s="124"/>
      <c r="D2" s="125" t="s">
        <v>1</v>
      </c>
      <c r="E2" s="126"/>
      <c r="F2" s="120" t="s">
        <v>2</v>
      </c>
      <c r="G2" s="401" t="s">
        <v>3</v>
      </c>
    </row>
    <row r="3" spans="1:7">
      <c r="A3" s="127" t="s">
        <v>4</v>
      </c>
      <c r="B3" s="128">
        <f>COUNTIF(表2_36716262930389121314153[每日盈亏],"&gt;0")</f>
        <v>140</v>
      </c>
      <c r="C3" s="129"/>
      <c r="D3" s="130" t="s">
        <v>5</v>
      </c>
      <c r="E3" s="131">
        <f>245^0.5*(B10-0.025/365)/E10</f>
        <v>3.5779886314145517</v>
      </c>
      <c r="G3" s="401"/>
    </row>
    <row r="4" spans="1:7">
      <c r="A4" s="127" t="s">
        <v>6</v>
      </c>
      <c r="B4" s="128">
        <f>COUNTIF(表2_36716262930389121314153[每日盈亏],"&lt;0")</f>
        <v>79</v>
      </c>
      <c r="C4" s="129"/>
      <c r="D4" s="132" t="s">
        <v>7</v>
      </c>
      <c r="E4" s="131">
        <f ca="1">-B9/E8</f>
        <v>10.361095988350693</v>
      </c>
      <c r="G4" s="121">
        <f>LOOKUP(999^10,表2_36716262930389121314153[累计净值])</f>
        <v>1.17</v>
      </c>
    </row>
    <row r="5" spans="1:7">
      <c r="A5" s="127" t="s">
        <v>8</v>
      </c>
      <c r="B5" s="128">
        <f>B2-B3-B4</f>
        <v>85</v>
      </c>
      <c r="C5" s="129"/>
      <c r="D5" s="133" t="s">
        <v>9</v>
      </c>
      <c r="E5" s="134">
        <f>245^0.5*(B10-0.025/365)/E9</f>
        <v>6.6022037300936098</v>
      </c>
    </row>
    <row r="6" spans="1:7" ht="16" thickBot="1">
      <c r="A6" s="135"/>
      <c r="B6" s="136"/>
      <c r="C6" s="136"/>
      <c r="D6" s="136"/>
      <c r="E6" s="137"/>
    </row>
    <row r="7" spans="1:7" ht="16" thickBot="1">
      <c r="A7" s="138" t="s">
        <v>10</v>
      </c>
      <c r="B7" s="136"/>
      <c r="C7" s="136"/>
      <c r="D7" s="125" t="s">
        <v>11</v>
      </c>
      <c r="E7" s="139"/>
    </row>
    <row r="8" spans="1:7">
      <c r="A8" s="140" t="s">
        <v>12</v>
      </c>
      <c r="B8" s="141">
        <f>LOOKUP(999^10,表2_36716262930389121314153[累计净值])/$B$21-1</f>
        <v>0.16650049850448667</v>
      </c>
      <c r="C8" s="142"/>
      <c r="D8" s="130" t="s">
        <v>13</v>
      </c>
      <c r="E8" s="143">
        <f ca="1">MIN(表2_36716262930389121314153[最大回撤])</f>
        <v>-1.2950971322849281E-2</v>
      </c>
    </row>
    <row r="9" spans="1:7">
      <c r="A9" s="127" t="s">
        <v>14</v>
      </c>
      <c r="B9" s="132">
        <f>B8*245/B2</f>
        <v>0.13418625701841855</v>
      </c>
      <c r="C9" s="142"/>
      <c r="D9" s="133" t="s">
        <v>15</v>
      </c>
      <c r="E9" s="144">
        <f>STDEV(表2_36716262930389121314153[下跌幅度])</f>
        <v>1.1477932766996803E-3</v>
      </c>
    </row>
    <row r="10" spans="1:7">
      <c r="A10" s="145" t="s">
        <v>16</v>
      </c>
      <c r="B10" s="146">
        <f>AVERAGE(表2_36716262930389121314153[每日盈亏])</f>
        <v>5.5263157894736817E-4</v>
      </c>
      <c r="C10" s="147"/>
      <c r="D10" s="133" t="s">
        <v>17</v>
      </c>
      <c r="E10" s="144">
        <f>STDEV(表2_36716262930389121314153[每日盈亏])</f>
        <v>2.1179399471168976E-3</v>
      </c>
    </row>
    <row r="11" spans="1:7">
      <c r="A11" s="148" t="s">
        <v>18</v>
      </c>
      <c r="B11" s="132">
        <f>B3/B2</f>
        <v>0.46052631578947367</v>
      </c>
      <c r="C11" s="142"/>
      <c r="D11" s="132" t="s">
        <v>19</v>
      </c>
      <c r="E11" s="143">
        <f>245^0.5*E10</f>
        <v>3.3151003858109852E-2</v>
      </c>
    </row>
    <row r="12" spans="1:7" ht="16" thickBot="1">
      <c r="A12" s="149" t="s">
        <v>20</v>
      </c>
      <c r="B12" s="150">
        <f>-(SUMIF(表2_36716262930389121314153[每日盈亏],"&gt;=0")/B3)/(SUMIF(表2_36716262930389121314153[每日盈亏],"&lt;0")/B4)</f>
        <v>1.2318913480885325</v>
      </c>
      <c r="C12" s="151"/>
      <c r="D12" s="152"/>
      <c r="E12" s="153"/>
    </row>
    <row r="14" spans="1:7" ht="32">
      <c r="A14" s="154" t="s">
        <v>21</v>
      </c>
      <c r="B14" s="154" t="s">
        <v>14</v>
      </c>
      <c r="C14" s="155" t="s">
        <v>19</v>
      </c>
      <c r="D14" s="155" t="s">
        <v>13</v>
      </c>
      <c r="E14" s="155" t="s">
        <v>5</v>
      </c>
      <c r="F14" s="155" t="s">
        <v>7</v>
      </c>
    </row>
    <row r="15" spans="1:7">
      <c r="A15" s="156">
        <f>B2</f>
        <v>304</v>
      </c>
      <c r="B15" s="157">
        <f>B9</f>
        <v>0.13418625701841855</v>
      </c>
      <c r="C15" s="157">
        <f>E11</f>
        <v>3.3151003858109852E-2</v>
      </c>
      <c r="D15" s="157">
        <f ca="1">E8</f>
        <v>-1.2950971322849281E-2</v>
      </c>
      <c r="E15" s="158">
        <f>E3</f>
        <v>3.5779886314145517</v>
      </c>
      <c r="F15" s="158">
        <f ca="1">E4</f>
        <v>10.361095988350693</v>
      </c>
    </row>
    <row r="19" spans="1:8">
      <c r="A19" s="159"/>
      <c r="B19" s="120" t="s">
        <v>22</v>
      </c>
    </row>
    <row r="20" spans="1:8" ht="16">
      <c r="A20" s="160" t="s">
        <v>23</v>
      </c>
      <c r="B20" s="160" t="s">
        <v>24</v>
      </c>
      <c r="C20" s="160" t="s">
        <v>25</v>
      </c>
      <c r="D20" s="160" t="s">
        <v>26</v>
      </c>
      <c r="E20" s="160" t="s">
        <v>27</v>
      </c>
      <c r="F20" s="160" t="s">
        <v>28</v>
      </c>
      <c r="G20" s="160" t="s">
        <v>29</v>
      </c>
      <c r="H20" s="160" t="s">
        <v>35</v>
      </c>
    </row>
    <row r="21" spans="1:8">
      <c r="A21" s="161">
        <v>43878</v>
      </c>
      <c r="B21" s="162">
        <v>1.0029999999999999</v>
      </c>
      <c r="C21" s="163">
        <f>IFERROR(B21-B20,0)</f>
        <v>0</v>
      </c>
      <c r="D21" s="164" t="str">
        <f t="shared" ref="D21:D61" si="0">IF(C21&lt;0,C21,"/")</f>
        <v>/</v>
      </c>
      <c r="E21" s="164">
        <f ca="1">IF(表2_36716262930389121314153[[#This Row],[累计净值]]/MAX(INDIRECT("B21:B" &amp; ROW()))-1&lt;E20,表2_36716262930389121314153[[#This Row],[累计净值]]/MAX(INDIRECT("B21:B" &amp; ROW()))-1,E20)</f>
        <v>0</v>
      </c>
      <c r="F21" s="165">
        <f>表2_36716262930389121314153[[#This Row],[累计净值]]</f>
        <v>1.0029999999999999</v>
      </c>
      <c r="G21" s="166" t="s">
        <v>30</v>
      </c>
    </row>
    <row r="22" spans="1:8">
      <c r="A22" s="161">
        <v>43879</v>
      </c>
      <c r="B22" s="162">
        <v>1.004</v>
      </c>
      <c r="C22" s="167">
        <f>IFERROR(B22-B21,0)</f>
        <v>1.0000000000001119E-3</v>
      </c>
      <c r="D22" s="168" t="str">
        <f t="shared" si="0"/>
        <v>/</v>
      </c>
      <c r="E22" s="168">
        <f ca="1">IF(表2_36716262930389121314153[[#This Row],[累计净值]]/MAX(INDIRECT("B21:B" &amp; ROW()))-1&lt;E21,表2_36716262930389121314153[[#This Row],[累计净值]]/MAX(INDIRECT("B21:B" &amp; ROW()))-1,E21)</f>
        <v>0</v>
      </c>
      <c r="F22" s="169">
        <f>表2_36716262930389121314153[[#This Row],[累计净值]]</f>
        <v>1.004</v>
      </c>
      <c r="G22" s="170">
        <f>表2_36716262930389121314153[[#This Row],[累计净值]]/$B$21-1</f>
        <v>9.9700897308085956E-4</v>
      </c>
    </row>
    <row r="23" spans="1:8">
      <c r="A23" s="161">
        <v>43880</v>
      </c>
      <c r="B23" s="162">
        <v>1.004</v>
      </c>
      <c r="C23" s="171">
        <f>IFERROR(B23-B22,0)</f>
        <v>0</v>
      </c>
      <c r="D23" s="168" t="str">
        <f t="shared" si="0"/>
        <v>/</v>
      </c>
      <c r="E23" s="168">
        <f ca="1">IF(表2_36716262930389121314153[[#This Row],[累计净值]]/MAX(INDIRECT("B21:B" &amp; ROW()))-1&lt;E22,表2_36716262930389121314153[[#This Row],[累计净值]]/MAX(INDIRECT("B21:B" &amp; ROW()))-1,E22)</f>
        <v>0</v>
      </c>
      <c r="F23" s="172">
        <f>表2_36716262930389121314153[[#This Row],[累计净值]]</f>
        <v>1.004</v>
      </c>
      <c r="G23" s="170">
        <f>表2_36716262930389121314153[[#This Row],[累计净值]]/$B$21-1</f>
        <v>9.9700897308085956E-4</v>
      </c>
    </row>
    <row r="24" spans="1:8">
      <c r="A24" s="161">
        <v>43881</v>
      </c>
      <c r="B24" s="162">
        <v>1.0049999999999999</v>
      </c>
      <c r="C24" s="171">
        <f>IFERROR(B24-B23,0)</f>
        <v>9.9999999999988987E-4</v>
      </c>
      <c r="D24" s="168" t="str">
        <f t="shared" si="0"/>
        <v>/</v>
      </c>
      <c r="E24" s="168">
        <f ca="1">IF(表2_36716262930389121314153[[#This Row],[累计净值]]/MAX(INDIRECT("B21:B" &amp; ROW()))-1&lt;E23,表2_36716262930389121314153[[#This Row],[累计净值]]/MAX(INDIRECT("B21:B" &amp; ROW()))-1,E23)</f>
        <v>0</v>
      </c>
      <c r="F24" s="172">
        <f>表2_36716262930389121314153[[#This Row],[累计净值]]</f>
        <v>1.0049999999999999</v>
      </c>
      <c r="G24" s="170">
        <f>表2_36716262930389121314153[[#This Row],[累计净值]]/$B$21-1</f>
        <v>1.9940179461614971E-3</v>
      </c>
    </row>
    <row r="25" spans="1:8">
      <c r="A25" s="161">
        <v>43882</v>
      </c>
      <c r="B25" s="162">
        <v>1.0069999999999999</v>
      </c>
      <c r="C25" s="171">
        <f>IFERROR(B25-B24,0)</f>
        <v>2.0000000000000018E-3</v>
      </c>
      <c r="D25" s="168" t="str">
        <f t="shared" si="0"/>
        <v>/</v>
      </c>
      <c r="E25" s="168">
        <f ca="1">IF(表2_36716262930389121314153[[#This Row],[累计净值]]/MAX(INDIRECT("B21:B" &amp; ROW()))-1&lt;E24,表2_36716262930389121314153[[#This Row],[累计净值]]/MAX(INDIRECT("B21:B" &amp; ROW()))-1,E24)</f>
        <v>0</v>
      </c>
      <c r="F25" s="172">
        <f>表2_36716262930389121314153[[#This Row],[累计净值]]</f>
        <v>1.0069999999999999</v>
      </c>
      <c r="G25" s="170">
        <f>表2_36716262930389121314153[[#This Row],[累计净值]]/$B$21-1</f>
        <v>3.9880358923229942E-3</v>
      </c>
    </row>
    <row r="26" spans="1:8">
      <c r="A26" s="161">
        <v>43885</v>
      </c>
      <c r="B26" s="162">
        <v>1.006</v>
      </c>
      <c r="C26" s="171">
        <f>IFERROR(B26-#REF!,0)</f>
        <v>0</v>
      </c>
      <c r="D26" s="168" t="str">
        <f t="shared" si="0"/>
        <v>/</v>
      </c>
      <c r="E26" s="168">
        <f ca="1">IF(表2_36716262930389121314153[[#This Row],[累计净值]]/MAX(INDIRECT("B21:B" &amp; ROW()))-1&lt;E25,表2_36716262930389121314153[[#This Row],[累计净值]]/MAX(INDIRECT("B21:B" &amp; ROW()))-1,E25)</f>
        <v>-9.9304865938421027E-4</v>
      </c>
      <c r="F26" s="172">
        <f>表2_36716262930389121314153[[#This Row],[累计净值]]</f>
        <v>1.006</v>
      </c>
      <c r="G26" s="170">
        <f>表2_36716262930389121314153[[#This Row],[累计净值]]/$B$21-1</f>
        <v>2.9910269192423566E-3</v>
      </c>
    </row>
    <row r="27" spans="1:8">
      <c r="A27" s="161">
        <v>43886</v>
      </c>
      <c r="B27" s="162">
        <v>1.008</v>
      </c>
      <c r="C27" s="171">
        <f t="shared" ref="C27:C61" si="1">IFERROR(B27-B26,0)</f>
        <v>2.0000000000000018E-3</v>
      </c>
      <c r="D27" s="168" t="str">
        <f t="shared" si="0"/>
        <v>/</v>
      </c>
      <c r="E27" s="168">
        <f ca="1">IF(表2_36716262930389121314153[[#This Row],[累计净值]]/MAX(INDIRECT("B21:B" &amp; ROW()))-1&lt;E26,表2_36716262930389121314153[[#This Row],[累计净值]]/MAX(INDIRECT("B21:B" &amp; ROW()))-1,E26)</f>
        <v>-9.9304865938421027E-4</v>
      </c>
      <c r="F27" s="172">
        <f>表2_36716262930389121314153[[#This Row],[累计净值]]</f>
        <v>1.008</v>
      </c>
      <c r="G27" s="170">
        <f>表2_36716262930389121314153[[#This Row],[累计净值]]/$B$21-1</f>
        <v>4.9850448654038537E-3</v>
      </c>
    </row>
    <row r="28" spans="1:8">
      <c r="A28" s="161">
        <v>43887</v>
      </c>
      <c r="B28" s="162">
        <v>1.008</v>
      </c>
      <c r="C28" s="171">
        <f t="shared" si="1"/>
        <v>0</v>
      </c>
      <c r="D28" s="168" t="str">
        <f t="shared" si="0"/>
        <v>/</v>
      </c>
      <c r="E28" s="168">
        <f ca="1">IF(表2_36716262930389121314153[[#This Row],[累计净值]]/MAX(INDIRECT("B21:B" &amp; ROW()))-1&lt;E27,表2_36716262930389121314153[[#This Row],[累计净值]]/MAX(INDIRECT("B21:B" &amp; ROW()))-1,E27)</f>
        <v>-9.9304865938421027E-4</v>
      </c>
      <c r="F28" s="172">
        <f>表2_36716262930389121314153[[#This Row],[累计净值]]</f>
        <v>1.008</v>
      </c>
      <c r="G28" s="170">
        <f>表2_36716262930389121314153[[#This Row],[累计净值]]/$B$21-1</f>
        <v>4.9850448654038537E-3</v>
      </c>
    </row>
    <row r="29" spans="1:8">
      <c r="A29" s="161">
        <v>43888</v>
      </c>
      <c r="B29" s="162">
        <v>1.008</v>
      </c>
      <c r="C29" s="171">
        <f t="shared" si="1"/>
        <v>0</v>
      </c>
      <c r="D29" s="168" t="str">
        <f t="shared" si="0"/>
        <v>/</v>
      </c>
      <c r="E29" s="168">
        <f ca="1">IF(表2_36716262930389121314153[[#This Row],[累计净值]]/MAX(INDIRECT("B21:B" &amp; ROW()))-1&lt;E28,表2_36716262930389121314153[[#This Row],[累计净值]]/MAX(INDIRECT("B21:B" &amp; ROW()))-1,E28)</f>
        <v>-9.9304865938421027E-4</v>
      </c>
      <c r="F29" s="172">
        <f>表2_36716262930389121314153[[#This Row],[累计净值]]</f>
        <v>1.008</v>
      </c>
      <c r="G29" s="170">
        <f>表2_36716262930389121314153[[#This Row],[累计净值]]/$B$21-1</f>
        <v>4.9850448654038537E-3</v>
      </c>
    </row>
    <row r="30" spans="1:8">
      <c r="A30" s="161">
        <v>43889</v>
      </c>
      <c r="B30" s="162">
        <v>1.01</v>
      </c>
      <c r="C30" s="171">
        <f t="shared" si="1"/>
        <v>2.0000000000000018E-3</v>
      </c>
      <c r="D30" s="168" t="str">
        <f t="shared" si="0"/>
        <v>/</v>
      </c>
      <c r="E30" s="168">
        <f ca="1">IF(表2_36716262930389121314153[[#This Row],[累计净值]]/MAX(INDIRECT("B21:B" &amp; ROW()))-1&lt;E29,表2_36716262930389121314153[[#This Row],[累计净值]]/MAX(INDIRECT("B21:B" &amp; ROW()))-1,E29)</f>
        <v>-9.9304865938421027E-4</v>
      </c>
      <c r="F30" s="172">
        <f>表2_36716262930389121314153[[#This Row],[累计净值]]</f>
        <v>1.01</v>
      </c>
      <c r="G30" s="170">
        <f>表2_36716262930389121314153[[#This Row],[累计净值]]/$B$21-1</f>
        <v>6.9790628115653508E-3</v>
      </c>
    </row>
    <row r="31" spans="1:8">
      <c r="A31" s="161">
        <v>43892</v>
      </c>
      <c r="B31" s="162">
        <v>1.0089999999999999</v>
      </c>
      <c r="C31" s="171">
        <f t="shared" si="1"/>
        <v>-1.0000000000001119E-3</v>
      </c>
      <c r="D31" s="168">
        <f t="shared" si="0"/>
        <v>-1.0000000000001119E-3</v>
      </c>
      <c r="E31" s="168">
        <f ca="1">IF(表2_36716262930389121314153[[#This Row],[累计净值]]/MAX(INDIRECT("B21:B" &amp; ROW()))-1&lt;E30,表2_36716262930389121314153[[#This Row],[累计净值]]/MAX(INDIRECT("B21:B" &amp; ROW()))-1,E30)</f>
        <v>-9.9304865938421027E-4</v>
      </c>
      <c r="F31" s="172">
        <f>表2_36716262930389121314153[[#This Row],[累计净值]]</f>
        <v>1.0089999999999999</v>
      </c>
      <c r="G31" s="170">
        <f>表2_36716262930389121314153[[#This Row],[累计净值]]/$B$21-1</f>
        <v>5.9820538384844912E-3</v>
      </c>
    </row>
    <row r="32" spans="1:8">
      <c r="A32" s="161">
        <v>43893</v>
      </c>
      <c r="B32" s="162">
        <v>1.01</v>
      </c>
      <c r="C32" s="171">
        <f t="shared" si="1"/>
        <v>1.0000000000001119E-3</v>
      </c>
      <c r="D32" s="168" t="str">
        <f t="shared" si="0"/>
        <v>/</v>
      </c>
      <c r="E32" s="168">
        <f ca="1">IF(表2_36716262930389121314153[[#This Row],[累计净值]]/MAX(INDIRECT("B21:B" &amp; ROW()))-1&lt;E31,表2_36716262930389121314153[[#This Row],[累计净值]]/MAX(INDIRECT("B21:B" &amp; ROW()))-1,E31)</f>
        <v>-9.9304865938421027E-4</v>
      </c>
      <c r="F32" s="172">
        <f>表2_36716262930389121314153[[#This Row],[累计净值]]</f>
        <v>1.01</v>
      </c>
      <c r="G32" s="170">
        <f>表2_36716262930389121314153[[#This Row],[累计净值]]/$B$21-1</f>
        <v>6.9790628115653508E-3</v>
      </c>
    </row>
    <row r="33" spans="1:8">
      <c r="A33" s="161">
        <v>43894</v>
      </c>
      <c r="B33" s="162">
        <v>1.01</v>
      </c>
      <c r="C33" s="171">
        <f t="shared" si="1"/>
        <v>0</v>
      </c>
      <c r="D33" s="168" t="str">
        <f t="shared" si="0"/>
        <v>/</v>
      </c>
      <c r="E33" s="168">
        <f ca="1">IF(表2_36716262930389121314153[[#This Row],[累计净值]]/MAX(INDIRECT("B21:B" &amp; ROW()))-1&lt;E32,表2_36716262930389121314153[[#This Row],[累计净值]]/MAX(INDIRECT("B21:B" &amp; ROW()))-1,E32)</f>
        <v>-9.9304865938421027E-4</v>
      </c>
      <c r="F33" s="172">
        <f>表2_36716262930389121314153[[#This Row],[累计净值]]</f>
        <v>1.01</v>
      </c>
      <c r="G33" s="170">
        <f>表2_36716262930389121314153[[#This Row],[累计净值]]/$B$21-1</f>
        <v>6.9790628115653508E-3</v>
      </c>
    </row>
    <row r="34" spans="1:8">
      <c r="A34" s="161">
        <v>43895</v>
      </c>
      <c r="B34" s="162">
        <v>1.01</v>
      </c>
      <c r="C34" s="171">
        <f t="shared" si="1"/>
        <v>0</v>
      </c>
      <c r="D34" s="168" t="str">
        <f t="shared" si="0"/>
        <v>/</v>
      </c>
      <c r="E34" s="168">
        <f ca="1">IF(表2_36716262930389121314153[[#This Row],[累计净值]]/MAX(INDIRECT("B21:B" &amp; ROW()))-1&lt;E33,表2_36716262930389121314153[[#This Row],[累计净值]]/MAX(INDIRECT("B21:B" &amp; ROW()))-1,E33)</f>
        <v>-9.9304865938421027E-4</v>
      </c>
      <c r="F34" s="172">
        <f>表2_36716262930389121314153[[#This Row],[累计净值]]</f>
        <v>1.01</v>
      </c>
      <c r="G34" s="170">
        <f>表2_36716262930389121314153[[#This Row],[累计净值]]/$B$21-1</f>
        <v>6.9790628115653508E-3</v>
      </c>
    </row>
    <row r="35" spans="1:8">
      <c r="A35" s="173">
        <v>43896</v>
      </c>
      <c r="B35" s="174">
        <v>1.0109999999999999</v>
      </c>
      <c r="C35" s="175">
        <f t="shared" si="1"/>
        <v>9.9999999999988987E-4</v>
      </c>
      <c r="D35" s="164" t="str">
        <f t="shared" si="0"/>
        <v>/</v>
      </c>
      <c r="E35" s="164">
        <f ca="1">IF(表2_36716262930389121314153[[#This Row],[累计净值]]/MAX(INDIRECT("B21:B" &amp; ROW()))-1&lt;E34,表2_36716262930389121314153[[#This Row],[累计净值]]/MAX(INDIRECT("B21:B" &amp; ROW()))-1,E34)</f>
        <v>-9.9304865938421027E-4</v>
      </c>
      <c r="F35" s="176">
        <f>表2_36716262930389121314153[[#This Row],[累计净值]]</f>
        <v>1.0109999999999999</v>
      </c>
      <c r="G35" s="170">
        <f>表2_36716262930389121314153[[#This Row],[累计净值]]/$B$21-1</f>
        <v>7.9760717846459883E-3</v>
      </c>
      <c r="H35" s="177" t="s">
        <v>30</v>
      </c>
    </row>
    <row r="36" spans="1:8">
      <c r="A36" s="161">
        <v>43899</v>
      </c>
      <c r="B36" s="162">
        <v>1.012</v>
      </c>
      <c r="C36" s="171">
        <f t="shared" si="1"/>
        <v>1.0000000000001119E-3</v>
      </c>
      <c r="D36" s="168" t="str">
        <f t="shared" si="0"/>
        <v>/</v>
      </c>
      <c r="E36" s="168">
        <f ca="1">IF(表2_36716262930389121314153[[#This Row],[累计净值]]/MAX(INDIRECT("B21:B" &amp; ROW()))-1&lt;E35,表2_36716262930389121314153[[#This Row],[累计净值]]/MAX(INDIRECT("B21:B" &amp; ROW()))-1,E35)</f>
        <v>-9.9304865938421027E-4</v>
      </c>
      <c r="F36" s="172">
        <f>表2_36716262930389121314153[[#This Row],[累计净值]]</f>
        <v>1.012</v>
      </c>
      <c r="G36" s="170">
        <f>表2_36716262930389121314153[[#This Row],[累计净值]]/$B$21-1</f>
        <v>8.9730807577268479E-3</v>
      </c>
      <c r="H36" s="170">
        <f>表2_36716262930389121314153[[#This Row],[累计净值]]/$B$35-1</f>
        <v>9.8911968348192048E-4</v>
      </c>
    </row>
    <row r="37" spans="1:8">
      <c r="A37" s="161">
        <v>43900</v>
      </c>
      <c r="B37" s="162">
        <v>1.01</v>
      </c>
      <c r="C37" s="171">
        <f t="shared" si="1"/>
        <v>-2.0000000000000018E-3</v>
      </c>
      <c r="D37" s="168">
        <f t="shared" si="0"/>
        <v>-2.0000000000000018E-3</v>
      </c>
      <c r="E37" s="168">
        <f ca="1">IF(表2_36716262930389121314153[[#This Row],[累计净值]]/MAX(INDIRECT("B21:B" &amp; ROW()))-1&lt;E36,表2_36716262930389121314153[[#This Row],[累计净值]]/MAX(INDIRECT("B21:B" &amp; ROW()))-1,E36)</f>
        <v>-1.9762845849802257E-3</v>
      </c>
      <c r="F37" s="172">
        <f>表2_36716262930389121314153[[#This Row],[累计净值]]</f>
        <v>1.01</v>
      </c>
      <c r="G37" s="170">
        <f>表2_36716262930389121314153[[#This Row],[累计净值]]/$B$21-1</f>
        <v>6.9790628115653508E-3</v>
      </c>
      <c r="H37" s="170">
        <f>表2_36716262930389121314153[[#This Row],[累计净值]]/$B$35-1</f>
        <v>-9.8911968348158741E-4</v>
      </c>
    </row>
    <row r="38" spans="1:8">
      <c r="A38" s="161">
        <v>43901</v>
      </c>
      <c r="B38" s="162">
        <v>1.014</v>
      </c>
      <c r="C38" s="171">
        <f t="shared" si="1"/>
        <v>4.0000000000000036E-3</v>
      </c>
      <c r="D38" s="168" t="str">
        <f t="shared" si="0"/>
        <v>/</v>
      </c>
      <c r="E38" s="168">
        <f ca="1">IF(表2_36716262930389121314153[[#This Row],[累计净值]]/MAX(INDIRECT("B21:B" &amp; ROW()))-1&lt;E37,表2_36716262930389121314153[[#This Row],[累计净值]]/MAX(INDIRECT("B21:B" &amp; ROW()))-1,E37)</f>
        <v>-1.9762845849802257E-3</v>
      </c>
      <c r="F38" s="172">
        <f>表2_36716262930389121314153[[#This Row],[累计净值]]</f>
        <v>1.014</v>
      </c>
      <c r="G38" s="170">
        <f>表2_36716262930389121314153[[#This Row],[累计净值]]/$B$21-1</f>
        <v>1.0967098703888567E-2</v>
      </c>
      <c r="H38" s="170">
        <f>表2_36716262930389121314153[[#This Row],[累计净值]]/$B$35-1</f>
        <v>2.9673590504453173E-3</v>
      </c>
    </row>
    <row r="39" spans="1:8">
      <c r="A39" s="161">
        <v>43902</v>
      </c>
      <c r="B39" s="162">
        <v>1.014</v>
      </c>
      <c r="C39" s="171">
        <f t="shared" si="1"/>
        <v>0</v>
      </c>
      <c r="D39" s="168" t="str">
        <f t="shared" si="0"/>
        <v>/</v>
      </c>
      <c r="E39" s="168">
        <f ca="1">IF(表2_36716262930389121314153[[#This Row],[累计净值]]/MAX(INDIRECT("B21:B" &amp; ROW()))-1&lt;E38,表2_36716262930389121314153[[#This Row],[累计净值]]/MAX(INDIRECT("B21:B" &amp; ROW()))-1,E38)</f>
        <v>-1.9762845849802257E-3</v>
      </c>
      <c r="F39" s="172">
        <f>表2_36716262930389121314153[[#This Row],[累计净值]]</f>
        <v>1.014</v>
      </c>
      <c r="G39" s="170">
        <f>表2_36716262930389121314153[[#This Row],[累计净值]]/$B$21-1</f>
        <v>1.0967098703888567E-2</v>
      </c>
      <c r="H39" s="170">
        <f>表2_36716262930389121314153[[#This Row],[累计净值]]/$B$35-1</f>
        <v>2.9673590504453173E-3</v>
      </c>
    </row>
    <row r="40" spans="1:8">
      <c r="A40" s="161">
        <v>43903</v>
      </c>
      <c r="B40" s="162">
        <v>1.016</v>
      </c>
      <c r="C40" s="171">
        <f t="shared" si="1"/>
        <v>2.0000000000000018E-3</v>
      </c>
      <c r="D40" s="168" t="str">
        <f t="shared" si="0"/>
        <v>/</v>
      </c>
      <c r="E40" s="168">
        <f ca="1">IF(表2_36716262930389121314153[[#This Row],[累计净值]]/MAX(INDIRECT("B21:B" &amp; ROW()))-1&lt;E39,表2_36716262930389121314153[[#This Row],[累计净值]]/MAX(INDIRECT("B21:B" &amp; ROW()))-1,E39)</f>
        <v>-1.9762845849802257E-3</v>
      </c>
      <c r="F40" s="172">
        <f>表2_36716262930389121314153[[#This Row],[累计净值]]</f>
        <v>1.016</v>
      </c>
      <c r="G40" s="170">
        <f>表2_36716262930389121314153[[#This Row],[累计净值]]/$B$21-1</f>
        <v>1.2961116650050064E-2</v>
      </c>
      <c r="H40" s="170">
        <f>表2_36716262930389121314153[[#This Row],[累计净值]]/$B$35-1</f>
        <v>4.9455984174087142E-3</v>
      </c>
    </row>
    <row r="41" spans="1:8">
      <c r="A41" s="161">
        <v>43906</v>
      </c>
      <c r="B41" s="162">
        <v>1.0169999999999999</v>
      </c>
      <c r="C41" s="171">
        <f t="shared" si="1"/>
        <v>9.9999999999988987E-4</v>
      </c>
      <c r="D41" s="168" t="str">
        <f t="shared" si="0"/>
        <v>/</v>
      </c>
      <c r="E41" s="168">
        <f ca="1">IF(表2_36716262930389121314153[[#This Row],[累计净值]]/MAX(INDIRECT("B21:B" &amp; ROW()))-1&lt;E40,表2_36716262930389121314153[[#This Row],[累计净值]]/MAX(INDIRECT("B21:B" &amp; ROW()))-1,E40)</f>
        <v>-1.9762845849802257E-3</v>
      </c>
      <c r="F41" s="172">
        <f>表2_36716262930389121314153[[#This Row],[累计净值]]</f>
        <v>1.0169999999999999</v>
      </c>
      <c r="G41" s="170">
        <f>表2_36716262930389121314153[[#This Row],[累计净值]]/$B$21-1</f>
        <v>1.3958125623130702E-2</v>
      </c>
      <c r="H41" s="170">
        <f>表2_36716262930389121314153[[#This Row],[累计净值]]/$B$35-1</f>
        <v>5.9347181008901906E-3</v>
      </c>
    </row>
    <row r="42" spans="1:8">
      <c r="A42" s="161">
        <v>43907</v>
      </c>
      <c r="B42" s="162">
        <v>1.018</v>
      </c>
      <c r="C42" s="171">
        <f t="shared" si="1"/>
        <v>1.0000000000001119E-3</v>
      </c>
      <c r="D42" s="168" t="str">
        <f t="shared" si="0"/>
        <v>/</v>
      </c>
      <c r="E42" s="168">
        <f ca="1">IF(表2_36716262930389121314153[[#This Row],[累计净值]]/MAX(INDIRECT("B21:B" &amp; ROW()))-1&lt;E41,表2_36716262930389121314153[[#This Row],[累计净值]]/MAX(INDIRECT("B21:B" &amp; ROW()))-1,E41)</f>
        <v>-1.9762845849802257E-3</v>
      </c>
      <c r="F42" s="172">
        <f>表2_36716262930389121314153[[#This Row],[累计净值]]</f>
        <v>1.018</v>
      </c>
      <c r="G42" s="170">
        <f>表2_36716262930389121314153[[#This Row],[累计净值]]/$B$21-1</f>
        <v>1.4955134596211561E-2</v>
      </c>
      <c r="H42" s="170">
        <f>表2_36716262930389121314153[[#This Row],[累计净值]]/$B$35-1</f>
        <v>6.9238377843721111E-3</v>
      </c>
    </row>
    <row r="43" spans="1:8">
      <c r="A43" s="161">
        <v>43908</v>
      </c>
      <c r="B43" s="162">
        <v>1.0189999999999999</v>
      </c>
      <c r="C43" s="171">
        <f t="shared" si="1"/>
        <v>9.9999999999988987E-4</v>
      </c>
      <c r="D43" s="168" t="str">
        <f t="shared" si="0"/>
        <v>/</v>
      </c>
      <c r="E43" s="168">
        <f ca="1">IF(表2_36716262930389121314153[[#This Row],[累计净值]]/MAX(INDIRECT("B21:B" &amp; ROW()))-1&lt;E42,表2_36716262930389121314153[[#This Row],[累计净值]]/MAX(INDIRECT("B21:B" &amp; ROW()))-1,E42)</f>
        <v>-1.9762845849802257E-3</v>
      </c>
      <c r="F43" s="172">
        <f>表2_36716262930389121314153[[#This Row],[累计净值]]</f>
        <v>1.0189999999999999</v>
      </c>
      <c r="G43" s="170">
        <f>表2_36716262930389121314153[[#This Row],[累计净值]]/$B$21-1</f>
        <v>1.5952143569292199E-2</v>
      </c>
      <c r="H43" s="170">
        <f>表2_36716262930389121314153[[#This Row],[累计净值]]/$B$35-1</f>
        <v>7.9129574678535874E-3</v>
      </c>
    </row>
    <row r="44" spans="1:8">
      <c r="A44" s="161">
        <v>43909</v>
      </c>
      <c r="B44" s="162">
        <v>1.0209999999999999</v>
      </c>
      <c r="C44" s="171">
        <f t="shared" si="1"/>
        <v>2.0000000000000018E-3</v>
      </c>
      <c r="D44" s="168" t="str">
        <f t="shared" si="0"/>
        <v>/</v>
      </c>
      <c r="E44" s="168">
        <f ca="1">IF(表2_36716262930389121314153[[#This Row],[累计净值]]/MAX(INDIRECT("B21:B" &amp; ROW()))-1&lt;E43,表2_36716262930389121314153[[#This Row],[累计净值]]/MAX(INDIRECT("B21:B" &amp; ROW()))-1,E43)</f>
        <v>-1.9762845849802257E-3</v>
      </c>
      <c r="F44" s="172">
        <f>表2_36716262930389121314153[[#This Row],[累计净值]]</f>
        <v>1.0209999999999999</v>
      </c>
      <c r="G44" s="170">
        <f>表2_36716262930389121314153[[#This Row],[累计净值]]/$B$21-1</f>
        <v>1.7946161515453696E-2</v>
      </c>
      <c r="H44" s="170">
        <f>表2_36716262930389121314153[[#This Row],[累计净值]]/$B$35-1</f>
        <v>9.8911968348169843E-3</v>
      </c>
    </row>
    <row r="45" spans="1:8">
      <c r="A45" s="161">
        <v>43910</v>
      </c>
      <c r="B45" s="162">
        <v>1.0209999999999999</v>
      </c>
      <c r="C45" s="171">
        <f t="shared" si="1"/>
        <v>0</v>
      </c>
      <c r="D45" s="168" t="str">
        <f t="shared" si="0"/>
        <v>/</v>
      </c>
      <c r="E45" s="168">
        <f ca="1">IF(表2_36716262930389121314153[[#This Row],[累计净值]]/MAX(INDIRECT("B21:B" &amp; ROW()))-1&lt;E44,表2_36716262930389121314153[[#This Row],[累计净值]]/MAX(INDIRECT("B21:B" &amp; ROW()))-1,E44)</f>
        <v>-1.9762845849802257E-3</v>
      </c>
      <c r="F45" s="172">
        <f>表2_36716262930389121314153[[#This Row],[累计净值]]</f>
        <v>1.0209999999999999</v>
      </c>
      <c r="G45" s="170">
        <f>表2_36716262930389121314153[[#This Row],[累计净值]]/$B$21-1</f>
        <v>1.7946161515453696E-2</v>
      </c>
      <c r="H45" s="170">
        <f>表2_36716262930389121314153[[#This Row],[累计净值]]/$B$35-1</f>
        <v>9.8911968348169843E-3</v>
      </c>
    </row>
    <row r="46" spans="1:8">
      <c r="A46" s="161">
        <v>43913</v>
      </c>
      <c r="B46" s="162">
        <v>1.0229999999999999</v>
      </c>
      <c r="C46" s="171">
        <f t="shared" si="1"/>
        <v>2.0000000000000018E-3</v>
      </c>
      <c r="D46" s="168" t="str">
        <f t="shared" si="0"/>
        <v>/</v>
      </c>
      <c r="E46" s="168">
        <f ca="1">IF(表2_36716262930389121314153[[#This Row],[累计净值]]/MAX(INDIRECT("B21:B" &amp; ROW()))-1&lt;E45,表2_36716262930389121314153[[#This Row],[累计净值]]/MAX(INDIRECT("B21:B" &amp; ROW()))-1,E45)</f>
        <v>-1.9762845849802257E-3</v>
      </c>
      <c r="F46" s="172">
        <f>表2_36716262930389121314153[[#This Row],[累计净值]]</f>
        <v>1.0229999999999999</v>
      </c>
      <c r="G46" s="170">
        <f>表2_36716262930389121314153[[#This Row],[累计净值]]/$B$21-1</f>
        <v>1.9940179461615193E-2</v>
      </c>
      <c r="H46" s="170">
        <f>表2_36716262930389121314153[[#This Row],[累计净值]]/$B$35-1</f>
        <v>1.1869436201780381E-2</v>
      </c>
    </row>
    <row r="47" spans="1:8">
      <c r="A47" s="161">
        <v>43914</v>
      </c>
      <c r="B47" s="162">
        <v>1.022</v>
      </c>
      <c r="C47" s="171">
        <f t="shared" si="1"/>
        <v>-9.9999999999988987E-4</v>
      </c>
      <c r="D47" s="168">
        <f t="shared" si="0"/>
        <v>-9.9999999999988987E-4</v>
      </c>
      <c r="E47" s="168">
        <f ca="1">IF(表2_36716262930389121314153[[#This Row],[累计净值]]/MAX(INDIRECT("B21:B" &amp; ROW()))-1&lt;E46,表2_36716262930389121314153[[#This Row],[累计净值]]/MAX(INDIRECT("B21:B" &amp; ROW()))-1,E46)</f>
        <v>-1.9762845849802257E-3</v>
      </c>
      <c r="F47" s="172">
        <f>表2_36716262930389121314153[[#This Row],[累计净值]]</f>
        <v>1.022</v>
      </c>
      <c r="G47" s="170">
        <f>表2_36716262930389121314153[[#This Row],[累计净值]]/$B$21-1</f>
        <v>1.8943170488534555E-2</v>
      </c>
      <c r="H47" s="170">
        <f>表2_36716262930389121314153[[#This Row],[累计净值]]/$B$35-1</f>
        <v>1.0880316518298905E-2</v>
      </c>
    </row>
    <row r="48" spans="1:8">
      <c r="A48" s="161">
        <v>43915</v>
      </c>
      <c r="B48" s="162">
        <v>1.0229999999999999</v>
      </c>
      <c r="C48" s="171">
        <f t="shared" si="1"/>
        <v>9.9999999999988987E-4</v>
      </c>
      <c r="D48" s="168" t="str">
        <f t="shared" si="0"/>
        <v>/</v>
      </c>
      <c r="E48" s="168">
        <f ca="1">IF(表2_36716262930389121314153[[#This Row],[累计净值]]/MAX(INDIRECT("B21:B" &amp; ROW()))-1&lt;E47,表2_36716262930389121314153[[#This Row],[累计净值]]/MAX(INDIRECT("B21:B" &amp; ROW()))-1,E47)</f>
        <v>-1.9762845849802257E-3</v>
      </c>
      <c r="F48" s="172">
        <f>表2_36716262930389121314153[[#This Row],[累计净值]]</f>
        <v>1.0229999999999999</v>
      </c>
      <c r="G48" s="170">
        <f>表2_36716262930389121314153[[#This Row],[累计净值]]/$B$21-1</f>
        <v>1.9940179461615193E-2</v>
      </c>
      <c r="H48" s="170">
        <f>表2_36716262930389121314153[[#This Row],[累计净值]]/$B$35-1</f>
        <v>1.1869436201780381E-2</v>
      </c>
    </row>
    <row r="49" spans="1:8">
      <c r="A49" s="161">
        <v>43916</v>
      </c>
      <c r="B49" s="162">
        <v>1.0229999999999999</v>
      </c>
      <c r="C49" s="171">
        <f t="shared" si="1"/>
        <v>0</v>
      </c>
      <c r="D49" s="168" t="str">
        <f t="shared" si="0"/>
        <v>/</v>
      </c>
      <c r="E49" s="168">
        <f ca="1">IF(表2_36716262930389121314153[[#This Row],[累计净值]]/MAX(INDIRECT("B21:B" &amp; ROW()))-1&lt;E48,表2_36716262930389121314153[[#This Row],[累计净值]]/MAX(INDIRECT("B21:B" &amp; ROW()))-1,E48)</f>
        <v>-1.9762845849802257E-3</v>
      </c>
      <c r="F49" s="172">
        <f>表2_36716262930389121314153[[#This Row],[累计净值]]</f>
        <v>1.0229999999999999</v>
      </c>
      <c r="G49" s="170">
        <f>表2_36716262930389121314153[[#This Row],[累计净值]]/$B$21-1</f>
        <v>1.9940179461615193E-2</v>
      </c>
      <c r="H49" s="170">
        <f>表2_36716262930389121314153[[#This Row],[累计净值]]/$B$35-1</f>
        <v>1.1869436201780381E-2</v>
      </c>
    </row>
    <row r="50" spans="1:8">
      <c r="A50" s="161">
        <v>43917</v>
      </c>
      <c r="B50" s="162">
        <v>1.022</v>
      </c>
      <c r="C50" s="171">
        <f t="shared" si="1"/>
        <v>-9.9999999999988987E-4</v>
      </c>
      <c r="D50" s="168">
        <f t="shared" si="0"/>
        <v>-9.9999999999988987E-4</v>
      </c>
      <c r="E50" s="168">
        <f ca="1">IF(表2_36716262930389121314153[[#This Row],[累计净值]]/MAX(INDIRECT("B21:B" &amp; ROW()))-1&lt;E49,表2_36716262930389121314153[[#This Row],[累计净值]]/MAX(INDIRECT("B21:B" &amp; ROW()))-1,E49)</f>
        <v>-1.9762845849802257E-3</v>
      </c>
      <c r="F50" s="172">
        <f>表2_36716262930389121314153[[#This Row],[累计净值]]</f>
        <v>1.022</v>
      </c>
      <c r="G50" s="170">
        <f>表2_36716262930389121314153[[#This Row],[累计净值]]/$B$21-1</f>
        <v>1.8943170488534555E-2</v>
      </c>
      <c r="H50" s="170">
        <f>表2_36716262930389121314153[[#This Row],[累计净值]]/$B$35-1</f>
        <v>1.0880316518298905E-2</v>
      </c>
    </row>
    <row r="51" spans="1:8">
      <c r="A51" s="161">
        <v>43920</v>
      </c>
      <c r="B51" s="162">
        <v>1.022</v>
      </c>
      <c r="C51" s="171">
        <f t="shared" si="1"/>
        <v>0</v>
      </c>
      <c r="D51" s="168" t="str">
        <f t="shared" si="0"/>
        <v>/</v>
      </c>
      <c r="E51" s="168">
        <f ca="1">IF(表2_36716262930389121314153[[#This Row],[累计净值]]/MAX(INDIRECT("B21:B" &amp; ROW()))-1&lt;E50,表2_36716262930389121314153[[#This Row],[累计净值]]/MAX(INDIRECT("B21:B" &amp; ROW()))-1,E50)</f>
        <v>-1.9762845849802257E-3</v>
      </c>
      <c r="F51" s="172">
        <f>表2_36716262930389121314153[[#This Row],[累计净值]]</f>
        <v>1.022</v>
      </c>
      <c r="G51" s="170">
        <f>表2_36716262930389121314153[[#This Row],[累计净值]]/$B$21-1</f>
        <v>1.8943170488534555E-2</v>
      </c>
      <c r="H51" s="170">
        <f>表2_36716262930389121314153[[#This Row],[累计净值]]/$B$35-1</f>
        <v>1.0880316518298905E-2</v>
      </c>
    </row>
    <row r="52" spans="1:8">
      <c r="A52" s="161">
        <v>43921</v>
      </c>
      <c r="B52" s="162">
        <v>1.022</v>
      </c>
      <c r="C52" s="171">
        <f t="shared" si="1"/>
        <v>0</v>
      </c>
      <c r="D52" s="168" t="str">
        <f t="shared" si="0"/>
        <v>/</v>
      </c>
      <c r="E52" s="168">
        <f ca="1">IF(表2_36716262930389121314153[[#This Row],[累计净值]]/MAX(INDIRECT("B21:B" &amp; ROW()))-1&lt;E51,表2_36716262930389121314153[[#This Row],[累计净值]]/MAX(INDIRECT("B21:B" &amp; ROW()))-1,E51)</f>
        <v>-1.9762845849802257E-3</v>
      </c>
      <c r="F52" s="172">
        <f>表2_36716262930389121314153[[#This Row],[累计净值]]</f>
        <v>1.022</v>
      </c>
      <c r="G52" s="170">
        <f>表2_36716262930389121314153[[#This Row],[累计净值]]/$B$21-1</f>
        <v>1.8943170488534555E-2</v>
      </c>
      <c r="H52" s="170">
        <f>表2_36716262930389121314153[[#This Row],[累计净值]]/$B$35-1</f>
        <v>1.0880316518298905E-2</v>
      </c>
    </row>
    <row r="53" spans="1:8">
      <c r="A53" s="161">
        <v>43922</v>
      </c>
      <c r="B53" s="162">
        <v>1.022</v>
      </c>
      <c r="C53" s="171">
        <f t="shared" si="1"/>
        <v>0</v>
      </c>
      <c r="D53" s="168" t="str">
        <f t="shared" si="0"/>
        <v>/</v>
      </c>
      <c r="E53" s="168">
        <f ca="1">IF(表2_36716262930389121314153[[#This Row],[累计净值]]/MAX(INDIRECT("B21:B" &amp; ROW()))-1&lt;E52,表2_36716262930389121314153[[#This Row],[累计净值]]/MAX(INDIRECT("B21:B" &amp; ROW()))-1,E52)</f>
        <v>-1.9762845849802257E-3</v>
      </c>
      <c r="F53" s="172">
        <f>表2_36716262930389121314153[[#This Row],[累计净值]]</f>
        <v>1.022</v>
      </c>
      <c r="G53" s="170">
        <f>表2_36716262930389121314153[[#This Row],[累计净值]]/$B$21-1</f>
        <v>1.8943170488534555E-2</v>
      </c>
      <c r="H53" s="170">
        <f>表2_36716262930389121314153[[#This Row],[累计净值]]/$B$35-1</f>
        <v>1.0880316518298905E-2</v>
      </c>
    </row>
    <row r="54" spans="1:8">
      <c r="A54" s="161">
        <v>43923</v>
      </c>
      <c r="B54" s="162">
        <v>1.024</v>
      </c>
      <c r="C54" s="171">
        <f t="shared" si="1"/>
        <v>2.0000000000000018E-3</v>
      </c>
      <c r="D54" s="168" t="str">
        <f t="shared" si="0"/>
        <v>/</v>
      </c>
      <c r="E54" s="168">
        <f ca="1">IF(表2_36716262930389121314153[[#This Row],[累计净值]]/MAX(INDIRECT("B21:B" &amp; ROW()))-1&lt;E53,表2_36716262930389121314153[[#This Row],[累计净值]]/MAX(INDIRECT("B21:B" &amp; ROW()))-1,E53)</f>
        <v>-1.9762845849802257E-3</v>
      </c>
      <c r="F54" s="172">
        <f>表2_36716262930389121314153[[#This Row],[累计净值]]</f>
        <v>1.024</v>
      </c>
      <c r="G54" s="170">
        <f>表2_36716262930389121314153[[#This Row],[累计净值]]/$B$21-1</f>
        <v>2.0937188434696052E-2</v>
      </c>
      <c r="H54" s="170">
        <f>表2_36716262930389121314153[[#This Row],[累计净值]]/$B$35-1</f>
        <v>1.2858555885262302E-2</v>
      </c>
    </row>
    <row r="55" spans="1:8">
      <c r="A55" s="161">
        <v>43924</v>
      </c>
      <c r="B55" s="162">
        <v>1.0229999999999999</v>
      </c>
      <c r="C55" s="171">
        <f t="shared" si="1"/>
        <v>-1.0000000000001119E-3</v>
      </c>
      <c r="D55" s="168">
        <f t="shared" si="0"/>
        <v>-1.0000000000001119E-3</v>
      </c>
      <c r="E55" s="168">
        <f ca="1">IF(表2_36716262930389121314153[[#This Row],[累计净值]]/MAX(INDIRECT("B21:B" &amp; ROW()))-1&lt;E54,表2_36716262930389121314153[[#This Row],[累计净值]]/MAX(INDIRECT("B21:B" &amp; ROW()))-1,E54)</f>
        <v>-1.9762845849802257E-3</v>
      </c>
      <c r="F55" s="172">
        <f>表2_36716262930389121314153[[#This Row],[累计净值]]</f>
        <v>1.0229999999999999</v>
      </c>
      <c r="G55" s="170">
        <f>表2_36716262930389121314153[[#This Row],[累计净值]]/$B$21-1</f>
        <v>1.9940179461615193E-2</v>
      </c>
      <c r="H55" s="170">
        <f>表2_36716262930389121314153[[#This Row],[累计净值]]/$B$35-1</f>
        <v>1.1869436201780381E-2</v>
      </c>
    </row>
    <row r="56" spans="1:8">
      <c r="A56" s="161">
        <v>43928</v>
      </c>
      <c r="B56" s="162">
        <v>1.0249999999999999</v>
      </c>
      <c r="C56" s="171">
        <f t="shared" si="1"/>
        <v>2.0000000000000018E-3</v>
      </c>
      <c r="D56" s="168" t="str">
        <f t="shared" si="0"/>
        <v>/</v>
      </c>
      <c r="E56" s="168">
        <f ca="1">IF(表2_36716262930389121314153[[#This Row],[累计净值]]/MAX(INDIRECT("B21:B" &amp; ROW()))-1&lt;E55,表2_36716262930389121314153[[#This Row],[累计净值]]/MAX(INDIRECT("B21:B" &amp; ROW()))-1,E55)</f>
        <v>-1.9762845849802257E-3</v>
      </c>
      <c r="F56" s="172">
        <f>表2_36716262930389121314153[[#This Row],[累计净值]]</f>
        <v>1.0249999999999999</v>
      </c>
      <c r="G56" s="170">
        <f>表2_36716262930389121314153[[#This Row],[累计净值]]/$B$21-1</f>
        <v>2.193419740777669E-2</v>
      </c>
      <c r="H56" s="170">
        <f>表2_36716262930389121314153[[#This Row],[累计净值]]/$B$35-1</f>
        <v>1.3847675568743778E-2</v>
      </c>
    </row>
    <row r="57" spans="1:8">
      <c r="A57" s="161">
        <v>43929</v>
      </c>
      <c r="B57" s="162">
        <v>1.026</v>
      </c>
      <c r="C57" s="171">
        <f t="shared" si="1"/>
        <v>1.0000000000001119E-3</v>
      </c>
      <c r="D57" s="168" t="str">
        <f t="shared" si="0"/>
        <v>/</v>
      </c>
      <c r="E57" s="168">
        <f ca="1">IF(表2_36716262930389121314153[[#This Row],[累计净值]]/MAX(INDIRECT("B21:B" &amp; ROW()))-1&lt;E56,表2_36716262930389121314153[[#This Row],[累计净值]]/MAX(INDIRECT("B21:B" &amp; ROW()))-1,E56)</f>
        <v>-1.9762845849802257E-3</v>
      </c>
      <c r="F57" s="172">
        <f>表2_36716262930389121314153[[#This Row],[累计净值]]</f>
        <v>1.026</v>
      </c>
      <c r="G57" s="170">
        <f>表2_36716262930389121314153[[#This Row],[累计净值]]/$B$21-1</f>
        <v>2.2931206380857549E-2</v>
      </c>
      <c r="H57" s="170">
        <f>表2_36716262930389121314153[[#This Row],[累计净值]]/$B$35-1</f>
        <v>1.4836795252225699E-2</v>
      </c>
    </row>
    <row r="58" spans="1:8">
      <c r="A58" s="161">
        <v>43930</v>
      </c>
      <c r="B58" s="162">
        <v>1.026</v>
      </c>
      <c r="C58" s="171">
        <f t="shared" si="1"/>
        <v>0</v>
      </c>
      <c r="D58" s="168" t="str">
        <f t="shared" si="0"/>
        <v>/</v>
      </c>
      <c r="E58" s="168">
        <f ca="1">IF(表2_36716262930389121314153[[#This Row],[累计净值]]/MAX(INDIRECT("B21:B" &amp; ROW()))-1&lt;E57,表2_36716262930389121314153[[#This Row],[累计净值]]/MAX(INDIRECT("B21:B" &amp; ROW()))-1,E57)</f>
        <v>-1.9762845849802257E-3</v>
      </c>
      <c r="F58" s="172">
        <f>表2_36716262930389121314153[[#This Row],[累计净值]]</f>
        <v>1.026</v>
      </c>
      <c r="G58" s="170">
        <f>表2_36716262930389121314153[[#This Row],[累计净值]]/$B$21-1</f>
        <v>2.2931206380857549E-2</v>
      </c>
      <c r="H58" s="170">
        <f>表2_36716262930389121314153[[#This Row],[累计净值]]/$B$35-1</f>
        <v>1.4836795252225699E-2</v>
      </c>
    </row>
    <row r="59" spans="1:8">
      <c r="A59" s="161">
        <v>43931</v>
      </c>
      <c r="B59" s="162">
        <v>1.0269999999999999</v>
      </c>
      <c r="C59" s="171">
        <f t="shared" si="1"/>
        <v>9.9999999999988987E-4</v>
      </c>
      <c r="D59" s="168" t="str">
        <f t="shared" si="0"/>
        <v>/</v>
      </c>
      <c r="E59" s="168">
        <f ca="1">IF(表2_36716262930389121314153[[#This Row],[累计净值]]/MAX(INDIRECT("B21:B" &amp; ROW()))-1&lt;E58,表2_36716262930389121314153[[#This Row],[累计净值]]/MAX(INDIRECT("B21:B" &amp; ROW()))-1,E58)</f>
        <v>-1.9762845849802257E-3</v>
      </c>
      <c r="F59" s="172">
        <f>表2_36716262930389121314153[[#This Row],[累计净值]]</f>
        <v>1.0269999999999999</v>
      </c>
      <c r="G59" s="170">
        <f>表2_36716262930389121314153[[#This Row],[累计净值]]/$B$21-1</f>
        <v>2.3928215353938187E-2</v>
      </c>
      <c r="H59" s="170">
        <f>表2_36716262930389121314153[[#This Row],[累计净值]]/$B$35-1</f>
        <v>1.5825914935707175E-2</v>
      </c>
    </row>
    <row r="60" spans="1:8">
      <c r="A60" s="161">
        <v>43934</v>
      </c>
      <c r="B60" s="162">
        <v>1.0269999999999999</v>
      </c>
      <c r="C60" s="171">
        <f t="shared" si="1"/>
        <v>0</v>
      </c>
      <c r="D60" s="168" t="str">
        <f t="shared" si="0"/>
        <v>/</v>
      </c>
      <c r="E60" s="168">
        <f ca="1">IF(表2_36716262930389121314153[[#This Row],[累计净值]]/MAX(INDIRECT("B21:B" &amp; ROW()))-1&lt;E59,表2_36716262930389121314153[[#This Row],[累计净值]]/MAX(INDIRECT("B21:B" &amp; ROW()))-1,E59)</f>
        <v>-1.9762845849802257E-3</v>
      </c>
      <c r="F60" s="172">
        <f>表2_36716262930389121314153[[#This Row],[累计净值]]</f>
        <v>1.0269999999999999</v>
      </c>
      <c r="G60" s="170">
        <f>表2_36716262930389121314153[[#This Row],[累计净值]]/$B$21-1</f>
        <v>2.3928215353938187E-2</v>
      </c>
      <c r="H60" s="170">
        <f>表2_36716262930389121314153[[#This Row],[累计净值]]/$B$35-1</f>
        <v>1.5825914935707175E-2</v>
      </c>
    </row>
    <row r="61" spans="1:8">
      <c r="A61" s="161">
        <v>43935</v>
      </c>
      <c r="B61" s="162">
        <v>1.028</v>
      </c>
      <c r="C61" s="171">
        <f t="shared" si="1"/>
        <v>1.0000000000001119E-3</v>
      </c>
      <c r="D61" s="168" t="str">
        <f t="shared" si="0"/>
        <v>/</v>
      </c>
      <c r="E61" s="168">
        <f ca="1">IF(表2_36716262930389121314153[[#This Row],[累计净值]]/MAX(INDIRECT("B21:B" &amp; ROW()))-1&lt;E60,表2_36716262930389121314153[[#This Row],[累计净值]]/MAX(INDIRECT("B21:B" &amp; ROW()))-1,E60)</f>
        <v>-1.9762845849802257E-3</v>
      </c>
      <c r="F61" s="172">
        <f>表2_36716262930389121314153[[#This Row],[累计净值]]</f>
        <v>1.028</v>
      </c>
      <c r="G61" s="170">
        <f>表2_36716262930389121314153[[#This Row],[累计净值]]/$B$21-1</f>
        <v>2.4925224327019047E-2</v>
      </c>
      <c r="H61" s="170">
        <f>表2_36716262930389121314153[[#This Row],[累计净值]]/$B$35-1</f>
        <v>1.6815034619189095E-2</v>
      </c>
    </row>
    <row r="62" spans="1:8">
      <c r="A62" s="161">
        <v>43936</v>
      </c>
      <c r="B62" s="162">
        <v>1.0289999999999999</v>
      </c>
      <c r="C62" s="171">
        <f>IFERROR(B62-B61,0)</f>
        <v>9.9999999999988987E-4</v>
      </c>
      <c r="D62" s="168" t="str">
        <f>IF(C62&lt;0,C62,"/")</f>
        <v>/</v>
      </c>
      <c r="E62" s="168">
        <f ca="1">IF(表2_36716262930389121314153[[#This Row],[累计净值]]/MAX(INDIRECT("B21:B" &amp; ROW()))-1&lt;E61,表2_36716262930389121314153[[#This Row],[累计净值]]/MAX(INDIRECT("B21:B" &amp; ROW()))-1,E61)</f>
        <v>-1.9762845849802257E-3</v>
      </c>
      <c r="F62" s="172">
        <f>表2_36716262930389121314153[[#This Row],[累计净值]]</f>
        <v>1.0289999999999999</v>
      </c>
      <c r="G62" s="170">
        <f>表2_36716262930389121314153[[#This Row],[累计净值]]/$B$21-1</f>
        <v>2.5922233300099684E-2</v>
      </c>
      <c r="H62" s="170">
        <f>表2_36716262930389121314153[[#This Row],[累计净值]]/$B$35-1</f>
        <v>1.7804154302670572E-2</v>
      </c>
    </row>
    <row r="63" spans="1:8">
      <c r="A63" s="161">
        <v>43937</v>
      </c>
      <c r="B63" s="162">
        <v>1.03</v>
      </c>
      <c r="C63" s="171">
        <f>IFERROR(B63-B62,0)</f>
        <v>1.0000000000001119E-3</v>
      </c>
      <c r="D63" s="168" t="str">
        <f>IF(C63&lt;0,C63,"/")</f>
        <v>/</v>
      </c>
      <c r="E63" s="168">
        <f ca="1">IF(表2_36716262930389121314153[[#This Row],[累计净值]]/MAX(INDIRECT("B21:B" &amp; ROW()))-1&lt;E62,表2_36716262930389121314153[[#This Row],[累计净值]]/MAX(INDIRECT("B21:B" &amp; ROW()))-1,E62)</f>
        <v>-1.9762845849802257E-3</v>
      </c>
      <c r="F63" s="172">
        <f>表2_36716262930389121314153[[#This Row],[累计净值]]</f>
        <v>1.03</v>
      </c>
      <c r="G63" s="170">
        <f>表2_36716262930389121314153[[#This Row],[累计净值]]/$B$21-1</f>
        <v>2.6919242273180544E-2</v>
      </c>
      <c r="H63" s="170">
        <f>表2_36716262930389121314153[[#This Row],[累计净值]]/$B$35-1</f>
        <v>1.8793273986152492E-2</v>
      </c>
    </row>
    <row r="64" spans="1:8">
      <c r="A64" s="161">
        <v>43938</v>
      </c>
      <c r="B64" s="162">
        <v>1.03</v>
      </c>
      <c r="C64" s="171">
        <f t="shared" ref="C64:C75" si="2">IFERROR(B64-B63,0)</f>
        <v>0</v>
      </c>
      <c r="D64" s="168" t="str">
        <f t="shared" ref="D64:D75" si="3">IF(C64&lt;0,C64,"/")</f>
        <v>/</v>
      </c>
      <c r="E64" s="168">
        <f ca="1">IF(表2_36716262930389121314153[[#This Row],[累计净值]]/MAX(INDIRECT("B21:B" &amp; ROW()))-1&lt;E63,表2_36716262930389121314153[[#This Row],[累计净值]]/MAX(INDIRECT("B21:B" &amp; ROW()))-1,E63)</f>
        <v>-1.9762845849802257E-3</v>
      </c>
      <c r="F64" s="172">
        <f>表2_36716262930389121314153[[#This Row],[累计净值]]</f>
        <v>1.03</v>
      </c>
      <c r="G64" s="170">
        <f>表2_36716262930389121314153[[#This Row],[累计净值]]/$B$21-1</f>
        <v>2.6919242273180544E-2</v>
      </c>
      <c r="H64" s="170">
        <f>表2_36716262930389121314153[[#This Row],[累计净值]]/$B$35-1</f>
        <v>1.8793273986152492E-2</v>
      </c>
    </row>
    <row r="65" spans="1:8">
      <c r="A65" s="161">
        <v>43941</v>
      </c>
      <c r="B65" s="162">
        <v>1.0309999999999999</v>
      </c>
      <c r="C65" s="171">
        <f t="shared" si="2"/>
        <v>9.9999999999988987E-4</v>
      </c>
      <c r="D65" s="168" t="str">
        <f t="shared" si="3"/>
        <v>/</v>
      </c>
      <c r="E65" s="168">
        <f ca="1">IF(表2_36716262930389121314153[[#This Row],[累计净值]]/MAX(INDIRECT("B21:B" &amp; ROW()))-1&lt;E64,表2_36716262930389121314153[[#This Row],[累计净值]]/MAX(INDIRECT("B21:B" &amp; ROW()))-1,E64)</f>
        <v>-1.9762845849802257E-3</v>
      </c>
      <c r="F65" s="172">
        <f>表2_36716262930389121314153[[#This Row],[累计净值]]</f>
        <v>1.0309999999999999</v>
      </c>
      <c r="G65" s="170">
        <f>表2_36716262930389121314153[[#This Row],[累计净值]]/$B$21-1</f>
        <v>2.7916251246261181E-2</v>
      </c>
      <c r="H65" s="170">
        <f>表2_36716262930389121314153[[#This Row],[累计净值]]/$B$35-1</f>
        <v>1.9782393669633969E-2</v>
      </c>
    </row>
    <row r="66" spans="1:8">
      <c r="A66" s="161">
        <v>43942</v>
      </c>
      <c r="B66" s="162">
        <v>1.032</v>
      </c>
      <c r="C66" s="171">
        <f t="shared" si="2"/>
        <v>1.0000000000001119E-3</v>
      </c>
      <c r="D66" s="168" t="str">
        <f t="shared" si="3"/>
        <v>/</v>
      </c>
      <c r="E66" s="168">
        <f ca="1">IF(表2_36716262930389121314153[[#This Row],[累计净值]]/MAX(INDIRECT("B21:B" &amp; ROW()))-1&lt;E65,表2_36716262930389121314153[[#This Row],[累计净值]]/MAX(INDIRECT("B21:B" &amp; ROW()))-1,E65)</f>
        <v>-1.9762845849802257E-3</v>
      </c>
      <c r="F66" s="172">
        <f>表2_36716262930389121314153[[#This Row],[累计净值]]</f>
        <v>1.032</v>
      </c>
      <c r="G66" s="170">
        <f>表2_36716262930389121314153[[#This Row],[累计净值]]/$B$21-1</f>
        <v>2.8913260219342041E-2</v>
      </c>
      <c r="H66" s="170">
        <f>表2_36716262930389121314153[[#This Row],[累计净值]]/$B$35-1</f>
        <v>2.0771513353115889E-2</v>
      </c>
    </row>
    <row r="67" spans="1:8">
      <c r="A67" s="161">
        <v>43943</v>
      </c>
      <c r="B67" s="162">
        <v>1.03</v>
      </c>
      <c r="C67" s="171">
        <f t="shared" si="2"/>
        <v>-2.0000000000000018E-3</v>
      </c>
      <c r="D67" s="168">
        <f t="shared" si="3"/>
        <v>-2.0000000000000018E-3</v>
      </c>
      <c r="E67" s="168">
        <f ca="1">IF(表2_36716262930389121314153[[#This Row],[累计净值]]/MAX(INDIRECT("B21:B" &amp; ROW()))-1&lt;E66,表2_36716262930389121314153[[#This Row],[累计净值]]/MAX(INDIRECT("B21:B" &amp; ROW()))-1,E66)</f>
        <v>-1.9762845849802257E-3</v>
      </c>
      <c r="F67" s="172">
        <f>表2_36716262930389121314153[[#This Row],[累计净值]]</f>
        <v>1.03</v>
      </c>
      <c r="G67" s="170">
        <f>表2_36716262930389121314153[[#This Row],[累计净值]]/$B$21-1</f>
        <v>2.6919242273180544E-2</v>
      </c>
      <c r="H67" s="170">
        <f>表2_36716262930389121314153[[#This Row],[累计净值]]/$B$35-1</f>
        <v>1.8793273986152492E-2</v>
      </c>
    </row>
    <row r="68" spans="1:8">
      <c r="A68" s="161">
        <v>43944</v>
      </c>
      <c r="B68" s="162">
        <v>1.032</v>
      </c>
      <c r="C68" s="171">
        <f t="shared" si="2"/>
        <v>2.0000000000000018E-3</v>
      </c>
      <c r="D68" s="168" t="str">
        <f t="shared" si="3"/>
        <v>/</v>
      </c>
      <c r="E68" s="168">
        <f ca="1">IF(表2_36716262930389121314153[[#This Row],[累计净值]]/MAX(INDIRECT("B21:B" &amp; ROW()))-1&lt;E67,表2_36716262930389121314153[[#This Row],[累计净值]]/MAX(INDIRECT("B21:B" &amp; ROW()))-1,E67)</f>
        <v>-1.9762845849802257E-3</v>
      </c>
      <c r="F68" s="172">
        <f>表2_36716262930389121314153[[#This Row],[累计净值]]</f>
        <v>1.032</v>
      </c>
      <c r="G68" s="170">
        <f>表2_36716262930389121314153[[#This Row],[累计净值]]/$B$21-1</f>
        <v>2.8913260219342041E-2</v>
      </c>
      <c r="H68" s="170">
        <f>表2_36716262930389121314153[[#This Row],[累计净值]]/$B$35-1</f>
        <v>2.0771513353115889E-2</v>
      </c>
    </row>
    <row r="69" spans="1:8">
      <c r="A69" s="161">
        <v>43945</v>
      </c>
      <c r="B69" s="162">
        <v>1.032</v>
      </c>
      <c r="C69" s="171">
        <f t="shared" si="2"/>
        <v>0</v>
      </c>
      <c r="D69" s="168" t="str">
        <f t="shared" si="3"/>
        <v>/</v>
      </c>
      <c r="E69" s="168">
        <f ca="1">IF(表2_36716262930389121314153[[#This Row],[累计净值]]/MAX(INDIRECT("B21:B" &amp; ROW()))-1&lt;E68,表2_36716262930389121314153[[#This Row],[累计净值]]/MAX(INDIRECT("B21:B" &amp; ROW()))-1,E68)</f>
        <v>-1.9762845849802257E-3</v>
      </c>
      <c r="F69" s="172">
        <f>表2_36716262930389121314153[[#This Row],[累计净值]]</f>
        <v>1.032</v>
      </c>
      <c r="G69" s="170">
        <f>表2_36716262930389121314153[[#This Row],[累计净值]]/$B$21-1</f>
        <v>2.8913260219342041E-2</v>
      </c>
      <c r="H69" s="170">
        <f>表2_36716262930389121314153[[#This Row],[累计净值]]/$B$35-1</f>
        <v>2.0771513353115889E-2</v>
      </c>
    </row>
    <row r="70" spans="1:8">
      <c r="A70" s="161">
        <v>43948</v>
      </c>
      <c r="B70" s="162">
        <v>1.032</v>
      </c>
      <c r="C70" s="171">
        <f t="shared" si="2"/>
        <v>0</v>
      </c>
      <c r="D70" s="168" t="str">
        <f t="shared" si="3"/>
        <v>/</v>
      </c>
      <c r="E70" s="168">
        <f ca="1">IF(表2_36716262930389121314153[[#This Row],[累计净值]]/MAX(INDIRECT("B21:B" &amp; ROW()))-1&lt;E69,表2_36716262930389121314153[[#This Row],[累计净值]]/MAX(INDIRECT("B21:B" &amp; ROW()))-1,E69)</f>
        <v>-1.9762845849802257E-3</v>
      </c>
      <c r="F70" s="172">
        <f>表2_36716262930389121314153[[#This Row],[累计净值]]</f>
        <v>1.032</v>
      </c>
      <c r="G70" s="170">
        <f>表2_36716262930389121314153[[#This Row],[累计净值]]/$B$21-1</f>
        <v>2.8913260219342041E-2</v>
      </c>
      <c r="H70" s="170">
        <f>表2_36716262930389121314153[[#This Row],[累计净值]]/$B$35-1</f>
        <v>2.0771513353115889E-2</v>
      </c>
    </row>
    <row r="71" spans="1:8">
      <c r="A71" s="161">
        <v>43949</v>
      </c>
      <c r="B71" s="162">
        <v>1.0329999999999999</v>
      </c>
      <c r="C71" s="171">
        <f t="shared" si="2"/>
        <v>9.9999999999988987E-4</v>
      </c>
      <c r="D71" s="168" t="str">
        <f t="shared" si="3"/>
        <v>/</v>
      </c>
      <c r="E71" s="168">
        <f ca="1">IF(表2_36716262930389121314153[[#This Row],[累计净值]]/MAX(INDIRECT("B21:B" &amp; ROW()))-1&lt;E70,表2_36716262930389121314153[[#This Row],[累计净值]]/MAX(INDIRECT("B21:B" &amp; ROW()))-1,E70)</f>
        <v>-1.9762845849802257E-3</v>
      </c>
      <c r="F71" s="172">
        <f>表2_36716262930389121314153[[#This Row],[累计净值]]</f>
        <v>1.0329999999999999</v>
      </c>
      <c r="G71" s="170">
        <f>表2_36716262930389121314153[[#This Row],[累计净值]]/$B$21-1</f>
        <v>2.9910269192422678E-2</v>
      </c>
      <c r="H71" s="170">
        <f>表2_36716262930389121314153[[#This Row],[累计净值]]/$B$35-1</f>
        <v>2.1760633036597365E-2</v>
      </c>
    </row>
    <row r="72" spans="1:8">
      <c r="A72" s="161">
        <v>43950</v>
      </c>
      <c r="B72" s="162">
        <v>1.0329999999999999</v>
      </c>
      <c r="C72" s="171">
        <f t="shared" si="2"/>
        <v>0</v>
      </c>
      <c r="D72" s="168" t="str">
        <f t="shared" si="3"/>
        <v>/</v>
      </c>
      <c r="E72" s="168">
        <f ca="1">IF(表2_36716262930389121314153[[#This Row],[累计净值]]/MAX(INDIRECT("B21:B" &amp; ROW()))-1&lt;E71,表2_36716262930389121314153[[#This Row],[累计净值]]/MAX(INDIRECT("B21:B" &amp; ROW()))-1,E71)</f>
        <v>-1.9762845849802257E-3</v>
      </c>
      <c r="F72" s="172">
        <f>表2_36716262930389121314153[[#This Row],[累计净值]]</f>
        <v>1.0329999999999999</v>
      </c>
      <c r="G72" s="170">
        <f>表2_36716262930389121314153[[#This Row],[累计净值]]/$B$21-1</f>
        <v>2.9910269192422678E-2</v>
      </c>
      <c r="H72" s="170">
        <f>表2_36716262930389121314153[[#This Row],[累计净值]]/$B$35-1</f>
        <v>2.1760633036597365E-2</v>
      </c>
    </row>
    <row r="73" spans="1:8">
      <c r="A73" s="161">
        <v>43951</v>
      </c>
      <c r="B73" s="162">
        <v>1.03</v>
      </c>
      <c r="C73" s="171">
        <f t="shared" si="2"/>
        <v>-2.9999999999998916E-3</v>
      </c>
      <c r="D73" s="168">
        <f t="shared" si="3"/>
        <v>-2.9999999999998916E-3</v>
      </c>
      <c r="E73" s="168">
        <f ca="1">IF(表2_36716262930389121314153[[#This Row],[累计净值]]/MAX(INDIRECT("B21:B" &amp; ROW()))-1&lt;E72,表2_36716262930389121314153[[#This Row],[累计净值]]/MAX(INDIRECT("B21:B" &amp; ROW()))-1,E72)</f>
        <v>-2.9041626331073322E-3</v>
      </c>
      <c r="F73" s="172">
        <f>表2_36716262930389121314153[[#This Row],[累计净值]]</f>
        <v>1.03</v>
      </c>
      <c r="G73" s="170">
        <f>表2_36716262930389121314153[[#This Row],[累计净值]]/$B$21-1</f>
        <v>2.6919242273180544E-2</v>
      </c>
      <c r="H73" s="170">
        <f>表2_36716262930389121314153[[#This Row],[累计净值]]/$B$35-1</f>
        <v>1.8793273986152492E-2</v>
      </c>
    </row>
    <row r="74" spans="1:8">
      <c r="A74" s="161">
        <v>43957</v>
      </c>
      <c r="B74" s="162">
        <v>1.03</v>
      </c>
      <c r="C74" s="171">
        <f t="shared" si="2"/>
        <v>0</v>
      </c>
      <c r="D74" s="168" t="str">
        <f t="shared" si="3"/>
        <v>/</v>
      </c>
      <c r="E74" s="168">
        <f ca="1">IF(表2_36716262930389121314153[[#This Row],[累计净值]]/MAX(INDIRECT("B21:B" &amp; ROW()))-1&lt;E73,表2_36716262930389121314153[[#This Row],[累计净值]]/MAX(INDIRECT("B21:B" &amp; ROW()))-1,E73)</f>
        <v>-2.9041626331073322E-3</v>
      </c>
      <c r="F74" s="172">
        <f>表2_36716262930389121314153[[#This Row],[累计净值]]</f>
        <v>1.03</v>
      </c>
      <c r="G74" s="170">
        <f>表2_36716262930389121314153[[#This Row],[累计净值]]/$B$21-1</f>
        <v>2.6919242273180544E-2</v>
      </c>
      <c r="H74" s="170">
        <f>表2_36716262930389121314153[[#This Row],[累计净值]]/$B$35-1</f>
        <v>1.8793273986152492E-2</v>
      </c>
    </row>
    <row r="75" spans="1:8">
      <c r="A75" s="161">
        <v>43958</v>
      </c>
      <c r="B75" s="162">
        <v>1.032</v>
      </c>
      <c r="C75" s="171">
        <f t="shared" si="2"/>
        <v>2.0000000000000018E-3</v>
      </c>
      <c r="D75" s="168" t="str">
        <f t="shared" si="3"/>
        <v>/</v>
      </c>
      <c r="E75" s="168">
        <f ca="1">IF(表2_36716262930389121314153[[#This Row],[累计净值]]/MAX(INDIRECT("B21:B" &amp; ROW()))-1&lt;E74,表2_36716262930389121314153[[#This Row],[累计净值]]/MAX(INDIRECT("B21:B" &amp; ROW()))-1,E74)</f>
        <v>-2.9041626331073322E-3</v>
      </c>
      <c r="F75" s="172">
        <f>表2_36716262930389121314153[[#This Row],[累计净值]]</f>
        <v>1.032</v>
      </c>
      <c r="G75" s="170">
        <f>表2_36716262930389121314153[[#This Row],[累计净值]]/$B$21-1</f>
        <v>2.8913260219342041E-2</v>
      </c>
      <c r="H75" s="170">
        <f>表2_36716262930389121314153[[#This Row],[累计净值]]/$B$35-1</f>
        <v>2.0771513353115889E-2</v>
      </c>
    </row>
    <row r="76" spans="1:8">
      <c r="A76" s="161">
        <v>43959</v>
      </c>
      <c r="B76" s="162">
        <v>1.0329999999999999</v>
      </c>
      <c r="C76" s="171">
        <f>IFERROR(B76-B75,0)</f>
        <v>9.9999999999988987E-4</v>
      </c>
      <c r="D76" s="168" t="str">
        <f>IF(C76&lt;0,C76,"/")</f>
        <v>/</v>
      </c>
      <c r="E76" s="168">
        <f ca="1">IF(表2_36716262930389121314153[[#This Row],[累计净值]]/MAX(INDIRECT("B21:B" &amp; ROW()))-1&lt;E75,表2_36716262930389121314153[[#This Row],[累计净值]]/MAX(INDIRECT("B21:B" &amp; ROW()))-1,E75)</f>
        <v>-2.9041626331073322E-3</v>
      </c>
      <c r="F76" s="172">
        <f>表2_36716262930389121314153[[#This Row],[累计净值]]</f>
        <v>1.0329999999999999</v>
      </c>
      <c r="G76" s="170">
        <f>表2_36716262930389121314153[[#This Row],[累计净值]]/$B$21-1</f>
        <v>2.9910269192422678E-2</v>
      </c>
      <c r="H76" s="170">
        <f>表2_36716262930389121314153[[#This Row],[累计净值]]/$B$35-1</f>
        <v>2.1760633036597365E-2</v>
      </c>
    </row>
    <row r="77" spans="1:8">
      <c r="A77" s="161">
        <v>43962</v>
      </c>
      <c r="B77" s="162">
        <v>1.0329999999999999</v>
      </c>
      <c r="C77" s="171">
        <f>IFERROR(B77-B76,0)</f>
        <v>0</v>
      </c>
      <c r="D77" s="168" t="str">
        <f>IF(C77&lt;0,C77,"/")</f>
        <v>/</v>
      </c>
      <c r="E77" s="168">
        <f ca="1">IF(表2_36716262930389121314153[[#This Row],[累计净值]]/MAX(INDIRECT("B21:B" &amp; ROW()))-1&lt;E76,表2_36716262930389121314153[[#This Row],[累计净值]]/MAX(INDIRECT("B21:B" &amp; ROW()))-1,E76)</f>
        <v>-2.9041626331073322E-3</v>
      </c>
      <c r="F77" s="172">
        <f>表2_36716262930389121314153[[#This Row],[累计净值]]</f>
        <v>1.0329999999999999</v>
      </c>
      <c r="G77" s="170">
        <f>表2_36716262930389121314153[[#This Row],[累计净值]]/$B$21-1</f>
        <v>2.9910269192422678E-2</v>
      </c>
      <c r="H77" s="170">
        <f>表2_36716262930389121314153[[#This Row],[累计净值]]/$B$35-1</f>
        <v>2.1760633036597365E-2</v>
      </c>
    </row>
    <row r="78" spans="1:8">
      <c r="A78" s="161">
        <v>43963</v>
      </c>
      <c r="B78" s="162">
        <v>1.0349999999999999</v>
      </c>
      <c r="C78" s="171">
        <f>IFERROR(B78-B77,0)</f>
        <v>2.0000000000000018E-3</v>
      </c>
      <c r="D78" s="168" t="str">
        <f>IF(C78&lt;0,C78,"/")</f>
        <v>/</v>
      </c>
      <c r="E78" s="168">
        <f ca="1">IF(表2_36716262930389121314153[[#This Row],[累计净值]]/MAX(INDIRECT("B21:B" &amp; ROW()))-1&lt;E77,表2_36716262930389121314153[[#This Row],[累计净值]]/MAX(INDIRECT("B21:B" &amp; ROW()))-1,E77)</f>
        <v>-2.9041626331073322E-3</v>
      </c>
      <c r="F78" s="172">
        <f>表2_36716262930389121314153[[#This Row],[累计净值]]</f>
        <v>1.0349999999999999</v>
      </c>
      <c r="G78" s="170">
        <f>表2_36716262930389121314153[[#This Row],[累计净值]]/$B$21-1</f>
        <v>3.1904287138584175E-2</v>
      </c>
      <c r="H78" s="170">
        <f>表2_36716262930389121314153[[#This Row],[累计净值]]/$B$35-1</f>
        <v>2.3738872403560762E-2</v>
      </c>
    </row>
    <row r="79" spans="1:8">
      <c r="A79" s="161">
        <v>43964</v>
      </c>
      <c r="B79" s="162">
        <v>1.0349999999999999</v>
      </c>
      <c r="C79" s="171">
        <f>IFERROR(B79-B78,0)</f>
        <v>0</v>
      </c>
      <c r="D79" s="168" t="str">
        <f>IF(C79&lt;0,C79,"/")</f>
        <v>/</v>
      </c>
      <c r="E79" s="168">
        <f ca="1">IF(表2_36716262930389121314153[[#This Row],[累计净值]]/MAX(INDIRECT("B21:B" &amp; ROW()))-1&lt;E78,表2_36716262930389121314153[[#This Row],[累计净值]]/MAX(INDIRECT("B21:B" &amp; ROW()))-1,E78)</f>
        <v>-2.9041626331073322E-3</v>
      </c>
      <c r="F79" s="172">
        <f>表2_36716262930389121314153[[#This Row],[累计净值]]</f>
        <v>1.0349999999999999</v>
      </c>
      <c r="G79" s="170">
        <f>表2_36716262930389121314153[[#This Row],[累计净值]]/$B$21-1</f>
        <v>3.1904287138584175E-2</v>
      </c>
      <c r="H79" s="170">
        <f>表2_36716262930389121314153[[#This Row],[累计净值]]/$B$35-1</f>
        <v>2.3738872403560762E-2</v>
      </c>
    </row>
    <row r="80" spans="1:8">
      <c r="A80" s="161">
        <v>43965</v>
      </c>
      <c r="B80" s="162">
        <v>1.0349999999999999</v>
      </c>
      <c r="C80" s="171">
        <f>IFERROR(B80-B79,0)</f>
        <v>0</v>
      </c>
      <c r="D80" s="168" t="str">
        <f>IF(C80&lt;0,C80,"/")</f>
        <v>/</v>
      </c>
      <c r="E80" s="168">
        <f ca="1">IF(表2_36716262930389121314153[[#This Row],[累计净值]]/MAX(INDIRECT("B21:B" &amp; ROW()))-1&lt;E79,表2_36716262930389121314153[[#This Row],[累计净值]]/MAX(INDIRECT("B21:B" &amp; ROW()))-1,E79)</f>
        <v>-2.9041626331073322E-3</v>
      </c>
      <c r="F80" s="172">
        <f>表2_36716262930389121314153[[#This Row],[累计净值]]</f>
        <v>1.0349999999999999</v>
      </c>
      <c r="G80" s="170">
        <f>表2_36716262930389121314153[[#This Row],[累计净值]]/$B$21-1</f>
        <v>3.1904287138584175E-2</v>
      </c>
      <c r="H80" s="170">
        <f>表2_36716262930389121314153[[#This Row],[累计净值]]/$B$35-1</f>
        <v>2.3738872403560762E-2</v>
      </c>
    </row>
    <row r="81" spans="1:8">
      <c r="A81" s="161">
        <v>43966</v>
      </c>
      <c r="B81" s="162">
        <v>1.032</v>
      </c>
      <c r="C81" s="171">
        <f t="shared" ref="C81:C98" si="4">IFERROR(B81-B80,0)</f>
        <v>-2.9999999999998916E-3</v>
      </c>
      <c r="D81" s="168">
        <f t="shared" ref="D81:D98" si="5">IF(C81&lt;0,C81,"/")</f>
        <v>-2.9999999999998916E-3</v>
      </c>
      <c r="E81" s="168">
        <f ca="1">IF(表2_36716262930389121314153[[#This Row],[累计净值]]/MAX(INDIRECT("B21:B" &amp; ROW()))-1&lt;E80,表2_36716262930389121314153[[#This Row],[累计净值]]/MAX(INDIRECT("B21:B" &amp; ROW()))-1,E80)</f>
        <v>-2.9041626331073322E-3</v>
      </c>
      <c r="F81" s="172">
        <f>表2_36716262930389121314153[[#This Row],[累计净值]]</f>
        <v>1.032</v>
      </c>
      <c r="G81" s="170">
        <f>表2_36716262930389121314153[[#This Row],[累计净值]]/$B$21-1</f>
        <v>2.8913260219342041E-2</v>
      </c>
      <c r="H81" s="170">
        <f>表2_36716262930389121314153[[#This Row],[累计净值]]/$B$35-1</f>
        <v>2.0771513353115889E-2</v>
      </c>
    </row>
    <row r="82" spans="1:8">
      <c r="A82" s="161">
        <v>43969</v>
      </c>
      <c r="B82" s="162">
        <v>1.0309999999999999</v>
      </c>
      <c r="C82" s="171">
        <f t="shared" si="4"/>
        <v>-1.0000000000001119E-3</v>
      </c>
      <c r="D82" s="168">
        <f t="shared" si="5"/>
        <v>-1.0000000000001119E-3</v>
      </c>
      <c r="E82" s="168">
        <f ca="1">IF(表2_36716262930389121314153[[#This Row],[累计净值]]/MAX(INDIRECT("B21:B" &amp; ROW()))-1&lt;E81,表2_36716262930389121314153[[#This Row],[累计净值]]/MAX(INDIRECT("B21:B" &amp; ROW()))-1,E81)</f>
        <v>-3.8647342995169476E-3</v>
      </c>
      <c r="F82" s="172">
        <f>表2_36716262930389121314153[[#This Row],[累计净值]]</f>
        <v>1.0309999999999999</v>
      </c>
      <c r="G82" s="170">
        <f>表2_36716262930389121314153[[#This Row],[累计净值]]/$B$21-1</f>
        <v>2.7916251246261181E-2</v>
      </c>
      <c r="H82" s="170">
        <f>表2_36716262930389121314153[[#This Row],[累计净值]]/$B$35-1</f>
        <v>1.9782393669633969E-2</v>
      </c>
    </row>
    <row r="83" spans="1:8">
      <c r="A83" s="161">
        <v>43970</v>
      </c>
      <c r="B83" s="162">
        <v>1.0329999999999999</v>
      </c>
      <c r="C83" s="171">
        <f t="shared" si="4"/>
        <v>2.0000000000000018E-3</v>
      </c>
      <c r="D83" s="168" t="str">
        <f t="shared" si="5"/>
        <v>/</v>
      </c>
      <c r="E83" s="168">
        <f ca="1">IF(表2_36716262930389121314153[[#This Row],[累计净值]]/MAX(INDIRECT("B21:B" &amp; ROW()))-1&lt;E82,表2_36716262930389121314153[[#This Row],[累计净值]]/MAX(INDIRECT("B21:B" &amp; ROW()))-1,E82)</f>
        <v>-3.8647342995169476E-3</v>
      </c>
      <c r="F83" s="172">
        <f>表2_36716262930389121314153[[#This Row],[累计净值]]</f>
        <v>1.0329999999999999</v>
      </c>
      <c r="G83" s="170">
        <f>表2_36716262930389121314153[[#This Row],[累计净值]]/$B$21-1</f>
        <v>2.9910269192422678E-2</v>
      </c>
      <c r="H83" s="170">
        <f>表2_36716262930389121314153[[#This Row],[累计净值]]/$B$35-1</f>
        <v>2.1760633036597365E-2</v>
      </c>
    </row>
    <row r="84" spans="1:8">
      <c r="A84" s="161">
        <v>43971</v>
      </c>
      <c r="B84" s="162">
        <v>1.0349999999999999</v>
      </c>
      <c r="C84" s="171">
        <f t="shared" si="4"/>
        <v>2.0000000000000018E-3</v>
      </c>
      <c r="D84" s="168" t="str">
        <f t="shared" si="5"/>
        <v>/</v>
      </c>
      <c r="E84" s="168">
        <f ca="1">IF(表2_36716262930389121314153[[#This Row],[累计净值]]/MAX(INDIRECT("B21:B" &amp; ROW()))-1&lt;E83,表2_36716262930389121314153[[#This Row],[累计净值]]/MAX(INDIRECT("B21:B" &amp; ROW()))-1,E83)</f>
        <v>-3.8647342995169476E-3</v>
      </c>
      <c r="F84" s="172">
        <f>表2_36716262930389121314153[[#This Row],[累计净值]]</f>
        <v>1.0349999999999999</v>
      </c>
      <c r="G84" s="170">
        <f>表2_36716262930389121314153[[#This Row],[累计净值]]/$B$21-1</f>
        <v>3.1904287138584175E-2</v>
      </c>
      <c r="H84" s="170">
        <f>表2_36716262930389121314153[[#This Row],[累计净值]]/$B$35-1</f>
        <v>2.3738872403560762E-2</v>
      </c>
    </row>
    <row r="85" spans="1:8">
      <c r="A85" s="161">
        <v>43972</v>
      </c>
      <c r="B85" s="162">
        <v>1.0329999999999999</v>
      </c>
      <c r="C85" s="171">
        <f t="shared" si="4"/>
        <v>-2.0000000000000018E-3</v>
      </c>
      <c r="D85" s="168">
        <f t="shared" si="5"/>
        <v>-2.0000000000000018E-3</v>
      </c>
      <c r="E85" s="168">
        <f ca="1">IF(表2_36716262930389121314153[[#This Row],[累计净值]]/MAX(INDIRECT("B21:B" &amp; ROW()))-1&lt;E84,表2_36716262930389121314153[[#This Row],[累计净值]]/MAX(INDIRECT("B21:B" &amp; ROW()))-1,E84)</f>
        <v>-3.8647342995169476E-3</v>
      </c>
      <c r="F85" s="172">
        <f>表2_36716262930389121314153[[#This Row],[累计净值]]</f>
        <v>1.0329999999999999</v>
      </c>
      <c r="G85" s="170">
        <f>表2_36716262930389121314153[[#This Row],[累计净值]]/$B$21-1</f>
        <v>2.9910269192422678E-2</v>
      </c>
      <c r="H85" s="170">
        <f>表2_36716262930389121314153[[#This Row],[累计净值]]/$B$35-1</f>
        <v>2.1760633036597365E-2</v>
      </c>
    </row>
    <row r="86" spans="1:8">
      <c r="A86" s="161">
        <v>43973</v>
      </c>
      <c r="B86" s="162">
        <v>1.03</v>
      </c>
      <c r="C86" s="171">
        <f t="shared" si="4"/>
        <v>-2.9999999999998916E-3</v>
      </c>
      <c r="D86" s="168">
        <f t="shared" si="5"/>
        <v>-2.9999999999998916E-3</v>
      </c>
      <c r="E86" s="168">
        <f ca="1">IF(表2_36716262930389121314153[[#This Row],[累计净值]]/MAX(INDIRECT("B21:B" &amp; ROW()))-1&lt;E85,表2_36716262930389121314153[[#This Row],[累计净值]]/MAX(INDIRECT("B21:B" &amp; ROW()))-1,E85)</f>
        <v>-4.8309178743960457E-3</v>
      </c>
      <c r="F86" s="172">
        <f>表2_36716262930389121314153[[#This Row],[累计净值]]</f>
        <v>1.03</v>
      </c>
      <c r="G86" s="170">
        <f>表2_36716262930389121314153[[#This Row],[累计净值]]/$B$21-1</f>
        <v>2.6919242273180544E-2</v>
      </c>
      <c r="H86" s="170">
        <f>表2_36716262930389121314153[[#This Row],[累计净值]]/$B$35-1</f>
        <v>1.8793273986152492E-2</v>
      </c>
    </row>
    <row r="87" spans="1:8">
      <c r="A87" s="161">
        <v>43976</v>
      </c>
      <c r="B87" s="178">
        <v>1.0369999999999999</v>
      </c>
      <c r="C87" s="171">
        <f t="shared" si="4"/>
        <v>6.9999999999998952E-3</v>
      </c>
      <c r="D87" s="168" t="str">
        <f t="shared" si="5"/>
        <v>/</v>
      </c>
      <c r="E87" s="168">
        <f ca="1">IF(表2_36716262930389121314153[[#This Row],[累计净值]]/MAX(INDIRECT("B21:B" &amp; ROW()))-1&lt;E86,表2_36716262930389121314153[[#This Row],[累计净值]]/MAX(INDIRECT("B21:B" &amp; ROW()))-1,E86)</f>
        <v>-4.8309178743960457E-3</v>
      </c>
      <c r="F87" s="172">
        <f>表2_36716262930389121314153[[#This Row],[累计净值]]</f>
        <v>1.0369999999999999</v>
      </c>
      <c r="G87" s="170">
        <f>表2_36716262930389121314153[[#This Row],[累计净值]]/$B$21-1</f>
        <v>3.3898305084745894E-2</v>
      </c>
      <c r="H87" s="170">
        <f>表2_36716262930389121314153[[#This Row],[累计净值]]/$B$35-1</f>
        <v>2.5717111770524159E-2</v>
      </c>
    </row>
    <row r="88" spans="1:8">
      <c r="A88" s="161">
        <v>43977</v>
      </c>
      <c r="B88" s="162">
        <v>1.0369999999999999</v>
      </c>
      <c r="C88" s="171">
        <f t="shared" si="4"/>
        <v>0</v>
      </c>
      <c r="D88" s="168" t="str">
        <f t="shared" si="5"/>
        <v>/</v>
      </c>
      <c r="E88" s="168">
        <f ca="1">IF(表2_36716262930389121314153[[#This Row],[累计净值]]/MAX(INDIRECT("B21:B" &amp; ROW()))-1&lt;E87,表2_36716262930389121314153[[#This Row],[累计净值]]/MAX(INDIRECT("B21:B" &amp; ROW()))-1,E87)</f>
        <v>-4.8309178743960457E-3</v>
      </c>
      <c r="F88" s="172">
        <f>表2_36716262930389121314153[[#This Row],[累计净值]]</f>
        <v>1.0369999999999999</v>
      </c>
      <c r="G88" s="170">
        <f>表2_36716262930389121314153[[#This Row],[累计净值]]/$B$21-1</f>
        <v>3.3898305084745894E-2</v>
      </c>
      <c r="H88" s="170">
        <f>表2_36716262930389121314153[[#This Row],[累计净值]]/$B$35-1</f>
        <v>2.5717111770524159E-2</v>
      </c>
    </row>
    <row r="89" spans="1:8">
      <c r="A89" s="161">
        <v>43978</v>
      </c>
      <c r="B89" s="162">
        <v>1.0349999999999999</v>
      </c>
      <c r="C89" s="171">
        <f t="shared" si="4"/>
        <v>-2.0000000000000018E-3</v>
      </c>
      <c r="D89" s="168">
        <f t="shared" si="5"/>
        <v>-2.0000000000000018E-3</v>
      </c>
      <c r="E89" s="168">
        <f ca="1">IF(表2_36716262930389121314153[[#This Row],[累计净值]]/MAX(INDIRECT("B21:B" &amp; ROW()))-1&lt;E88,表2_36716262930389121314153[[#This Row],[累计净值]]/MAX(INDIRECT("B21:B" &amp; ROW()))-1,E88)</f>
        <v>-4.8309178743960457E-3</v>
      </c>
      <c r="F89" s="172">
        <f>表2_36716262930389121314153[[#This Row],[累计净值]]</f>
        <v>1.0349999999999999</v>
      </c>
      <c r="G89" s="170">
        <f>表2_36716262930389121314153[[#This Row],[累计净值]]/$B$21-1</f>
        <v>3.1904287138584175E-2</v>
      </c>
      <c r="H89" s="170">
        <f>表2_36716262930389121314153[[#This Row],[累计净值]]/$B$35-1</f>
        <v>2.3738872403560762E-2</v>
      </c>
    </row>
    <row r="90" spans="1:8">
      <c r="A90" s="161">
        <v>43979</v>
      </c>
      <c r="B90" s="162">
        <v>1.0329999999999999</v>
      </c>
      <c r="C90" s="171">
        <f t="shared" si="4"/>
        <v>-2.0000000000000018E-3</v>
      </c>
      <c r="D90" s="168">
        <f t="shared" si="5"/>
        <v>-2.0000000000000018E-3</v>
      </c>
      <c r="E90" s="168">
        <f ca="1">IF(表2_36716262930389121314153[[#This Row],[累计净值]]/MAX(INDIRECT("B21:B" &amp; ROW()))-1&lt;E89,表2_36716262930389121314153[[#This Row],[累计净值]]/MAX(INDIRECT("B21:B" &amp; ROW()))-1,E89)</f>
        <v>-4.8309178743960457E-3</v>
      </c>
      <c r="F90" s="172">
        <f>表2_36716262930389121314153[[#This Row],[累计净值]]</f>
        <v>1.0329999999999999</v>
      </c>
      <c r="G90" s="170">
        <f>表2_36716262930389121314153[[#This Row],[累计净值]]/$B$21-1</f>
        <v>2.9910269192422678E-2</v>
      </c>
      <c r="H90" s="170">
        <f>表2_36716262930389121314153[[#This Row],[累计净值]]/$B$35-1</f>
        <v>2.1760633036597365E-2</v>
      </c>
    </row>
    <row r="91" spans="1:8">
      <c r="A91" s="161">
        <v>43980</v>
      </c>
      <c r="B91" s="162">
        <v>1.0309999999999999</v>
      </c>
      <c r="C91" s="171">
        <f t="shared" si="4"/>
        <v>-2.0000000000000018E-3</v>
      </c>
      <c r="D91" s="168">
        <f t="shared" si="5"/>
        <v>-2.0000000000000018E-3</v>
      </c>
      <c r="E91" s="168">
        <f ca="1">IF(表2_36716262930389121314153[[#This Row],[累计净值]]/MAX(INDIRECT("B21:B" &amp; ROW()))-1&lt;E90,表2_36716262930389121314153[[#This Row],[累计净值]]/MAX(INDIRECT("B21:B" &amp; ROW()))-1,E90)</f>
        <v>-5.7859209257473676E-3</v>
      </c>
      <c r="F91" s="172">
        <f>表2_36716262930389121314153[[#This Row],[累计净值]]</f>
        <v>1.0309999999999999</v>
      </c>
      <c r="G91" s="170">
        <f>表2_36716262930389121314153[[#This Row],[累计净值]]/$B$21-1</f>
        <v>2.7916251246261181E-2</v>
      </c>
      <c r="H91" s="170">
        <f>表2_36716262930389121314153[[#This Row],[累计净值]]/$B$35-1</f>
        <v>1.9782393669633969E-2</v>
      </c>
    </row>
    <row r="92" spans="1:8">
      <c r="A92" s="161">
        <v>43983</v>
      </c>
      <c r="B92" s="162">
        <v>1.0349999999999999</v>
      </c>
      <c r="C92" s="171">
        <f t="shared" si="4"/>
        <v>4.0000000000000036E-3</v>
      </c>
      <c r="D92" s="168" t="str">
        <f t="shared" si="5"/>
        <v>/</v>
      </c>
      <c r="E92" s="168">
        <f ca="1">IF(表2_36716262930389121314153[[#This Row],[累计净值]]/MAX(INDIRECT("B21:B" &amp; ROW()))-1&lt;E91,表2_36716262930389121314153[[#This Row],[累计净值]]/MAX(INDIRECT("B21:B" &amp; ROW()))-1,E91)</f>
        <v>-5.7859209257473676E-3</v>
      </c>
      <c r="F92" s="172">
        <f>表2_36716262930389121314153[[#This Row],[累计净值]]</f>
        <v>1.0349999999999999</v>
      </c>
      <c r="G92" s="170">
        <f>表2_36716262930389121314153[[#This Row],[累计净值]]/$B$21-1</f>
        <v>3.1904287138584175E-2</v>
      </c>
      <c r="H92" s="170">
        <f>表2_36716262930389121314153[[#This Row],[累计净值]]/$B$35-1</f>
        <v>2.3738872403560762E-2</v>
      </c>
    </row>
    <row r="93" spans="1:8">
      <c r="A93" s="161">
        <v>43984</v>
      </c>
      <c r="B93" s="162">
        <v>1.0329999999999999</v>
      </c>
      <c r="C93" s="171">
        <f t="shared" si="4"/>
        <v>-2.0000000000000018E-3</v>
      </c>
      <c r="D93" s="168">
        <f t="shared" si="5"/>
        <v>-2.0000000000000018E-3</v>
      </c>
      <c r="E93" s="168">
        <f ca="1">IF(表2_36716262930389121314153[[#This Row],[累计净值]]/MAX(INDIRECT("B21:B" &amp; ROW()))-1&lt;E92,表2_36716262930389121314153[[#This Row],[累计净值]]/MAX(INDIRECT("B21:B" &amp; ROW()))-1,E92)</f>
        <v>-5.7859209257473676E-3</v>
      </c>
      <c r="F93" s="172">
        <f>表2_36716262930389121314153[[#This Row],[累计净值]]</f>
        <v>1.0329999999999999</v>
      </c>
      <c r="G93" s="170">
        <f>表2_36716262930389121314153[[#This Row],[累计净值]]/$B$21-1</f>
        <v>2.9910269192422678E-2</v>
      </c>
      <c r="H93" s="170">
        <f>表2_36716262930389121314153[[#This Row],[累计净值]]/$B$35-1</f>
        <v>2.1760633036597365E-2</v>
      </c>
    </row>
    <row r="94" spans="1:8">
      <c r="A94" s="161">
        <v>43985</v>
      </c>
      <c r="B94" s="162">
        <v>1.0349999999999999</v>
      </c>
      <c r="C94" s="171">
        <f t="shared" si="4"/>
        <v>2.0000000000000018E-3</v>
      </c>
      <c r="D94" s="168" t="str">
        <f t="shared" si="5"/>
        <v>/</v>
      </c>
      <c r="E94" s="168">
        <f ca="1">IF(表2_36716262930389121314153[[#This Row],[累计净值]]/MAX(INDIRECT("B21:B" &amp; ROW()))-1&lt;E93,表2_36716262930389121314153[[#This Row],[累计净值]]/MAX(INDIRECT("B21:B" &amp; ROW()))-1,E93)</f>
        <v>-5.7859209257473676E-3</v>
      </c>
      <c r="F94" s="172">
        <f>表2_36716262930389121314153[[#This Row],[累计净值]]</f>
        <v>1.0349999999999999</v>
      </c>
      <c r="G94" s="170">
        <f>表2_36716262930389121314153[[#This Row],[累计净值]]/$B$21-1</f>
        <v>3.1904287138584175E-2</v>
      </c>
      <c r="H94" s="170">
        <f>表2_36716262930389121314153[[#This Row],[累计净值]]/$B$35-1</f>
        <v>2.3738872403560762E-2</v>
      </c>
    </row>
    <row r="95" spans="1:8">
      <c r="A95" s="161">
        <v>43986</v>
      </c>
      <c r="B95" s="162">
        <v>1.0349999999999999</v>
      </c>
      <c r="C95" s="171">
        <f t="shared" si="4"/>
        <v>0</v>
      </c>
      <c r="D95" s="168" t="str">
        <f t="shared" si="5"/>
        <v>/</v>
      </c>
      <c r="E95" s="168">
        <f ca="1">IF(表2_36716262930389121314153[[#This Row],[累计净值]]/MAX(INDIRECT("B21:B" &amp; ROW()))-1&lt;E94,表2_36716262930389121314153[[#This Row],[累计净值]]/MAX(INDIRECT("B21:B" &amp; ROW()))-1,E94)</f>
        <v>-5.7859209257473676E-3</v>
      </c>
      <c r="F95" s="172">
        <f>表2_36716262930389121314153[[#This Row],[累计净值]]</f>
        <v>1.0349999999999999</v>
      </c>
      <c r="G95" s="170">
        <f>表2_36716262930389121314153[[#This Row],[累计净值]]/$B$21-1</f>
        <v>3.1904287138584175E-2</v>
      </c>
      <c r="H95" s="170">
        <f>表2_36716262930389121314153[[#This Row],[累计净值]]/$B$35-1</f>
        <v>2.3738872403560762E-2</v>
      </c>
    </row>
    <row r="96" spans="1:8">
      <c r="A96" s="161">
        <v>43987</v>
      </c>
      <c r="B96" s="162">
        <v>1.0349999999999999</v>
      </c>
      <c r="C96" s="171">
        <f t="shared" si="4"/>
        <v>0</v>
      </c>
      <c r="D96" s="168" t="str">
        <f t="shared" si="5"/>
        <v>/</v>
      </c>
      <c r="E96" s="168">
        <f ca="1">IF(表2_36716262930389121314153[[#This Row],[累计净值]]/MAX(INDIRECT("B21:B" &amp; ROW()))-1&lt;E95,表2_36716262930389121314153[[#This Row],[累计净值]]/MAX(INDIRECT("B21:B" &amp; ROW()))-1,E95)</f>
        <v>-5.7859209257473676E-3</v>
      </c>
      <c r="F96" s="172">
        <f>表2_36716262930389121314153[[#This Row],[累计净值]]</f>
        <v>1.0349999999999999</v>
      </c>
      <c r="G96" s="170">
        <f>表2_36716262930389121314153[[#This Row],[累计净值]]/$B$21-1</f>
        <v>3.1904287138584175E-2</v>
      </c>
      <c r="H96" s="170">
        <f>表2_36716262930389121314153[[#This Row],[累计净值]]/$B$35-1</f>
        <v>2.3738872403560762E-2</v>
      </c>
    </row>
    <row r="97" spans="1:8">
      <c r="A97" s="161">
        <v>43990</v>
      </c>
      <c r="B97" s="162">
        <v>1.0349999999999999</v>
      </c>
      <c r="C97" s="171">
        <f t="shared" si="4"/>
        <v>0</v>
      </c>
      <c r="D97" s="168" t="str">
        <f t="shared" si="5"/>
        <v>/</v>
      </c>
      <c r="E97" s="168">
        <f ca="1">IF(表2_36716262930389121314153[[#This Row],[累计净值]]/MAX(INDIRECT("B21:B" &amp; ROW()))-1&lt;E96,表2_36716262930389121314153[[#This Row],[累计净值]]/MAX(INDIRECT("B21:B" &amp; ROW()))-1,E96)</f>
        <v>-5.7859209257473676E-3</v>
      </c>
      <c r="F97" s="172">
        <f>表2_36716262930389121314153[[#This Row],[累计净值]]</f>
        <v>1.0349999999999999</v>
      </c>
      <c r="G97" s="170">
        <f>表2_36716262930389121314153[[#This Row],[累计净值]]/$B$21-1</f>
        <v>3.1904287138584175E-2</v>
      </c>
      <c r="H97" s="170">
        <f>表2_36716262930389121314153[[#This Row],[累计净值]]/$B$35-1</f>
        <v>2.3738872403560762E-2</v>
      </c>
    </row>
    <row r="98" spans="1:8">
      <c r="A98" s="161">
        <v>43991</v>
      </c>
      <c r="B98" s="162">
        <v>1.038</v>
      </c>
      <c r="C98" s="171">
        <f t="shared" si="4"/>
        <v>3.0000000000001137E-3</v>
      </c>
      <c r="D98" s="168" t="str">
        <f t="shared" si="5"/>
        <v>/</v>
      </c>
      <c r="E98" s="168">
        <f ca="1">IF(表2_36716262930389121314153[[#This Row],[累计净值]]/MAX(INDIRECT("B21:B" &amp; ROW()))-1&lt;E97,表2_36716262930389121314153[[#This Row],[累计净值]]/MAX(INDIRECT("B21:B" &amp; ROW()))-1,E97)</f>
        <v>-5.7859209257473676E-3</v>
      </c>
      <c r="F98" s="172">
        <f>表2_36716262930389121314153[[#This Row],[累计净值]]</f>
        <v>1.038</v>
      </c>
      <c r="G98" s="170">
        <f>表2_36716262930389121314153[[#This Row],[累计净值]]/$B$21-1</f>
        <v>3.4895314057826754E-2</v>
      </c>
      <c r="H98" s="170">
        <f>表2_36716262930389121314153[[#This Row],[累计净值]]/$B$35-1</f>
        <v>2.670623145400608E-2</v>
      </c>
    </row>
    <row r="99" spans="1:8">
      <c r="A99" s="161">
        <v>43992</v>
      </c>
      <c r="B99" s="162">
        <v>1.036</v>
      </c>
      <c r="C99" s="171">
        <f t="shared" ref="C99:C105" si="6">IFERROR(B99-B98,0)</f>
        <v>-2.0000000000000018E-3</v>
      </c>
      <c r="D99" s="168">
        <f t="shared" ref="D99:D105" si="7">IF(C99&lt;0,C99,"/")</f>
        <v>-2.0000000000000018E-3</v>
      </c>
      <c r="E99" s="168">
        <f ca="1">IF(表2_36716262930389121314153[[#This Row],[累计净值]]/MAX(INDIRECT("B21:B" &amp; ROW()))-1&lt;E98,表2_36716262930389121314153[[#This Row],[累计净值]]/MAX(INDIRECT("B21:B" &amp; ROW()))-1,E98)</f>
        <v>-5.7859209257473676E-3</v>
      </c>
      <c r="F99" s="172">
        <f>表2_36716262930389121314153[[#This Row],[累计净值]]</f>
        <v>1.036</v>
      </c>
      <c r="G99" s="170">
        <f>表2_36716262930389121314153[[#This Row],[累计净值]]/$B$21-1</f>
        <v>3.2901296111665257E-2</v>
      </c>
      <c r="H99" s="170">
        <f>表2_36716262930389121314153[[#This Row],[累计净值]]/$B$35-1</f>
        <v>2.4727992087042683E-2</v>
      </c>
    </row>
    <row r="100" spans="1:8">
      <c r="A100" s="161">
        <v>43993</v>
      </c>
      <c r="B100" s="162">
        <v>1.0369999999999999</v>
      </c>
      <c r="C100" s="171">
        <f t="shared" si="6"/>
        <v>9.9999999999988987E-4</v>
      </c>
      <c r="D100" s="168" t="str">
        <f t="shared" si="7"/>
        <v>/</v>
      </c>
      <c r="E100" s="168">
        <f ca="1">IF(表2_36716262930389121314153[[#This Row],[累计净值]]/MAX(INDIRECT("B21:B" &amp; ROW()))-1&lt;E99,表2_36716262930389121314153[[#This Row],[累计净值]]/MAX(INDIRECT("B21:B" &amp; ROW()))-1,E99)</f>
        <v>-5.7859209257473676E-3</v>
      </c>
      <c r="F100" s="172">
        <f>表2_36716262930389121314153[[#This Row],[累计净值]]</f>
        <v>1.0369999999999999</v>
      </c>
      <c r="G100" s="170">
        <f>表2_36716262930389121314153[[#This Row],[累计净值]]/$B$21-1</f>
        <v>3.3898305084745894E-2</v>
      </c>
      <c r="H100" s="170">
        <f>表2_36716262930389121314153[[#This Row],[累计净值]]/$B$35-1</f>
        <v>2.5717111770524159E-2</v>
      </c>
    </row>
    <row r="101" spans="1:8">
      <c r="A101" s="161">
        <v>43994</v>
      </c>
      <c r="B101" s="162">
        <v>1.0329999999999999</v>
      </c>
      <c r="C101" s="171">
        <f t="shared" si="6"/>
        <v>-4.0000000000000036E-3</v>
      </c>
      <c r="D101" s="168">
        <f t="shared" si="7"/>
        <v>-4.0000000000000036E-3</v>
      </c>
      <c r="E101" s="168">
        <f ca="1">IF(表2_36716262930389121314153[[#This Row],[累计净值]]/MAX(INDIRECT("B21:B" &amp; ROW()))-1&lt;E100,表2_36716262930389121314153[[#This Row],[累计净值]]/MAX(INDIRECT("B21:B" &amp; ROW()))-1,E100)</f>
        <v>-5.7859209257473676E-3</v>
      </c>
      <c r="F101" s="172">
        <f>表2_36716262930389121314153[[#This Row],[累计净值]]</f>
        <v>1.0329999999999999</v>
      </c>
      <c r="G101" s="170">
        <f>表2_36716262930389121314153[[#This Row],[累计净值]]/$B$21-1</f>
        <v>2.9910269192422678E-2</v>
      </c>
      <c r="H101" s="170">
        <f>表2_36716262930389121314153[[#This Row],[累计净值]]/$B$35-1</f>
        <v>2.1760633036597365E-2</v>
      </c>
    </row>
    <row r="102" spans="1:8">
      <c r="A102" s="161">
        <v>43997</v>
      </c>
      <c r="B102" s="162">
        <v>1.036</v>
      </c>
      <c r="C102" s="171">
        <f t="shared" si="6"/>
        <v>3.0000000000001137E-3</v>
      </c>
      <c r="D102" s="168" t="str">
        <f t="shared" si="7"/>
        <v>/</v>
      </c>
      <c r="E102" s="168">
        <f ca="1">IF(表2_36716262930389121314153[[#This Row],[累计净值]]/MAX(INDIRECT("B21:B" &amp; ROW()))-1&lt;E101,表2_36716262930389121314153[[#This Row],[累计净值]]/MAX(INDIRECT("B21:B" &amp; ROW()))-1,E101)</f>
        <v>-5.7859209257473676E-3</v>
      </c>
      <c r="F102" s="172">
        <f>表2_36716262930389121314153[[#This Row],[累计净值]]</f>
        <v>1.036</v>
      </c>
      <c r="G102" s="170">
        <f>表2_36716262930389121314153[[#This Row],[累计净值]]/$B$21-1</f>
        <v>3.2901296111665257E-2</v>
      </c>
      <c r="H102" s="170">
        <f>表2_36716262930389121314153[[#This Row],[累计净值]]/$B$35-1</f>
        <v>2.4727992087042683E-2</v>
      </c>
    </row>
    <row r="103" spans="1:8">
      <c r="A103" s="161">
        <v>43998</v>
      </c>
      <c r="B103" s="162">
        <v>1.0409999999999999</v>
      </c>
      <c r="C103" s="171">
        <f t="shared" si="6"/>
        <v>4.9999999999998934E-3</v>
      </c>
      <c r="D103" s="168" t="str">
        <f t="shared" si="7"/>
        <v>/</v>
      </c>
      <c r="E103" s="168">
        <f ca="1">IF(表2_36716262930389121314153[[#This Row],[累计净值]]/MAX(INDIRECT("B21:B" &amp; ROW()))-1&lt;E102,表2_36716262930389121314153[[#This Row],[累计净值]]/MAX(INDIRECT("B21:B" &amp; ROW()))-1,E102)</f>
        <v>-5.7859209257473676E-3</v>
      </c>
      <c r="F103" s="110">
        <f>表2_36716262930389121314153[[#This Row],[累计净值]]</f>
        <v>1.0409999999999999</v>
      </c>
      <c r="G103" s="170">
        <f>表2_36716262930389121314153[[#This Row],[累计净值]]/$B$21-1</f>
        <v>3.7886340977068889E-2</v>
      </c>
      <c r="H103" s="170">
        <f>表2_36716262930389121314153[[#This Row],[累计净值]]/$B$35-1</f>
        <v>2.9673590504451175E-2</v>
      </c>
    </row>
    <row r="104" spans="1:8">
      <c r="A104" s="161">
        <v>43999</v>
      </c>
      <c r="B104" s="162">
        <v>1.0409999999999999</v>
      </c>
      <c r="C104" s="171">
        <f t="shared" si="6"/>
        <v>0</v>
      </c>
      <c r="D104" s="168" t="str">
        <f t="shared" si="7"/>
        <v>/</v>
      </c>
      <c r="E104" s="168">
        <f ca="1">IF(表2_36716262930389121314153[[#This Row],[累计净值]]/MAX(INDIRECT("B21:B" &amp; ROW()))-1&lt;E103,表2_36716262930389121314153[[#This Row],[累计净值]]/MAX(INDIRECT("B21:B" &amp; ROW()))-1,E103)</f>
        <v>-5.7859209257473676E-3</v>
      </c>
      <c r="F104" s="110">
        <f>表2_36716262930389121314153[[#This Row],[累计净值]]</f>
        <v>1.0409999999999999</v>
      </c>
      <c r="G104" s="170">
        <f>表2_36716262930389121314153[[#This Row],[累计净值]]/$B$21-1</f>
        <v>3.7886340977068889E-2</v>
      </c>
      <c r="H104" s="170">
        <f>表2_36716262930389121314153[[#This Row],[累计净值]]/$B$35-1</f>
        <v>2.9673590504451175E-2</v>
      </c>
    </row>
    <row r="105" spans="1:8">
      <c r="A105" s="161">
        <v>44000</v>
      </c>
      <c r="B105" s="162">
        <v>1.04</v>
      </c>
      <c r="C105" s="171">
        <f t="shared" si="6"/>
        <v>-9.9999999999988987E-4</v>
      </c>
      <c r="D105" s="168">
        <f t="shared" si="7"/>
        <v>-9.9999999999988987E-4</v>
      </c>
      <c r="E105" s="168">
        <f ca="1">IF(表2_36716262930389121314153[[#This Row],[累计净值]]/MAX(INDIRECT("B21:B" &amp; ROW()))-1&lt;E104,表2_36716262930389121314153[[#This Row],[累计净值]]/MAX(INDIRECT("B21:B" &amp; ROW()))-1,E104)</f>
        <v>-5.7859209257473676E-3</v>
      </c>
      <c r="F105" s="110">
        <f>表2_36716262930389121314153[[#This Row],[累计净值]]</f>
        <v>1.04</v>
      </c>
      <c r="G105" s="170">
        <f>表2_36716262930389121314153[[#This Row],[累计净值]]/$B$21-1</f>
        <v>3.6889332003988251E-2</v>
      </c>
      <c r="H105" s="170">
        <f>表2_36716262930389121314153[[#This Row],[累计净值]]/$B$35-1</f>
        <v>2.8684470820969477E-2</v>
      </c>
    </row>
    <row r="106" spans="1:8">
      <c r="A106" s="161">
        <v>44001</v>
      </c>
      <c r="B106" s="162">
        <v>1.0369999999999999</v>
      </c>
      <c r="C106" s="171">
        <f t="shared" ref="C106:C111" si="8">IFERROR(B106-B105,0)</f>
        <v>-3.0000000000001137E-3</v>
      </c>
      <c r="D106" s="168">
        <f t="shared" ref="D106:D111" si="9">IF(C106&lt;0,C106,"/")</f>
        <v>-3.0000000000001137E-3</v>
      </c>
      <c r="E106" s="168">
        <f ca="1">IF(表2_36716262930389121314153[[#This Row],[累计净值]]/MAX(INDIRECT("B21:B" &amp; ROW()))-1&lt;E105,表2_36716262930389121314153[[#This Row],[累计净值]]/MAX(INDIRECT("B21:B" &amp; ROW()))-1,E105)</f>
        <v>-5.7859209257473676E-3</v>
      </c>
      <c r="F106" s="110">
        <f>表2_36716262930389121314153[[#This Row],[累计净值]]</f>
        <v>1.0369999999999999</v>
      </c>
      <c r="G106" s="170">
        <f>表2_36716262930389121314153[[#This Row],[累计净值]]/$B$21-1</f>
        <v>3.3898305084745894E-2</v>
      </c>
      <c r="H106" s="170">
        <f>表2_36716262930389121314153[[#This Row],[累计净值]]/$B$35-1</f>
        <v>2.5717111770524159E-2</v>
      </c>
    </row>
    <row r="107" spans="1:8">
      <c r="A107" s="161">
        <v>44004</v>
      </c>
      <c r="B107" s="162">
        <v>1.0389999999999999</v>
      </c>
      <c r="C107" s="171">
        <f t="shared" si="8"/>
        <v>2.0000000000000018E-3</v>
      </c>
      <c r="D107" s="168" t="str">
        <f t="shared" si="9"/>
        <v>/</v>
      </c>
      <c r="E107" s="168">
        <f ca="1">IF(表2_36716262930389121314153[[#This Row],[累计净值]]/MAX(INDIRECT("B21:B" &amp; ROW()))-1&lt;E106,表2_36716262930389121314153[[#This Row],[累计净值]]/MAX(INDIRECT("B21:B" &amp; ROW()))-1,E106)</f>
        <v>-5.7859209257473676E-3</v>
      </c>
      <c r="F107" s="110">
        <f>表2_36716262930389121314153[[#This Row],[累计净值]]</f>
        <v>1.0389999999999999</v>
      </c>
      <c r="G107" s="170">
        <f>表2_36716262930389121314153[[#This Row],[累计净值]]/$B$21-1</f>
        <v>3.5892323030907392E-2</v>
      </c>
      <c r="H107" s="170">
        <f>表2_36716262930389121314153[[#This Row],[累计净值]]/$B$35-1</f>
        <v>2.7695351137487556E-2</v>
      </c>
    </row>
    <row r="108" spans="1:8">
      <c r="A108" s="161">
        <v>44005</v>
      </c>
      <c r="B108" s="162">
        <v>1.038</v>
      </c>
      <c r="C108" s="171">
        <f t="shared" si="8"/>
        <v>-9.9999999999988987E-4</v>
      </c>
      <c r="D108" s="168">
        <f t="shared" si="9"/>
        <v>-9.9999999999988987E-4</v>
      </c>
      <c r="E108" s="168">
        <f ca="1">IF(表2_36716262930389121314153[[#This Row],[累计净值]]/MAX(INDIRECT("B21:B" &amp; ROW()))-1&lt;E107,表2_36716262930389121314153[[#This Row],[累计净值]]/MAX(INDIRECT("B21:B" &amp; ROW()))-1,E107)</f>
        <v>-5.7859209257473676E-3</v>
      </c>
      <c r="F108" s="110">
        <f>表2_36716262930389121314153[[#This Row],[累计净值]]</f>
        <v>1.038</v>
      </c>
      <c r="G108" s="170">
        <f>表2_36716262930389121314153[[#This Row],[累计净值]]/$B$21-1</f>
        <v>3.4895314057826754E-2</v>
      </c>
      <c r="H108" s="170">
        <f>表2_36716262930389121314153[[#This Row],[累计净值]]/$B$35-1</f>
        <v>2.670623145400608E-2</v>
      </c>
    </row>
    <row r="109" spans="1:8">
      <c r="A109" s="161">
        <v>44006</v>
      </c>
      <c r="B109" s="162">
        <v>1.0389999999999999</v>
      </c>
      <c r="C109" s="171">
        <f t="shared" si="8"/>
        <v>9.9999999999988987E-4</v>
      </c>
      <c r="D109" s="168" t="str">
        <f t="shared" si="9"/>
        <v>/</v>
      </c>
      <c r="E109" s="168">
        <f ca="1">IF(表2_36716262930389121314153[[#This Row],[累计净值]]/MAX(INDIRECT("B21:B" &amp; ROW()))-1&lt;E108,表2_36716262930389121314153[[#This Row],[累计净值]]/MAX(INDIRECT("B21:B" &amp; ROW()))-1,E108)</f>
        <v>-5.7859209257473676E-3</v>
      </c>
      <c r="F109" s="110">
        <f>表2_36716262930389121314153[[#This Row],[累计净值]]</f>
        <v>1.0389999999999999</v>
      </c>
      <c r="G109" s="170">
        <f>表2_36716262930389121314153[[#This Row],[累计净值]]/$B$21-1</f>
        <v>3.5892323030907392E-2</v>
      </c>
      <c r="H109" s="170">
        <f>表2_36716262930389121314153[[#This Row],[累计净值]]/$B$35-1</f>
        <v>2.7695351137487556E-2</v>
      </c>
    </row>
    <row r="110" spans="1:8">
      <c r="A110" s="161">
        <v>44011</v>
      </c>
      <c r="B110" s="162">
        <v>1.038</v>
      </c>
      <c r="C110" s="171">
        <f t="shared" si="8"/>
        <v>-9.9999999999988987E-4</v>
      </c>
      <c r="D110" s="168">
        <f t="shared" si="9"/>
        <v>-9.9999999999988987E-4</v>
      </c>
      <c r="E110" s="168">
        <f ca="1">IF(表2_36716262930389121314153[[#This Row],[累计净值]]/MAX(INDIRECT("B21:B" &amp; ROW()))-1&lt;E109,表2_36716262930389121314153[[#This Row],[累计净值]]/MAX(INDIRECT("B21:B" &amp; ROW()))-1,E109)</f>
        <v>-5.7859209257473676E-3</v>
      </c>
      <c r="F110" s="110">
        <f>表2_36716262930389121314153[[#This Row],[累计净值]]</f>
        <v>1.038</v>
      </c>
      <c r="G110" s="170">
        <f>表2_36716262930389121314153[[#This Row],[累计净值]]/$B$21-1</f>
        <v>3.4895314057826754E-2</v>
      </c>
      <c r="H110" s="170">
        <f>表2_36716262930389121314153[[#This Row],[累计净值]]/$B$35-1</f>
        <v>2.670623145400608E-2</v>
      </c>
    </row>
    <row r="111" spans="1:8">
      <c r="A111" s="161">
        <v>44012</v>
      </c>
      <c r="B111" s="162">
        <v>1.0389999999999999</v>
      </c>
      <c r="C111" s="171">
        <f t="shared" si="8"/>
        <v>9.9999999999988987E-4</v>
      </c>
      <c r="D111" s="168" t="str">
        <f t="shared" si="9"/>
        <v>/</v>
      </c>
      <c r="E111" s="168">
        <f ca="1">IF(表2_36716262930389121314153[[#This Row],[累计净值]]/MAX(INDIRECT("B21:B" &amp; ROW()))-1&lt;E110,表2_36716262930389121314153[[#This Row],[累计净值]]/MAX(INDIRECT("B21:B" &amp; ROW()))-1,E110)</f>
        <v>-5.7859209257473676E-3</v>
      </c>
      <c r="F111" s="110">
        <f>表2_36716262930389121314153[[#This Row],[累计净值]]</f>
        <v>1.0389999999999999</v>
      </c>
      <c r="G111" s="170">
        <f>表2_36716262930389121314153[[#This Row],[累计净值]]/$B$21-1</f>
        <v>3.5892323030907392E-2</v>
      </c>
      <c r="H111" s="170">
        <f>表2_36716262930389121314153[[#This Row],[累计净值]]/$B$35-1</f>
        <v>2.7695351137487556E-2</v>
      </c>
    </row>
    <row r="112" spans="1:8">
      <c r="A112" s="161">
        <v>44013</v>
      </c>
      <c r="B112" s="162">
        <v>1.038</v>
      </c>
      <c r="C112" s="171">
        <f>IFERROR(B112-B111,0)</f>
        <v>-9.9999999999988987E-4</v>
      </c>
      <c r="D112" s="168">
        <f>IF(C112&lt;0,C112,"/")</f>
        <v>-9.9999999999988987E-4</v>
      </c>
      <c r="E112" s="168">
        <f ca="1">IF(表2_36716262930389121314153[[#This Row],[累计净值]]/MAX(INDIRECT("B21:B" &amp; ROW()))-1&lt;E111,表2_36716262930389121314153[[#This Row],[累计净值]]/MAX(INDIRECT("B21:B" &amp; ROW()))-1,E111)</f>
        <v>-5.7859209257473676E-3</v>
      </c>
      <c r="F112" s="110">
        <f>表2_36716262930389121314153[[#This Row],[累计净值]]</f>
        <v>1.038</v>
      </c>
      <c r="G112" s="170">
        <f>表2_36716262930389121314153[[#This Row],[累计净值]]/$B$21-1</f>
        <v>3.4895314057826754E-2</v>
      </c>
      <c r="H112" s="170">
        <f>表2_36716262930389121314153[[#This Row],[累计净值]]/$B$35-1</f>
        <v>2.670623145400608E-2</v>
      </c>
    </row>
    <row r="113" spans="1:8">
      <c r="A113" s="161">
        <v>44014</v>
      </c>
      <c r="B113" s="162">
        <v>1.036</v>
      </c>
      <c r="C113" s="171">
        <f>IFERROR(B113-B112,0)</f>
        <v>-2.0000000000000018E-3</v>
      </c>
      <c r="D113" s="168">
        <f>IF(C113&lt;0,C113,"/")</f>
        <v>-2.0000000000000018E-3</v>
      </c>
      <c r="E113" s="168">
        <f ca="1">IF(表2_36716262930389121314153[[#This Row],[累计净值]]/MAX(INDIRECT("B21:B" &amp; ROW()))-1&lt;E112,表2_36716262930389121314153[[#This Row],[累计净值]]/MAX(INDIRECT("B21:B" &amp; ROW()))-1,E112)</f>
        <v>-5.7859209257473676E-3</v>
      </c>
      <c r="F113" s="110">
        <f>表2_36716262930389121314153[[#This Row],[累计净值]]</f>
        <v>1.036</v>
      </c>
      <c r="G113" s="170">
        <f>表2_36716262930389121314153[[#This Row],[累计净值]]/$B$21-1</f>
        <v>3.2901296111665257E-2</v>
      </c>
      <c r="H113" s="170">
        <f>表2_36716262930389121314153[[#This Row],[累计净值]]/$B$35-1</f>
        <v>2.4727992087042683E-2</v>
      </c>
    </row>
    <row r="114" spans="1:8">
      <c r="A114" s="161">
        <v>44015</v>
      </c>
      <c r="B114" s="162">
        <v>1.036</v>
      </c>
      <c r="C114" s="171">
        <f>IFERROR(B114-B113,0)</f>
        <v>0</v>
      </c>
      <c r="D114" s="168" t="str">
        <f>IF(C114&lt;0,C114,"/")</f>
        <v>/</v>
      </c>
      <c r="E114" s="168">
        <f ca="1">IF(表2_36716262930389121314153[[#This Row],[累计净值]]/MAX(INDIRECT("B21:B" &amp; ROW()))-1&lt;E113,表2_36716262930389121314153[[#This Row],[累计净值]]/MAX(INDIRECT("B21:B" &amp; ROW()))-1,E113)</f>
        <v>-5.7859209257473676E-3</v>
      </c>
      <c r="F114" s="110">
        <f>表2_36716262930389121314153[[#This Row],[累计净值]]</f>
        <v>1.036</v>
      </c>
      <c r="G114" s="170">
        <f>表2_36716262930389121314153[[#This Row],[累计净值]]/$B$21-1</f>
        <v>3.2901296111665257E-2</v>
      </c>
      <c r="H114" s="170">
        <f>表2_36716262930389121314153[[#This Row],[累计净值]]/$B$35-1</f>
        <v>2.4727992087042683E-2</v>
      </c>
    </row>
    <row r="115" spans="1:8">
      <c r="A115" s="161">
        <v>44018</v>
      </c>
      <c r="B115" s="162">
        <v>1.0409999999999999</v>
      </c>
      <c r="C115" s="171">
        <f>IFERROR(B115-B114,0)</f>
        <v>4.9999999999998934E-3</v>
      </c>
      <c r="D115" s="168" t="str">
        <f>IF(C115&lt;0,C115,"/")</f>
        <v>/</v>
      </c>
      <c r="E115" s="168">
        <f ca="1">IF(表2_36716262930389121314153[[#This Row],[累计净值]]/MAX(INDIRECT("B21:B" &amp; ROW()))-1&lt;E114,表2_36716262930389121314153[[#This Row],[累计净值]]/MAX(INDIRECT("B21:B" &amp; ROW()))-1,E114)</f>
        <v>-5.7859209257473676E-3</v>
      </c>
      <c r="F115" s="110">
        <f>表2_36716262930389121314153[[#This Row],[累计净值]]</f>
        <v>1.0409999999999999</v>
      </c>
      <c r="G115" s="170">
        <f>表2_36716262930389121314153[[#This Row],[累计净值]]/$B$21-1</f>
        <v>3.7886340977068889E-2</v>
      </c>
      <c r="H115" s="170">
        <f>表2_36716262930389121314153[[#This Row],[累计净值]]/$B$35-1</f>
        <v>2.9673590504451175E-2</v>
      </c>
    </row>
    <row r="116" spans="1:8">
      <c r="A116" s="161">
        <v>44019</v>
      </c>
      <c r="B116" s="162">
        <v>1.048</v>
      </c>
      <c r="C116" s="171">
        <f t="shared" ref="C116:C121" si="10">IFERROR(B116-B115,0)</f>
        <v>7.0000000000001172E-3</v>
      </c>
      <c r="D116" s="168" t="str">
        <f t="shared" ref="D116:D121" si="11">IF(C116&lt;0,C116,"/")</f>
        <v>/</v>
      </c>
      <c r="E116" s="168">
        <f ca="1">IF(表2_36716262930389121314153[[#This Row],[累计净值]]/MAX(INDIRECT("B21:B" &amp; ROW()))-1&lt;E115,表2_36716262930389121314153[[#This Row],[累计净值]]/MAX(INDIRECT("B21:B" &amp; ROW()))-1,E115)</f>
        <v>-5.7859209257473676E-3</v>
      </c>
      <c r="F116" s="110">
        <f>表2_36716262930389121314153[[#This Row],[累计净值]]</f>
        <v>1.048</v>
      </c>
      <c r="G116" s="170">
        <f>表2_36716262930389121314153[[#This Row],[累计净值]]/$B$21-1</f>
        <v>4.4865403788634239E-2</v>
      </c>
      <c r="H116" s="170">
        <f>表2_36716262930389121314153[[#This Row],[累计净值]]/$B$35-1</f>
        <v>3.6597428288823064E-2</v>
      </c>
    </row>
    <row r="117" spans="1:8">
      <c r="A117" s="161">
        <v>44020</v>
      </c>
      <c r="B117" s="162">
        <v>1.0509999999999999</v>
      </c>
      <c r="C117" s="171">
        <f t="shared" si="10"/>
        <v>2.9999999999998916E-3</v>
      </c>
      <c r="D117" s="168" t="str">
        <f t="shared" si="11"/>
        <v>/</v>
      </c>
      <c r="E117" s="168">
        <f ca="1">IF(表2_36716262930389121314153[[#This Row],[累计净值]]/MAX(INDIRECT("B21:B" &amp; ROW()))-1&lt;E116,表2_36716262930389121314153[[#This Row],[累计净值]]/MAX(INDIRECT("B21:B" &amp; ROW()))-1,E116)</f>
        <v>-5.7859209257473676E-3</v>
      </c>
      <c r="F117" s="110">
        <f>表2_36716262930389121314153[[#This Row],[累计净值]]</f>
        <v>1.0509999999999999</v>
      </c>
      <c r="G117" s="170">
        <f>表2_36716262930389121314153[[#This Row],[累计净值]]/$B$21-1</f>
        <v>4.7856430707876374E-2</v>
      </c>
      <c r="H117" s="170">
        <f>表2_36716262930389121314153[[#This Row],[累计净值]]/$B$35-1</f>
        <v>3.9564787339268159E-2</v>
      </c>
    </row>
    <row r="118" spans="1:8">
      <c r="A118" s="161">
        <v>44021</v>
      </c>
      <c r="B118" s="162">
        <v>1.052</v>
      </c>
      <c r="C118" s="171">
        <f t="shared" si="10"/>
        <v>1.0000000000001119E-3</v>
      </c>
      <c r="D118" s="168" t="str">
        <f t="shared" si="11"/>
        <v>/</v>
      </c>
      <c r="E118" s="168">
        <f ca="1">IF(表2_36716262930389121314153[[#This Row],[累计净值]]/MAX(INDIRECT("B21:B" &amp; ROW()))-1&lt;E117,表2_36716262930389121314153[[#This Row],[累计净值]]/MAX(INDIRECT("B21:B" &amp; ROW()))-1,E117)</f>
        <v>-5.7859209257473676E-3</v>
      </c>
      <c r="F118" s="110">
        <f>表2_36716262930389121314153[[#This Row],[累计净值]]</f>
        <v>1.052</v>
      </c>
      <c r="G118" s="170">
        <f>表2_36716262930389121314153[[#This Row],[累计净值]]/$B$21-1</f>
        <v>4.8853439680957234E-2</v>
      </c>
      <c r="H118" s="170">
        <f>表2_36716262930389121314153[[#This Row],[累计净值]]/$B$35-1</f>
        <v>4.0553907022749858E-2</v>
      </c>
    </row>
    <row r="119" spans="1:8">
      <c r="A119" s="161">
        <v>44022</v>
      </c>
      <c r="B119" s="162">
        <v>1.0549999999999999</v>
      </c>
      <c r="C119" s="171">
        <f t="shared" si="10"/>
        <v>2.9999999999998916E-3</v>
      </c>
      <c r="D119" s="168" t="str">
        <f t="shared" si="11"/>
        <v>/</v>
      </c>
      <c r="E119" s="168">
        <f ca="1">IF(表2_36716262930389121314153[[#This Row],[累计净值]]/MAX(INDIRECT("B21:B" &amp; ROW()))-1&lt;E118,表2_36716262930389121314153[[#This Row],[累计净值]]/MAX(INDIRECT("B21:B" &amp; ROW()))-1,E118)</f>
        <v>-5.7859209257473676E-3</v>
      </c>
      <c r="F119" s="110">
        <f>表2_36716262930389121314153[[#This Row],[累计净值]]</f>
        <v>1.0549999999999999</v>
      </c>
      <c r="G119" s="170">
        <f>表2_36716262930389121314153[[#This Row],[累计净值]]/$B$21-1</f>
        <v>5.1844466600199368E-2</v>
      </c>
      <c r="H119" s="170">
        <f>表2_36716262930389121314153[[#This Row],[累计净值]]/$B$35-1</f>
        <v>4.3521266073194953E-2</v>
      </c>
    </row>
    <row r="120" spans="1:8">
      <c r="A120" s="161">
        <v>44025</v>
      </c>
      <c r="B120" s="162">
        <v>1.056</v>
      </c>
      <c r="C120" s="171">
        <f t="shared" si="10"/>
        <v>1.0000000000001119E-3</v>
      </c>
      <c r="D120" s="168" t="str">
        <f t="shared" si="11"/>
        <v>/</v>
      </c>
      <c r="E120" s="168">
        <f ca="1">IF(表2_36716262930389121314153[[#This Row],[累计净值]]/MAX(INDIRECT("B21:B" &amp; ROW()))-1&lt;E119,表2_36716262930389121314153[[#This Row],[累计净值]]/MAX(INDIRECT("B21:B" &amp; ROW()))-1,E119)</f>
        <v>-5.7859209257473676E-3</v>
      </c>
      <c r="F120" s="110">
        <f>表2_36716262930389121314153[[#This Row],[累计净值]]</f>
        <v>1.056</v>
      </c>
      <c r="G120" s="170">
        <f>表2_36716262930389121314153[[#This Row],[累计净值]]/$B$21-1</f>
        <v>5.2841475573280228E-2</v>
      </c>
      <c r="H120" s="170">
        <f>表2_36716262930389121314153[[#This Row],[累计净值]]/$B$35-1</f>
        <v>4.4510385756676651E-2</v>
      </c>
    </row>
    <row r="121" spans="1:8">
      <c r="A121" s="161">
        <v>44026</v>
      </c>
      <c r="B121" s="162">
        <v>1.0549999999999999</v>
      </c>
      <c r="C121" s="171">
        <f t="shared" si="10"/>
        <v>-1.0000000000001119E-3</v>
      </c>
      <c r="D121" s="168">
        <f t="shared" si="11"/>
        <v>-1.0000000000001119E-3</v>
      </c>
      <c r="E121" s="168">
        <f ca="1">IF(表2_36716262930389121314153[[#This Row],[累计净值]]/MAX(INDIRECT("B21:B" &amp; ROW()))-1&lt;E120,表2_36716262930389121314153[[#This Row],[累计净值]]/MAX(INDIRECT("B21:B" &amp; ROW()))-1,E120)</f>
        <v>-5.7859209257473676E-3</v>
      </c>
      <c r="F121" s="110">
        <f>表2_36716262930389121314153[[#This Row],[累计净值]]</f>
        <v>1.0549999999999999</v>
      </c>
      <c r="G121" s="170">
        <f>表2_36716262930389121314153[[#This Row],[累计净值]]/$B$21-1</f>
        <v>5.1844466600199368E-2</v>
      </c>
      <c r="H121" s="170">
        <f>表2_36716262930389121314153[[#This Row],[累计净值]]/$B$35-1</f>
        <v>4.3521266073194953E-2</v>
      </c>
    </row>
    <row r="122" spans="1:8">
      <c r="A122" s="161">
        <v>44027</v>
      </c>
      <c r="B122" s="162">
        <v>1.0549999999999999</v>
      </c>
      <c r="C122" s="171">
        <f t="shared" ref="C122:C127" si="12">IFERROR(B122-B121,0)</f>
        <v>0</v>
      </c>
      <c r="D122" s="168" t="str">
        <f t="shared" ref="D122:D127" si="13">IF(C122&lt;0,C122,"/")</f>
        <v>/</v>
      </c>
      <c r="E122" s="168">
        <f ca="1">IF(表2_36716262930389121314153[[#This Row],[累计净值]]/MAX(INDIRECT("B21:B" &amp; ROW()))-1&lt;E121,表2_36716262930389121314153[[#This Row],[累计净值]]/MAX(INDIRECT("B21:B" &amp; ROW()))-1,E121)</f>
        <v>-5.7859209257473676E-3</v>
      </c>
      <c r="F122" s="110">
        <f>表2_36716262930389121314153[[#This Row],[累计净值]]</f>
        <v>1.0549999999999999</v>
      </c>
      <c r="G122" s="170">
        <f>表2_36716262930389121314153[[#This Row],[累计净值]]/$B$21-1</f>
        <v>5.1844466600199368E-2</v>
      </c>
      <c r="H122" s="170">
        <f>表2_36716262930389121314153[[#This Row],[累计净值]]/$B$35-1</f>
        <v>4.3521266073194953E-2</v>
      </c>
    </row>
    <row r="123" spans="1:8">
      <c r="A123" s="161">
        <v>44028</v>
      </c>
      <c r="B123" s="162">
        <v>1.0660000000000001</v>
      </c>
      <c r="C123" s="171">
        <f t="shared" si="12"/>
        <v>1.1000000000000121E-2</v>
      </c>
      <c r="D123" s="168" t="str">
        <f t="shared" si="13"/>
        <v>/</v>
      </c>
      <c r="E123" s="168">
        <f ca="1">IF(表2_36716262930389121314153[[#This Row],[累计净值]]/MAX(INDIRECT("B21:B" &amp; ROW()))-1&lt;E122,表2_36716262930389121314153[[#This Row],[累计净值]]/MAX(INDIRECT("B21:B" &amp; ROW()))-1,E122)</f>
        <v>-5.7859209257473676E-3</v>
      </c>
      <c r="F123" s="110">
        <f>表2_36716262930389121314153[[#This Row],[累计净值]]</f>
        <v>1.0660000000000001</v>
      </c>
      <c r="G123" s="170">
        <f>表2_36716262930389121314153[[#This Row],[累计净值]]/$B$21-1</f>
        <v>6.2811565304087935E-2</v>
      </c>
      <c r="H123" s="170">
        <f>表2_36716262930389121314153[[#This Row],[累计净值]]/$B$35-1</f>
        <v>5.4401582591493636E-2</v>
      </c>
    </row>
    <row r="124" spans="1:8">
      <c r="A124" s="161">
        <v>44029</v>
      </c>
      <c r="B124" s="162">
        <v>1.0680000000000001</v>
      </c>
      <c r="C124" s="171">
        <f t="shared" si="12"/>
        <v>2.0000000000000018E-3</v>
      </c>
      <c r="D124" s="168" t="str">
        <f t="shared" si="13"/>
        <v>/</v>
      </c>
      <c r="E124" s="168">
        <f ca="1">IF(表2_36716262930389121314153[[#This Row],[累计净值]]/MAX(INDIRECT("B21:B" &amp; ROW()))-1&lt;E123,表2_36716262930389121314153[[#This Row],[累计净值]]/MAX(INDIRECT("B21:B" &amp; ROW()))-1,E123)</f>
        <v>-5.7859209257473676E-3</v>
      </c>
      <c r="F124" s="110">
        <f>表2_36716262930389121314153[[#This Row],[累计净值]]</f>
        <v>1.0680000000000001</v>
      </c>
      <c r="G124" s="170">
        <f>表2_36716262930389121314153[[#This Row],[累计净值]]/$B$21-1</f>
        <v>6.4805583250249432E-2</v>
      </c>
      <c r="H124" s="170">
        <f>表2_36716262930389121314153[[#This Row],[累计净值]]/$B$35-1</f>
        <v>5.6379821958457033E-2</v>
      </c>
    </row>
    <row r="125" spans="1:8">
      <c r="A125" s="161">
        <v>44032</v>
      </c>
      <c r="B125" s="162">
        <v>1.07</v>
      </c>
      <c r="C125" s="171">
        <f t="shared" si="12"/>
        <v>2.0000000000000018E-3</v>
      </c>
      <c r="D125" s="168" t="str">
        <f t="shared" si="13"/>
        <v>/</v>
      </c>
      <c r="E125" s="168">
        <f ca="1">IF(表2_36716262930389121314153[[#This Row],[累计净值]]/MAX(INDIRECT("B21:B" &amp; ROW()))-1&lt;E124,表2_36716262930389121314153[[#This Row],[累计净值]]/MAX(INDIRECT("B21:B" &amp; ROW()))-1,E124)</f>
        <v>-5.7859209257473676E-3</v>
      </c>
      <c r="F125" s="110">
        <f>表2_36716262930389121314153[[#This Row],[累计净值]]</f>
        <v>1.07</v>
      </c>
      <c r="G125" s="170">
        <f>表2_36716262930389121314153[[#This Row],[累计净值]]/$B$21-1</f>
        <v>6.6799601196410929E-2</v>
      </c>
      <c r="H125" s="170">
        <f>表2_36716262930389121314153[[#This Row],[累计净值]]/$B$35-1</f>
        <v>5.8358061325420651E-2</v>
      </c>
    </row>
    <row r="126" spans="1:8">
      <c r="A126" s="161">
        <v>44033</v>
      </c>
      <c r="B126" s="162">
        <v>1.071</v>
      </c>
      <c r="C126" s="171">
        <f t="shared" si="12"/>
        <v>9.9999999999988987E-4</v>
      </c>
      <c r="D126" s="168" t="str">
        <f t="shared" si="13"/>
        <v>/</v>
      </c>
      <c r="E126" s="168">
        <f ca="1">IF(表2_36716262930389121314153[[#This Row],[累计净值]]/MAX(INDIRECT("B21:B" &amp; ROW()))-1&lt;E125,表2_36716262930389121314153[[#This Row],[累计净值]]/MAX(INDIRECT("B21:B" &amp; ROW()))-1,E125)</f>
        <v>-5.7859209257473676E-3</v>
      </c>
      <c r="F126" s="110">
        <f>表2_36716262930389121314153[[#This Row],[累计净值]]</f>
        <v>1.071</v>
      </c>
      <c r="G126" s="170">
        <f>表2_36716262930389121314153[[#This Row],[累计净值]]/$B$21-1</f>
        <v>6.7796610169491567E-2</v>
      </c>
      <c r="H126" s="170">
        <f>表2_36716262930389121314153[[#This Row],[累计净值]]/$B$35-1</f>
        <v>5.9347181008902128E-2</v>
      </c>
    </row>
    <row r="127" spans="1:8">
      <c r="A127" s="161">
        <v>44034</v>
      </c>
      <c r="B127" s="162">
        <v>1.071</v>
      </c>
      <c r="C127" s="171">
        <f t="shared" si="12"/>
        <v>0</v>
      </c>
      <c r="D127" s="168" t="str">
        <f t="shared" si="13"/>
        <v>/</v>
      </c>
      <c r="E127" s="168">
        <f ca="1">IF(表2_36716262930389121314153[[#This Row],[累计净值]]/MAX(INDIRECT("B21:B" &amp; ROW()))-1&lt;E126,表2_36716262930389121314153[[#This Row],[累计净值]]/MAX(INDIRECT("B21:B" &amp; ROW()))-1,E126)</f>
        <v>-5.7859209257473676E-3</v>
      </c>
      <c r="F127" s="110">
        <f>表2_36716262930389121314153[[#This Row],[累计净值]]</f>
        <v>1.071</v>
      </c>
      <c r="G127" s="170">
        <f>表2_36716262930389121314153[[#This Row],[累计净值]]/$B$21-1</f>
        <v>6.7796610169491567E-2</v>
      </c>
      <c r="H127" s="170">
        <f>表2_36716262930389121314153[[#This Row],[累计净值]]/$B$35-1</f>
        <v>5.9347181008902128E-2</v>
      </c>
    </row>
    <row r="128" spans="1:8">
      <c r="A128" s="161">
        <v>44035</v>
      </c>
      <c r="B128" s="162">
        <v>1.0720000000000001</v>
      </c>
      <c r="C128" s="171">
        <f>IFERROR(B128-B127,0)</f>
        <v>1.0000000000001119E-3</v>
      </c>
      <c r="D128" s="168" t="str">
        <f>IF(C128&lt;0,C128,"/")</f>
        <v>/</v>
      </c>
      <c r="E128" s="168">
        <f ca="1">IF(表2_36716262930389121314153[[#This Row],[累计净值]]/MAX(INDIRECT("B21:B" &amp; ROW()))-1&lt;E127,表2_36716262930389121314153[[#This Row],[累计净值]]/MAX(INDIRECT("B21:B" &amp; ROW()))-1,E127)</f>
        <v>-5.7859209257473676E-3</v>
      </c>
      <c r="F128" s="110">
        <f>表2_36716262930389121314153[[#This Row],[累计净值]]</f>
        <v>1.0720000000000001</v>
      </c>
      <c r="G128" s="170">
        <f>表2_36716262930389121314153[[#This Row],[累计净值]]/$B$21-1</f>
        <v>6.8793619142572426E-2</v>
      </c>
      <c r="H128" s="170">
        <f>表2_36716262930389121314153[[#This Row],[累计净值]]/$B$35-1</f>
        <v>6.0336300692384048E-2</v>
      </c>
    </row>
    <row r="129" spans="1:8">
      <c r="A129" s="161">
        <v>44036</v>
      </c>
      <c r="B129" s="162">
        <v>1.0720000000000001</v>
      </c>
      <c r="C129" s="171">
        <f>IFERROR(B129-B128,0)</f>
        <v>0</v>
      </c>
      <c r="D129" s="168" t="str">
        <f>IF(C129&lt;0,C129,"/")</f>
        <v>/</v>
      </c>
      <c r="E129" s="168">
        <f ca="1">IF(表2_36716262930389121314153[[#This Row],[累计净值]]/MAX(INDIRECT("B21:B" &amp; ROW()))-1&lt;E128,表2_36716262930389121314153[[#This Row],[累计净值]]/MAX(INDIRECT("B21:B" &amp; ROW()))-1,E128)</f>
        <v>-5.7859209257473676E-3</v>
      </c>
      <c r="F129" s="110">
        <f>表2_36716262930389121314153[[#This Row],[累计净值]]</f>
        <v>1.0720000000000001</v>
      </c>
      <c r="G129" s="170">
        <f>表2_36716262930389121314153[[#This Row],[累计净值]]/$B$21-1</f>
        <v>6.8793619142572426E-2</v>
      </c>
      <c r="H129" s="170">
        <f>表2_36716262930389121314153[[#This Row],[累计净值]]/$B$35-1</f>
        <v>6.0336300692384048E-2</v>
      </c>
    </row>
    <row r="130" spans="1:8">
      <c r="A130" s="161">
        <v>44039</v>
      </c>
      <c r="B130" s="162">
        <v>1.075</v>
      </c>
      <c r="C130" s="171">
        <f t="shared" ref="C130:C135" si="14">IFERROR(B130-B129,0)</f>
        <v>2.9999999999998916E-3</v>
      </c>
      <c r="D130" s="168" t="str">
        <f t="shared" ref="D130:D135" si="15">IF(C130&lt;0,C130,"/")</f>
        <v>/</v>
      </c>
      <c r="E130" s="168">
        <f ca="1">IF(表2_36716262930389121314153[[#This Row],[累计净值]]/MAX(INDIRECT("B21:B" &amp; ROW()))-1&lt;E129,表2_36716262930389121314153[[#This Row],[累计净值]]/MAX(INDIRECT("B21:B" &amp; ROW()))-1,E129)</f>
        <v>-5.7859209257473676E-3</v>
      </c>
      <c r="F130" s="110">
        <f>表2_36716262930389121314153[[#This Row],[累计净值]]</f>
        <v>1.075</v>
      </c>
      <c r="G130" s="170">
        <f>表2_36716262930389121314153[[#This Row],[累计净值]]/$B$21-1</f>
        <v>7.1784646061814561E-2</v>
      </c>
      <c r="H130" s="170">
        <f>表2_36716262930389121314153[[#This Row],[累计净值]]/$B$35-1</f>
        <v>6.3303659742828922E-2</v>
      </c>
    </row>
    <row r="131" spans="1:8">
      <c r="A131" s="161">
        <v>44040</v>
      </c>
      <c r="B131" s="162">
        <v>1.073</v>
      </c>
      <c r="C131" s="171">
        <f t="shared" si="14"/>
        <v>-2.0000000000000018E-3</v>
      </c>
      <c r="D131" s="168">
        <f t="shared" si="15"/>
        <v>-2.0000000000000018E-3</v>
      </c>
      <c r="E131" s="168">
        <f ca="1">IF(表2_36716262930389121314153[[#This Row],[累计净值]]/MAX(INDIRECT("B21:B" &amp; ROW()))-1&lt;E130,表2_36716262930389121314153[[#This Row],[累计净值]]/MAX(INDIRECT("B21:B" &amp; ROW()))-1,E130)</f>
        <v>-5.7859209257473676E-3</v>
      </c>
      <c r="F131" s="110">
        <f>表2_36716262930389121314153[[#This Row],[累计净值]]</f>
        <v>1.073</v>
      </c>
      <c r="G131" s="170">
        <f>表2_36716262930389121314153[[#This Row],[累计净值]]/$B$21-1</f>
        <v>6.9790628115653064E-2</v>
      </c>
      <c r="H131" s="170">
        <f>表2_36716262930389121314153[[#This Row],[累计净值]]/$B$35-1</f>
        <v>6.1325420375865525E-2</v>
      </c>
    </row>
    <row r="132" spans="1:8">
      <c r="A132" s="161">
        <v>44041</v>
      </c>
      <c r="B132" s="162">
        <v>1.073</v>
      </c>
      <c r="C132" s="171">
        <f t="shared" si="14"/>
        <v>0</v>
      </c>
      <c r="D132" s="168" t="str">
        <f t="shared" si="15"/>
        <v>/</v>
      </c>
      <c r="E132" s="168">
        <f ca="1">IF(表2_36716262930389121314153[[#This Row],[累计净值]]/MAX(INDIRECT("B21:B" &amp; ROW()))-1&lt;E131,表2_36716262930389121314153[[#This Row],[累计净值]]/MAX(INDIRECT("B21:B" &amp; ROW()))-1,E131)</f>
        <v>-5.7859209257473676E-3</v>
      </c>
      <c r="F132" s="110">
        <f>表2_36716262930389121314153[[#This Row],[累计净值]]</f>
        <v>1.073</v>
      </c>
      <c r="G132" s="170">
        <f>表2_36716262930389121314153[[#This Row],[累计净值]]/$B$21-1</f>
        <v>6.9790628115653064E-2</v>
      </c>
      <c r="H132" s="170">
        <f>表2_36716262930389121314153[[#This Row],[累计净值]]/$B$35-1</f>
        <v>6.1325420375865525E-2</v>
      </c>
    </row>
    <row r="133" spans="1:8">
      <c r="A133" s="161">
        <v>44042</v>
      </c>
      <c r="B133" s="162">
        <v>1.073</v>
      </c>
      <c r="C133" s="171">
        <f t="shared" si="14"/>
        <v>0</v>
      </c>
      <c r="D133" s="168" t="str">
        <f t="shared" si="15"/>
        <v>/</v>
      </c>
      <c r="E133" s="168">
        <f ca="1">IF(表2_36716262930389121314153[[#This Row],[累计净值]]/MAX(INDIRECT("B21:B" &amp; ROW()))-1&lt;E132,表2_36716262930389121314153[[#This Row],[累计净值]]/MAX(INDIRECT("B21:B" &amp; ROW()))-1,E132)</f>
        <v>-5.7859209257473676E-3</v>
      </c>
      <c r="F133" s="110">
        <f>表2_36716262930389121314153[[#This Row],[累计净值]]</f>
        <v>1.073</v>
      </c>
      <c r="G133" s="170">
        <f>表2_36716262930389121314153[[#This Row],[累计净值]]/$B$21-1</f>
        <v>6.9790628115653064E-2</v>
      </c>
      <c r="H133" s="170">
        <f>表2_36716262930389121314153[[#This Row],[累计净值]]/$B$35-1</f>
        <v>6.1325420375865525E-2</v>
      </c>
    </row>
    <row r="134" spans="1:8">
      <c r="A134" s="161">
        <v>44043</v>
      </c>
      <c r="B134" s="162">
        <v>1.075</v>
      </c>
      <c r="C134" s="171">
        <f t="shared" si="14"/>
        <v>2.0000000000000018E-3</v>
      </c>
      <c r="D134" s="168" t="str">
        <f t="shared" si="15"/>
        <v>/</v>
      </c>
      <c r="E134" s="168">
        <f ca="1">IF(表2_36716262930389121314153[[#This Row],[累计净值]]/MAX(INDIRECT("B21:B" &amp; ROW()))-1&lt;E133,表2_36716262930389121314153[[#This Row],[累计净值]]/MAX(INDIRECT("B21:B" &amp; ROW()))-1,E133)</f>
        <v>-5.7859209257473676E-3</v>
      </c>
      <c r="F134" s="110">
        <f>表2_36716262930389121314153[[#This Row],[累计净值]]</f>
        <v>1.075</v>
      </c>
      <c r="G134" s="170">
        <f>表2_36716262930389121314153[[#This Row],[累计净值]]/$B$21-1</f>
        <v>7.1784646061814561E-2</v>
      </c>
      <c r="H134" s="170">
        <f>表2_36716262930389121314153[[#This Row],[累计净值]]/$B$35-1</f>
        <v>6.3303659742828922E-2</v>
      </c>
    </row>
    <row r="135" spans="1:8">
      <c r="A135" s="161">
        <v>44046</v>
      </c>
      <c r="B135" s="162">
        <v>1.0760000000000001</v>
      </c>
      <c r="C135" s="171">
        <f t="shared" si="14"/>
        <v>1.0000000000001119E-3</v>
      </c>
      <c r="D135" s="168" t="str">
        <f t="shared" si="15"/>
        <v>/</v>
      </c>
      <c r="E135" s="168">
        <f ca="1">IF(表2_36716262930389121314153[[#This Row],[累计净值]]/MAX(INDIRECT("B21:B" &amp; ROW()))-1&lt;E134,表2_36716262930389121314153[[#This Row],[累计净值]]/MAX(INDIRECT("B21:B" &amp; ROW()))-1,E134)</f>
        <v>-5.7859209257473676E-3</v>
      </c>
      <c r="F135" s="110">
        <f>表2_36716262930389121314153[[#This Row],[累计净值]]</f>
        <v>1.0760000000000001</v>
      </c>
      <c r="G135" s="170">
        <f>表2_36716262930389121314153[[#This Row],[累计净值]]/$B$21-1</f>
        <v>7.2781655034895421E-2</v>
      </c>
      <c r="H135" s="170">
        <f>表2_36716262930389121314153[[#This Row],[累计净值]]/$B$35-1</f>
        <v>6.4292779426310842E-2</v>
      </c>
    </row>
    <row r="136" spans="1:8">
      <c r="A136" s="161">
        <v>44047</v>
      </c>
      <c r="B136" s="162">
        <v>1.073</v>
      </c>
      <c r="C136" s="171">
        <f t="shared" ref="C136:C141" si="16">IFERROR(B136-B135,0)</f>
        <v>-3.0000000000001137E-3</v>
      </c>
      <c r="D136" s="168">
        <f t="shared" ref="D136:D141" si="17">IF(C136&lt;0,C136,"/")</f>
        <v>-3.0000000000001137E-3</v>
      </c>
      <c r="E136" s="168">
        <f ca="1">IF(表2_36716262930389121314153[[#This Row],[累计净值]]/MAX(INDIRECT("B21:B" &amp; ROW()))-1&lt;E135,表2_36716262930389121314153[[#This Row],[累计净值]]/MAX(INDIRECT("B21:B" &amp; ROW()))-1,E135)</f>
        <v>-5.7859209257473676E-3</v>
      </c>
      <c r="F136" s="110">
        <f>表2_36716262930389121314153[[#This Row],[累计净值]]</f>
        <v>1.073</v>
      </c>
      <c r="G136" s="170">
        <f>表2_36716262930389121314153[[#This Row],[累计净值]]/$B$21-1</f>
        <v>6.9790628115653064E-2</v>
      </c>
      <c r="H136" s="170">
        <f>表2_36716262930389121314153[[#This Row],[累计净值]]/$B$35-1</f>
        <v>6.1325420375865525E-2</v>
      </c>
    </row>
    <row r="137" spans="1:8">
      <c r="A137" s="161">
        <v>44048</v>
      </c>
      <c r="B137" s="162">
        <v>1.075</v>
      </c>
      <c r="C137" s="171">
        <f t="shared" si="16"/>
        <v>2.0000000000000018E-3</v>
      </c>
      <c r="D137" s="168" t="str">
        <f t="shared" si="17"/>
        <v>/</v>
      </c>
      <c r="E137" s="168">
        <f ca="1">IF(表2_36716262930389121314153[[#This Row],[累计净值]]/MAX(INDIRECT("B21:B" &amp; ROW()))-1&lt;E136,表2_36716262930389121314153[[#This Row],[累计净值]]/MAX(INDIRECT("B21:B" &amp; ROW()))-1,E136)</f>
        <v>-5.7859209257473676E-3</v>
      </c>
      <c r="F137" s="110">
        <f>表2_36716262930389121314153[[#This Row],[累计净值]]</f>
        <v>1.075</v>
      </c>
      <c r="G137" s="170">
        <f>表2_36716262930389121314153[[#This Row],[累计净值]]/$B$21-1</f>
        <v>7.1784646061814561E-2</v>
      </c>
      <c r="H137" s="170">
        <f>表2_36716262930389121314153[[#This Row],[累计净值]]/$B$35-1</f>
        <v>6.3303659742828922E-2</v>
      </c>
    </row>
    <row r="138" spans="1:8">
      <c r="A138" s="161">
        <v>44049</v>
      </c>
      <c r="B138" s="162">
        <v>1.075</v>
      </c>
      <c r="C138" s="171">
        <f t="shared" si="16"/>
        <v>0</v>
      </c>
      <c r="D138" s="168" t="str">
        <f t="shared" si="17"/>
        <v>/</v>
      </c>
      <c r="E138" s="168">
        <f ca="1">IF(表2_36716262930389121314153[[#This Row],[累计净值]]/MAX(INDIRECT("B21:B" &amp; ROW()))-1&lt;E137,表2_36716262930389121314153[[#This Row],[累计净值]]/MAX(INDIRECT("B21:B" &amp; ROW()))-1,E137)</f>
        <v>-5.7859209257473676E-3</v>
      </c>
      <c r="F138" s="110">
        <f>表2_36716262930389121314153[[#This Row],[累计净值]]</f>
        <v>1.075</v>
      </c>
      <c r="G138" s="170">
        <f>表2_36716262930389121314153[[#This Row],[累计净值]]/$B$21-1</f>
        <v>7.1784646061814561E-2</v>
      </c>
      <c r="H138" s="170">
        <f>表2_36716262930389121314153[[#This Row],[累计净值]]/$B$35-1</f>
        <v>6.3303659742828922E-2</v>
      </c>
    </row>
    <row r="139" spans="1:8">
      <c r="A139" s="161">
        <v>44050</v>
      </c>
      <c r="B139" s="162">
        <v>1.0740000000000001</v>
      </c>
      <c r="C139" s="171">
        <f t="shared" si="16"/>
        <v>-9.9999999999988987E-4</v>
      </c>
      <c r="D139" s="168">
        <f t="shared" si="17"/>
        <v>-9.9999999999988987E-4</v>
      </c>
      <c r="E139" s="168">
        <f ca="1">IF(表2_36716262930389121314153[[#This Row],[累计净值]]/MAX(INDIRECT("B21:B" &amp; ROW()))-1&lt;E138,表2_36716262930389121314153[[#This Row],[累计净值]]/MAX(INDIRECT("B21:B" &amp; ROW()))-1,E138)</f>
        <v>-5.7859209257473676E-3</v>
      </c>
      <c r="F139" s="110">
        <f>表2_36716262930389121314153[[#This Row],[累计净值]]</f>
        <v>1.0740000000000001</v>
      </c>
      <c r="G139" s="170">
        <f>表2_36716262930389121314153[[#This Row],[累计净值]]/$B$21-1</f>
        <v>7.0787637088733923E-2</v>
      </c>
      <c r="H139" s="170">
        <f>表2_36716262930389121314153[[#This Row],[累计净值]]/$B$35-1</f>
        <v>6.2314540059347445E-2</v>
      </c>
    </row>
    <row r="140" spans="1:8">
      <c r="A140" s="161">
        <v>44053</v>
      </c>
      <c r="B140" s="162">
        <v>1.0740000000000001</v>
      </c>
      <c r="C140" s="171">
        <f t="shared" si="16"/>
        <v>0</v>
      </c>
      <c r="D140" s="168" t="str">
        <f t="shared" si="17"/>
        <v>/</v>
      </c>
      <c r="E140" s="168">
        <f ca="1">IF(表2_36716262930389121314153[[#This Row],[累计净值]]/MAX(INDIRECT("B21:B" &amp; ROW()))-1&lt;E139,表2_36716262930389121314153[[#This Row],[累计净值]]/MAX(INDIRECT("B21:B" &amp; ROW()))-1,E139)</f>
        <v>-5.7859209257473676E-3</v>
      </c>
      <c r="F140" s="110">
        <f>表2_36716262930389121314153[[#This Row],[累计净值]]</f>
        <v>1.0740000000000001</v>
      </c>
      <c r="G140" s="170">
        <f>表2_36716262930389121314153[[#This Row],[累计净值]]/$B$21-1</f>
        <v>7.0787637088733923E-2</v>
      </c>
      <c r="H140" s="170">
        <f>表2_36716262930389121314153[[#This Row],[累计净值]]/$B$35-1</f>
        <v>6.2314540059347445E-2</v>
      </c>
    </row>
    <row r="141" spans="1:8">
      <c r="A141" s="161">
        <v>44054</v>
      </c>
      <c r="B141" s="162">
        <v>1.073</v>
      </c>
      <c r="C141" s="171">
        <f t="shared" si="16"/>
        <v>-1.0000000000001119E-3</v>
      </c>
      <c r="D141" s="168">
        <f t="shared" si="17"/>
        <v>-1.0000000000001119E-3</v>
      </c>
      <c r="E141" s="168">
        <f ca="1">IF(表2_36716262930389121314153[[#This Row],[累计净值]]/MAX(INDIRECT("B21:B" &amp; ROW()))-1&lt;E140,表2_36716262930389121314153[[#This Row],[累计净值]]/MAX(INDIRECT("B21:B" &amp; ROW()))-1,E140)</f>
        <v>-5.7859209257473676E-3</v>
      </c>
      <c r="F141" s="110">
        <f>表2_36716262930389121314153[[#This Row],[累计净值]]</f>
        <v>1.073</v>
      </c>
      <c r="G141" s="170">
        <f>表2_36716262930389121314153[[#This Row],[累计净值]]/$B$21-1</f>
        <v>6.9790628115653064E-2</v>
      </c>
      <c r="H141" s="170">
        <f>表2_36716262930389121314153[[#This Row],[累计净值]]/$B$35-1</f>
        <v>6.1325420375865525E-2</v>
      </c>
    </row>
    <row r="142" spans="1:8">
      <c r="A142" s="161">
        <v>44055</v>
      </c>
      <c r="B142" s="162">
        <v>1.079</v>
      </c>
      <c r="C142" s="171">
        <f t="shared" ref="C142:C147" si="18">IFERROR(B142-B141,0)</f>
        <v>6.0000000000000053E-3</v>
      </c>
      <c r="D142" s="168" t="str">
        <f t="shared" ref="D142:D147" si="19">IF(C142&lt;0,C142,"/")</f>
        <v>/</v>
      </c>
      <c r="E142" s="168">
        <f ca="1">IF(表2_36716262930389121314153[[#This Row],[累计净值]]/MAX(INDIRECT("B21:B" &amp; ROW()))-1&lt;E141,表2_36716262930389121314153[[#This Row],[累计净值]]/MAX(INDIRECT("B21:B" &amp; ROW()))-1,E141)</f>
        <v>-5.7859209257473676E-3</v>
      </c>
      <c r="F142" s="110">
        <f>表2_36716262930389121314153[[#This Row],[累计净值]]</f>
        <v>1.079</v>
      </c>
      <c r="G142" s="170">
        <f>表2_36716262930389121314153[[#This Row],[累计净值]]/$B$21-1</f>
        <v>7.5772681954137555E-2</v>
      </c>
      <c r="H142" s="170">
        <f>表2_36716262930389121314153[[#This Row],[累计净值]]/$B$35-1</f>
        <v>6.7260138476755715E-2</v>
      </c>
    </row>
    <row r="143" spans="1:8">
      <c r="A143" s="161">
        <v>44056</v>
      </c>
      <c r="B143" s="162">
        <v>1.08</v>
      </c>
      <c r="C143" s="171">
        <f t="shared" si="18"/>
        <v>1.0000000000001119E-3</v>
      </c>
      <c r="D143" s="168" t="str">
        <f t="shared" si="19"/>
        <v>/</v>
      </c>
      <c r="E143" s="168">
        <f ca="1">IF(表2_36716262930389121314153[[#This Row],[累计净值]]/MAX(INDIRECT("B21:B" &amp; ROW()))-1&lt;E142,表2_36716262930389121314153[[#This Row],[累计净值]]/MAX(INDIRECT("B21:B" &amp; ROW()))-1,E142)</f>
        <v>-5.7859209257473676E-3</v>
      </c>
      <c r="F143" s="110">
        <f>表2_36716262930389121314153[[#This Row],[累计净值]]</f>
        <v>1.08</v>
      </c>
      <c r="G143" s="170">
        <f>表2_36716262930389121314153[[#This Row],[累计净值]]/$B$21-1</f>
        <v>7.6769690927218637E-2</v>
      </c>
      <c r="H143" s="170">
        <f>表2_36716262930389121314153[[#This Row],[累计净值]]/$B$35-1</f>
        <v>6.8249258160237636E-2</v>
      </c>
    </row>
    <row r="144" spans="1:8">
      <c r="A144" s="161">
        <v>44057</v>
      </c>
      <c r="B144" s="162">
        <v>1.081</v>
      </c>
      <c r="C144" s="171">
        <f t="shared" si="18"/>
        <v>9.9999999999988987E-4</v>
      </c>
      <c r="D144" s="168" t="str">
        <f t="shared" si="19"/>
        <v>/</v>
      </c>
      <c r="E144" s="168">
        <f ca="1">IF(表2_36716262930389121314153[[#This Row],[累计净值]]/MAX(INDIRECT("B21:B" &amp; ROW()))-1&lt;E143,表2_36716262930389121314153[[#This Row],[累计净值]]/MAX(INDIRECT("B21:B" &amp; ROW()))-1,E143)</f>
        <v>-5.7859209257473676E-3</v>
      </c>
      <c r="F144" s="110">
        <f>表2_36716262930389121314153[[#This Row],[累计净值]]</f>
        <v>1.081</v>
      </c>
      <c r="G144" s="170">
        <f>表2_36716262930389121314153[[#This Row],[累计净值]]/$B$21-1</f>
        <v>7.7766699900299274E-2</v>
      </c>
      <c r="H144" s="170">
        <f>表2_36716262930389121314153[[#This Row],[累计净值]]/$B$35-1</f>
        <v>6.9238377843719112E-2</v>
      </c>
    </row>
    <row r="145" spans="1:8">
      <c r="A145" s="161">
        <v>44060</v>
      </c>
      <c r="B145" s="162">
        <v>1.0740000000000001</v>
      </c>
      <c r="C145" s="171">
        <f t="shared" si="18"/>
        <v>-6.9999999999998952E-3</v>
      </c>
      <c r="D145" s="168">
        <f t="shared" si="19"/>
        <v>-6.9999999999998952E-3</v>
      </c>
      <c r="E145" s="168">
        <f ca="1">IF(表2_36716262930389121314153[[#This Row],[累计净值]]/MAX(INDIRECT("B21:B" &amp; ROW()))-1&lt;E144,表2_36716262930389121314153[[#This Row],[累计净值]]/MAX(INDIRECT("B21:B" &amp; ROW()))-1,E144)</f>
        <v>-6.4754856614245293E-3</v>
      </c>
      <c r="F145" s="110">
        <f>表2_36716262930389121314153[[#This Row],[累计净值]]</f>
        <v>1.0740000000000001</v>
      </c>
      <c r="G145" s="170">
        <f>表2_36716262930389121314153[[#This Row],[累计净值]]/$B$21-1</f>
        <v>7.0787637088733923E-2</v>
      </c>
      <c r="H145" s="170">
        <f>表2_36716262930389121314153[[#This Row],[累计净值]]/$B$35-1</f>
        <v>6.2314540059347445E-2</v>
      </c>
    </row>
    <row r="146" spans="1:8">
      <c r="A146" s="161">
        <v>44061</v>
      </c>
      <c r="B146" s="162">
        <v>1.069</v>
      </c>
      <c r="C146" s="171">
        <f t="shared" si="18"/>
        <v>-5.0000000000001155E-3</v>
      </c>
      <c r="D146" s="168">
        <f t="shared" si="19"/>
        <v>-5.0000000000001155E-3</v>
      </c>
      <c r="E146" s="168">
        <f ca="1">IF(表2_36716262930389121314153[[#This Row],[累计净值]]/MAX(INDIRECT("B21:B" &amp; ROW()))-1&lt;E145,表2_36716262930389121314153[[#This Row],[累计净值]]/MAX(INDIRECT("B21:B" &amp; ROW()))-1,E145)</f>
        <v>-1.1100832562442209E-2</v>
      </c>
      <c r="F146" s="110">
        <f>表2_36716262930389121314153[[#This Row],[累计净值]]</f>
        <v>1.069</v>
      </c>
      <c r="G146" s="170">
        <f>表2_36716262930389121314153[[#This Row],[累计净值]]/$B$21-1</f>
        <v>6.580259222333007E-2</v>
      </c>
      <c r="H146" s="170">
        <f>表2_36716262930389121314153[[#This Row],[累计净值]]/$B$35-1</f>
        <v>5.7368941641938731E-2</v>
      </c>
    </row>
    <row r="147" spans="1:8">
      <c r="A147" s="161">
        <v>44062</v>
      </c>
      <c r="B147" s="162">
        <v>1.0669999999999999</v>
      </c>
      <c r="C147" s="171">
        <f t="shared" si="18"/>
        <v>-2.0000000000000018E-3</v>
      </c>
      <c r="D147" s="168">
        <f t="shared" si="19"/>
        <v>-2.0000000000000018E-3</v>
      </c>
      <c r="E147" s="168">
        <f ca="1">IF(表2_36716262930389121314153[[#This Row],[累计净值]]/MAX(INDIRECT("B21:B" &amp; ROW()))-1&lt;E146,表2_36716262930389121314153[[#This Row],[累计净值]]/MAX(INDIRECT("B21:B" &amp; ROW()))-1,E146)</f>
        <v>-1.2950971322849281E-2</v>
      </c>
      <c r="F147" s="110">
        <f>表2_36716262930389121314153[[#This Row],[累计净值]]</f>
        <v>1.0669999999999999</v>
      </c>
      <c r="G147" s="170">
        <f>表2_36716262930389121314153[[#This Row],[累计净值]]/$B$21-1</f>
        <v>6.3808574277168573E-2</v>
      </c>
      <c r="H147" s="170">
        <f>表2_36716262930389121314153[[#This Row],[累计净值]]/$B$35-1</f>
        <v>5.5390702274975334E-2</v>
      </c>
    </row>
    <row r="148" spans="1:8">
      <c r="A148" s="161">
        <v>44063</v>
      </c>
      <c r="B148" s="162">
        <v>1.0669999999999999</v>
      </c>
      <c r="C148" s="171">
        <f t="shared" ref="C148:C153" si="20">IFERROR(B148-B147,0)</f>
        <v>0</v>
      </c>
      <c r="D148" s="168" t="str">
        <f t="shared" ref="D148:D153" si="21">IF(C148&lt;0,C148,"/")</f>
        <v>/</v>
      </c>
      <c r="E148" s="168">
        <f ca="1">IF(表2_36716262930389121314153[[#This Row],[累计净值]]/MAX(INDIRECT("B21:B" &amp; ROW()))-1&lt;E147,表2_36716262930389121314153[[#This Row],[累计净值]]/MAX(INDIRECT("B21:B" &amp; ROW()))-1,E147)</f>
        <v>-1.2950971322849281E-2</v>
      </c>
      <c r="F148" s="110">
        <f>表2_36716262930389121314153[[#This Row],[累计净值]]</f>
        <v>1.0669999999999999</v>
      </c>
      <c r="G148" s="170">
        <f>表2_36716262930389121314153[[#This Row],[累计净值]]/$B$21-1</f>
        <v>6.3808574277168573E-2</v>
      </c>
      <c r="H148" s="170">
        <f>表2_36716262930389121314153[[#This Row],[累计净值]]/$B$35-1</f>
        <v>5.5390702274975334E-2</v>
      </c>
    </row>
    <row r="149" spans="1:8">
      <c r="A149" s="161">
        <v>44064</v>
      </c>
      <c r="B149" s="162">
        <v>1.0669999999999999</v>
      </c>
      <c r="C149" s="171">
        <f t="shared" si="20"/>
        <v>0</v>
      </c>
      <c r="D149" s="168" t="str">
        <f t="shared" si="21"/>
        <v>/</v>
      </c>
      <c r="E149" s="168">
        <f ca="1">IF(表2_36716262930389121314153[[#This Row],[累计净值]]/MAX(INDIRECT("B21:B" &amp; ROW()))-1&lt;E148,表2_36716262930389121314153[[#This Row],[累计净值]]/MAX(INDIRECT("B21:B" &amp; ROW()))-1,E148)</f>
        <v>-1.2950971322849281E-2</v>
      </c>
      <c r="F149" s="110">
        <f>表2_36716262930389121314153[[#This Row],[累计净值]]</f>
        <v>1.0669999999999999</v>
      </c>
      <c r="G149" s="170">
        <f>表2_36716262930389121314153[[#This Row],[累计净值]]/$B$21-1</f>
        <v>6.3808574277168573E-2</v>
      </c>
      <c r="H149" s="170">
        <f>表2_36716262930389121314153[[#This Row],[累计净值]]/$B$35-1</f>
        <v>5.5390702274975334E-2</v>
      </c>
    </row>
    <row r="150" spans="1:8">
      <c r="A150" s="161">
        <v>44067</v>
      </c>
      <c r="B150" s="162">
        <v>1.071</v>
      </c>
      <c r="C150" s="171">
        <f t="shared" si="20"/>
        <v>4.0000000000000036E-3</v>
      </c>
      <c r="D150" s="168" t="str">
        <f t="shared" si="21"/>
        <v>/</v>
      </c>
      <c r="E150" s="168">
        <f ca="1">IF(表2_36716262930389121314153[[#This Row],[累计净值]]/MAX(INDIRECT("B21:B" &amp; ROW()))-1&lt;E149,表2_36716262930389121314153[[#This Row],[累计净值]]/MAX(INDIRECT("B21:B" &amp; ROW()))-1,E149)</f>
        <v>-1.2950971322849281E-2</v>
      </c>
      <c r="F150" s="110">
        <f>表2_36716262930389121314153[[#This Row],[累计净值]]</f>
        <v>1.071</v>
      </c>
      <c r="G150" s="170">
        <f>表2_36716262930389121314153[[#This Row],[累计净值]]/$B$21-1</f>
        <v>6.7796610169491567E-2</v>
      </c>
      <c r="H150" s="170">
        <f>表2_36716262930389121314153[[#This Row],[累计净值]]/$B$35-1</f>
        <v>5.9347181008902128E-2</v>
      </c>
    </row>
    <row r="151" spans="1:8">
      <c r="A151" s="161">
        <v>44068</v>
      </c>
      <c r="B151" s="162">
        <v>1.071</v>
      </c>
      <c r="C151" s="171">
        <f t="shared" si="20"/>
        <v>0</v>
      </c>
      <c r="D151" s="168" t="str">
        <f t="shared" si="21"/>
        <v>/</v>
      </c>
      <c r="E151" s="168">
        <f ca="1">IF(表2_36716262930389121314153[[#This Row],[累计净值]]/MAX(INDIRECT("B21:B" &amp; ROW()))-1&lt;E150,表2_36716262930389121314153[[#This Row],[累计净值]]/MAX(INDIRECT("B21:B" &amp; ROW()))-1,E150)</f>
        <v>-1.2950971322849281E-2</v>
      </c>
      <c r="F151" s="110">
        <f>表2_36716262930389121314153[[#This Row],[累计净值]]</f>
        <v>1.071</v>
      </c>
      <c r="G151" s="170">
        <f>表2_36716262930389121314153[[#This Row],[累计净值]]/$B$21-1</f>
        <v>6.7796610169491567E-2</v>
      </c>
      <c r="H151" s="170">
        <f>表2_36716262930389121314153[[#This Row],[累计净值]]/$B$35-1</f>
        <v>5.9347181008902128E-2</v>
      </c>
    </row>
    <row r="152" spans="1:8">
      <c r="A152" s="161">
        <v>44069</v>
      </c>
      <c r="B152" s="162">
        <v>1.069</v>
      </c>
      <c r="C152" s="171">
        <f t="shared" si="20"/>
        <v>-2.0000000000000018E-3</v>
      </c>
      <c r="D152" s="168">
        <f t="shared" si="21"/>
        <v>-2.0000000000000018E-3</v>
      </c>
      <c r="E152" s="168">
        <f ca="1">IF(表2_36716262930389121314153[[#This Row],[累计净值]]/MAX(INDIRECT("B21:B" &amp; ROW()))-1&lt;E151,表2_36716262930389121314153[[#This Row],[累计净值]]/MAX(INDIRECT("B21:B" &amp; ROW()))-1,E151)</f>
        <v>-1.2950971322849281E-2</v>
      </c>
      <c r="F152" s="110">
        <f>表2_36716262930389121314153[[#This Row],[累计净值]]</f>
        <v>1.069</v>
      </c>
      <c r="G152" s="170">
        <f>表2_36716262930389121314153[[#This Row],[累计净值]]/$B$21-1</f>
        <v>6.580259222333007E-2</v>
      </c>
      <c r="H152" s="170">
        <f>表2_36716262930389121314153[[#This Row],[累计净值]]/$B$35-1</f>
        <v>5.7368941641938731E-2</v>
      </c>
    </row>
    <row r="153" spans="1:8">
      <c r="A153" s="161">
        <v>44070</v>
      </c>
      <c r="B153" s="162">
        <v>1.07</v>
      </c>
      <c r="C153" s="171">
        <f t="shared" si="20"/>
        <v>1.0000000000001119E-3</v>
      </c>
      <c r="D153" s="168" t="str">
        <f t="shared" si="21"/>
        <v>/</v>
      </c>
      <c r="E153" s="168">
        <f ca="1">IF(表2_36716262930389121314153[[#This Row],[累计净值]]/MAX(INDIRECT("B21:B" &amp; ROW()))-1&lt;E152,表2_36716262930389121314153[[#This Row],[累计净值]]/MAX(INDIRECT("B21:B" &amp; ROW()))-1,E152)</f>
        <v>-1.2950971322849281E-2</v>
      </c>
      <c r="F153" s="110">
        <f>表2_36716262930389121314153[[#This Row],[累计净值]]</f>
        <v>1.07</v>
      </c>
      <c r="G153" s="170">
        <f>表2_36716262930389121314153[[#This Row],[累计净值]]/$B$21-1</f>
        <v>6.6799601196410929E-2</v>
      </c>
      <c r="H153" s="170">
        <f>表2_36716262930389121314153[[#This Row],[累计净值]]/$B$35-1</f>
        <v>5.8358061325420651E-2</v>
      </c>
    </row>
    <row r="154" spans="1:8">
      <c r="A154" s="161">
        <v>44071</v>
      </c>
      <c r="B154" s="162">
        <v>1.071</v>
      </c>
      <c r="C154" s="171">
        <f t="shared" ref="C154:C161" si="22">IFERROR(B154-B153,0)</f>
        <v>9.9999999999988987E-4</v>
      </c>
      <c r="D154" s="168" t="str">
        <f t="shared" ref="D154:D161" si="23">IF(C154&lt;0,C154,"/")</f>
        <v>/</v>
      </c>
      <c r="E154" s="168">
        <f ca="1">IF(表2_36716262930389121314153[[#This Row],[累计净值]]/MAX(INDIRECT("B21:B" &amp; ROW()))-1&lt;E153,表2_36716262930389121314153[[#This Row],[累计净值]]/MAX(INDIRECT("B21:B" &amp; ROW()))-1,E153)</f>
        <v>-1.2950971322849281E-2</v>
      </c>
      <c r="F154" s="110">
        <f>表2_36716262930389121314153[[#This Row],[累计净值]]</f>
        <v>1.071</v>
      </c>
      <c r="G154" s="170">
        <f>表2_36716262930389121314153[[#This Row],[累计净值]]/$B$21-1</f>
        <v>6.7796610169491567E-2</v>
      </c>
      <c r="H154" s="170">
        <f>表2_36716262930389121314153[[#This Row],[累计净值]]/$B$35-1</f>
        <v>5.9347181008902128E-2</v>
      </c>
    </row>
    <row r="155" spans="1:8">
      <c r="A155" s="161">
        <v>44074</v>
      </c>
      <c r="B155" s="162">
        <v>1.071</v>
      </c>
      <c r="C155" s="171">
        <f t="shared" si="22"/>
        <v>0</v>
      </c>
      <c r="D155" s="168" t="str">
        <f t="shared" si="23"/>
        <v>/</v>
      </c>
      <c r="E155" s="168">
        <f ca="1">IF(表2_36716262930389121314153[[#This Row],[累计净值]]/MAX(INDIRECT("B21:B" &amp; ROW()))-1&lt;E154,表2_36716262930389121314153[[#This Row],[累计净值]]/MAX(INDIRECT("B21:B" &amp; ROW()))-1,E154)</f>
        <v>-1.2950971322849281E-2</v>
      </c>
      <c r="F155" s="110">
        <f>表2_36716262930389121314153[[#This Row],[累计净值]]</f>
        <v>1.071</v>
      </c>
      <c r="G155" s="170">
        <f>表2_36716262930389121314153[[#This Row],[累计净值]]/$B$21-1</f>
        <v>6.7796610169491567E-2</v>
      </c>
      <c r="H155" s="170">
        <f>表2_36716262930389121314153[[#This Row],[累计净值]]/$B$35-1</f>
        <v>5.9347181008902128E-2</v>
      </c>
    </row>
    <row r="156" spans="1:8">
      <c r="A156" s="161">
        <v>44075</v>
      </c>
      <c r="B156" s="162">
        <v>1.0720000000000001</v>
      </c>
      <c r="C156" s="171">
        <f t="shared" si="22"/>
        <v>1.0000000000001119E-3</v>
      </c>
      <c r="D156" s="168" t="str">
        <f t="shared" si="23"/>
        <v>/</v>
      </c>
      <c r="E156" s="168">
        <f ca="1">IF(表2_36716262930389121314153[[#This Row],[累计净值]]/MAX(INDIRECT("B21:B" &amp; ROW()))-1&lt;E155,表2_36716262930389121314153[[#This Row],[累计净值]]/MAX(INDIRECT("B21:B" &amp; ROW()))-1,E155)</f>
        <v>-1.2950971322849281E-2</v>
      </c>
      <c r="F156" s="110">
        <f>表2_36716262930389121314153[[#This Row],[累计净值]]</f>
        <v>1.0720000000000001</v>
      </c>
      <c r="G156" s="170">
        <f>表2_36716262930389121314153[[#This Row],[累计净值]]/$B$21-1</f>
        <v>6.8793619142572426E-2</v>
      </c>
      <c r="H156" s="170">
        <f>表2_36716262930389121314153[[#This Row],[累计净值]]/$B$35-1</f>
        <v>6.0336300692384048E-2</v>
      </c>
    </row>
    <row r="157" spans="1:8">
      <c r="A157" s="161">
        <v>44076</v>
      </c>
      <c r="B157" s="162">
        <v>1.071</v>
      </c>
      <c r="C157" s="171">
        <f t="shared" si="22"/>
        <v>-1.0000000000001119E-3</v>
      </c>
      <c r="D157" s="168">
        <f t="shared" si="23"/>
        <v>-1.0000000000001119E-3</v>
      </c>
      <c r="E157" s="168">
        <f ca="1">IF(表2_36716262930389121314153[[#This Row],[累计净值]]/MAX(INDIRECT("B21:B" &amp; ROW()))-1&lt;E156,表2_36716262930389121314153[[#This Row],[累计净值]]/MAX(INDIRECT("B21:B" &amp; ROW()))-1,E156)</f>
        <v>-1.2950971322849281E-2</v>
      </c>
      <c r="F157" s="110">
        <f>表2_36716262930389121314153[[#This Row],[累计净值]]</f>
        <v>1.071</v>
      </c>
      <c r="G157" s="170">
        <f>表2_36716262930389121314153[[#This Row],[累计净值]]/$B$21-1</f>
        <v>6.7796610169491567E-2</v>
      </c>
      <c r="H157" s="170">
        <f>表2_36716262930389121314153[[#This Row],[累计净值]]/$B$35-1</f>
        <v>5.9347181008902128E-2</v>
      </c>
    </row>
    <row r="158" spans="1:8">
      <c r="A158" s="161">
        <v>44077</v>
      </c>
      <c r="B158" s="162">
        <v>1.0720000000000001</v>
      </c>
      <c r="C158" s="171">
        <f t="shared" si="22"/>
        <v>1.0000000000001119E-3</v>
      </c>
      <c r="D158" s="168" t="str">
        <f t="shared" si="23"/>
        <v>/</v>
      </c>
      <c r="E158" s="168">
        <f ca="1">IF(表2_36716262930389121314153[[#This Row],[累计净值]]/MAX(INDIRECT("B21:B" &amp; ROW()))-1&lt;E157,表2_36716262930389121314153[[#This Row],[累计净值]]/MAX(INDIRECT("B21:B" &amp; ROW()))-1,E157)</f>
        <v>-1.2950971322849281E-2</v>
      </c>
      <c r="F158" s="110">
        <f>表2_36716262930389121314153[[#This Row],[累计净值]]</f>
        <v>1.0720000000000001</v>
      </c>
      <c r="G158" s="170">
        <f>表2_36716262930389121314153[[#This Row],[累计净值]]/$B$21-1</f>
        <v>6.8793619142572426E-2</v>
      </c>
      <c r="H158" s="170">
        <f>表2_36716262930389121314153[[#This Row],[累计净值]]/$B$35-1</f>
        <v>6.0336300692384048E-2</v>
      </c>
    </row>
    <row r="159" spans="1:8">
      <c r="A159" s="161">
        <v>44078</v>
      </c>
      <c r="B159" s="162">
        <v>1.075</v>
      </c>
      <c r="C159" s="171">
        <f t="shared" si="22"/>
        <v>2.9999999999998916E-3</v>
      </c>
      <c r="D159" s="168" t="str">
        <f t="shared" si="23"/>
        <v>/</v>
      </c>
      <c r="E159" s="168">
        <f ca="1">IF(表2_36716262930389121314153[[#This Row],[累计净值]]/MAX(INDIRECT("B21:B" &amp; ROW()))-1&lt;E158,表2_36716262930389121314153[[#This Row],[累计净值]]/MAX(INDIRECT("B21:B" &amp; ROW()))-1,E158)</f>
        <v>-1.2950971322849281E-2</v>
      </c>
      <c r="F159" s="110">
        <f>表2_36716262930389121314153[[#This Row],[累计净值]]</f>
        <v>1.075</v>
      </c>
      <c r="G159" s="170">
        <f>表2_36716262930389121314153[[#This Row],[累计净值]]/$B$21-1</f>
        <v>7.1784646061814561E-2</v>
      </c>
      <c r="H159" s="170">
        <f>表2_36716262930389121314153[[#This Row],[累计净值]]/$B$35-1</f>
        <v>6.3303659742828922E-2</v>
      </c>
    </row>
    <row r="160" spans="1:8">
      <c r="A160" s="161">
        <v>44081</v>
      </c>
      <c r="B160" s="162">
        <v>1.075</v>
      </c>
      <c r="C160" s="171">
        <f t="shared" si="22"/>
        <v>0</v>
      </c>
      <c r="D160" s="168" t="str">
        <f t="shared" si="23"/>
        <v>/</v>
      </c>
      <c r="E160" s="168">
        <f ca="1">IF(表2_36716262930389121314153[[#This Row],[累计净值]]/MAX(INDIRECT("B21:B" &amp; ROW()))-1&lt;E159,表2_36716262930389121314153[[#This Row],[累计净值]]/MAX(INDIRECT("B21:B" &amp; ROW()))-1,E159)</f>
        <v>-1.2950971322849281E-2</v>
      </c>
      <c r="F160" s="110">
        <f>表2_36716262930389121314153[[#This Row],[累计净值]]</f>
        <v>1.075</v>
      </c>
      <c r="G160" s="170">
        <f>表2_36716262930389121314153[[#This Row],[累计净值]]/$B$21-1</f>
        <v>7.1784646061814561E-2</v>
      </c>
      <c r="H160" s="170">
        <f>表2_36716262930389121314153[[#This Row],[累计净值]]/$B$35-1</f>
        <v>6.3303659742828922E-2</v>
      </c>
    </row>
    <row r="161" spans="1:8">
      <c r="A161" s="161">
        <v>44082</v>
      </c>
      <c r="B161" s="162">
        <v>1.0740000000000001</v>
      </c>
      <c r="C161" s="171">
        <f t="shared" si="22"/>
        <v>-9.9999999999988987E-4</v>
      </c>
      <c r="D161" s="168">
        <f t="shared" si="23"/>
        <v>-9.9999999999988987E-4</v>
      </c>
      <c r="E161" s="168">
        <f ca="1">IF(表2_36716262930389121314153[[#This Row],[累计净值]]/MAX(INDIRECT("B21:B" &amp; ROW()))-1&lt;E160,表2_36716262930389121314153[[#This Row],[累计净值]]/MAX(INDIRECT("B21:B" &amp; ROW()))-1,E160)</f>
        <v>-1.2950971322849281E-2</v>
      </c>
      <c r="F161" s="110">
        <f>表2_36716262930389121314153[[#This Row],[累计净值]]</f>
        <v>1.0740000000000001</v>
      </c>
      <c r="G161" s="170">
        <f>表2_36716262930389121314153[[#This Row],[累计净值]]/$B$21-1</f>
        <v>7.0787637088733923E-2</v>
      </c>
      <c r="H161" s="170">
        <f>表2_36716262930389121314153[[#This Row],[累计净值]]/$B$35-1</f>
        <v>6.2314540059347445E-2</v>
      </c>
    </row>
    <row r="162" spans="1:8">
      <c r="A162" s="161">
        <v>44083</v>
      </c>
      <c r="B162" s="162">
        <v>1.0760000000000001</v>
      </c>
      <c r="C162" s="171">
        <f t="shared" ref="C162:C167" si="24">IFERROR(B162-B161,0)</f>
        <v>2.0000000000000018E-3</v>
      </c>
      <c r="D162" s="168" t="str">
        <f t="shared" ref="D162:D167" si="25">IF(C162&lt;0,C162,"/")</f>
        <v>/</v>
      </c>
      <c r="E162" s="168">
        <f ca="1">IF(表2_36716262930389121314153[[#This Row],[累计净值]]/MAX(INDIRECT("B21:B" &amp; ROW()))-1&lt;E161,表2_36716262930389121314153[[#This Row],[累计净值]]/MAX(INDIRECT("B21:B" &amp; ROW()))-1,E161)</f>
        <v>-1.2950971322849281E-2</v>
      </c>
      <c r="F162" s="110">
        <f>表2_36716262930389121314153[[#This Row],[累计净值]]</f>
        <v>1.0760000000000001</v>
      </c>
      <c r="G162" s="170">
        <f>表2_36716262930389121314153[[#This Row],[累计净值]]/$B$21-1</f>
        <v>7.2781655034895421E-2</v>
      </c>
      <c r="H162" s="170">
        <f>表2_36716262930389121314153[[#This Row],[累计净值]]/$B$35-1</f>
        <v>6.4292779426310842E-2</v>
      </c>
    </row>
    <row r="163" spans="1:8">
      <c r="A163" s="161">
        <v>44084</v>
      </c>
      <c r="B163" s="162">
        <v>1.0740000000000001</v>
      </c>
      <c r="C163" s="171">
        <f t="shared" si="24"/>
        <v>-2.0000000000000018E-3</v>
      </c>
      <c r="D163" s="168">
        <f t="shared" si="25"/>
        <v>-2.0000000000000018E-3</v>
      </c>
      <c r="E163" s="168">
        <f ca="1">IF(表2_36716262930389121314153[[#This Row],[累计净值]]/MAX(INDIRECT("B21:B" &amp; ROW()))-1&lt;E162,表2_36716262930389121314153[[#This Row],[累计净值]]/MAX(INDIRECT("B21:B" &amp; ROW()))-1,E162)</f>
        <v>-1.2950971322849281E-2</v>
      </c>
      <c r="F163" s="110">
        <f>表2_36716262930389121314153[[#This Row],[累计净值]]</f>
        <v>1.0740000000000001</v>
      </c>
      <c r="G163" s="170">
        <f>表2_36716262930389121314153[[#This Row],[累计净值]]/$B$21-1</f>
        <v>7.0787637088733923E-2</v>
      </c>
      <c r="H163" s="170">
        <f>表2_36716262930389121314153[[#This Row],[累计净值]]/$B$35-1</f>
        <v>6.2314540059347445E-2</v>
      </c>
    </row>
    <row r="164" spans="1:8">
      <c r="A164" s="161">
        <v>44085</v>
      </c>
      <c r="B164" s="162">
        <v>1.077</v>
      </c>
      <c r="C164" s="171">
        <f t="shared" si="24"/>
        <v>2.9999999999998916E-3</v>
      </c>
      <c r="D164" s="168" t="str">
        <f t="shared" si="25"/>
        <v>/</v>
      </c>
      <c r="E164" s="168">
        <f ca="1">IF(表2_36716262930389121314153[[#This Row],[累计净值]]/MAX(INDIRECT("B21:B" &amp; ROW()))-1&lt;E163,表2_36716262930389121314153[[#This Row],[累计净值]]/MAX(INDIRECT("B21:B" &amp; ROW()))-1,E163)</f>
        <v>-1.2950971322849281E-2</v>
      </c>
      <c r="F164" s="110">
        <f>表2_36716262930389121314153[[#This Row],[累计净值]]</f>
        <v>1.077</v>
      </c>
      <c r="G164" s="170">
        <f>表2_36716262930389121314153[[#This Row],[累计净值]]/$B$21-1</f>
        <v>7.3778664007976058E-2</v>
      </c>
      <c r="H164" s="170">
        <f>表2_36716262930389121314153[[#This Row],[累计净值]]/$B$35-1</f>
        <v>6.5281899109792318E-2</v>
      </c>
    </row>
    <row r="165" spans="1:8">
      <c r="A165" s="161">
        <v>44088</v>
      </c>
      <c r="B165" s="162">
        <v>1.0760000000000001</v>
      </c>
      <c r="C165" s="171">
        <f t="shared" si="24"/>
        <v>-9.9999999999988987E-4</v>
      </c>
      <c r="D165" s="168">
        <f t="shared" si="25"/>
        <v>-9.9999999999988987E-4</v>
      </c>
      <c r="E165" s="168">
        <f ca="1">IF(表2_36716262930389121314153[[#This Row],[累计净值]]/MAX(INDIRECT("B21:B" &amp; ROW()))-1&lt;E164,表2_36716262930389121314153[[#This Row],[累计净值]]/MAX(INDIRECT("B21:B" &amp; ROW()))-1,E164)</f>
        <v>-1.2950971322849281E-2</v>
      </c>
      <c r="F165" s="110">
        <f>表2_36716262930389121314153[[#This Row],[累计净值]]</f>
        <v>1.0760000000000001</v>
      </c>
      <c r="G165" s="170">
        <f>表2_36716262930389121314153[[#This Row],[累计净值]]/$B$21-1</f>
        <v>7.2781655034895421E-2</v>
      </c>
      <c r="H165" s="170">
        <f>表2_36716262930389121314153[[#This Row],[累计净值]]/$B$35-1</f>
        <v>6.4292779426310842E-2</v>
      </c>
    </row>
    <row r="166" spans="1:8">
      <c r="A166" s="161">
        <v>44089</v>
      </c>
      <c r="B166" s="162">
        <v>1.077</v>
      </c>
      <c r="C166" s="171">
        <f t="shared" si="24"/>
        <v>9.9999999999988987E-4</v>
      </c>
      <c r="D166" s="168" t="str">
        <f t="shared" si="25"/>
        <v>/</v>
      </c>
      <c r="E166" s="168">
        <f ca="1">IF(表2_36716262930389121314153[[#This Row],[累计净值]]/MAX(INDIRECT("B21:B" &amp; ROW()))-1&lt;E165,表2_36716262930389121314153[[#This Row],[累计净值]]/MAX(INDIRECT("B21:B" &amp; ROW()))-1,E165)</f>
        <v>-1.2950971322849281E-2</v>
      </c>
      <c r="F166" s="110">
        <f>表2_36716262930389121314153[[#This Row],[累计净值]]</f>
        <v>1.077</v>
      </c>
      <c r="G166" s="170">
        <f>表2_36716262930389121314153[[#This Row],[累计净值]]/$B$21-1</f>
        <v>7.3778664007976058E-2</v>
      </c>
      <c r="H166" s="170">
        <f>表2_36716262930389121314153[[#This Row],[累计净值]]/$B$35-1</f>
        <v>6.5281899109792318E-2</v>
      </c>
    </row>
    <row r="167" spans="1:8">
      <c r="A167" s="161">
        <v>44090</v>
      </c>
      <c r="B167" s="162">
        <v>1.077</v>
      </c>
      <c r="C167" s="171">
        <f t="shared" si="24"/>
        <v>0</v>
      </c>
      <c r="D167" s="168" t="str">
        <f t="shared" si="25"/>
        <v>/</v>
      </c>
      <c r="E167" s="168">
        <f ca="1">IF(表2_36716262930389121314153[[#This Row],[累计净值]]/MAX(INDIRECT("B21:B" &amp; ROW()))-1&lt;E166,表2_36716262930389121314153[[#This Row],[累计净值]]/MAX(INDIRECT("B21:B" &amp; ROW()))-1,E166)</f>
        <v>-1.2950971322849281E-2</v>
      </c>
      <c r="F167" s="110">
        <f>表2_36716262930389121314153[[#This Row],[累计净值]]</f>
        <v>1.077</v>
      </c>
      <c r="G167" s="170">
        <f>表2_36716262930389121314153[[#This Row],[累计净值]]/$B$21-1</f>
        <v>7.3778664007976058E-2</v>
      </c>
      <c r="H167" s="170">
        <f>表2_36716262930389121314153[[#This Row],[累计净值]]/$B$35-1</f>
        <v>6.5281899109792318E-2</v>
      </c>
    </row>
    <row r="168" spans="1:8">
      <c r="A168" s="161">
        <v>44091</v>
      </c>
      <c r="B168" s="162">
        <v>1.0780000000000001</v>
      </c>
      <c r="C168" s="171">
        <f t="shared" ref="C168:C173" si="26">IFERROR(B168-B167,0)</f>
        <v>1.0000000000001119E-3</v>
      </c>
      <c r="D168" s="168" t="str">
        <f t="shared" ref="D168:D173" si="27">IF(C168&lt;0,C168,"/")</f>
        <v>/</v>
      </c>
      <c r="E168" s="168">
        <f ca="1">IF(表2_36716262930389121314153[[#This Row],[累计净值]]/MAX(INDIRECT("B21:B" &amp; ROW()))-1&lt;E167,表2_36716262930389121314153[[#This Row],[累计净值]]/MAX(INDIRECT("B21:B" &amp; ROW()))-1,E167)</f>
        <v>-1.2950971322849281E-2</v>
      </c>
      <c r="F168" s="110">
        <f>表2_36716262930389121314153[[#This Row],[累计净值]]</f>
        <v>1.0780000000000001</v>
      </c>
      <c r="G168" s="170">
        <f>表2_36716262930389121314153[[#This Row],[累计净值]]/$B$21-1</f>
        <v>7.4775672981056918E-2</v>
      </c>
      <c r="H168" s="170">
        <f>表2_36716262930389121314153[[#This Row],[累计净值]]/$B$35-1</f>
        <v>6.6271018793274239E-2</v>
      </c>
    </row>
    <row r="169" spans="1:8">
      <c r="A169" s="161">
        <v>44092</v>
      </c>
      <c r="B169" s="162">
        <v>1.0760000000000001</v>
      </c>
      <c r="C169" s="171">
        <f t="shared" si="26"/>
        <v>-2.0000000000000018E-3</v>
      </c>
      <c r="D169" s="168">
        <f t="shared" si="27"/>
        <v>-2.0000000000000018E-3</v>
      </c>
      <c r="E169" s="168">
        <f ca="1">IF(表2_36716262930389121314153[[#This Row],[累计净值]]/MAX(INDIRECT("B21:B" &amp; ROW()))-1&lt;E168,表2_36716262930389121314153[[#This Row],[累计净值]]/MAX(INDIRECT("B21:B" &amp; ROW()))-1,E168)</f>
        <v>-1.2950971322849281E-2</v>
      </c>
      <c r="F169" s="110">
        <f>表2_36716262930389121314153[[#This Row],[累计净值]]</f>
        <v>1.0760000000000001</v>
      </c>
      <c r="G169" s="170">
        <f>表2_36716262930389121314153[[#This Row],[累计净值]]/$B$21-1</f>
        <v>7.2781655034895421E-2</v>
      </c>
      <c r="H169" s="170">
        <f>表2_36716262930389121314153[[#This Row],[累计净值]]/$B$35-1</f>
        <v>6.4292779426310842E-2</v>
      </c>
    </row>
    <row r="170" spans="1:8">
      <c r="A170" s="161">
        <v>44095</v>
      </c>
      <c r="B170" s="162">
        <v>1.0780000000000001</v>
      </c>
      <c r="C170" s="171">
        <f t="shared" si="26"/>
        <v>2.0000000000000018E-3</v>
      </c>
      <c r="D170" s="168" t="str">
        <f t="shared" si="27"/>
        <v>/</v>
      </c>
      <c r="E170" s="168">
        <f ca="1">IF(表2_36716262930389121314153[[#This Row],[累计净值]]/MAX(INDIRECT("B21:B" &amp; ROW()))-1&lt;E169,表2_36716262930389121314153[[#This Row],[累计净值]]/MAX(INDIRECT("B21:B" &amp; ROW()))-1,E169)</f>
        <v>-1.2950971322849281E-2</v>
      </c>
      <c r="F170" s="110">
        <f>表2_36716262930389121314153[[#This Row],[累计净值]]</f>
        <v>1.0780000000000001</v>
      </c>
      <c r="G170" s="170">
        <f>表2_36716262930389121314153[[#This Row],[累计净值]]/$B$21-1</f>
        <v>7.4775672981056918E-2</v>
      </c>
      <c r="H170" s="170">
        <f>表2_36716262930389121314153[[#This Row],[累计净值]]/$B$35-1</f>
        <v>6.6271018793274239E-2</v>
      </c>
    </row>
    <row r="171" spans="1:8">
      <c r="A171" s="161">
        <v>44096</v>
      </c>
      <c r="B171" s="162">
        <v>1.0780000000000001</v>
      </c>
      <c r="C171" s="171">
        <f t="shared" si="26"/>
        <v>0</v>
      </c>
      <c r="D171" s="168" t="str">
        <f t="shared" si="27"/>
        <v>/</v>
      </c>
      <c r="E171" s="168">
        <f ca="1">IF(表2_36716262930389121314153[[#This Row],[累计净值]]/MAX(INDIRECT("B21:B" &amp; ROW()))-1&lt;E170,表2_36716262930389121314153[[#This Row],[累计净值]]/MAX(INDIRECT("B21:B" &amp; ROW()))-1,E170)</f>
        <v>-1.2950971322849281E-2</v>
      </c>
      <c r="F171" s="110">
        <f>表2_36716262930389121314153[[#This Row],[累计净值]]</f>
        <v>1.0780000000000001</v>
      </c>
      <c r="G171" s="170">
        <f>表2_36716262930389121314153[[#This Row],[累计净值]]/$B$21-1</f>
        <v>7.4775672981056918E-2</v>
      </c>
      <c r="H171" s="170">
        <f>表2_36716262930389121314153[[#This Row],[累计净值]]/$B$35-1</f>
        <v>6.6271018793274239E-2</v>
      </c>
    </row>
    <row r="172" spans="1:8">
      <c r="A172" s="161">
        <v>44097</v>
      </c>
      <c r="B172" s="162">
        <v>1.077</v>
      </c>
      <c r="C172" s="171">
        <f t="shared" si="26"/>
        <v>-1.0000000000001119E-3</v>
      </c>
      <c r="D172" s="168">
        <f t="shared" si="27"/>
        <v>-1.0000000000001119E-3</v>
      </c>
      <c r="E172" s="168">
        <f ca="1">IF(表2_36716262930389121314153[[#This Row],[累计净值]]/MAX(INDIRECT("B21:B" &amp; ROW()))-1&lt;E171,表2_36716262930389121314153[[#This Row],[累计净值]]/MAX(INDIRECT("B21:B" &amp; ROW()))-1,E171)</f>
        <v>-1.2950971322849281E-2</v>
      </c>
      <c r="F172" s="110">
        <f>表2_36716262930389121314153[[#This Row],[累计净值]]</f>
        <v>1.077</v>
      </c>
      <c r="G172" s="170">
        <f>表2_36716262930389121314153[[#This Row],[累计净值]]/$B$21-1</f>
        <v>7.3778664007976058E-2</v>
      </c>
      <c r="H172" s="170">
        <f>表2_36716262930389121314153[[#This Row],[累计净值]]/$B$35-1</f>
        <v>6.5281899109792318E-2</v>
      </c>
    </row>
    <row r="173" spans="1:8">
      <c r="A173" s="161">
        <v>44098</v>
      </c>
      <c r="B173" s="162">
        <v>1.077</v>
      </c>
      <c r="C173" s="171">
        <f t="shared" si="26"/>
        <v>0</v>
      </c>
      <c r="D173" s="168" t="str">
        <f t="shared" si="27"/>
        <v>/</v>
      </c>
      <c r="E173" s="168">
        <f ca="1">IF(表2_36716262930389121314153[[#This Row],[累计净值]]/MAX(INDIRECT("B21:B" &amp; ROW()))-1&lt;E172,表2_36716262930389121314153[[#This Row],[累计净值]]/MAX(INDIRECT("B21:B" &amp; ROW()))-1,E172)</f>
        <v>-1.2950971322849281E-2</v>
      </c>
      <c r="F173" s="110">
        <f>表2_36716262930389121314153[[#This Row],[累计净值]]</f>
        <v>1.077</v>
      </c>
      <c r="G173" s="170">
        <f>表2_36716262930389121314153[[#This Row],[累计净值]]/$B$21-1</f>
        <v>7.3778664007976058E-2</v>
      </c>
      <c r="H173" s="170">
        <f>表2_36716262930389121314153[[#This Row],[累计净值]]/$B$35-1</f>
        <v>6.5281899109792318E-2</v>
      </c>
    </row>
    <row r="174" spans="1:8">
      <c r="A174" s="161">
        <v>44099</v>
      </c>
      <c r="B174" s="162">
        <v>1.0760000000000001</v>
      </c>
      <c r="C174" s="171">
        <f>IFERROR(B174-B173,0)</f>
        <v>-9.9999999999988987E-4</v>
      </c>
      <c r="D174" s="168">
        <f>IF(C174&lt;0,C174,"/")</f>
        <v>-9.9999999999988987E-4</v>
      </c>
      <c r="E174" s="168">
        <f ca="1">IF(表2_36716262930389121314153[[#This Row],[累计净值]]/MAX(INDIRECT("B21:B" &amp; ROW()))-1&lt;E173,表2_36716262930389121314153[[#This Row],[累计净值]]/MAX(INDIRECT("B21:B" &amp; ROW()))-1,E173)</f>
        <v>-1.2950971322849281E-2</v>
      </c>
      <c r="F174" s="110">
        <f>表2_36716262930389121314153[[#This Row],[累计净值]]</f>
        <v>1.0760000000000001</v>
      </c>
      <c r="G174" s="170">
        <f>表2_36716262930389121314153[[#This Row],[累计净值]]/$B$21-1</f>
        <v>7.2781655034895421E-2</v>
      </c>
      <c r="H174" s="170">
        <f>表2_36716262930389121314153[[#This Row],[累计净值]]/$B$35-1</f>
        <v>6.4292779426310842E-2</v>
      </c>
    </row>
    <row r="175" spans="1:8">
      <c r="A175" s="161">
        <v>44102</v>
      </c>
      <c r="B175" s="162">
        <v>1.075</v>
      </c>
      <c r="C175" s="171">
        <f>IFERROR(B175-B174,0)</f>
        <v>-1.0000000000001119E-3</v>
      </c>
      <c r="D175" s="168">
        <f>IF(C175&lt;0,C175,"/")</f>
        <v>-1.0000000000001119E-3</v>
      </c>
      <c r="E175" s="168">
        <f ca="1">IF(表2_36716262930389121314153[[#This Row],[累计净值]]/MAX(INDIRECT("B21:B" &amp; ROW()))-1&lt;E174,表2_36716262930389121314153[[#This Row],[累计净值]]/MAX(INDIRECT("B21:B" &amp; ROW()))-1,E174)</f>
        <v>-1.2950971322849281E-2</v>
      </c>
      <c r="F175" s="110">
        <f>表2_36716262930389121314153[[#This Row],[累计净值]]</f>
        <v>1.075</v>
      </c>
      <c r="G175" s="170">
        <f>表2_36716262930389121314153[[#This Row],[累计净值]]/$B$21-1</f>
        <v>7.1784646061814561E-2</v>
      </c>
      <c r="H175" s="170">
        <f>表2_36716262930389121314153[[#This Row],[累计净值]]/$B$35-1</f>
        <v>6.3303659742828922E-2</v>
      </c>
    </row>
    <row r="176" spans="1:8">
      <c r="A176" s="161">
        <v>44103</v>
      </c>
      <c r="B176" s="162">
        <v>1.0760000000000001</v>
      </c>
      <c r="C176" s="171">
        <f t="shared" ref="C176:C177" si="28">IFERROR(B176-B175,0)</f>
        <v>1.0000000000001119E-3</v>
      </c>
      <c r="D176" s="168" t="str">
        <f t="shared" ref="D176:D177" si="29">IF(C176&lt;0,C176,"/")</f>
        <v>/</v>
      </c>
      <c r="E176" s="168">
        <f ca="1">IF(表2_36716262930389121314153[[#This Row],[累计净值]]/MAX(INDIRECT("B21:B" &amp; ROW()))-1&lt;E175,表2_36716262930389121314153[[#This Row],[累计净值]]/MAX(INDIRECT("B21:B" &amp; ROW()))-1,E175)</f>
        <v>-1.2950971322849281E-2</v>
      </c>
      <c r="F176" s="110">
        <f>表2_36716262930389121314153[[#This Row],[累计净值]]</f>
        <v>1.0760000000000001</v>
      </c>
      <c r="G176" s="170">
        <f>表2_36716262930389121314153[[#This Row],[累计净值]]/$B$21-1</f>
        <v>7.2781655034895421E-2</v>
      </c>
      <c r="H176" s="170">
        <f>表2_36716262930389121314153[[#This Row],[累计净值]]/$B$35-1</f>
        <v>6.4292779426310842E-2</v>
      </c>
    </row>
    <row r="177" spans="1:8">
      <c r="A177" s="161">
        <v>44104</v>
      </c>
      <c r="B177" s="162">
        <v>1.0760000000000001</v>
      </c>
      <c r="C177" s="171">
        <f t="shared" si="28"/>
        <v>0</v>
      </c>
      <c r="D177" s="168" t="str">
        <f t="shared" si="29"/>
        <v>/</v>
      </c>
      <c r="E177" s="168">
        <f ca="1">IF(表2_36716262930389121314153[[#This Row],[累计净值]]/MAX(INDIRECT("B21:B" &amp; ROW()))-1&lt;E176,表2_36716262930389121314153[[#This Row],[累计净值]]/MAX(INDIRECT("B21:B" &amp; ROW()))-1,E176)</f>
        <v>-1.2950971322849281E-2</v>
      </c>
      <c r="F177" s="110">
        <f>表2_36716262930389121314153[[#This Row],[累计净值]]</f>
        <v>1.0760000000000001</v>
      </c>
      <c r="G177" s="170">
        <f>表2_36716262930389121314153[[#This Row],[累计净值]]/$B$21-1</f>
        <v>7.2781655034895421E-2</v>
      </c>
      <c r="H177" s="170">
        <f>表2_36716262930389121314153[[#This Row],[累计净值]]/$B$35-1</f>
        <v>6.4292779426310842E-2</v>
      </c>
    </row>
    <row r="178" spans="1:8">
      <c r="A178" s="161">
        <v>44113</v>
      </c>
      <c r="B178" s="162">
        <v>1.077</v>
      </c>
      <c r="C178" s="171">
        <f t="shared" ref="C178:C183" si="30">IFERROR(B178-B177,0)</f>
        <v>9.9999999999988987E-4</v>
      </c>
      <c r="D178" s="168" t="str">
        <f t="shared" ref="D178:D183" si="31">IF(C178&lt;0,C178,"/")</f>
        <v>/</v>
      </c>
      <c r="E178" s="168">
        <f ca="1">IF(表2_36716262930389121314153[[#This Row],[累计净值]]/MAX(INDIRECT("B21:B" &amp; ROW()))-1&lt;E177,表2_36716262930389121314153[[#This Row],[累计净值]]/MAX(INDIRECT("B21:B" &amp; ROW()))-1,E177)</f>
        <v>-1.2950971322849281E-2</v>
      </c>
      <c r="F178" s="110">
        <f>表2_36716262930389121314153[[#This Row],[累计净值]]</f>
        <v>1.077</v>
      </c>
      <c r="G178" s="170">
        <f>表2_36716262930389121314153[[#This Row],[累计净值]]/$B$21-1</f>
        <v>7.3778664007976058E-2</v>
      </c>
      <c r="H178" s="170">
        <f>表2_36716262930389121314153[[#This Row],[累计净值]]/$B$35-1</f>
        <v>6.5281899109792318E-2</v>
      </c>
    </row>
    <row r="179" spans="1:8">
      <c r="A179" s="161">
        <v>44116</v>
      </c>
      <c r="B179" s="162">
        <v>1.079</v>
      </c>
      <c r="C179" s="171">
        <f t="shared" si="30"/>
        <v>2.0000000000000018E-3</v>
      </c>
      <c r="D179" s="168" t="str">
        <f t="shared" si="31"/>
        <v>/</v>
      </c>
      <c r="E179" s="168">
        <f ca="1">IF(表2_36716262930389121314153[[#This Row],[累计净值]]/MAX(INDIRECT("B21:B" &amp; ROW()))-1&lt;E178,表2_36716262930389121314153[[#This Row],[累计净值]]/MAX(INDIRECT("B21:B" &amp; ROW()))-1,E178)</f>
        <v>-1.2950971322849281E-2</v>
      </c>
      <c r="F179" s="110">
        <f>表2_36716262930389121314153[[#This Row],[累计净值]]</f>
        <v>1.079</v>
      </c>
      <c r="G179" s="170">
        <f>表2_36716262930389121314153[[#This Row],[累计净值]]/$B$21-1</f>
        <v>7.5772681954137555E-2</v>
      </c>
      <c r="H179" s="170">
        <f>表2_36716262930389121314153[[#This Row],[累计净值]]/$B$35-1</f>
        <v>6.7260138476755715E-2</v>
      </c>
    </row>
    <row r="180" spans="1:8">
      <c r="A180" s="161">
        <v>44117</v>
      </c>
      <c r="B180" s="162">
        <v>1.079</v>
      </c>
      <c r="C180" s="171">
        <f t="shared" si="30"/>
        <v>0</v>
      </c>
      <c r="D180" s="168" t="str">
        <f t="shared" si="31"/>
        <v>/</v>
      </c>
      <c r="E180" s="168">
        <f ca="1">IF(表2_36716262930389121314153[[#This Row],[累计净值]]/MAX(INDIRECT("B21:B" &amp; ROW()))-1&lt;E179,表2_36716262930389121314153[[#This Row],[累计净值]]/MAX(INDIRECT("B21:B" &amp; ROW()))-1,E179)</f>
        <v>-1.2950971322849281E-2</v>
      </c>
      <c r="F180" s="110">
        <f>表2_36716262930389121314153[[#This Row],[累计净值]]</f>
        <v>1.079</v>
      </c>
      <c r="G180" s="170">
        <f>表2_36716262930389121314153[[#This Row],[累计净值]]/$B$21-1</f>
        <v>7.5772681954137555E-2</v>
      </c>
      <c r="H180" s="170">
        <f>表2_36716262930389121314153[[#This Row],[累计净值]]/$B$35-1</f>
        <v>6.7260138476755715E-2</v>
      </c>
    </row>
    <row r="181" spans="1:8">
      <c r="A181" s="161">
        <v>44118</v>
      </c>
      <c r="B181" s="162">
        <v>1.0780000000000001</v>
      </c>
      <c r="C181" s="171">
        <f t="shared" si="30"/>
        <v>-9.9999999999988987E-4</v>
      </c>
      <c r="D181" s="168">
        <f t="shared" si="31"/>
        <v>-9.9999999999988987E-4</v>
      </c>
      <c r="E181" s="168">
        <f ca="1">IF(表2_36716262930389121314153[[#This Row],[累计净值]]/MAX(INDIRECT("B21:B" &amp; ROW()))-1&lt;E180,表2_36716262930389121314153[[#This Row],[累计净值]]/MAX(INDIRECT("B21:B" &amp; ROW()))-1,E180)</f>
        <v>-1.2950971322849281E-2</v>
      </c>
      <c r="F181" s="110">
        <f>表2_36716262930389121314153[[#This Row],[累计净值]]</f>
        <v>1.0780000000000001</v>
      </c>
      <c r="G181" s="170">
        <f>表2_36716262930389121314153[[#This Row],[累计净值]]/$B$21-1</f>
        <v>7.4775672981056918E-2</v>
      </c>
      <c r="H181" s="170">
        <f>表2_36716262930389121314153[[#This Row],[累计净值]]/$B$35-1</f>
        <v>6.6271018793274239E-2</v>
      </c>
    </row>
    <row r="182" spans="1:8">
      <c r="A182" s="161">
        <v>44119</v>
      </c>
      <c r="B182" s="162">
        <v>1.0820000000000001</v>
      </c>
      <c r="C182" s="171">
        <f t="shared" si="30"/>
        <v>4.0000000000000036E-3</v>
      </c>
      <c r="D182" s="168" t="str">
        <f t="shared" si="31"/>
        <v>/</v>
      </c>
      <c r="E182" s="168">
        <f ca="1">IF(表2_36716262930389121314153[[#This Row],[累计净值]]/MAX(INDIRECT("B21:B" &amp; ROW()))-1&lt;E181,表2_36716262930389121314153[[#This Row],[累计净值]]/MAX(INDIRECT("B21:B" &amp; ROW()))-1,E181)</f>
        <v>-1.2950971322849281E-2</v>
      </c>
      <c r="F182" s="110">
        <f>表2_36716262930389121314153[[#This Row],[累计净值]]</f>
        <v>1.0820000000000001</v>
      </c>
      <c r="G182" s="170">
        <f>表2_36716262930389121314153[[#This Row],[累计净值]]/$B$21-1</f>
        <v>7.8763708873380134E-2</v>
      </c>
      <c r="H182" s="170">
        <f>表2_36716262930389121314153[[#This Row],[累计净值]]/$B$35-1</f>
        <v>7.0227497527201033E-2</v>
      </c>
    </row>
    <row r="183" spans="1:8">
      <c r="A183" s="161">
        <v>44120</v>
      </c>
      <c r="B183" s="162">
        <v>1.08</v>
      </c>
      <c r="C183" s="171">
        <f t="shared" si="30"/>
        <v>-2.0000000000000018E-3</v>
      </c>
      <c r="D183" s="168">
        <f t="shared" si="31"/>
        <v>-2.0000000000000018E-3</v>
      </c>
      <c r="E183" s="168">
        <f ca="1">IF(表2_36716262930389121314153[[#This Row],[累计净值]]/MAX(INDIRECT("B21:B" &amp; ROW()))-1&lt;E182,表2_36716262930389121314153[[#This Row],[累计净值]]/MAX(INDIRECT("B21:B" &amp; ROW()))-1,E182)</f>
        <v>-1.2950971322849281E-2</v>
      </c>
      <c r="F183" s="110">
        <f>表2_36716262930389121314153[[#This Row],[累计净值]]</f>
        <v>1.08</v>
      </c>
      <c r="G183" s="170">
        <f>表2_36716262930389121314153[[#This Row],[累计净值]]/$B$21-1</f>
        <v>7.6769690927218637E-2</v>
      </c>
      <c r="H183" s="170">
        <f>表2_36716262930389121314153[[#This Row],[累计净值]]/$B$35-1</f>
        <v>6.8249258160237636E-2</v>
      </c>
    </row>
    <row r="184" spans="1:8">
      <c r="A184" s="161">
        <v>44123</v>
      </c>
      <c r="B184" s="162">
        <v>1.08</v>
      </c>
      <c r="C184" s="171">
        <f t="shared" ref="C184:C189" si="32">IFERROR(B184-B183,0)</f>
        <v>0</v>
      </c>
      <c r="D184" s="168" t="str">
        <f t="shared" ref="D184:D189" si="33">IF(C184&lt;0,C184,"/")</f>
        <v>/</v>
      </c>
      <c r="E184" s="168">
        <f ca="1">IF(表2_36716262930389121314153[[#This Row],[累计净值]]/MAX(INDIRECT("B21:B" &amp; ROW()))-1&lt;E183,表2_36716262930389121314153[[#This Row],[累计净值]]/MAX(INDIRECT("B21:B" &amp; ROW()))-1,E183)</f>
        <v>-1.2950971322849281E-2</v>
      </c>
      <c r="F184" s="110">
        <f>表2_36716262930389121314153[[#This Row],[累计净值]]</f>
        <v>1.08</v>
      </c>
      <c r="G184" s="170">
        <f>表2_36716262930389121314153[[#This Row],[累计净值]]/$B$21-1</f>
        <v>7.6769690927218637E-2</v>
      </c>
      <c r="H184" s="170">
        <f>表2_36716262930389121314153[[#This Row],[累计净值]]/$B$35-1</f>
        <v>6.8249258160237636E-2</v>
      </c>
    </row>
    <row r="185" spans="1:8">
      <c r="A185" s="161">
        <v>44124</v>
      </c>
      <c r="B185" s="162">
        <v>1.081</v>
      </c>
      <c r="C185" s="171">
        <f t="shared" si="32"/>
        <v>9.9999999999988987E-4</v>
      </c>
      <c r="D185" s="168" t="str">
        <f t="shared" si="33"/>
        <v>/</v>
      </c>
      <c r="E185" s="168">
        <f ca="1">IF(表2_36716262930389121314153[[#This Row],[累计净值]]/MAX(INDIRECT("B21:B" &amp; ROW()))-1&lt;E184,表2_36716262930389121314153[[#This Row],[累计净值]]/MAX(INDIRECT("B21:B" &amp; ROW()))-1,E184)</f>
        <v>-1.2950971322849281E-2</v>
      </c>
      <c r="F185" s="110">
        <f>表2_36716262930389121314153[[#This Row],[累计净值]]</f>
        <v>1.081</v>
      </c>
      <c r="G185" s="170">
        <f>表2_36716262930389121314153[[#This Row],[累计净值]]/$B$21-1</f>
        <v>7.7766699900299274E-2</v>
      </c>
      <c r="H185" s="170">
        <f>表2_36716262930389121314153[[#This Row],[累计净值]]/$B$35-1</f>
        <v>6.9238377843719112E-2</v>
      </c>
    </row>
    <row r="186" spans="1:8">
      <c r="A186" s="161">
        <v>44125</v>
      </c>
      <c r="B186" s="162">
        <v>1.081</v>
      </c>
      <c r="C186" s="171">
        <f t="shared" si="32"/>
        <v>0</v>
      </c>
      <c r="D186" s="168" t="str">
        <f t="shared" si="33"/>
        <v>/</v>
      </c>
      <c r="E186" s="168">
        <f ca="1">IF(表2_36716262930389121314153[[#This Row],[累计净值]]/MAX(INDIRECT("B21:B" &amp; ROW()))-1&lt;E185,表2_36716262930389121314153[[#This Row],[累计净值]]/MAX(INDIRECT("B21:B" &amp; ROW()))-1,E185)</f>
        <v>-1.2950971322849281E-2</v>
      </c>
      <c r="F186" s="110">
        <f>表2_36716262930389121314153[[#This Row],[累计净值]]</f>
        <v>1.081</v>
      </c>
      <c r="G186" s="170">
        <f>表2_36716262930389121314153[[#This Row],[累计净值]]/$B$21-1</f>
        <v>7.7766699900299274E-2</v>
      </c>
      <c r="H186" s="170">
        <f>表2_36716262930389121314153[[#This Row],[累计净值]]/$B$35-1</f>
        <v>6.9238377843719112E-2</v>
      </c>
    </row>
    <row r="187" spans="1:8">
      <c r="A187" s="161">
        <v>44126</v>
      </c>
      <c r="B187" s="162">
        <v>1.083</v>
      </c>
      <c r="C187" s="171">
        <f t="shared" si="32"/>
        <v>2.0000000000000018E-3</v>
      </c>
      <c r="D187" s="168" t="str">
        <f t="shared" si="33"/>
        <v>/</v>
      </c>
      <c r="E187" s="168">
        <f ca="1">IF(表2_36716262930389121314153[[#This Row],[累计净值]]/MAX(INDIRECT("B21:B" &amp; ROW()))-1&lt;E186,表2_36716262930389121314153[[#This Row],[累计净值]]/MAX(INDIRECT("B21:B" &amp; ROW()))-1,E186)</f>
        <v>-1.2950971322849281E-2</v>
      </c>
      <c r="F187" s="110">
        <f>表2_36716262930389121314153[[#This Row],[累计净值]]</f>
        <v>1.083</v>
      </c>
      <c r="G187" s="170">
        <f>表2_36716262930389121314153[[#This Row],[累计净值]]/$B$21-1</f>
        <v>7.9760717846460771E-2</v>
      </c>
      <c r="H187" s="170">
        <f>表2_36716262930389121314153[[#This Row],[累计净值]]/$B$35-1</f>
        <v>7.1216617210682509E-2</v>
      </c>
    </row>
    <row r="188" spans="1:8">
      <c r="A188" s="161">
        <v>44127</v>
      </c>
      <c r="B188" s="162">
        <v>1.0820000000000001</v>
      </c>
      <c r="C188" s="171">
        <f t="shared" si="32"/>
        <v>-9.9999999999988987E-4</v>
      </c>
      <c r="D188" s="168">
        <f t="shared" si="33"/>
        <v>-9.9999999999988987E-4</v>
      </c>
      <c r="E188" s="168">
        <f ca="1">IF(表2_36716262930389121314153[[#This Row],[累计净值]]/MAX(INDIRECT("B21:B" &amp; ROW()))-1&lt;E187,表2_36716262930389121314153[[#This Row],[累计净值]]/MAX(INDIRECT("B21:B" &amp; ROW()))-1,E187)</f>
        <v>-1.2950971322849281E-2</v>
      </c>
      <c r="F188" s="110">
        <f>表2_36716262930389121314153[[#This Row],[累计净值]]</f>
        <v>1.0820000000000001</v>
      </c>
      <c r="G188" s="170">
        <f>表2_36716262930389121314153[[#This Row],[累计净值]]/$B$21-1</f>
        <v>7.8763708873380134E-2</v>
      </c>
      <c r="H188" s="170">
        <f>表2_36716262930389121314153[[#This Row],[累计净值]]/$B$35-1</f>
        <v>7.0227497527201033E-2</v>
      </c>
    </row>
    <row r="189" spans="1:8">
      <c r="A189" s="161">
        <v>44130</v>
      </c>
      <c r="B189" s="162">
        <v>1.081</v>
      </c>
      <c r="C189" s="171">
        <f t="shared" si="32"/>
        <v>-1.0000000000001119E-3</v>
      </c>
      <c r="D189" s="168">
        <f t="shared" si="33"/>
        <v>-1.0000000000001119E-3</v>
      </c>
      <c r="E189" s="168">
        <f ca="1">IF(表2_36716262930389121314153[[#This Row],[累计净值]]/MAX(INDIRECT("B21:B" &amp; ROW()))-1&lt;E188,表2_36716262930389121314153[[#This Row],[累计净值]]/MAX(INDIRECT("B21:B" &amp; ROW()))-1,E188)</f>
        <v>-1.2950971322849281E-2</v>
      </c>
      <c r="F189" s="110">
        <f>表2_36716262930389121314153[[#This Row],[累计净值]]</f>
        <v>1.081</v>
      </c>
      <c r="G189" s="170">
        <f>表2_36716262930389121314153[[#This Row],[累计净值]]/$B$21-1</f>
        <v>7.7766699900299274E-2</v>
      </c>
      <c r="H189" s="170">
        <f>表2_36716262930389121314153[[#This Row],[累计净值]]/$B$35-1</f>
        <v>6.9238377843719112E-2</v>
      </c>
    </row>
    <row r="190" spans="1:8">
      <c r="A190" s="161">
        <v>44131</v>
      </c>
      <c r="B190" s="162">
        <v>1.081</v>
      </c>
      <c r="C190" s="171">
        <f t="shared" ref="C190:C196" si="34">IFERROR(B190-B189,0)</f>
        <v>0</v>
      </c>
      <c r="D190" s="168" t="str">
        <f t="shared" ref="D190:D196" si="35">IF(C190&lt;0,C190,"/")</f>
        <v>/</v>
      </c>
      <c r="E190" s="168">
        <f ca="1">IF(表2_36716262930389121314153[[#This Row],[累计净值]]/MAX(INDIRECT("B21:B" &amp; ROW()))-1&lt;E189,表2_36716262930389121314153[[#This Row],[累计净值]]/MAX(INDIRECT("B21:B" &amp; ROW()))-1,E189)</f>
        <v>-1.2950971322849281E-2</v>
      </c>
      <c r="F190" s="110">
        <f>表2_36716262930389121314153[[#This Row],[累计净值]]</f>
        <v>1.081</v>
      </c>
      <c r="G190" s="170">
        <f>表2_36716262930389121314153[[#This Row],[累计净值]]/$B$21-1</f>
        <v>7.7766699900299274E-2</v>
      </c>
      <c r="H190" s="170">
        <f>表2_36716262930389121314153[[#This Row],[累计净值]]/$B$35-1</f>
        <v>6.9238377843719112E-2</v>
      </c>
    </row>
    <row r="191" spans="1:8">
      <c r="A191" s="161">
        <v>44132</v>
      </c>
      <c r="B191" s="162">
        <v>1.08</v>
      </c>
      <c r="C191" s="171">
        <f t="shared" si="34"/>
        <v>-9.9999999999988987E-4</v>
      </c>
      <c r="D191" s="168">
        <f t="shared" si="35"/>
        <v>-9.9999999999988987E-4</v>
      </c>
      <c r="E191" s="168">
        <f ca="1">IF(表2_36716262930389121314153[[#This Row],[累计净值]]/MAX(INDIRECT("B21:B" &amp; ROW()))-1&lt;E190,表2_36716262930389121314153[[#This Row],[累计净值]]/MAX(INDIRECT("B21:B" &amp; ROW()))-1,E190)</f>
        <v>-1.2950971322849281E-2</v>
      </c>
      <c r="F191" s="110">
        <f>表2_36716262930389121314153[[#This Row],[累计净值]]</f>
        <v>1.08</v>
      </c>
      <c r="G191" s="170">
        <f>表2_36716262930389121314153[[#This Row],[累计净值]]/$B$21-1</f>
        <v>7.6769690927218637E-2</v>
      </c>
      <c r="H191" s="170">
        <f>表2_36716262930389121314153[[#This Row],[累计净值]]/$B$35-1</f>
        <v>6.8249258160237636E-2</v>
      </c>
    </row>
    <row r="192" spans="1:8">
      <c r="A192" s="161">
        <v>44133</v>
      </c>
      <c r="B192" s="162">
        <v>1.0820000000000001</v>
      </c>
      <c r="C192" s="171">
        <f t="shared" si="34"/>
        <v>2.0000000000000018E-3</v>
      </c>
      <c r="D192" s="168" t="str">
        <f t="shared" si="35"/>
        <v>/</v>
      </c>
      <c r="E192" s="168">
        <f ca="1">IF(表2_36716262930389121314153[[#This Row],[累计净值]]/MAX(INDIRECT("B21:B" &amp; ROW()))-1&lt;E191,表2_36716262930389121314153[[#This Row],[累计净值]]/MAX(INDIRECT("B21:B" &amp; ROW()))-1,E191)</f>
        <v>-1.2950971322849281E-2</v>
      </c>
      <c r="F192" s="110">
        <f>表2_36716262930389121314153[[#This Row],[累计净值]]</f>
        <v>1.0820000000000001</v>
      </c>
      <c r="G192" s="170">
        <f>表2_36716262930389121314153[[#This Row],[累计净值]]/$B$21-1</f>
        <v>7.8763708873380134E-2</v>
      </c>
      <c r="H192" s="170">
        <f>表2_36716262930389121314153[[#This Row],[累计净值]]/$B$35-1</f>
        <v>7.0227497527201033E-2</v>
      </c>
    </row>
    <row r="193" spans="1:8">
      <c r="A193" s="161">
        <v>44134</v>
      </c>
      <c r="B193" s="162">
        <v>1.081</v>
      </c>
      <c r="C193" s="171">
        <f t="shared" si="34"/>
        <v>-1.0000000000001119E-3</v>
      </c>
      <c r="D193" s="168">
        <f t="shared" si="35"/>
        <v>-1.0000000000001119E-3</v>
      </c>
      <c r="E193" s="168">
        <f ca="1">IF(表2_36716262930389121314153[[#This Row],[累计净值]]/MAX(INDIRECT("B21:B" &amp; ROW()))-1&lt;E192,表2_36716262930389121314153[[#This Row],[累计净值]]/MAX(INDIRECT("B21:B" &amp; ROW()))-1,E192)</f>
        <v>-1.2950971322849281E-2</v>
      </c>
      <c r="F193" s="110">
        <f>表2_36716262930389121314153[[#This Row],[累计净值]]</f>
        <v>1.081</v>
      </c>
      <c r="G193" s="170">
        <f>表2_36716262930389121314153[[#This Row],[累计净值]]/$B$21-1</f>
        <v>7.7766699900299274E-2</v>
      </c>
      <c r="H193" s="170">
        <f>表2_36716262930389121314153[[#This Row],[累计净值]]/$B$35-1</f>
        <v>6.9238377843719112E-2</v>
      </c>
    </row>
    <row r="194" spans="1:8">
      <c r="A194" s="161">
        <v>44137</v>
      </c>
      <c r="B194" s="162">
        <v>1.0820000000000001</v>
      </c>
      <c r="C194" s="171">
        <f t="shared" si="34"/>
        <v>1.0000000000001119E-3</v>
      </c>
      <c r="D194" s="168" t="str">
        <f t="shared" si="35"/>
        <v>/</v>
      </c>
      <c r="E194" s="168">
        <f ca="1">IF(表2_36716262930389121314153[[#This Row],[累计净值]]/MAX(INDIRECT("B21:B" &amp; ROW()))-1&lt;E193,表2_36716262930389121314153[[#This Row],[累计净值]]/MAX(INDIRECT("B21:B" &amp; ROW()))-1,E193)</f>
        <v>-1.2950971322849281E-2</v>
      </c>
      <c r="F194" s="110">
        <f>表2_36716262930389121314153[[#This Row],[累计净值]]</f>
        <v>1.0820000000000001</v>
      </c>
      <c r="G194" s="170">
        <f>表2_36716262930389121314153[[#This Row],[累计净值]]/$B$21-1</f>
        <v>7.8763708873380134E-2</v>
      </c>
      <c r="H194" s="170">
        <f>表2_36716262930389121314153[[#This Row],[累计净值]]/$B$35-1</f>
        <v>7.0227497527201033E-2</v>
      </c>
    </row>
    <row r="195" spans="1:8">
      <c r="A195" s="161">
        <v>44138</v>
      </c>
      <c r="B195" s="162">
        <v>1.0820000000000001</v>
      </c>
      <c r="C195" s="171">
        <f t="shared" si="34"/>
        <v>0</v>
      </c>
      <c r="D195" s="168" t="str">
        <f t="shared" si="35"/>
        <v>/</v>
      </c>
      <c r="E195" s="168">
        <f ca="1">IF(表2_36716262930389121314153[[#This Row],[累计净值]]/MAX(INDIRECT("B21:B" &amp; ROW()))-1&lt;E194,表2_36716262930389121314153[[#This Row],[累计净值]]/MAX(INDIRECT("B21:B" &amp; ROW()))-1,E194)</f>
        <v>-1.2950971322849281E-2</v>
      </c>
      <c r="F195" s="110">
        <f>表2_36716262930389121314153[[#This Row],[累计净值]]</f>
        <v>1.0820000000000001</v>
      </c>
      <c r="G195" s="170">
        <f>表2_36716262930389121314153[[#This Row],[累计净值]]/$B$21-1</f>
        <v>7.8763708873380134E-2</v>
      </c>
      <c r="H195" s="170">
        <f>表2_36716262930389121314153[[#This Row],[累计净值]]/$B$35-1</f>
        <v>7.0227497527201033E-2</v>
      </c>
    </row>
    <row r="196" spans="1:8">
      <c r="A196" s="161">
        <v>44139</v>
      </c>
      <c r="B196" s="162">
        <v>1.0820000000000001</v>
      </c>
      <c r="C196" s="171">
        <f t="shared" si="34"/>
        <v>0</v>
      </c>
      <c r="D196" s="168" t="str">
        <f t="shared" si="35"/>
        <v>/</v>
      </c>
      <c r="E196" s="168">
        <f ca="1">IF(表2_36716262930389121314153[[#This Row],[累计净值]]/MAX(INDIRECT("B21:B" &amp; ROW()))-1&lt;E195,表2_36716262930389121314153[[#This Row],[累计净值]]/MAX(INDIRECT("B21:B" &amp; ROW()))-1,E195)</f>
        <v>-1.2950971322849281E-2</v>
      </c>
      <c r="F196" s="110">
        <f>表2_36716262930389121314153[[#This Row],[累计净值]]</f>
        <v>1.0820000000000001</v>
      </c>
      <c r="G196" s="170">
        <f>表2_36716262930389121314153[[#This Row],[累计净值]]/$B$21-1</f>
        <v>7.8763708873380134E-2</v>
      </c>
      <c r="H196" s="170">
        <f>表2_36716262930389121314153[[#This Row],[累计净值]]/$B$35-1</f>
        <v>7.0227497527201033E-2</v>
      </c>
    </row>
    <row r="197" spans="1:8">
      <c r="A197" s="161">
        <v>44140</v>
      </c>
      <c r="B197" s="162">
        <v>1.0840000000000001</v>
      </c>
      <c r="C197" s="171">
        <f t="shared" ref="C197:C202" si="36">IFERROR(B197-B196,0)</f>
        <v>2.0000000000000018E-3</v>
      </c>
      <c r="D197" s="168" t="str">
        <f t="shared" ref="D197:D202" si="37">IF(C197&lt;0,C197,"/")</f>
        <v>/</v>
      </c>
      <c r="E197" s="168">
        <f ca="1">IF(表2_36716262930389121314153[[#This Row],[累计净值]]/MAX(INDIRECT("B21:B" &amp; ROW()))-1&lt;E196,表2_36716262930389121314153[[#This Row],[累计净值]]/MAX(INDIRECT("B21:B" &amp; ROW()))-1,E196)</f>
        <v>-1.2950971322849281E-2</v>
      </c>
      <c r="F197" s="110">
        <f>表2_36716262930389121314153[[#This Row],[累计净值]]</f>
        <v>1.0840000000000001</v>
      </c>
      <c r="G197" s="170">
        <f>表2_36716262930389121314153[[#This Row],[累计净值]]/$B$21-1</f>
        <v>8.0757726819541631E-2</v>
      </c>
      <c r="H197" s="170">
        <f>表2_36716262930389121314153[[#This Row],[累计净值]]/$B$35-1</f>
        <v>7.220573689416443E-2</v>
      </c>
    </row>
    <row r="198" spans="1:8">
      <c r="A198" s="161">
        <v>44141</v>
      </c>
      <c r="B198" s="162">
        <v>1.0840000000000001</v>
      </c>
      <c r="C198" s="171">
        <f t="shared" si="36"/>
        <v>0</v>
      </c>
      <c r="D198" s="168" t="str">
        <f t="shared" si="37"/>
        <v>/</v>
      </c>
      <c r="E198" s="168">
        <f ca="1">IF(表2_36716262930389121314153[[#This Row],[累计净值]]/MAX(INDIRECT("B21:B" &amp; ROW()))-1&lt;E197,表2_36716262930389121314153[[#This Row],[累计净值]]/MAX(INDIRECT("B21:B" &amp; ROW()))-1,E197)</f>
        <v>-1.2950971322849281E-2</v>
      </c>
      <c r="F198" s="110">
        <f>表2_36716262930389121314153[[#This Row],[累计净值]]</f>
        <v>1.0840000000000001</v>
      </c>
      <c r="G198" s="170">
        <f>表2_36716262930389121314153[[#This Row],[累计净值]]/$B$21-1</f>
        <v>8.0757726819541631E-2</v>
      </c>
      <c r="H198" s="170">
        <f>表2_36716262930389121314153[[#This Row],[累计净值]]/$B$35-1</f>
        <v>7.220573689416443E-2</v>
      </c>
    </row>
    <row r="199" spans="1:8">
      <c r="A199" s="161">
        <v>44144</v>
      </c>
      <c r="B199" s="162">
        <v>1.085</v>
      </c>
      <c r="C199" s="171">
        <f t="shared" si="36"/>
        <v>9.9999999999988987E-4</v>
      </c>
      <c r="D199" s="168" t="str">
        <f t="shared" si="37"/>
        <v>/</v>
      </c>
      <c r="E199" s="168">
        <f ca="1">IF(表2_36716262930389121314153[[#This Row],[累计净值]]/MAX(INDIRECT("B21:B" &amp; ROW()))-1&lt;E198,表2_36716262930389121314153[[#This Row],[累计净值]]/MAX(INDIRECT("B21:B" &amp; ROW()))-1,E198)</f>
        <v>-1.2950971322849281E-2</v>
      </c>
      <c r="F199" s="110">
        <f>表2_36716262930389121314153[[#This Row],[累计净值]]</f>
        <v>1.085</v>
      </c>
      <c r="G199" s="170">
        <f>表2_36716262930389121314153[[#This Row],[累计净值]]/$B$21-1</f>
        <v>8.1754735792622268E-2</v>
      </c>
      <c r="H199" s="170">
        <f>表2_36716262930389121314153[[#This Row],[累计净值]]/$B$35-1</f>
        <v>7.3194856577645906E-2</v>
      </c>
    </row>
    <row r="200" spans="1:8">
      <c r="A200" s="161">
        <v>44145</v>
      </c>
      <c r="B200" s="162">
        <v>1.0900000000000001</v>
      </c>
      <c r="C200" s="171">
        <f t="shared" si="36"/>
        <v>5.0000000000001155E-3</v>
      </c>
      <c r="D200" s="168" t="str">
        <f t="shared" si="37"/>
        <v>/</v>
      </c>
      <c r="E200" s="168">
        <f ca="1">IF(表2_36716262930389121314153[[#This Row],[累计净值]]/MAX(INDIRECT("B21:B" &amp; ROW()))-1&lt;E199,表2_36716262930389121314153[[#This Row],[累计净值]]/MAX(INDIRECT("B21:B" &amp; ROW()))-1,E199)</f>
        <v>-1.2950971322849281E-2</v>
      </c>
      <c r="F200" s="110">
        <f>表2_36716262930389121314153[[#This Row],[累计净值]]</f>
        <v>1.0900000000000001</v>
      </c>
      <c r="G200" s="170">
        <f>表2_36716262930389121314153[[#This Row],[累计净值]]/$B$21-1</f>
        <v>8.6739780658026122E-2</v>
      </c>
      <c r="H200" s="170">
        <f>表2_36716262930389121314153[[#This Row],[累计净值]]/$B$35-1</f>
        <v>7.814045499505462E-2</v>
      </c>
    </row>
    <row r="201" spans="1:8">
      <c r="A201" s="161">
        <v>44146</v>
      </c>
      <c r="B201" s="162">
        <v>1.0900000000000001</v>
      </c>
      <c r="C201" s="171">
        <f t="shared" si="36"/>
        <v>0</v>
      </c>
      <c r="D201" s="168" t="str">
        <f t="shared" si="37"/>
        <v>/</v>
      </c>
      <c r="E201" s="168">
        <f ca="1">IF(表2_36716262930389121314153[[#This Row],[累计净值]]/MAX(INDIRECT("B21:B" &amp; ROW()))-1&lt;E200,表2_36716262930389121314153[[#This Row],[累计净值]]/MAX(INDIRECT("B21:B" &amp; ROW()))-1,E200)</f>
        <v>-1.2950971322849281E-2</v>
      </c>
      <c r="F201" s="110">
        <f>表2_36716262930389121314153[[#This Row],[累计净值]]</f>
        <v>1.0900000000000001</v>
      </c>
      <c r="G201" s="170">
        <f>表2_36716262930389121314153[[#This Row],[累计净值]]/$B$21-1</f>
        <v>8.6739780658026122E-2</v>
      </c>
      <c r="H201" s="170">
        <f>表2_36716262930389121314153[[#This Row],[累计净值]]/$B$35-1</f>
        <v>7.814045499505462E-2</v>
      </c>
    </row>
    <row r="202" spans="1:8">
      <c r="A202" s="161">
        <v>44147</v>
      </c>
      <c r="B202" s="162">
        <v>1.091</v>
      </c>
      <c r="C202" s="171">
        <f t="shared" si="36"/>
        <v>9.9999999999988987E-4</v>
      </c>
      <c r="D202" s="168" t="str">
        <f t="shared" si="37"/>
        <v>/</v>
      </c>
      <c r="E202" s="168">
        <f ca="1">IF(表2_36716262930389121314153[[#This Row],[累计净值]]/MAX(INDIRECT("B21:B" &amp; ROW()))-1&lt;E201,表2_36716262930389121314153[[#This Row],[累计净值]]/MAX(INDIRECT("B21:B" &amp; ROW()))-1,E201)</f>
        <v>-1.2950971322849281E-2</v>
      </c>
      <c r="F202" s="110">
        <f>表2_36716262930389121314153[[#This Row],[累计净值]]</f>
        <v>1.091</v>
      </c>
      <c r="G202" s="170">
        <f>表2_36716262930389121314153[[#This Row],[累计净值]]/$B$21-1</f>
        <v>8.773678963110676E-2</v>
      </c>
      <c r="H202" s="170">
        <f>表2_36716262930389121314153[[#This Row],[累计净值]]/$B$35-1</f>
        <v>7.9129574678536096E-2</v>
      </c>
    </row>
    <row r="203" spans="1:8">
      <c r="A203" s="161">
        <v>44148</v>
      </c>
      <c r="B203" s="162">
        <v>1.0920000000000001</v>
      </c>
      <c r="C203" s="171">
        <f t="shared" ref="C203:C208" si="38">IFERROR(B203-B202,0)</f>
        <v>1.0000000000001119E-3</v>
      </c>
      <c r="D203" s="168" t="str">
        <f t="shared" ref="D203:D208" si="39">IF(C203&lt;0,C203,"/")</f>
        <v>/</v>
      </c>
      <c r="E203" s="168">
        <f ca="1">IF(表2_36716262930389121314153[[#This Row],[累计净值]]/MAX(INDIRECT("B21:B" &amp; ROW()))-1&lt;E202,表2_36716262930389121314153[[#This Row],[累计净值]]/MAX(INDIRECT("B21:B" &amp; ROW()))-1,E202)</f>
        <v>-1.2950971322849281E-2</v>
      </c>
      <c r="F203" s="110">
        <f>表2_36716262930389121314153[[#This Row],[累计净值]]</f>
        <v>1.0920000000000001</v>
      </c>
      <c r="G203" s="170">
        <f>表2_36716262930389121314153[[#This Row],[累计净值]]/$B$21-1</f>
        <v>8.8733798604187619E-2</v>
      </c>
      <c r="H203" s="170">
        <f>表2_36716262930389121314153[[#This Row],[累计净值]]/$B$35-1</f>
        <v>8.0118694362018017E-2</v>
      </c>
    </row>
    <row r="204" spans="1:8">
      <c r="A204" s="161">
        <v>44151</v>
      </c>
      <c r="B204" s="162">
        <v>1.093</v>
      </c>
      <c r="C204" s="171">
        <f t="shared" si="38"/>
        <v>9.9999999999988987E-4</v>
      </c>
      <c r="D204" s="168" t="str">
        <f t="shared" si="39"/>
        <v>/</v>
      </c>
      <c r="E204" s="168">
        <f ca="1">IF(表2_36716262930389121314153[[#This Row],[累计净值]]/MAX(INDIRECT("B21:B" &amp; ROW()))-1&lt;E203,表2_36716262930389121314153[[#This Row],[累计净值]]/MAX(INDIRECT("B21:B" &amp; ROW()))-1,E203)</f>
        <v>-1.2950971322849281E-2</v>
      </c>
      <c r="F204" s="110">
        <f>表2_36716262930389121314153[[#This Row],[累计净值]]</f>
        <v>1.093</v>
      </c>
      <c r="G204" s="170">
        <f>表2_36716262930389121314153[[#This Row],[累计净值]]/$B$21-1</f>
        <v>8.9730807577268257E-2</v>
      </c>
      <c r="H204" s="170">
        <f>表2_36716262930389121314153[[#This Row],[累计净值]]/$B$35-1</f>
        <v>8.1107814045499493E-2</v>
      </c>
    </row>
    <row r="205" spans="1:8">
      <c r="A205" s="161">
        <v>44152</v>
      </c>
      <c r="B205" s="162">
        <v>1.097</v>
      </c>
      <c r="C205" s="171">
        <f t="shared" si="38"/>
        <v>4.0000000000000036E-3</v>
      </c>
      <c r="D205" s="168" t="str">
        <f t="shared" si="39"/>
        <v>/</v>
      </c>
      <c r="E205" s="168">
        <f ca="1">IF(表2_36716262930389121314153[[#This Row],[累计净值]]/MAX(INDIRECT("B21:B" &amp; ROW()))-1&lt;E204,表2_36716262930389121314153[[#This Row],[累计净值]]/MAX(INDIRECT("B21:B" &amp; ROW()))-1,E204)</f>
        <v>-1.2950971322849281E-2</v>
      </c>
      <c r="F205" s="110">
        <f>表2_36716262930389121314153[[#This Row],[累计净值]]</f>
        <v>1.097</v>
      </c>
      <c r="G205" s="170">
        <f>表2_36716262930389121314153[[#This Row],[累计净值]]/$B$21-1</f>
        <v>9.3718843469591251E-2</v>
      </c>
      <c r="H205" s="170">
        <f>表2_36716262930389121314153[[#This Row],[累计净值]]/$B$35-1</f>
        <v>8.5064292779426287E-2</v>
      </c>
    </row>
    <row r="206" spans="1:8">
      <c r="A206" s="161">
        <v>44153</v>
      </c>
      <c r="B206" s="162">
        <v>1.097</v>
      </c>
      <c r="C206" s="171">
        <f t="shared" si="38"/>
        <v>0</v>
      </c>
      <c r="D206" s="168" t="str">
        <f t="shared" si="39"/>
        <v>/</v>
      </c>
      <c r="E206" s="168">
        <f ca="1">IF(表2_36716262930389121314153[[#This Row],[累计净值]]/MAX(INDIRECT("B21:B" &amp; ROW()))-1&lt;E205,表2_36716262930389121314153[[#This Row],[累计净值]]/MAX(INDIRECT("B21:B" &amp; ROW()))-1,E205)</f>
        <v>-1.2950971322849281E-2</v>
      </c>
      <c r="F206" s="110">
        <f>表2_36716262930389121314153[[#This Row],[累计净值]]</f>
        <v>1.097</v>
      </c>
      <c r="G206" s="170">
        <f>表2_36716262930389121314153[[#This Row],[累计净值]]/$B$21-1</f>
        <v>9.3718843469591251E-2</v>
      </c>
      <c r="H206" s="170">
        <f>表2_36716262930389121314153[[#This Row],[累计净值]]/$B$35-1</f>
        <v>8.5064292779426287E-2</v>
      </c>
    </row>
    <row r="207" spans="1:8">
      <c r="A207" s="161">
        <v>44154</v>
      </c>
      <c r="B207" s="162">
        <v>1.097</v>
      </c>
      <c r="C207" s="171">
        <f t="shared" si="38"/>
        <v>0</v>
      </c>
      <c r="D207" s="168" t="str">
        <f t="shared" si="39"/>
        <v>/</v>
      </c>
      <c r="E207" s="168">
        <f ca="1">IF(表2_36716262930389121314153[[#This Row],[累计净值]]/MAX(INDIRECT("B21:B" &amp; ROW()))-1&lt;E206,表2_36716262930389121314153[[#This Row],[累计净值]]/MAX(INDIRECT("B21:B" &amp; ROW()))-1,E206)</f>
        <v>-1.2950971322849281E-2</v>
      </c>
      <c r="F207" s="110">
        <f>表2_36716262930389121314153[[#This Row],[累计净值]]</f>
        <v>1.097</v>
      </c>
      <c r="G207" s="170">
        <f>表2_36716262930389121314153[[#This Row],[累计净值]]/$B$21-1</f>
        <v>9.3718843469591251E-2</v>
      </c>
      <c r="H207" s="170">
        <f>表2_36716262930389121314153[[#This Row],[累计净值]]/$B$35-1</f>
        <v>8.5064292779426287E-2</v>
      </c>
    </row>
    <row r="208" spans="1:8">
      <c r="A208" s="161">
        <v>44155</v>
      </c>
      <c r="B208" s="162">
        <v>1.097</v>
      </c>
      <c r="C208" s="171">
        <f t="shared" si="38"/>
        <v>0</v>
      </c>
      <c r="D208" s="168" t="str">
        <f t="shared" si="39"/>
        <v>/</v>
      </c>
      <c r="E208" s="168">
        <f ca="1">IF(表2_36716262930389121314153[[#This Row],[累计净值]]/MAX(INDIRECT("B21:B" &amp; ROW()))-1&lt;E207,表2_36716262930389121314153[[#This Row],[累计净值]]/MAX(INDIRECT("B21:B" &amp; ROW()))-1,E207)</f>
        <v>-1.2950971322849281E-2</v>
      </c>
      <c r="F208" s="110">
        <f>表2_36716262930389121314153[[#This Row],[累计净值]]</f>
        <v>1.097</v>
      </c>
      <c r="G208" s="170">
        <f>表2_36716262930389121314153[[#This Row],[累计净值]]/$B$21-1</f>
        <v>9.3718843469591251E-2</v>
      </c>
      <c r="H208" s="170">
        <f>表2_36716262930389121314153[[#This Row],[累计净值]]/$B$35-1</f>
        <v>8.5064292779426287E-2</v>
      </c>
    </row>
    <row r="209" spans="1:8">
      <c r="A209" s="161">
        <v>44158</v>
      </c>
      <c r="B209" s="162">
        <v>1.095</v>
      </c>
      <c r="C209" s="171">
        <f t="shared" ref="C209:C214" si="40">IFERROR(B209-B208,0)</f>
        <v>-2.0000000000000018E-3</v>
      </c>
      <c r="D209" s="168">
        <f t="shared" ref="D209:D214" si="41">IF(C209&lt;0,C209,"/")</f>
        <v>-2.0000000000000018E-3</v>
      </c>
      <c r="E209" s="168">
        <f ca="1">IF(表2_36716262930389121314153[[#This Row],[累计净值]]/MAX(INDIRECT("B21:B" &amp; ROW()))-1&lt;E208,表2_36716262930389121314153[[#This Row],[累计净值]]/MAX(INDIRECT("B21:B" &amp; ROW()))-1,E208)</f>
        <v>-1.2950971322849281E-2</v>
      </c>
      <c r="F209" s="110">
        <f>表2_36716262930389121314153[[#This Row],[累计净值]]</f>
        <v>1.095</v>
      </c>
      <c r="G209" s="170">
        <f>表2_36716262930389121314153[[#This Row],[累计净值]]/$B$21-1</f>
        <v>9.1724825523429754E-2</v>
      </c>
      <c r="H209" s="170">
        <f>表2_36716262930389121314153[[#This Row],[累计净值]]/$B$35-1</f>
        <v>8.308605341246289E-2</v>
      </c>
    </row>
    <row r="210" spans="1:8">
      <c r="A210" s="161">
        <v>44159</v>
      </c>
      <c r="B210" s="162">
        <v>1.0960000000000001</v>
      </c>
      <c r="C210" s="171">
        <f t="shared" si="40"/>
        <v>1.0000000000001119E-3</v>
      </c>
      <c r="D210" s="168" t="str">
        <f t="shared" si="41"/>
        <v>/</v>
      </c>
      <c r="E210" s="168">
        <f ca="1">IF(表2_36716262930389121314153[[#This Row],[累计净值]]/MAX(INDIRECT("B21:B" &amp; ROW()))-1&lt;E209,表2_36716262930389121314153[[#This Row],[累计净值]]/MAX(INDIRECT("B21:B" &amp; ROW()))-1,E209)</f>
        <v>-1.2950971322849281E-2</v>
      </c>
      <c r="F210" s="110">
        <f>表2_36716262930389121314153[[#This Row],[累计净值]]</f>
        <v>1.0960000000000001</v>
      </c>
      <c r="G210" s="170">
        <f>表2_36716262930389121314153[[#This Row],[累计净值]]/$B$21-1</f>
        <v>9.2721834496510613E-2</v>
      </c>
      <c r="H210" s="170">
        <f>表2_36716262930389121314153[[#This Row],[累计净值]]/$B$35-1</f>
        <v>8.4075173095944811E-2</v>
      </c>
    </row>
    <row r="211" spans="1:8">
      <c r="A211" s="161">
        <v>44160</v>
      </c>
      <c r="B211" s="162">
        <v>1.0900000000000001</v>
      </c>
      <c r="C211" s="171">
        <f t="shared" si="40"/>
        <v>-6.0000000000000053E-3</v>
      </c>
      <c r="D211" s="168">
        <f t="shared" si="41"/>
        <v>-6.0000000000000053E-3</v>
      </c>
      <c r="E211" s="168">
        <f ca="1">IF(表2_36716262930389121314153[[#This Row],[累计净值]]/MAX(INDIRECT("B21:B" &amp; ROW()))-1&lt;E210,表2_36716262930389121314153[[#This Row],[累计净值]]/MAX(INDIRECT("B21:B" &amp; ROW()))-1,E210)</f>
        <v>-1.2950971322849281E-2</v>
      </c>
      <c r="F211" s="110">
        <f>表2_36716262930389121314153[[#This Row],[累计净值]]</f>
        <v>1.0900000000000001</v>
      </c>
      <c r="G211" s="170">
        <f>表2_36716262930389121314153[[#This Row],[累计净值]]/$B$21-1</f>
        <v>8.6739780658026122E-2</v>
      </c>
      <c r="H211" s="170">
        <f>表2_36716262930389121314153[[#This Row],[累计净值]]/$B$35-1</f>
        <v>7.814045499505462E-2</v>
      </c>
    </row>
    <row r="212" spans="1:8">
      <c r="A212" s="161">
        <v>44161</v>
      </c>
      <c r="B212" s="162">
        <v>1.097</v>
      </c>
      <c r="C212" s="171">
        <f t="shared" si="40"/>
        <v>6.9999999999998952E-3</v>
      </c>
      <c r="D212" s="168" t="str">
        <f t="shared" si="41"/>
        <v>/</v>
      </c>
      <c r="E212" s="168">
        <f ca="1">IF(表2_36716262930389121314153[[#This Row],[累计净值]]/MAX(INDIRECT("B21:B" &amp; ROW()))-1&lt;E211,表2_36716262930389121314153[[#This Row],[累计净值]]/MAX(INDIRECT("B21:B" &amp; ROW()))-1,E211)</f>
        <v>-1.2950971322849281E-2</v>
      </c>
      <c r="F212" s="110">
        <f>表2_36716262930389121314153[[#This Row],[累计净值]]</f>
        <v>1.097</v>
      </c>
      <c r="G212" s="170">
        <f>表2_36716262930389121314153[[#This Row],[累计净值]]/$B$21-1</f>
        <v>9.3718843469591251E-2</v>
      </c>
      <c r="H212" s="170">
        <f>表2_36716262930389121314153[[#This Row],[累计净值]]/$B$35-1</f>
        <v>8.5064292779426287E-2</v>
      </c>
    </row>
    <row r="213" spans="1:8">
      <c r="A213" s="161">
        <v>44162</v>
      </c>
      <c r="B213" s="162">
        <v>1.0980000000000001</v>
      </c>
      <c r="C213" s="171">
        <f t="shared" si="40"/>
        <v>1.0000000000001119E-3</v>
      </c>
      <c r="D213" s="168" t="str">
        <f t="shared" si="41"/>
        <v>/</v>
      </c>
      <c r="E213" s="168">
        <f ca="1">IF(表2_36716262930389121314153[[#This Row],[累计净值]]/MAX(INDIRECT("B21:B" &amp; ROW()))-1&lt;E212,表2_36716262930389121314153[[#This Row],[累计净值]]/MAX(INDIRECT("B21:B" &amp; ROW()))-1,E212)</f>
        <v>-1.2950971322849281E-2</v>
      </c>
      <c r="F213" s="110">
        <f>表2_36716262930389121314153[[#This Row],[累计净值]]</f>
        <v>1.0980000000000001</v>
      </c>
      <c r="G213" s="170">
        <f>表2_36716262930389121314153[[#This Row],[累计净值]]/$B$21-1</f>
        <v>9.471585244267211E-2</v>
      </c>
      <c r="H213" s="170">
        <f>表2_36716262930389121314153[[#This Row],[累计净值]]/$B$35-1</f>
        <v>8.6053412462908208E-2</v>
      </c>
    </row>
    <row r="214" spans="1:8">
      <c r="A214" s="161">
        <v>44165</v>
      </c>
      <c r="B214" s="162">
        <v>1.105</v>
      </c>
      <c r="C214" s="171">
        <f t="shared" si="40"/>
        <v>6.9999999999998952E-3</v>
      </c>
      <c r="D214" s="168" t="str">
        <f t="shared" si="41"/>
        <v>/</v>
      </c>
      <c r="E214" s="168">
        <f ca="1">IF(表2_36716262930389121314153[[#This Row],[累计净值]]/MAX(INDIRECT("B21:B" &amp; ROW()))-1&lt;E213,表2_36716262930389121314153[[#This Row],[累计净值]]/MAX(INDIRECT("B21:B" &amp; ROW()))-1,E213)</f>
        <v>-1.2950971322849281E-2</v>
      </c>
      <c r="F214" s="110">
        <f>表2_36716262930389121314153[[#This Row],[累计净值]]</f>
        <v>1.105</v>
      </c>
      <c r="G214" s="170">
        <f>表2_36716262930389121314153[[#This Row],[累计净值]]/$B$21-1</f>
        <v>0.10169491525423746</v>
      </c>
      <c r="H214" s="170">
        <f>表2_36716262930389121314153[[#This Row],[累计净值]]/$B$35-1</f>
        <v>9.2977250247280097E-2</v>
      </c>
    </row>
    <row r="215" spans="1:8">
      <c r="A215" s="161">
        <v>44166</v>
      </c>
      <c r="B215" s="162">
        <v>1.101</v>
      </c>
      <c r="C215" s="171">
        <f>IFERROR(B215-B214,0)</f>
        <v>-4.0000000000000036E-3</v>
      </c>
      <c r="D215" s="168">
        <f>IF(C215&lt;0,C215,"/")</f>
        <v>-4.0000000000000036E-3</v>
      </c>
      <c r="E215" s="168">
        <f ca="1">IF(表2_36716262930389121314153[[#This Row],[累计净值]]/MAX(INDIRECT("B21:B" &amp; ROW()))-1&lt;E214,表2_36716262930389121314153[[#This Row],[累计净值]]/MAX(INDIRECT("B21:B" &amp; ROW()))-1,E214)</f>
        <v>-1.2950971322849281E-2</v>
      </c>
      <c r="F215" s="110">
        <f>表2_36716262930389121314153[[#This Row],[累计净值]]</f>
        <v>1.101</v>
      </c>
      <c r="G215" s="170">
        <f>表2_36716262930389121314153[[#This Row],[累计净值]]/$B$21-1</f>
        <v>9.7706879361914245E-2</v>
      </c>
      <c r="H215" s="170">
        <f>表2_36716262930389121314153[[#This Row],[累计净值]]/$B$35-1</f>
        <v>8.9020771513353303E-2</v>
      </c>
    </row>
    <row r="216" spans="1:8">
      <c r="A216" s="161">
        <v>44167</v>
      </c>
      <c r="B216" s="162">
        <v>1.103</v>
      </c>
      <c r="C216" s="171">
        <f>IFERROR(B216-B215,0)</f>
        <v>2.0000000000000018E-3</v>
      </c>
      <c r="D216" s="168" t="str">
        <f>IF(C216&lt;0,C216,"/")</f>
        <v>/</v>
      </c>
      <c r="E216" s="168">
        <f ca="1">IF(表2_36716262930389121314153[[#This Row],[累计净值]]/MAX(INDIRECT("B21:B" &amp; ROW()))-1&lt;E215,表2_36716262930389121314153[[#This Row],[累计净值]]/MAX(INDIRECT("B21:B" &amp; ROW()))-1,E215)</f>
        <v>-1.2950971322849281E-2</v>
      </c>
      <c r="F216" s="110">
        <f>表2_36716262930389121314153[[#This Row],[累计净值]]</f>
        <v>1.103</v>
      </c>
      <c r="G216" s="170">
        <f>表2_36716262930389121314153[[#This Row],[累计净值]]/$B$21-1</f>
        <v>9.9700897308075964E-2</v>
      </c>
      <c r="H216" s="170">
        <f>表2_36716262930389121314153[[#This Row],[累计净值]]/$B$35-1</f>
        <v>9.09990108803167E-2</v>
      </c>
    </row>
    <row r="217" spans="1:8">
      <c r="A217" s="161">
        <v>44168</v>
      </c>
      <c r="B217" s="162">
        <v>1.105</v>
      </c>
      <c r="C217" s="171">
        <f t="shared" ref="C217:C218" si="42">IFERROR(B217-B216,0)</f>
        <v>2.0000000000000018E-3</v>
      </c>
      <c r="D217" s="168" t="str">
        <f t="shared" ref="D217:D218" si="43">IF(C217&lt;0,C217,"/")</f>
        <v>/</v>
      </c>
      <c r="E217" s="168">
        <f ca="1">IF(表2_36716262930389121314153[[#This Row],[累计净值]]/MAX(INDIRECT("B21:B" &amp; ROW()))-1&lt;E216,表2_36716262930389121314153[[#This Row],[累计净值]]/MAX(INDIRECT("B21:B" &amp; ROW()))-1,E216)</f>
        <v>-1.2950971322849281E-2</v>
      </c>
      <c r="F217" s="110">
        <f>表2_36716262930389121314153[[#This Row],[累计净值]]</f>
        <v>1.105</v>
      </c>
      <c r="G217" s="170">
        <f>表2_36716262930389121314153[[#This Row],[累计净值]]/$B$21-1</f>
        <v>0.10169491525423746</v>
      </c>
      <c r="H217" s="170">
        <f>表2_36716262930389121314153[[#This Row],[累计净值]]/$B$35-1</f>
        <v>9.2977250247280097E-2</v>
      </c>
    </row>
    <row r="218" spans="1:8">
      <c r="A218" s="161">
        <v>44169</v>
      </c>
      <c r="B218" s="162">
        <v>1.1020000000000001</v>
      </c>
      <c r="C218" s="171">
        <f t="shared" si="42"/>
        <v>-2.9999999999998916E-3</v>
      </c>
      <c r="D218" s="168">
        <f t="shared" si="43"/>
        <v>-2.9999999999998916E-3</v>
      </c>
      <c r="E218" s="168">
        <f ca="1">IF(表2_36716262930389121314153[[#This Row],[累计净值]]/MAX(INDIRECT("B21:B" &amp; ROW()))-1&lt;E217,表2_36716262930389121314153[[#This Row],[累计净值]]/MAX(INDIRECT("B21:B" &amp; ROW()))-1,E217)</f>
        <v>-1.2950971322849281E-2</v>
      </c>
      <c r="F218" s="110">
        <f>表2_36716262930389121314153[[#This Row],[累计净值]]</f>
        <v>1.1020000000000001</v>
      </c>
      <c r="G218" s="170">
        <f>表2_36716262930389121314153[[#This Row],[累计净值]]/$B$21-1</f>
        <v>9.8703888334995327E-2</v>
      </c>
      <c r="H218" s="170">
        <f>表2_36716262930389121314153[[#This Row],[累计净值]]/$B$35-1</f>
        <v>9.0009891196835001E-2</v>
      </c>
    </row>
    <row r="219" spans="1:8">
      <c r="A219" s="161">
        <v>44172</v>
      </c>
      <c r="B219" s="162">
        <v>1.101</v>
      </c>
      <c r="C219" s="171">
        <f t="shared" ref="C219:C225" si="44">IFERROR(B219-B218,0)</f>
        <v>-1.0000000000001119E-3</v>
      </c>
      <c r="D219" s="168">
        <f t="shared" ref="D219:D225" si="45">IF(C219&lt;0,C219,"/")</f>
        <v>-1.0000000000001119E-3</v>
      </c>
      <c r="E219" s="168">
        <f ca="1">IF(表2_36716262930389121314153[[#This Row],[累计净值]]/MAX(INDIRECT("B21:B" &amp; ROW()))-1&lt;E218,表2_36716262930389121314153[[#This Row],[累计净值]]/MAX(INDIRECT("B21:B" &amp; ROW()))-1,E218)</f>
        <v>-1.2950971322849281E-2</v>
      </c>
      <c r="F219" s="110">
        <f>表2_36716262930389121314153[[#This Row],[累计净值]]</f>
        <v>1.101</v>
      </c>
      <c r="G219" s="170">
        <f>表2_36716262930389121314153[[#This Row],[累计净值]]/$B$21-1</f>
        <v>9.7706879361914245E-2</v>
      </c>
      <c r="H219" s="170">
        <f>表2_36716262930389121314153[[#This Row],[累计净值]]/$B$35-1</f>
        <v>8.9020771513353303E-2</v>
      </c>
    </row>
    <row r="220" spans="1:8">
      <c r="A220" s="161">
        <v>44173</v>
      </c>
      <c r="B220" s="162">
        <v>1.103</v>
      </c>
      <c r="C220" s="171">
        <f t="shared" si="44"/>
        <v>2.0000000000000018E-3</v>
      </c>
      <c r="D220" s="168" t="str">
        <f t="shared" si="45"/>
        <v>/</v>
      </c>
      <c r="E220" s="168">
        <f ca="1">IF(表2_36716262930389121314153[[#This Row],[累计净值]]/MAX(INDIRECT("B21:B" &amp; ROW()))-1&lt;E219,表2_36716262930389121314153[[#This Row],[累计净值]]/MAX(INDIRECT("B21:B" &amp; ROW()))-1,E219)</f>
        <v>-1.2950971322849281E-2</v>
      </c>
      <c r="F220" s="110">
        <f>表2_36716262930389121314153[[#This Row],[累计净值]]</f>
        <v>1.103</v>
      </c>
      <c r="G220" s="170">
        <f>表2_36716262930389121314153[[#This Row],[累计净值]]/$B$21-1</f>
        <v>9.9700897308075964E-2</v>
      </c>
      <c r="H220" s="170">
        <f>表2_36716262930389121314153[[#This Row],[累计净值]]/$B$35-1</f>
        <v>9.09990108803167E-2</v>
      </c>
    </row>
    <row r="221" spans="1:8">
      <c r="A221" s="161">
        <v>44174</v>
      </c>
      <c r="B221" s="162">
        <v>1.103</v>
      </c>
      <c r="C221" s="171">
        <f t="shared" si="44"/>
        <v>0</v>
      </c>
      <c r="D221" s="168" t="str">
        <f t="shared" si="45"/>
        <v>/</v>
      </c>
      <c r="E221" s="168">
        <f ca="1">IF(表2_36716262930389121314153[[#This Row],[累计净值]]/MAX(INDIRECT("B21:B" &amp; ROW()))-1&lt;E220,表2_36716262930389121314153[[#This Row],[累计净值]]/MAX(INDIRECT("B21:B" &amp; ROW()))-1,E220)</f>
        <v>-1.2950971322849281E-2</v>
      </c>
      <c r="F221" s="110">
        <f>表2_36716262930389121314153[[#This Row],[累计净值]]</f>
        <v>1.103</v>
      </c>
      <c r="G221" s="170">
        <f>表2_36716262930389121314153[[#This Row],[累计净值]]/$B$21-1</f>
        <v>9.9700897308075964E-2</v>
      </c>
      <c r="H221" s="170">
        <f>表2_36716262930389121314153[[#This Row],[累计净值]]/$B$35-1</f>
        <v>9.09990108803167E-2</v>
      </c>
    </row>
    <row r="222" spans="1:8">
      <c r="A222" s="161">
        <v>44175</v>
      </c>
      <c r="B222" s="162">
        <v>1.1080000000000001</v>
      </c>
      <c r="C222" s="171">
        <f t="shared" si="44"/>
        <v>5.0000000000001155E-3</v>
      </c>
      <c r="D222" s="168" t="str">
        <f t="shared" si="45"/>
        <v>/</v>
      </c>
      <c r="E222" s="168">
        <f ca="1">IF(表2_36716262930389121314153[[#This Row],[累计净值]]/MAX(INDIRECT("B21:B" &amp; ROW()))-1&lt;E221,表2_36716262930389121314153[[#This Row],[累计净值]]/MAX(INDIRECT("B21:B" &amp; ROW()))-1,E221)</f>
        <v>-1.2950971322849281E-2</v>
      </c>
      <c r="F222" s="110">
        <f>表2_36716262930389121314153[[#This Row],[累计净值]]</f>
        <v>1.1080000000000001</v>
      </c>
      <c r="G222" s="170">
        <f>表2_36716262930389121314153[[#This Row],[累计净值]]/$B$21-1</f>
        <v>0.10468594217347982</v>
      </c>
      <c r="H222" s="170">
        <f>表2_36716262930389121314153[[#This Row],[累计净值]]/$B$35-1</f>
        <v>9.5944609297725192E-2</v>
      </c>
    </row>
    <row r="223" spans="1:8">
      <c r="A223" s="161">
        <v>44176</v>
      </c>
      <c r="B223" s="162">
        <v>1.1120000000000001</v>
      </c>
      <c r="C223" s="171">
        <f t="shared" si="44"/>
        <v>4.0000000000000036E-3</v>
      </c>
      <c r="D223" s="168" t="str">
        <f t="shared" si="45"/>
        <v>/</v>
      </c>
      <c r="E223" s="168">
        <f ca="1">IF(表2_36716262930389121314153[[#This Row],[累计净值]]/MAX(INDIRECT("B21:B" &amp; ROW()))-1&lt;E222,表2_36716262930389121314153[[#This Row],[累计净值]]/MAX(INDIRECT("B21:B" &amp; ROW()))-1,E222)</f>
        <v>-1.2950971322849281E-2</v>
      </c>
      <c r="F223" s="110">
        <f>表2_36716262930389121314153[[#This Row],[累计净值]]</f>
        <v>1.1120000000000001</v>
      </c>
      <c r="G223" s="170">
        <f>表2_36716262930389121314153[[#This Row],[累计净值]]/$B$21-1</f>
        <v>0.10867397806580281</v>
      </c>
      <c r="H223" s="170">
        <f>表2_36716262930389121314153[[#This Row],[累计净值]]/$B$35-1</f>
        <v>9.9901088031651986E-2</v>
      </c>
    </row>
    <row r="224" spans="1:8">
      <c r="A224" s="161">
        <v>44179</v>
      </c>
      <c r="B224" s="162">
        <v>1.1100000000000001</v>
      </c>
      <c r="C224" s="171">
        <f t="shared" si="44"/>
        <v>-2.0000000000000018E-3</v>
      </c>
      <c r="D224" s="168">
        <f t="shared" si="45"/>
        <v>-2.0000000000000018E-3</v>
      </c>
      <c r="E224" s="168">
        <f ca="1">IF(表2_36716262930389121314153[[#This Row],[累计净值]]/MAX(INDIRECT("B21:B" &amp; ROW()))-1&lt;E223,表2_36716262930389121314153[[#This Row],[累计净值]]/MAX(INDIRECT("B21:B" &amp; ROW()))-1,E223)</f>
        <v>-1.2950971322849281E-2</v>
      </c>
      <c r="F224" s="110">
        <f>表2_36716262930389121314153[[#This Row],[累计净值]]</f>
        <v>1.1100000000000001</v>
      </c>
      <c r="G224" s="170">
        <f>表2_36716262930389121314153[[#This Row],[累计净值]]/$B$21-1</f>
        <v>0.10667996011964131</v>
      </c>
      <c r="H224" s="170">
        <f>表2_36716262930389121314153[[#This Row],[累计净值]]/$B$35-1</f>
        <v>9.7922848664688589E-2</v>
      </c>
    </row>
    <row r="225" spans="1:8">
      <c r="A225" s="161">
        <v>44180</v>
      </c>
      <c r="B225" s="162">
        <v>1.1140000000000001</v>
      </c>
      <c r="C225" s="171">
        <f t="shared" si="44"/>
        <v>4.0000000000000036E-3</v>
      </c>
      <c r="D225" s="168" t="str">
        <f t="shared" si="45"/>
        <v>/</v>
      </c>
      <c r="E225" s="168">
        <f ca="1">IF(表2_36716262930389121314153[[#This Row],[累计净值]]/MAX(INDIRECT("B21:B" &amp; ROW()))-1&lt;E224,表2_36716262930389121314153[[#This Row],[累计净值]]/MAX(INDIRECT("B21:B" &amp; ROW()))-1,E224)</f>
        <v>-1.2950971322849281E-2</v>
      </c>
      <c r="F225" s="110">
        <f>表2_36716262930389121314153[[#This Row],[累计净值]]</f>
        <v>1.1140000000000001</v>
      </c>
      <c r="G225" s="170">
        <f>表2_36716262930389121314153[[#This Row],[累计净值]]/$B$21-1</f>
        <v>0.11066799601196431</v>
      </c>
      <c r="H225" s="170">
        <f>表2_36716262930389121314153[[#This Row],[累计净值]]/$B$35-1</f>
        <v>0.10187932739861538</v>
      </c>
    </row>
    <row r="226" spans="1:8">
      <c r="A226" s="161">
        <v>44181</v>
      </c>
      <c r="B226" s="162">
        <v>1.1140000000000001</v>
      </c>
      <c r="C226" s="171">
        <f t="shared" ref="C226:C231" si="46">IFERROR(B226-B225,0)</f>
        <v>0</v>
      </c>
      <c r="D226" s="168" t="str">
        <f t="shared" ref="D226:D231" si="47">IF(C226&lt;0,C226,"/")</f>
        <v>/</v>
      </c>
      <c r="E226" s="168">
        <f ca="1">IF(表2_36716262930389121314153[[#This Row],[累计净值]]/MAX(INDIRECT("B21:B" &amp; ROW()))-1&lt;E225,表2_36716262930389121314153[[#This Row],[累计净值]]/MAX(INDIRECT("B21:B" &amp; ROW()))-1,E225)</f>
        <v>-1.2950971322849281E-2</v>
      </c>
      <c r="F226" s="110">
        <f>表2_36716262930389121314153[[#This Row],[累计净值]]</f>
        <v>1.1140000000000001</v>
      </c>
      <c r="G226" s="170">
        <f>表2_36716262930389121314153[[#This Row],[累计净值]]/$B$21-1</f>
        <v>0.11066799601196431</v>
      </c>
      <c r="H226" s="170">
        <f>表2_36716262930389121314153[[#This Row],[累计净值]]/$B$35-1</f>
        <v>0.10187932739861538</v>
      </c>
    </row>
    <row r="227" spans="1:8">
      <c r="A227" s="161">
        <v>44182</v>
      </c>
      <c r="B227" s="162">
        <v>1.1120000000000001</v>
      </c>
      <c r="C227" s="171">
        <f t="shared" si="46"/>
        <v>-2.0000000000000018E-3</v>
      </c>
      <c r="D227" s="168">
        <f t="shared" si="47"/>
        <v>-2.0000000000000018E-3</v>
      </c>
      <c r="E227" s="168">
        <f ca="1">IF(表2_36716262930389121314153[[#This Row],[累计净值]]/MAX(INDIRECT("B21:B" &amp; ROW()))-1&lt;E226,表2_36716262930389121314153[[#This Row],[累计净值]]/MAX(INDIRECT("B21:B" &amp; ROW()))-1,E226)</f>
        <v>-1.2950971322849281E-2</v>
      </c>
      <c r="F227" s="110">
        <f>表2_36716262930389121314153[[#This Row],[累计净值]]</f>
        <v>1.1120000000000001</v>
      </c>
      <c r="G227" s="170">
        <f>表2_36716262930389121314153[[#This Row],[累计净值]]/$B$21-1</f>
        <v>0.10867397806580281</v>
      </c>
      <c r="H227" s="170">
        <f>表2_36716262930389121314153[[#This Row],[累计净值]]/$B$35-1</f>
        <v>9.9901088031651986E-2</v>
      </c>
    </row>
    <row r="228" spans="1:8">
      <c r="A228" s="161">
        <v>44183</v>
      </c>
      <c r="B228" s="162">
        <v>1.1140000000000001</v>
      </c>
      <c r="C228" s="171">
        <f t="shared" si="46"/>
        <v>2.0000000000000018E-3</v>
      </c>
      <c r="D228" s="168" t="str">
        <f t="shared" si="47"/>
        <v>/</v>
      </c>
      <c r="E228" s="168">
        <f ca="1">IF(表2_36716262930389121314153[[#This Row],[累计净值]]/MAX(INDIRECT("B21:B" &amp; ROW()))-1&lt;E227,表2_36716262930389121314153[[#This Row],[累计净值]]/MAX(INDIRECT("B21:B" &amp; ROW()))-1,E227)</f>
        <v>-1.2950971322849281E-2</v>
      </c>
      <c r="F228" s="110">
        <f>表2_36716262930389121314153[[#This Row],[累计净值]]</f>
        <v>1.1140000000000001</v>
      </c>
      <c r="G228" s="170">
        <f>表2_36716262930389121314153[[#This Row],[累计净值]]/$B$21-1</f>
        <v>0.11066799601196431</v>
      </c>
      <c r="H228" s="170">
        <f>表2_36716262930389121314153[[#This Row],[累计净值]]/$B$35-1</f>
        <v>0.10187932739861538</v>
      </c>
    </row>
    <row r="229" spans="1:8">
      <c r="A229" s="161">
        <v>44186</v>
      </c>
      <c r="B229" s="162">
        <v>1.117</v>
      </c>
      <c r="C229" s="171">
        <f t="shared" si="46"/>
        <v>2.9999999999998916E-3</v>
      </c>
      <c r="D229" s="168" t="str">
        <f t="shared" si="47"/>
        <v>/</v>
      </c>
      <c r="E229" s="168">
        <f ca="1">IF(表2_36716262930389121314153[[#This Row],[累计净值]]/MAX(INDIRECT("B21:B" &amp; ROW()))-1&lt;E228,表2_36716262930389121314153[[#This Row],[累计净值]]/MAX(INDIRECT("B21:B" &amp; ROW()))-1,E228)</f>
        <v>-1.2950971322849281E-2</v>
      </c>
      <c r="F229" s="110">
        <f>表2_36716262930389121314153[[#This Row],[累计净值]]</f>
        <v>1.117</v>
      </c>
      <c r="G229" s="170">
        <f>表2_36716262930389121314153[[#This Row],[累计净值]]/$B$21-1</f>
        <v>0.11365902293120644</v>
      </c>
      <c r="H229" s="170">
        <f>表2_36716262930389121314153[[#This Row],[累计净值]]/$B$35-1</f>
        <v>0.10484668644906048</v>
      </c>
    </row>
    <row r="230" spans="1:8">
      <c r="A230" s="161">
        <v>44187</v>
      </c>
      <c r="B230" s="162">
        <v>1.1240000000000001</v>
      </c>
      <c r="C230" s="171">
        <f t="shared" si="46"/>
        <v>7.0000000000001172E-3</v>
      </c>
      <c r="D230" s="168" t="str">
        <f t="shared" si="47"/>
        <v>/</v>
      </c>
      <c r="E230" s="168">
        <f ca="1">IF(表2_36716262930389121314153[[#This Row],[累计净值]]/MAX(INDIRECT("B21:B" &amp; ROW()))-1&lt;E229,表2_36716262930389121314153[[#This Row],[累计净值]]/MAX(INDIRECT("B21:B" &amp; ROW()))-1,E229)</f>
        <v>-1.2950971322849281E-2</v>
      </c>
      <c r="F230" s="110">
        <f>表2_36716262930389121314153[[#This Row],[累计净值]]</f>
        <v>1.1240000000000001</v>
      </c>
      <c r="G230" s="170">
        <f>表2_36716262930389121314153[[#This Row],[累计净值]]/$B$21-1</f>
        <v>0.12063808574277202</v>
      </c>
      <c r="H230" s="170">
        <f>表2_36716262930389121314153[[#This Row],[累计净值]]/$B$35-1</f>
        <v>0.11177052423343237</v>
      </c>
    </row>
    <row r="231" spans="1:8">
      <c r="A231" s="161">
        <v>44188</v>
      </c>
      <c r="B231" s="162">
        <v>1.1220000000000001</v>
      </c>
      <c r="C231" s="171">
        <f t="shared" si="46"/>
        <v>-2.0000000000000018E-3</v>
      </c>
      <c r="D231" s="168">
        <f t="shared" si="47"/>
        <v>-2.0000000000000018E-3</v>
      </c>
      <c r="E231" s="168">
        <f ca="1">IF(表2_36716262930389121314153[[#This Row],[累计净值]]/MAX(INDIRECT("B21:B" &amp; ROW()))-1&lt;E230,表2_36716262930389121314153[[#This Row],[累计净值]]/MAX(INDIRECT("B21:B" &amp; ROW()))-1,E230)</f>
        <v>-1.2950971322849281E-2</v>
      </c>
      <c r="F231" s="110">
        <f>表2_36716262930389121314153[[#This Row],[累计净值]]</f>
        <v>1.1220000000000001</v>
      </c>
      <c r="G231" s="170">
        <f>表2_36716262930389121314153[[#This Row],[累计净值]]/$B$21-1</f>
        <v>0.1186440677966103</v>
      </c>
      <c r="H231" s="170">
        <f>表2_36716262930389121314153[[#This Row],[累计净值]]/$B$35-1</f>
        <v>0.10979228486646897</v>
      </c>
    </row>
    <row r="232" spans="1:8">
      <c r="A232" s="161">
        <v>44189</v>
      </c>
      <c r="B232" s="162">
        <v>1.1220000000000001</v>
      </c>
      <c r="C232" s="171">
        <f t="shared" ref="C232:C237" si="48">IFERROR(B232-B231,0)</f>
        <v>0</v>
      </c>
      <c r="D232" s="168" t="str">
        <f t="shared" ref="D232:D237" si="49">IF(C232&lt;0,C232,"/")</f>
        <v>/</v>
      </c>
      <c r="E232" s="168">
        <f ca="1">IF(表2_36716262930389121314153[[#This Row],[累计净值]]/MAX(INDIRECT("B21:B" &amp; ROW()))-1&lt;E231,表2_36716262930389121314153[[#This Row],[累计净值]]/MAX(INDIRECT("B21:B" &amp; ROW()))-1,E231)</f>
        <v>-1.2950971322849281E-2</v>
      </c>
      <c r="F232" s="110">
        <f>表2_36716262930389121314153[[#This Row],[累计净值]]</f>
        <v>1.1220000000000001</v>
      </c>
      <c r="G232" s="170">
        <f>表2_36716262930389121314153[[#This Row],[累计净值]]/$B$21-1</f>
        <v>0.1186440677966103</v>
      </c>
      <c r="H232" s="170">
        <f>表2_36716262930389121314153[[#This Row],[累计净值]]/$B$35-1</f>
        <v>0.10979228486646897</v>
      </c>
    </row>
    <row r="233" spans="1:8">
      <c r="A233" s="161">
        <v>44190</v>
      </c>
      <c r="B233" s="162">
        <v>1.123</v>
      </c>
      <c r="C233" s="171">
        <f t="shared" si="48"/>
        <v>9.9999999999988987E-4</v>
      </c>
      <c r="D233" s="168" t="str">
        <f t="shared" si="49"/>
        <v>/</v>
      </c>
      <c r="E233" s="168">
        <f ca="1">IF(表2_36716262930389121314153[[#This Row],[累计净值]]/MAX(INDIRECT("B21:B" &amp; ROW()))-1&lt;E232,表2_36716262930389121314153[[#This Row],[累计净值]]/MAX(INDIRECT("B21:B" &amp; ROW()))-1,E232)</f>
        <v>-1.2950971322849281E-2</v>
      </c>
      <c r="F233" s="110">
        <f>表2_36716262930389121314153[[#This Row],[累计净值]]</f>
        <v>1.123</v>
      </c>
      <c r="G233" s="170">
        <f>表2_36716262930389121314153[[#This Row],[累计净值]]/$B$21-1</f>
        <v>0.11964107676969116</v>
      </c>
      <c r="H233" s="170">
        <f>表2_36716262930389121314153[[#This Row],[累计净值]]/$B$35-1</f>
        <v>0.11078140454995067</v>
      </c>
    </row>
    <row r="234" spans="1:8">
      <c r="A234" s="161">
        <v>44193</v>
      </c>
      <c r="B234" s="162">
        <v>1.123</v>
      </c>
      <c r="C234" s="171">
        <f t="shared" si="48"/>
        <v>0</v>
      </c>
      <c r="D234" s="168" t="str">
        <f t="shared" si="49"/>
        <v>/</v>
      </c>
      <c r="E234" s="168">
        <f ca="1">IF(表2_36716262930389121314153[[#This Row],[累计净值]]/MAX(INDIRECT("B21:B" &amp; ROW()))-1&lt;E233,表2_36716262930389121314153[[#This Row],[累计净值]]/MAX(INDIRECT("B21:B" &amp; ROW()))-1,E233)</f>
        <v>-1.2950971322849281E-2</v>
      </c>
      <c r="F234" s="110">
        <f>表2_36716262930389121314153[[#This Row],[累计净值]]</f>
        <v>1.123</v>
      </c>
      <c r="G234" s="170">
        <f>表2_36716262930389121314153[[#This Row],[累计净值]]/$B$21-1</f>
        <v>0.11964107676969116</v>
      </c>
      <c r="H234" s="170">
        <f>表2_36716262930389121314153[[#This Row],[累计净值]]/$B$35-1</f>
        <v>0.11078140454995067</v>
      </c>
    </row>
    <row r="235" spans="1:8">
      <c r="A235" s="161">
        <v>44194</v>
      </c>
      <c r="B235" s="162">
        <v>1.1220000000000001</v>
      </c>
      <c r="C235" s="171">
        <f t="shared" si="48"/>
        <v>-9.9999999999988987E-4</v>
      </c>
      <c r="D235" s="168">
        <f t="shared" si="49"/>
        <v>-9.9999999999988987E-4</v>
      </c>
      <c r="E235" s="168">
        <f ca="1">IF(表2_36716262930389121314153[[#This Row],[累计净值]]/MAX(INDIRECT("B21:B" &amp; ROW()))-1&lt;E234,表2_36716262930389121314153[[#This Row],[累计净值]]/MAX(INDIRECT("B21:B" &amp; ROW()))-1,E234)</f>
        <v>-1.2950971322849281E-2</v>
      </c>
      <c r="F235" s="110">
        <f>表2_36716262930389121314153[[#This Row],[累计净值]]</f>
        <v>1.1220000000000001</v>
      </c>
      <c r="G235" s="170">
        <f>表2_36716262930389121314153[[#This Row],[累计净值]]/$B$21-1</f>
        <v>0.1186440677966103</v>
      </c>
      <c r="H235" s="170">
        <f>表2_36716262930389121314153[[#This Row],[累计净值]]/$B$35-1</f>
        <v>0.10979228486646897</v>
      </c>
    </row>
    <row r="236" spans="1:8">
      <c r="A236" s="161">
        <v>44195</v>
      </c>
      <c r="B236" s="162">
        <v>1.121</v>
      </c>
      <c r="C236" s="171">
        <f t="shared" si="48"/>
        <v>-1.0000000000001119E-3</v>
      </c>
      <c r="D236" s="168">
        <f t="shared" si="49"/>
        <v>-1.0000000000001119E-3</v>
      </c>
      <c r="E236" s="168">
        <f ca="1">IF(表2_36716262930389121314153[[#This Row],[累计净值]]/MAX(INDIRECT("B21:B" &amp; ROW()))-1&lt;E235,表2_36716262930389121314153[[#This Row],[累计净值]]/MAX(INDIRECT("B21:B" &amp; ROW()))-1,E235)</f>
        <v>-1.2950971322849281E-2</v>
      </c>
      <c r="F236" s="110">
        <f>表2_36716262930389121314153[[#This Row],[累计净值]]</f>
        <v>1.121</v>
      </c>
      <c r="G236" s="170">
        <f>表2_36716262930389121314153[[#This Row],[累计净值]]/$B$21-1</f>
        <v>0.11764705882352944</v>
      </c>
      <c r="H236" s="170">
        <f>表2_36716262930389121314153[[#This Row],[累计净值]]/$B$35-1</f>
        <v>0.10880316518298727</v>
      </c>
    </row>
    <row r="237" spans="1:8">
      <c r="A237" s="161">
        <v>44196</v>
      </c>
      <c r="B237" s="162">
        <v>1.1220000000000001</v>
      </c>
      <c r="C237" s="171">
        <f t="shared" si="48"/>
        <v>1.0000000000001119E-3</v>
      </c>
      <c r="D237" s="168" t="str">
        <f t="shared" si="49"/>
        <v>/</v>
      </c>
      <c r="E237" s="168">
        <f ca="1">IF(表2_36716262930389121314153[[#This Row],[累计净值]]/MAX(INDIRECT("B21:B" &amp; ROW()))-1&lt;E236,表2_36716262930389121314153[[#This Row],[累计净值]]/MAX(INDIRECT("B21:B" &amp; ROW()))-1,E236)</f>
        <v>-1.2950971322849281E-2</v>
      </c>
      <c r="F237" s="110">
        <f>表2_36716262930389121314153[[#This Row],[累计净值]]</f>
        <v>1.1220000000000001</v>
      </c>
      <c r="G237" s="170">
        <f>表2_36716262930389121314153[[#This Row],[累计净值]]/$B$21-1</f>
        <v>0.1186440677966103</v>
      </c>
      <c r="H237" s="170">
        <f>表2_36716262930389121314153[[#This Row],[累计净值]]/$B$35-1</f>
        <v>0.10979228486646897</v>
      </c>
    </row>
    <row r="238" spans="1:8">
      <c r="A238" s="161">
        <v>44200</v>
      </c>
      <c r="B238" s="162">
        <v>1.1220000000000001</v>
      </c>
      <c r="C238" s="171">
        <f t="shared" ref="C238:C243" si="50">IFERROR(B238-B237,0)</f>
        <v>0</v>
      </c>
      <c r="D238" s="168" t="str">
        <f t="shared" ref="D238:D243" si="51">IF(C238&lt;0,C238,"/")</f>
        <v>/</v>
      </c>
      <c r="E238" s="168">
        <f ca="1">IF(表2_36716262930389121314153[[#This Row],[累计净值]]/MAX(INDIRECT("B21:B" &amp; ROW()))-1&lt;E237,表2_36716262930389121314153[[#This Row],[累计净值]]/MAX(INDIRECT("B21:B" &amp; ROW()))-1,E237)</f>
        <v>-1.2950971322849281E-2</v>
      </c>
      <c r="F238" s="110">
        <f>表2_36716262930389121314153[[#This Row],[累计净值]]</f>
        <v>1.1220000000000001</v>
      </c>
      <c r="G238" s="170">
        <f>表2_36716262930389121314153[[#This Row],[累计净值]]/$B$21-1</f>
        <v>0.1186440677966103</v>
      </c>
      <c r="H238" s="170">
        <f>表2_36716262930389121314153[[#This Row],[累计净值]]/$B$35-1</f>
        <v>0.10979228486646897</v>
      </c>
    </row>
    <row r="239" spans="1:8">
      <c r="A239" s="161">
        <v>44201</v>
      </c>
      <c r="B239" s="162">
        <v>1.1220000000000001</v>
      </c>
      <c r="C239" s="171">
        <f t="shared" si="50"/>
        <v>0</v>
      </c>
      <c r="D239" s="168" t="str">
        <f t="shared" si="51"/>
        <v>/</v>
      </c>
      <c r="E239" s="168">
        <f ca="1">IF(表2_36716262930389121314153[[#This Row],[累计净值]]/MAX(INDIRECT("B21:B" &amp; ROW()))-1&lt;E238,表2_36716262930389121314153[[#This Row],[累计净值]]/MAX(INDIRECT("B21:B" &amp; ROW()))-1,E238)</f>
        <v>-1.2950971322849281E-2</v>
      </c>
      <c r="F239" s="110">
        <f>表2_36716262930389121314153[[#This Row],[累计净值]]</f>
        <v>1.1220000000000001</v>
      </c>
      <c r="G239" s="170">
        <f>表2_36716262930389121314153[[#This Row],[累计净值]]/$B$21-1</f>
        <v>0.1186440677966103</v>
      </c>
      <c r="H239" s="170">
        <f>表2_36716262930389121314153[[#This Row],[累计净值]]/$B$35-1</f>
        <v>0.10979228486646897</v>
      </c>
    </row>
    <row r="240" spans="1:8">
      <c r="A240" s="161">
        <v>44202</v>
      </c>
      <c r="B240" s="162">
        <v>1.1220000000000001</v>
      </c>
      <c r="C240" s="171">
        <f t="shared" si="50"/>
        <v>0</v>
      </c>
      <c r="D240" s="168" t="str">
        <f t="shared" si="51"/>
        <v>/</v>
      </c>
      <c r="E240" s="168">
        <f ca="1">IF(表2_36716262930389121314153[[#This Row],[累计净值]]/MAX(INDIRECT("B21:B" &amp; ROW()))-1&lt;E239,表2_36716262930389121314153[[#This Row],[累计净值]]/MAX(INDIRECT("B21:B" &amp; ROW()))-1,E239)</f>
        <v>-1.2950971322849281E-2</v>
      </c>
      <c r="F240" s="110">
        <f>表2_36716262930389121314153[[#This Row],[累计净值]]</f>
        <v>1.1220000000000001</v>
      </c>
      <c r="G240" s="170">
        <f>表2_36716262930389121314153[[#This Row],[累计净值]]/$B$21-1</f>
        <v>0.1186440677966103</v>
      </c>
      <c r="H240" s="170">
        <f>表2_36716262930389121314153[[#This Row],[累计净值]]/$B$35-1</f>
        <v>0.10979228486646897</v>
      </c>
    </row>
    <row r="241" spans="1:8">
      <c r="A241" s="161">
        <v>44203</v>
      </c>
      <c r="B241" s="162">
        <v>1.1220000000000001</v>
      </c>
      <c r="C241" s="171">
        <f t="shared" si="50"/>
        <v>0</v>
      </c>
      <c r="D241" s="168" t="str">
        <f t="shared" si="51"/>
        <v>/</v>
      </c>
      <c r="E241" s="168">
        <f ca="1">IF(表2_36716262930389121314153[[#This Row],[累计净值]]/MAX(INDIRECT("B21:B" &amp; ROW()))-1&lt;E240,表2_36716262930389121314153[[#This Row],[累计净值]]/MAX(INDIRECT("B21:B" &amp; ROW()))-1,E240)</f>
        <v>-1.2950971322849281E-2</v>
      </c>
      <c r="F241" s="110">
        <f>表2_36716262930389121314153[[#This Row],[累计净值]]</f>
        <v>1.1220000000000001</v>
      </c>
      <c r="G241" s="170">
        <f>表2_36716262930389121314153[[#This Row],[累计净值]]/$B$21-1</f>
        <v>0.1186440677966103</v>
      </c>
      <c r="H241" s="170">
        <f>表2_36716262930389121314153[[#This Row],[累计净值]]/$B$35-1</f>
        <v>0.10979228486646897</v>
      </c>
    </row>
    <row r="242" spans="1:8">
      <c r="A242" s="161">
        <v>44204</v>
      </c>
      <c r="B242" s="162">
        <v>1.121</v>
      </c>
      <c r="C242" s="171">
        <f t="shared" si="50"/>
        <v>-1.0000000000001119E-3</v>
      </c>
      <c r="D242" s="168">
        <f t="shared" si="51"/>
        <v>-1.0000000000001119E-3</v>
      </c>
      <c r="E242" s="168">
        <f ca="1">IF(表2_36716262930389121314153[[#This Row],[累计净值]]/MAX(INDIRECT("B21:B" &amp; ROW()))-1&lt;E241,表2_36716262930389121314153[[#This Row],[累计净值]]/MAX(INDIRECT("B21:B" &amp; ROW()))-1,E241)</f>
        <v>-1.2950971322849281E-2</v>
      </c>
      <c r="F242" s="110">
        <f>表2_36716262930389121314153[[#This Row],[累计净值]]</f>
        <v>1.121</v>
      </c>
      <c r="G242" s="170">
        <f>表2_36716262930389121314153[[#This Row],[累计净值]]/$B$21-1</f>
        <v>0.11764705882352944</v>
      </c>
      <c r="H242" s="170">
        <f>表2_36716262930389121314153[[#This Row],[累计净值]]/$B$35-1</f>
        <v>0.10880316518298727</v>
      </c>
    </row>
    <row r="243" spans="1:8">
      <c r="A243" s="161">
        <v>44207</v>
      </c>
      <c r="B243" s="162">
        <v>1.127</v>
      </c>
      <c r="C243" s="171">
        <f t="shared" si="50"/>
        <v>6.0000000000000053E-3</v>
      </c>
      <c r="D243" s="168" t="str">
        <f t="shared" si="51"/>
        <v>/</v>
      </c>
      <c r="E243" s="168">
        <f ca="1">IF(表2_36716262930389121314153[[#This Row],[累计净值]]/MAX(INDIRECT("B21:B" &amp; ROW()))-1&lt;E242,表2_36716262930389121314153[[#This Row],[累计净值]]/MAX(INDIRECT("B21:B" &amp; ROW()))-1,E242)</f>
        <v>-1.2950971322849281E-2</v>
      </c>
      <c r="F243" s="110">
        <f>表2_36716262930389121314153[[#This Row],[累计净值]]</f>
        <v>1.127</v>
      </c>
      <c r="G243" s="170">
        <f>表2_36716262930389121314153[[#This Row],[累计净值]]/$B$21-1</f>
        <v>0.12362911266201415</v>
      </c>
      <c r="H243" s="170">
        <f>表2_36716262930389121314153[[#This Row],[累计净值]]/$B$35-1</f>
        <v>0.11473788328387746</v>
      </c>
    </row>
    <row r="244" spans="1:8">
      <c r="A244" s="161">
        <v>44208</v>
      </c>
      <c r="B244" s="162">
        <v>1.1259999999999999</v>
      </c>
      <c r="C244" s="171">
        <f t="shared" ref="C244:C249" si="52">IFERROR(B244-B243,0)</f>
        <v>-1.0000000000001119E-3</v>
      </c>
      <c r="D244" s="168">
        <f t="shared" ref="D244:D249" si="53">IF(C244&lt;0,C244,"/")</f>
        <v>-1.0000000000001119E-3</v>
      </c>
      <c r="E244" s="168">
        <f ca="1">IF(表2_36716262930389121314153[[#This Row],[累计净值]]/MAX(INDIRECT("B21:B" &amp; ROW()))-1&lt;E243,表2_36716262930389121314153[[#This Row],[累计净值]]/MAX(INDIRECT("B21:B" &amp; ROW()))-1,E243)</f>
        <v>-1.2950971322849281E-2</v>
      </c>
      <c r="F244" s="110">
        <f>表2_36716262930389121314153[[#This Row],[累计净值]]</f>
        <v>1.1259999999999999</v>
      </c>
      <c r="G244" s="170">
        <f>表2_36716262930389121314153[[#This Row],[累计净值]]/$B$21-1</f>
        <v>0.12263210368893329</v>
      </c>
      <c r="H244" s="170">
        <f>表2_36716262930389121314153[[#This Row],[累计净值]]/$B$35-1</f>
        <v>0.11374876360039554</v>
      </c>
    </row>
    <row r="245" spans="1:8">
      <c r="A245" s="161">
        <v>44209</v>
      </c>
      <c r="B245" s="162">
        <v>1.1240000000000001</v>
      </c>
      <c r="C245" s="171">
        <f t="shared" si="52"/>
        <v>-1.9999999999997797E-3</v>
      </c>
      <c r="D245" s="168">
        <f t="shared" si="53"/>
        <v>-1.9999999999997797E-3</v>
      </c>
      <c r="E245" s="168">
        <f ca="1">IF(表2_36716262930389121314153[[#This Row],[累计净值]]/MAX(INDIRECT("B21:B" &amp; ROW()))-1&lt;E244,表2_36716262930389121314153[[#This Row],[累计净值]]/MAX(INDIRECT("B21:B" &amp; ROW()))-1,E244)</f>
        <v>-1.2950971322849281E-2</v>
      </c>
      <c r="F245" s="110">
        <f>表2_36716262930389121314153[[#This Row],[累计净值]]</f>
        <v>1.1240000000000001</v>
      </c>
      <c r="G245" s="170">
        <f>表2_36716262930389121314153[[#This Row],[累计净值]]/$B$21-1</f>
        <v>0.12063808574277202</v>
      </c>
      <c r="H245" s="170">
        <f>表2_36716262930389121314153[[#This Row],[累计净值]]/$B$35-1</f>
        <v>0.11177052423343237</v>
      </c>
    </row>
    <row r="246" spans="1:8">
      <c r="A246" s="161">
        <v>44210</v>
      </c>
      <c r="B246" s="162">
        <v>1.125</v>
      </c>
      <c r="C246" s="171">
        <f t="shared" si="52"/>
        <v>9.9999999999988987E-4</v>
      </c>
      <c r="D246" s="168" t="str">
        <f t="shared" si="53"/>
        <v>/</v>
      </c>
      <c r="E246" s="168">
        <f ca="1">IF(表2_36716262930389121314153[[#This Row],[累计净值]]/MAX(INDIRECT("B21:B" &amp; ROW()))-1&lt;E245,表2_36716262930389121314153[[#This Row],[累计净值]]/MAX(INDIRECT("B21:B" &amp; ROW()))-1,E245)</f>
        <v>-1.2950971322849281E-2</v>
      </c>
      <c r="F246" s="110">
        <f>表2_36716262930389121314153[[#This Row],[累计净值]]</f>
        <v>1.125</v>
      </c>
      <c r="G246" s="170">
        <f>表2_36716262930389121314153[[#This Row],[累计净值]]/$B$21-1</f>
        <v>0.12163509471585265</v>
      </c>
      <c r="H246" s="170">
        <f>表2_36716262930389121314153[[#This Row],[累计净值]]/$B$35-1</f>
        <v>0.11275964391691407</v>
      </c>
    </row>
    <row r="247" spans="1:8">
      <c r="A247" s="161">
        <v>44211</v>
      </c>
      <c r="B247" s="162">
        <v>1.127</v>
      </c>
      <c r="C247" s="171">
        <f t="shared" si="52"/>
        <v>2.0000000000000018E-3</v>
      </c>
      <c r="D247" s="168" t="str">
        <f t="shared" si="53"/>
        <v>/</v>
      </c>
      <c r="E247" s="168">
        <f ca="1">IF(表2_36716262930389121314153[[#This Row],[累计净值]]/MAX(INDIRECT("B21:B" &amp; ROW()))-1&lt;E246,表2_36716262930389121314153[[#This Row],[累计净值]]/MAX(INDIRECT("B21:B" &amp; ROW()))-1,E246)</f>
        <v>-1.2950971322849281E-2</v>
      </c>
      <c r="F247" s="110">
        <f>表2_36716262930389121314153[[#This Row],[累计净值]]</f>
        <v>1.127</v>
      </c>
      <c r="G247" s="170">
        <f>表2_36716262930389121314153[[#This Row],[累计净值]]/$B$21-1</f>
        <v>0.12362911266201415</v>
      </c>
      <c r="H247" s="170">
        <f>表2_36716262930389121314153[[#This Row],[累计净值]]/$B$35-1</f>
        <v>0.11473788328387746</v>
      </c>
    </row>
    <row r="248" spans="1:8">
      <c r="A248" s="161">
        <v>44214</v>
      </c>
      <c r="B248" s="162">
        <v>1.1279999999999999</v>
      </c>
      <c r="C248" s="171">
        <f t="shared" si="52"/>
        <v>9.9999999999988987E-4</v>
      </c>
      <c r="D248" s="168" t="str">
        <f t="shared" si="53"/>
        <v>/</v>
      </c>
      <c r="E248" s="168">
        <f ca="1">IF(表2_36716262930389121314153[[#This Row],[累计净值]]/MAX(INDIRECT("B21:B" &amp; ROW()))-1&lt;E247,表2_36716262930389121314153[[#This Row],[累计净值]]/MAX(INDIRECT("B21:B" &amp; ROW()))-1,E247)</f>
        <v>-1.2950971322849281E-2</v>
      </c>
      <c r="F248" s="110">
        <f>表2_36716262930389121314153[[#This Row],[累计净值]]</f>
        <v>1.1279999999999999</v>
      </c>
      <c r="G248" s="170">
        <f>表2_36716262930389121314153[[#This Row],[累计净值]]/$B$21-1</f>
        <v>0.12462612163509479</v>
      </c>
      <c r="H248" s="170">
        <f>表2_36716262930389121314153[[#This Row],[累计净值]]/$B$35-1</f>
        <v>0.11572700296735916</v>
      </c>
    </row>
    <row r="249" spans="1:8">
      <c r="A249" s="161">
        <v>44215</v>
      </c>
      <c r="B249" s="162">
        <v>1.1299999999999999</v>
      </c>
      <c r="C249" s="171">
        <f t="shared" si="52"/>
        <v>2.0000000000000018E-3</v>
      </c>
      <c r="D249" s="168" t="str">
        <f t="shared" si="53"/>
        <v>/</v>
      </c>
      <c r="E249" s="168">
        <f ca="1">IF(表2_36716262930389121314153[[#This Row],[累计净值]]/MAX(INDIRECT("B21:B" &amp; ROW()))-1&lt;E248,表2_36716262930389121314153[[#This Row],[累计净值]]/MAX(INDIRECT("B21:B" &amp; ROW()))-1,E248)</f>
        <v>-1.2950971322849281E-2</v>
      </c>
      <c r="F249" s="110">
        <f>表2_36716262930389121314153[[#This Row],[累计净值]]</f>
        <v>1.1299999999999999</v>
      </c>
      <c r="G249" s="170">
        <f>表2_36716262930389121314153[[#This Row],[累计净值]]/$B$21-1</f>
        <v>0.12662013958125629</v>
      </c>
      <c r="H249" s="170">
        <f>表2_36716262930389121314153[[#This Row],[累计净值]]/$B$35-1</f>
        <v>0.11770524233432256</v>
      </c>
    </row>
    <row r="250" spans="1:8">
      <c r="A250" s="161">
        <v>44216</v>
      </c>
      <c r="B250" s="162">
        <v>1.131</v>
      </c>
      <c r="C250" s="171">
        <f t="shared" ref="C250:C255" si="54">IFERROR(B250-B249,0)</f>
        <v>1.0000000000001119E-3</v>
      </c>
      <c r="D250" s="168" t="str">
        <f t="shared" ref="D250:D255" si="55">IF(C250&lt;0,C250,"/")</f>
        <v>/</v>
      </c>
      <c r="E250" s="168">
        <f ca="1">IF(表2_36716262930389121314153[[#This Row],[累计净值]]/MAX(INDIRECT("B21:B" &amp; ROW()))-1&lt;E249,表2_36716262930389121314153[[#This Row],[累计净值]]/MAX(INDIRECT("B21:B" &amp; ROW()))-1,E249)</f>
        <v>-1.2950971322849281E-2</v>
      </c>
      <c r="F250" s="110">
        <f>表2_36716262930389121314153[[#This Row],[累计净值]]</f>
        <v>1.131</v>
      </c>
      <c r="G250" s="170">
        <f>表2_36716262930389121314153[[#This Row],[累计净值]]/$B$21-1</f>
        <v>0.12761714855433715</v>
      </c>
      <c r="H250" s="170">
        <f>表2_36716262930389121314153[[#This Row],[累计净值]]/$B$35-1</f>
        <v>0.11869436201780426</v>
      </c>
    </row>
    <row r="251" spans="1:8">
      <c r="A251" s="161">
        <v>44217</v>
      </c>
      <c r="B251" s="162">
        <v>1.1319999999999999</v>
      </c>
      <c r="C251" s="171">
        <f t="shared" si="54"/>
        <v>9.9999999999988987E-4</v>
      </c>
      <c r="D251" s="168" t="str">
        <f t="shared" si="55"/>
        <v>/</v>
      </c>
      <c r="E251" s="168">
        <f ca="1">IF(表2_36716262930389121314153[[#This Row],[累计净值]]/MAX(INDIRECT("B21:B" &amp; ROW()))-1&lt;E250,表2_36716262930389121314153[[#This Row],[累计净值]]/MAX(INDIRECT("B21:B" &amp; ROW()))-1,E250)</f>
        <v>-1.2950971322849281E-2</v>
      </c>
      <c r="F251" s="110">
        <f>表2_36716262930389121314153[[#This Row],[累计净值]]</f>
        <v>1.1319999999999999</v>
      </c>
      <c r="G251" s="170">
        <f>表2_36716262930389121314153[[#This Row],[累计净值]]/$B$21-1</f>
        <v>0.12861415752741778</v>
      </c>
      <c r="H251" s="170">
        <f>表2_36716262930389121314153[[#This Row],[累计净值]]/$B$35-1</f>
        <v>0.11968348170128595</v>
      </c>
    </row>
    <row r="252" spans="1:8">
      <c r="A252" s="161">
        <v>44218</v>
      </c>
      <c r="B252" s="162">
        <v>1.1299999999999999</v>
      </c>
      <c r="C252" s="171">
        <f t="shared" si="54"/>
        <v>-2.0000000000000018E-3</v>
      </c>
      <c r="D252" s="168">
        <f t="shared" si="55"/>
        <v>-2.0000000000000018E-3</v>
      </c>
      <c r="E252" s="168">
        <f ca="1">IF(表2_36716262930389121314153[[#This Row],[累计净值]]/MAX(INDIRECT("B21:B" &amp; ROW()))-1&lt;E251,表2_36716262930389121314153[[#This Row],[累计净值]]/MAX(INDIRECT("B21:B" &amp; ROW()))-1,E251)</f>
        <v>-1.2950971322849281E-2</v>
      </c>
      <c r="F252" s="110">
        <f>表2_36716262930389121314153[[#This Row],[累计净值]]</f>
        <v>1.1299999999999999</v>
      </c>
      <c r="G252" s="170">
        <f>表2_36716262930389121314153[[#This Row],[累计净值]]/$B$21-1</f>
        <v>0.12662013958125629</v>
      </c>
      <c r="H252" s="170">
        <f>表2_36716262930389121314153[[#This Row],[累计净值]]/$B$35-1</f>
        <v>0.11770524233432256</v>
      </c>
    </row>
    <row r="253" spans="1:8">
      <c r="A253" s="161">
        <v>44221</v>
      </c>
      <c r="B253" s="162">
        <v>1.1319999999999999</v>
      </c>
      <c r="C253" s="171">
        <f t="shared" si="54"/>
        <v>2.0000000000000018E-3</v>
      </c>
      <c r="D253" s="168" t="str">
        <f t="shared" si="55"/>
        <v>/</v>
      </c>
      <c r="E253" s="168">
        <f ca="1">IF(表2_36716262930389121314153[[#This Row],[累计净值]]/MAX(INDIRECT("B21:B" &amp; ROW()))-1&lt;E252,表2_36716262930389121314153[[#This Row],[累计净值]]/MAX(INDIRECT("B21:B" &amp; ROW()))-1,E252)</f>
        <v>-1.2950971322849281E-2</v>
      </c>
      <c r="F253" s="110">
        <f>表2_36716262930389121314153[[#This Row],[累计净值]]</f>
        <v>1.1319999999999999</v>
      </c>
      <c r="G253" s="170">
        <f>表2_36716262930389121314153[[#This Row],[累计净值]]/$B$21-1</f>
        <v>0.12861415752741778</v>
      </c>
      <c r="H253" s="170">
        <f>表2_36716262930389121314153[[#This Row],[累计净值]]/$B$35-1</f>
        <v>0.11968348170128595</v>
      </c>
    </row>
    <row r="254" spans="1:8">
      <c r="A254" s="161">
        <v>44222</v>
      </c>
      <c r="B254" s="162">
        <v>1.133</v>
      </c>
      <c r="C254" s="171">
        <f t="shared" si="54"/>
        <v>1.0000000000001119E-3</v>
      </c>
      <c r="D254" s="168" t="str">
        <f t="shared" si="55"/>
        <v>/</v>
      </c>
      <c r="E254" s="168">
        <f ca="1">IF(表2_36716262930389121314153[[#This Row],[累计净值]]/MAX(INDIRECT("B21:B" &amp; ROW()))-1&lt;E253,表2_36716262930389121314153[[#This Row],[累计净值]]/MAX(INDIRECT("B21:B" &amp; ROW()))-1,E253)</f>
        <v>-1.2950971322849281E-2</v>
      </c>
      <c r="F254" s="110">
        <f>表2_36716262930389121314153[[#This Row],[累计净值]]</f>
        <v>1.133</v>
      </c>
      <c r="G254" s="170">
        <f>表2_36716262930389121314153[[#This Row],[累计净值]]/$B$21-1</f>
        <v>0.12961116650049864</v>
      </c>
      <c r="H254" s="170">
        <f>表2_36716262930389121314153[[#This Row],[累计净值]]/$B$35-1</f>
        <v>0.12067260138476765</v>
      </c>
    </row>
    <row r="255" spans="1:8">
      <c r="A255" s="161">
        <v>44223</v>
      </c>
      <c r="B255" s="162">
        <v>1.133</v>
      </c>
      <c r="C255" s="171">
        <f t="shared" si="54"/>
        <v>0</v>
      </c>
      <c r="D255" s="168" t="str">
        <f t="shared" si="55"/>
        <v>/</v>
      </c>
      <c r="E255" s="168">
        <f ca="1">IF(表2_36716262930389121314153[[#This Row],[累计净值]]/MAX(INDIRECT("B21:B" &amp; ROW()))-1&lt;E254,表2_36716262930389121314153[[#This Row],[累计净值]]/MAX(INDIRECT("B21:B" &amp; ROW()))-1,E254)</f>
        <v>-1.2950971322849281E-2</v>
      </c>
      <c r="F255" s="110">
        <f>表2_36716262930389121314153[[#This Row],[累计净值]]</f>
        <v>1.133</v>
      </c>
      <c r="G255" s="170">
        <f>表2_36716262930389121314153[[#This Row],[累计净值]]/$B$21-1</f>
        <v>0.12961116650049864</v>
      </c>
      <c r="H255" s="170">
        <f>表2_36716262930389121314153[[#This Row],[累计净值]]/$B$35-1</f>
        <v>0.12067260138476765</v>
      </c>
    </row>
    <row r="256" spans="1:8">
      <c r="A256" s="161">
        <v>44224</v>
      </c>
      <c r="B256" s="162">
        <v>1.133</v>
      </c>
      <c r="C256" s="171">
        <f t="shared" ref="C256:C261" si="56">IFERROR(B256-B255,0)</f>
        <v>0</v>
      </c>
      <c r="D256" s="168" t="str">
        <f t="shared" ref="D256:D261" si="57">IF(C256&lt;0,C256,"/")</f>
        <v>/</v>
      </c>
      <c r="E256" s="168">
        <f ca="1">IF(表2_36716262930389121314153[[#This Row],[累计净值]]/MAX(INDIRECT("B21:B" &amp; ROW()))-1&lt;E255,表2_36716262930389121314153[[#This Row],[累计净值]]/MAX(INDIRECT("B21:B" &amp; ROW()))-1,E255)</f>
        <v>-1.2950971322849281E-2</v>
      </c>
      <c r="F256" s="110">
        <f>表2_36716262930389121314153[[#This Row],[累计净值]]</f>
        <v>1.133</v>
      </c>
      <c r="G256" s="170">
        <f>表2_36716262930389121314153[[#This Row],[累计净值]]/$B$21-1</f>
        <v>0.12961116650049864</v>
      </c>
      <c r="H256" s="170">
        <f>表2_36716262930389121314153[[#This Row],[累计净值]]/$B$35-1</f>
        <v>0.12067260138476765</v>
      </c>
    </row>
    <row r="257" spans="1:8">
      <c r="A257" s="161">
        <v>44225</v>
      </c>
      <c r="B257" s="162">
        <v>1.133</v>
      </c>
      <c r="C257" s="171">
        <f t="shared" si="56"/>
        <v>0</v>
      </c>
      <c r="D257" s="168" t="str">
        <f t="shared" si="57"/>
        <v>/</v>
      </c>
      <c r="E257" s="168">
        <f ca="1">IF(表2_36716262930389121314153[[#This Row],[累计净值]]/MAX(INDIRECT("B21:B" &amp; ROW()))-1&lt;E256,表2_36716262930389121314153[[#This Row],[累计净值]]/MAX(INDIRECT("B21:B" &amp; ROW()))-1,E256)</f>
        <v>-1.2950971322849281E-2</v>
      </c>
      <c r="F257" s="110">
        <f>表2_36716262930389121314153[[#This Row],[累计净值]]</f>
        <v>1.133</v>
      </c>
      <c r="G257" s="170">
        <f>表2_36716262930389121314153[[#This Row],[累计净值]]/$B$21-1</f>
        <v>0.12961116650049864</v>
      </c>
      <c r="H257" s="170">
        <f>表2_36716262930389121314153[[#This Row],[累计净值]]/$B$35-1</f>
        <v>0.12067260138476765</v>
      </c>
    </row>
    <row r="258" spans="1:8">
      <c r="A258" s="161">
        <v>44228</v>
      </c>
      <c r="B258" s="162">
        <v>1.1339999999999999</v>
      </c>
      <c r="C258" s="171">
        <f t="shared" si="56"/>
        <v>9.9999999999988987E-4</v>
      </c>
      <c r="D258" s="168" t="str">
        <f t="shared" si="57"/>
        <v>/</v>
      </c>
      <c r="E258" s="168">
        <f ca="1">IF(表2_36716262930389121314153[[#This Row],[累计净值]]/MAX(INDIRECT("B21:B" &amp; ROW()))-1&lt;E257,表2_36716262930389121314153[[#This Row],[累计净值]]/MAX(INDIRECT("B21:B" &amp; ROW()))-1,E257)</f>
        <v>-1.2950971322849281E-2</v>
      </c>
      <c r="F258" s="110">
        <f>表2_36716262930389121314153[[#This Row],[累计净值]]</f>
        <v>1.1339999999999999</v>
      </c>
      <c r="G258" s="170">
        <f>表2_36716262930389121314153[[#This Row],[累计净值]]/$B$21-1</f>
        <v>0.13060817547357928</v>
      </c>
      <c r="H258" s="170">
        <f>表2_36716262930389121314153[[#This Row],[累计净值]]/$B$35-1</f>
        <v>0.12166172106824935</v>
      </c>
    </row>
    <row r="259" spans="1:8">
      <c r="A259" s="161">
        <v>44229</v>
      </c>
      <c r="B259" s="162">
        <v>1.133</v>
      </c>
      <c r="C259" s="171">
        <f t="shared" si="56"/>
        <v>-9.9999999999988987E-4</v>
      </c>
      <c r="D259" s="168">
        <f t="shared" si="57"/>
        <v>-9.9999999999988987E-4</v>
      </c>
      <c r="E259" s="168">
        <f ca="1">IF(表2_36716262930389121314153[[#This Row],[累计净值]]/MAX(INDIRECT("B21:B" &amp; ROW()))-1&lt;E258,表2_36716262930389121314153[[#This Row],[累计净值]]/MAX(INDIRECT("B21:B" &amp; ROW()))-1,E258)</f>
        <v>-1.2950971322849281E-2</v>
      </c>
      <c r="F259" s="110">
        <f>表2_36716262930389121314153[[#This Row],[累计净值]]</f>
        <v>1.133</v>
      </c>
      <c r="G259" s="170">
        <f>表2_36716262930389121314153[[#This Row],[累计净值]]/$B$21-1</f>
        <v>0.12961116650049864</v>
      </c>
      <c r="H259" s="170">
        <f>表2_36716262930389121314153[[#This Row],[累计净值]]/$B$35-1</f>
        <v>0.12067260138476765</v>
      </c>
    </row>
    <row r="260" spans="1:8">
      <c r="A260" s="161">
        <v>44230</v>
      </c>
      <c r="B260" s="162">
        <v>1.1339999999999999</v>
      </c>
      <c r="C260" s="171">
        <f t="shared" si="56"/>
        <v>9.9999999999988987E-4</v>
      </c>
      <c r="D260" s="168" t="str">
        <f t="shared" si="57"/>
        <v>/</v>
      </c>
      <c r="E260" s="168">
        <f ca="1">IF(表2_36716262930389121314153[[#This Row],[累计净值]]/MAX(INDIRECT("B21:B" &amp; ROW()))-1&lt;E259,表2_36716262930389121314153[[#This Row],[累计净值]]/MAX(INDIRECT("B21:B" &amp; ROW()))-1,E259)</f>
        <v>-1.2950971322849281E-2</v>
      </c>
      <c r="F260" s="110">
        <f>表2_36716262930389121314153[[#This Row],[累计净值]]</f>
        <v>1.1339999999999999</v>
      </c>
      <c r="G260" s="170">
        <f>表2_36716262930389121314153[[#This Row],[累计净值]]/$B$21-1</f>
        <v>0.13060817547357928</v>
      </c>
      <c r="H260" s="170">
        <f>表2_36716262930389121314153[[#This Row],[累计净值]]/$B$35-1</f>
        <v>0.12166172106824935</v>
      </c>
    </row>
    <row r="261" spans="1:8">
      <c r="A261" s="161">
        <v>44231</v>
      </c>
      <c r="B261" s="162">
        <v>1.1339999999999999</v>
      </c>
      <c r="C261" s="171">
        <f t="shared" si="56"/>
        <v>0</v>
      </c>
      <c r="D261" s="168" t="str">
        <f t="shared" si="57"/>
        <v>/</v>
      </c>
      <c r="E261" s="168">
        <f ca="1">IF(表2_36716262930389121314153[[#This Row],[累计净值]]/MAX(INDIRECT("B21:B" &amp; ROW()))-1&lt;E260,表2_36716262930389121314153[[#This Row],[累计净值]]/MAX(INDIRECT("B21:B" &amp; ROW()))-1,E260)</f>
        <v>-1.2950971322849281E-2</v>
      </c>
      <c r="F261" s="110">
        <f>表2_36716262930389121314153[[#This Row],[累计净值]]</f>
        <v>1.1339999999999999</v>
      </c>
      <c r="G261" s="170">
        <f>表2_36716262930389121314153[[#This Row],[累计净值]]/$B$21-1</f>
        <v>0.13060817547357928</v>
      </c>
      <c r="H261" s="170">
        <f>表2_36716262930389121314153[[#This Row],[累计净值]]/$B$35-1</f>
        <v>0.12166172106824935</v>
      </c>
    </row>
    <row r="262" spans="1:8">
      <c r="A262" s="161">
        <v>44232</v>
      </c>
      <c r="B262" s="162">
        <v>1.133</v>
      </c>
      <c r="C262" s="171">
        <f t="shared" ref="C262:C267" si="58">IFERROR(B262-B261,0)</f>
        <v>-9.9999999999988987E-4</v>
      </c>
      <c r="D262" s="168">
        <f t="shared" ref="D262:D267" si="59">IF(C262&lt;0,C262,"/")</f>
        <v>-9.9999999999988987E-4</v>
      </c>
      <c r="E262" s="168">
        <f ca="1">IF(表2_36716262930389121314153[[#This Row],[累计净值]]/MAX(INDIRECT("B21:B" &amp; ROW()))-1&lt;E261,表2_36716262930389121314153[[#This Row],[累计净值]]/MAX(INDIRECT("B21:B" &amp; ROW()))-1,E261)</f>
        <v>-1.2950971322849281E-2</v>
      </c>
      <c r="F262" s="110">
        <f>表2_36716262930389121314153[[#This Row],[累计净值]]</f>
        <v>1.133</v>
      </c>
      <c r="G262" s="170">
        <f>表2_36716262930389121314153[[#This Row],[累计净值]]/$B$21-1</f>
        <v>0.12961116650049864</v>
      </c>
      <c r="H262" s="170">
        <f>表2_36716262930389121314153[[#This Row],[累计净值]]/$B$35-1</f>
        <v>0.12067260138476765</v>
      </c>
    </row>
    <row r="263" spans="1:8">
      <c r="A263" s="161">
        <v>44235</v>
      </c>
      <c r="B263" s="162">
        <v>1.1319999999999999</v>
      </c>
      <c r="C263" s="171">
        <f t="shared" si="58"/>
        <v>-1.0000000000001119E-3</v>
      </c>
      <c r="D263" s="168">
        <f t="shared" si="59"/>
        <v>-1.0000000000001119E-3</v>
      </c>
      <c r="E263" s="168">
        <f ca="1">IF(表2_36716262930389121314153[[#This Row],[累计净值]]/MAX(INDIRECT("B21:B" &amp; ROW()))-1&lt;E262,表2_36716262930389121314153[[#This Row],[累计净值]]/MAX(INDIRECT("B21:B" &amp; ROW()))-1,E262)</f>
        <v>-1.2950971322849281E-2</v>
      </c>
      <c r="F263" s="110">
        <f>表2_36716262930389121314153[[#This Row],[累计净值]]</f>
        <v>1.1319999999999999</v>
      </c>
      <c r="G263" s="170">
        <f>表2_36716262930389121314153[[#This Row],[累计净值]]/$B$21-1</f>
        <v>0.12861415752741778</v>
      </c>
      <c r="H263" s="170">
        <f>表2_36716262930389121314153[[#This Row],[累计净值]]/$B$35-1</f>
        <v>0.11968348170128595</v>
      </c>
    </row>
    <row r="264" spans="1:8">
      <c r="A264" s="161">
        <v>44236</v>
      </c>
      <c r="B264" s="162">
        <v>1.131</v>
      </c>
      <c r="C264" s="171">
        <f t="shared" si="58"/>
        <v>-9.9999999999988987E-4</v>
      </c>
      <c r="D264" s="168">
        <f t="shared" si="59"/>
        <v>-9.9999999999988987E-4</v>
      </c>
      <c r="E264" s="168">
        <f ca="1">IF(表2_36716262930389121314153[[#This Row],[累计净值]]/MAX(INDIRECT("B21:B" &amp; ROW()))-1&lt;E263,表2_36716262930389121314153[[#This Row],[累计净值]]/MAX(INDIRECT("B21:B" &amp; ROW()))-1,E263)</f>
        <v>-1.2950971322849281E-2</v>
      </c>
      <c r="F264" s="110">
        <f>表2_36716262930389121314153[[#This Row],[累计净值]]</f>
        <v>1.131</v>
      </c>
      <c r="G264" s="170">
        <f>表2_36716262930389121314153[[#This Row],[累计净值]]/$B$21-1</f>
        <v>0.12761714855433715</v>
      </c>
      <c r="H264" s="170">
        <f>表2_36716262930389121314153[[#This Row],[累计净值]]/$B$35-1</f>
        <v>0.11869436201780426</v>
      </c>
    </row>
    <row r="265" spans="1:8">
      <c r="A265" s="161">
        <v>44237</v>
      </c>
      <c r="B265" s="162">
        <v>1.1299999999999999</v>
      </c>
      <c r="C265" s="171">
        <f t="shared" si="58"/>
        <v>-1.0000000000001119E-3</v>
      </c>
      <c r="D265" s="168">
        <f t="shared" si="59"/>
        <v>-1.0000000000001119E-3</v>
      </c>
      <c r="E265" s="168">
        <f ca="1">IF(表2_36716262930389121314153[[#This Row],[累计净值]]/MAX(INDIRECT("B21:B" &amp; ROW()))-1&lt;E264,表2_36716262930389121314153[[#This Row],[累计净值]]/MAX(INDIRECT("B21:B" &amp; ROW()))-1,E264)</f>
        <v>-1.2950971322849281E-2</v>
      </c>
      <c r="F265" s="110">
        <f>表2_36716262930389121314153[[#This Row],[累计净值]]</f>
        <v>1.1299999999999999</v>
      </c>
      <c r="G265" s="170">
        <f>表2_36716262930389121314153[[#This Row],[累计净值]]/$B$21-1</f>
        <v>0.12662013958125629</v>
      </c>
      <c r="H265" s="170">
        <f>表2_36716262930389121314153[[#This Row],[累计净值]]/$B$35-1</f>
        <v>0.11770524233432256</v>
      </c>
    </row>
    <row r="266" spans="1:8">
      <c r="A266" s="161">
        <v>44245</v>
      </c>
      <c r="B266" s="162">
        <v>1.1299999999999999</v>
      </c>
      <c r="C266" s="171">
        <f t="shared" si="58"/>
        <v>0</v>
      </c>
      <c r="D266" s="168" t="str">
        <f t="shared" si="59"/>
        <v>/</v>
      </c>
      <c r="E266" s="168">
        <f ca="1">IF(表2_36716262930389121314153[[#This Row],[累计净值]]/MAX(INDIRECT("B21:B" &amp; ROW()))-1&lt;E265,表2_36716262930389121314153[[#This Row],[累计净值]]/MAX(INDIRECT("B21:B" &amp; ROW()))-1,E265)</f>
        <v>-1.2950971322849281E-2</v>
      </c>
      <c r="F266" s="110">
        <f>表2_36716262930389121314153[[#This Row],[累计净值]]</f>
        <v>1.1299999999999999</v>
      </c>
      <c r="G266" s="170">
        <f>表2_36716262930389121314153[[#This Row],[累计净值]]/$B$21-1</f>
        <v>0.12662013958125629</v>
      </c>
      <c r="H266" s="170">
        <f>表2_36716262930389121314153[[#This Row],[累计净值]]/$B$35-1</f>
        <v>0.11770524233432256</v>
      </c>
    </row>
    <row r="267" spans="1:8">
      <c r="A267" s="161">
        <v>44246</v>
      </c>
      <c r="B267" s="162">
        <v>1.131</v>
      </c>
      <c r="C267" s="171">
        <f t="shared" si="58"/>
        <v>1.0000000000001119E-3</v>
      </c>
      <c r="D267" s="168" t="str">
        <f t="shared" si="59"/>
        <v>/</v>
      </c>
      <c r="E267" s="168">
        <f ca="1">IF(表2_36716262930389121314153[[#This Row],[累计净值]]/MAX(INDIRECT("B21:B" &amp; ROW()))-1&lt;E266,表2_36716262930389121314153[[#This Row],[累计净值]]/MAX(INDIRECT("B21:B" &amp; ROW()))-1,E266)</f>
        <v>-1.2950971322849281E-2</v>
      </c>
      <c r="F267" s="110">
        <f>表2_36716262930389121314153[[#This Row],[累计净值]]</f>
        <v>1.131</v>
      </c>
      <c r="G267" s="170">
        <f>表2_36716262930389121314153[[#This Row],[累计净值]]/$B$21-1</f>
        <v>0.12761714855433715</v>
      </c>
      <c r="H267" s="170">
        <f>表2_36716262930389121314153[[#This Row],[累计净值]]/$B$35-1</f>
        <v>0.11869436201780426</v>
      </c>
    </row>
    <row r="268" spans="1:8">
      <c r="A268" s="161">
        <v>44249</v>
      </c>
      <c r="B268" s="162">
        <v>1.131</v>
      </c>
      <c r="C268" s="171">
        <f>IFERROR(B268-B267,0)</f>
        <v>0</v>
      </c>
      <c r="D268" s="168" t="str">
        <f>IF(C268&lt;0,C268,"/")</f>
        <v>/</v>
      </c>
      <c r="E268" s="168">
        <f ca="1">IF(表2_36716262930389121314153[[#This Row],[累计净值]]/MAX(INDIRECT("B21:B" &amp; ROW()))-1&lt;E267,表2_36716262930389121314153[[#This Row],[累计净值]]/MAX(INDIRECT("B21:B" &amp; ROW()))-1,E267)</f>
        <v>-1.2950971322849281E-2</v>
      </c>
      <c r="F268" s="110">
        <f>表2_36716262930389121314153[[#This Row],[累计净值]]</f>
        <v>1.131</v>
      </c>
      <c r="G268" s="170">
        <f>表2_36716262930389121314153[[#This Row],[累计净值]]/$B$21-1</f>
        <v>0.12761714855433715</v>
      </c>
      <c r="H268" s="170">
        <f>表2_36716262930389121314153[[#This Row],[累计净值]]/$B$35-1</f>
        <v>0.11869436201780426</v>
      </c>
    </row>
    <row r="269" spans="1:8">
      <c r="A269" s="161">
        <v>44250</v>
      </c>
      <c r="B269" s="162">
        <v>1.1339999999999999</v>
      </c>
      <c r="C269" s="171">
        <f>IFERROR(B269-B268,0)</f>
        <v>2.9999999999998916E-3</v>
      </c>
      <c r="D269" s="168" t="str">
        <f>IF(C269&lt;0,C269,"/")</f>
        <v>/</v>
      </c>
      <c r="E269" s="168">
        <f ca="1">IF(表2_36716262930389121314153[[#This Row],[累计净值]]/MAX(INDIRECT("B21:B" &amp; ROW()))-1&lt;E268,表2_36716262930389121314153[[#This Row],[累计净值]]/MAX(INDIRECT("B21:B" &amp; ROW()))-1,E268)</f>
        <v>-1.2950971322849281E-2</v>
      </c>
      <c r="F269" s="110">
        <f>表2_36716262930389121314153[[#This Row],[累计净值]]</f>
        <v>1.1339999999999999</v>
      </c>
      <c r="G269" s="170">
        <f>表2_36716262930389121314153[[#This Row],[累计净值]]/$B$21-1</f>
        <v>0.13060817547357928</v>
      </c>
      <c r="H269" s="170">
        <f>表2_36716262930389121314153[[#This Row],[累计净值]]/$B$35-1</f>
        <v>0.12166172106824935</v>
      </c>
    </row>
    <row r="270" spans="1:8">
      <c r="A270" s="161">
        <v>44251</v>
      </c>
      <c r="B270" s="162">
        <v>1.1339999999999999</v>
      </c>
      <c r="C270" s="171">
        <f t="shared" ref="C270:C272" si="60">IFERROR(B270-B269,0)</f>
        <v>0</v>
      </c>
      <c r="D270" s="168" t="str">
        <f t="shared" ref="D270:D272" si="61">IF(C270&lt;0,C270,"/")</f>
        <v>/</v>
      </c>
      <c r="E270" s="168">
        <f ca="1">IF(表2_36716262930389121314153[[#This Row],[累计净值]]/MAX(INDIRECT("B21:B" &amp; ROW()))-1&lt;E269,表2_36716262930389121314153[[#This Row],[累计净值]]/MAX(INDIRECT("B21:B" &amp; ROW()))-1,E269)</f>
        <v>-1.2950971322849281E-2</v>
      </c>
      <c r="F270" s="110">
        <f>表2_36716262930389121314153[[#This Row],[累计净值]]</f>
        <v>1.1339999999999999</v>
      </c>
      <c r="G270" s="170">
        <f>表2_36716262930389121314153[[#This Row],[累计净值]]/$B$21-1</f>
        <v>0.13060817547357928</v>
      </c>
      <c r="H270" s="170">
        <f>表2_36716262930389121314153[[#This Row],[累计净值]]/$B$35-1</f>
        <v>0.12166172106824935</v>
      </c>
    </row>
    <row r="271" spans="1:8">
      <c r="A271" s="161">
        <v>44252</v>
      </c>
      <c r="B271" s="162">
        <v>1.135</v>
      </c>
      <c r="C271" s="171">
        <f t="shared" si="60"/>
        <v>1.0000000000001119E-3</v>
      </c>
      <c r="D271" s="168" t="str">
        <f t="shared" si="61"/>
        <v>/</v>
      </c>
      <c r="E271" s="168">
        <f ca="1">IF(表2_36716262930389121314153[[#This Row],[累计净值]]/MAX(INDIRECT("B21:B" &amp; ROW()))-1&lt;E270,表2_36716262930389121314153[[#This Row],[累计净值]]/MAX(INDIRECT("B21:B" &amp; ROW()))-1,E270)</f>
        <v>-1.2950971322849281E-2</v>
      </c>
      <c r="F271" s="110">
        <f>表2_36716262930389121314153[[#This Row],[累计净值]]</f>
        <v>1.135</v>
      </c>
      <c r="G271" s="170">
        <f>表2_36716262930389121314153[[#This Row],[累计净值]]/$B$21-1</f>
        <v>0.13160518444666014</v>
      </c>
      <c r="H271" s="170">
        <f>表2_36716262930389121314153[[#This Row],[累计净值]]/$B$35-1</f>
        <v>0.12265084075173105</v>
      </c>
    </row>
    <row r="272" spans="1:8">
      <c r="A272" s="161">
        <v>44253</v>
      </c>
      <c r="B272" s="162">
        <v>1.137</v>
      </c>
      <c r="C272" s="171">
        <f t="shared" si="60"/>
        <v>2.0000000000000018E-3</v>
      </c>
      <c r="D272" s="168" t="str">
        <f t="shared" si="61"/>
        <v>/</v>
      </c>
      <c r="E272" s="168">
        <f ca="1">IF(表2_36716262930389121314153[[#This Row],[累计净值]]/MAX(INDIRECT("B21:B" &amp; ROW()))-1&lt;E271,表2_36716262930389121314153[[#This Row],[累计净值]]/MAX(INDIRECT("B21:B" &amp; ROW()))-1,E271)</f>
        <v>-1.2950971322849281E-2</v>
      </c>
      <c r="F272" s="110">
        <f>表2_36716262930389121314153[[#This Row],[累计净值]]</f>
        <v>1.137</v>
      </c>
      <c r="G272" s="170">
        <f>表2_36716262930389121314153[[#This Row],[累计净值]]/$B$21-1</f>
        <v>0.13359920239282164</v>
      </c>
      <c r="H272" s="170">
        <f>表2_36716262930389121314153[[#This Row],[累计净值]]/$B$35-1</f>
        <v>0.12462908011869445</v>
      </c>
    </row>
    <row r="273" spans="1:8">
      <c r="A273" s="161">
        <v>44256</v>
      </c>
      <c r="B273" s="162">
        <v>1.137</v>
      </c>
      <c r="C273" s="171">
        <f>IFERROR(B273-B272,0)</f>
        <v>0</v>
      </c>
      <c r="D273" s="168" t="str">
        <f>IF(C273&lt;0,C273,"/")</f>
        <v>/</v>
      </c>
      <c r="E273" s="168">
        <f ca="1">IF(表2_36716262930389121314153[[#This Row],[累计净值]]/MAX(INDIRECT("B21:B" &amp; ROW()))-1&lt;E272,表2_36716262930389121314153[[#This Row],[累计净值]]/MAX(INDIRECT("B21:B" &amp; ROW()))-1,E272)</f>
        <v>-1.2950971322849281E-2</v>
      </c>
      <c r="F273" s="110">
        <f>表2_36716262930389121314153[[#This Row],[累计净值]]</f>
        <v>1.137</v>
      </c>
      <c r="G273" s="170">
        <f>表2_36716262930389121314153[[#This Row],[累计净值]]/$B$21-1</f>
        <v>0.13359920239282164</v>
      </c>
      <c r="H273" s="170">
        <f>表2_36716262930389121314153[[#This Row],[累计净值]]/$B$35-1</f>
        <v>0.12462908011869445</v>
      </c>
    </row>
    <row r="274" spans="1:8">
      <c r="A274" s="161">
        <v>44257</v>
      </c>
      <c r="B274" s="162">
        <v>1.137</v>
      </c>
      <c r="C274" s="171">
        <f t="shared" ref="C274" si="62">IFERROR(B274-B273,0)</f>
        <v>0</v>
      </c>
      <c r="D274" s="168" t="str">
        <f t="shared" ref="D274" si="63">IF(C274&lt;0,C274,"/")</f>
        <v>/</v>
      </c>
      <c r="E274" s="168">
        <f ca="1">IF(表2_36716262930389121314153[[#This Row],[累计净值]]/MAX(INDIRECT("B21:B" &amp; ROW()))-1&lt;E273,表2_36716262930389121314153[[#This Row],[累计净值]]/MAX(INDIRECT("B21:B" &amp; ROW()))-1,E273)</f>
        <v>-1.2950971322849281E-2</v>
      </c>
      <c r="F274" s="110">
        <f>表2_36716262930389121314153[[#This Row],[累计净值]]</f>
        <v>1.137</v>
      </c>
      <c r="G274" s="170">
        <f>表2_36716262930389121314153[[#This Row],[累计净值]]/$B$21-1</f>
        <v>0.13359920239282164</v>
      </c>
      <c r="H274" s="170">
        <f>表2_36716262930389121314153[[#This Row],[累计净值]]/$B$35-1</f>
        <v>0.12462908011869445</v>
      </c>
    </row>
    <row r="275" spans="1:8">
      <c r="A275" s="161">
        <v>44258</v>
      </c>
      <c r="B275" s="162">
        <v>1.135</v>
      </c>
      <c r="C275" s="171">
        <f t="shared" ref="C275" si="64">IFERROR(B275-B274,0)</f>
        <v>-2.0000000000000018E-3</v>
      </c>
      <c r="D275" s="168">
        <f t="shared" ref="D275" si="65">IF(C275&lt;0,C275,"/")</f>
        <v>-2.0000000000000018E-3</v>
      </c>
      <c r="E275" s="168">
        <f ca="1">IF(表2_36716262930389121314153[[#This Row],[累计净值]]/MAX(INDIRECT("B21:B" &amp; ROW()))-1&lt;E274,表2_36716262930389121314153[[#This Row],[累计净值]]/MAX(INDIRECT("B21:B" &amp; ROW()))-1,E274)</f>
        <v>-1.2950971322849281E-2</v>
      </c>
      <c r="F275" s="110">
        <f>表2_36716262930389121314153[[#This Row],[累计净值]]</f>
        <v>1.135</v>
      </c>
      <c r="G275" s="170">
        <f>表2_36716262930389121314153[[#This Row],[累计净值]]/$B$21-1</f>
        <v>0.13160518444666014</v>
      </c>
      <c r="H275" s="170">
        <f>表2_36716262930389121314153[[#This Row],[累计净值]]/$B$35-1</f>
        <v>0.12265084075173105</v>
      </c>
    </row>
    <row r="276" spans="1:8">
      <c r="A276" s="161">
        <v>44259</v>
      </c>
      <c r="B276" s="162">
        <v>1.1379999999999999</v>
      </c>
      <c r="C276" s="171">
        <f t="shared" ref="C276:C281" si="66">IFERROR(B276-B275,0)</f>
        <v>2.9999999999998916E-3</v>
      </c>
      <c r="D276" s="168" t="str">
        <f t="shared" ref="D276:D281" si="67">IF(C276&lt;0,C276,"/")</f>
        <v>/</v>
      </c>
      <c r="E276" s="168">
        <f ca="1">IF(表2_36716262930389121314153[[#This Row],[累计净值]]/MAX(INDIRECT("B21:B" &amp; ROW()))-1&lt;E275,表2_36716262930389121314153[[#This Row],[累计净值]]/MAX(INDIRECT("B21:B" &amp; ROW()))-1,E275)</f>
        <v>-1.2950971322849281E-2</v>
      </c>
      <c r="F276" s="110">
        <f>表2_36716262930389121314153[[#This Row],[累计净值]]</f>
        <v>1.1379999999999999</v>
      </c>
      <c r="G276" s="170">
        <f>表2_36716262930389121314153[[#This Row],[累计净值]]/$B$21-1</f>
        <v>0.13459621136590227</v>
      </c>
      <c r="H276" s="170">
        <f>表2_36716262930389121314153[[#This Row],[累计净值]]/$B$35-1</f>
        <v>0.12561819980217614</v>
      </c>
    </row>
    <row r="277" spans="1:8">
      <c r="A277" s="161">
        <v>44260</v>
      </c>
      <c r="B277" s="162">
        <v>1.135</v>
      </c>
      <c r="C277" s="171">
        <f t="shared" si="66"/>
        <v>-2.9999999999998916E-3</v>
      </c>
      <c r="D277" s="168">
        <f t="shared" si="67"/>
        <v>-2.9999999999998916E-3</v>
      </c>
      <c r="E277" s="168">
        <f ca="1">IF(表2_36716262930389121314153[[#This Row],[累计净值]]/MAX(INDIRECT("B21:B" &amp; ROW()))-1&lt;E276,表2_36716262930389121314153[[#This Row],[累计净值]]/MAX(INDIRECT("B21:B" &amp; ROW()))-1,E276)</f>
        <v>-1.2950971322849281E-2</v>
      </c>
      <c r="F277" s="110">
        <f>表2_36716262930389121314153[[#This Row],[累计净值]]</f>
        <v>1.135</v>
      </c>
      <c r="G277" s="170">
        <f>表2_36716262930389121314153[[#This Row],[累计净值]]/$B$21-1</f>
        <v>0.13160518444666014</v>
      </c>
      <c r="H277" s="170">
        <f>表2_36716262930389121314153[[#This Row],[累计净值]]/$B$35-1</f>
        <v>0.12265084075173105</v>
      </c>
    </row>
    <row r="278" spans="1:8">
      <c r="A278" s="161">
        <v>44263</v>
      </c>
      <c r="B278" s="162">
        <v>1.139</v>
      </c>
      <c r="C278" s="171">
        <f t="shared" si="66"/>
        <v>4.0000000000000036E-3</v>
      </c>
      <c r="D278" s="168" t="str">
        <f t="shared" si="67"/>
        <v>/</v>
      </c>
      <c r="E278" s="168">
        <f ca="1">IF(表2_36716262930389121314153[[#This Row],[累计净值]]/MAX(INDIRECT("B21:B" &amp; ROW()))-1&lt;E277,表2_36716262930389121314153[[#This Row],[累计净值]]/MAX(INDIRECT("B21:B" &amp; ROW()))-1,E277)</f>
        <v>-1.2950971322849281E-2</v>
      </c>
      <c r="F278" s="110">
        <f>表2_36716262930389121314153[[#This Row],[累计净值]]</f>
        <v>1.139</v>
      </c>
      <c r="G278" s="170">
        <f>表2_36716262930389121314153[[#This Row],[累计净值]]/$B$21-1</f>
        <v>0.13559322033898313</v>
      </c>
      <c r="H278" s="170">
        <f>表2_36716262930389121314153[[#This Row],[累计净值]]/$B$35-1</f>
        <v>0.12660731948565784</v>
      </c>
    </row>
    <row r="279" spans="1:8">
      <c r="A279" s="161">
        <v>44264</v>
      </c>
      <c r="B279" s="162">
        <v>1.1419999999999999</v>
      </c>
      <c r="C279" s="171">
        <f t="shared" si="66"/>
        <v>2.9999999999998916E-3</v>
      </c>
      <c r="D279" s="168" t="str">
        <f t="shared" si="67"/>
        <v>/</v>
      </c>
      <c r="E279" s="168">
        <f ca="1">IF(表2_36716262930389121314153[[#This Row],[累计净值]]/MAX(INDIRECT("B21:B" &amp; ROW()))-1&lt;E278,表2_36716262930389121314153[[#This Row],[累计净值]]/MAX(INDIRECT("B21:B" &amp; ROW()))-1,E278)</f>
        <v>-1.2950971322849281E-2</v>
      </c>
      <c r="F279" s="110">
        <f>表2_36716262930389121314153[[#This Row],[累计净值]]</f>
        <v>1.1419999999999999</v>
      </c>
      <c r="G279" s="170">
        <f>表2_36716262930389121314153[[#This Row],[累计净值]]/$B$21-1</f>
        <v>0.13858424725822527</v>
      </c>
      <c r="H279" s="170">
        <f>表2_36716262930389121314153[[#This Row],[累计净值]]/$B$35-1</f>
        <v>0.12957467853610294</v>
      </c>
    </row>
    <row r="280" spans="1:8">
      <c r="A280" s="161">
        <v>44265</v>
      </c>
      <c r="B280" s="162">
        <v>1.143</v>
      </c>
      <c r="C280" s="171">
        <f t="shared" si="66"/>
        <v>1.0000000000001119E-3</v>
      </c>
      <c r="D280" s="168" t="str">
        <f t="shared" si="67"/>
        <v>/</v>
      </c>
      <c r="E280" s="168">
        <f ca="1">IF(表2_36716262930389121314153[[#This Row],[累计净值]]/MAX(INDIRECT("B21:B" &amp; ROW()))-1&lt;E279,表2_36716262930389121314153[[#This Row],[累计净值]]/MAX(INDIRECT("B21:B" &amp; ROW()))-1,E279)</f>
        <v>-1.2950971322849281E-2</v>
      </c>
      <c r="F280" s="110">
        <f>表2_36716262930389121314153[[#This Row],[累计净值]]</f>
        <v>1.143</v>
      </c>
      <c r="G280" s="170">
        <f>表2_36716262930389121314153[[#This Row],[累计净值]]/$B$21-1</f>
        <v>0.13958125623130613</v>
      </c>
      <c r="H280" s="170">
        <f>表2_36716262930389121314153[[#This Row],[累计净值]]/$B$35-1</f>
        <v>0.13056379821958464</v>
      </c>
    </row>
    <row r="281" spans="1:8">
      <c r="A281" s="161">
        <v>44266</v>
      </c>
      <c r="B281" s="162">
        <v>1.1419999999999999</v>
      </c>
      <c r="C281" s="171">
        <f t="shared" si="66"/>
        <v>-1.0000000000001119E-3</v>
      </c>
      <c r="D281" s="168">
        <f t="shared" si="67"/>
        <v>-1.0000000000001119E-3</v>
      </c>
      <c r="E281" s="168">
        <f ca="1">IF(表2_36716262930389121314153[[#This Row],[累计净值]]/MAX(INDIRECT("B21:B" &amp; ROW()))-1&lt;E280,表2_36716262930389121314153[[#This Row],[累计净值]]/MAX(INDIRECT("B21:B" &amp; ROW()))-1,E280)</f>
        <v>-1.2950971322849281E-2</v>
      </c>
      <c r="F281" s="110">
        <f>表2_36716262930389121314153[[#This Row],[累计净值]]</f>
        <v>1.1419999999999999</v>
      </c>
      <c r="G281" s="170">
        <f>表2_36716262930389121314153[[#This Row],[累计净值]]/$B$21-1</f>
        <v>0.13858424725822527</v>
      </c>
      <c r="H281" s="170">
        <f>表2_36716262930389121314153[[#This Row],[累计净值]]/$B$35-1</f>
        <v>0.12957467853610294</v>
      </c>
    </row>
    <row r="282" spans="1:8">
      <c r="A282" s="161">
        <v>44267</v>
      </c>
      <c r="B282" s="162">
        <v>1.1439999999999999</v>
      </c>
      <c r="C282" s="171">
        <f t="shared" ref="C282:C286" si="68">IFERROR(B282-B281,0)</f>
        <v>2.0000000000000018E-3</v>
      </c>
      <c r="D282" s="168" t="str">
        <f t="shared" ref="D282:D286" si="69">IF(C282&lt;0,C282,"/")</f>
        <v>/</v>
      </c>
      <c r="E282" s="168">
        <f ca="1">IF(表2_36716262930389121314153[[#This Row],[累计净值]]/MAX(INDIRECT("B21:B" &amp; ROW()))-1&lt;E281,表2_36716262930389121314153[[#This Row],[累计净值]]/MAX(INDIRECT("B21:B" &amp; ROW()))-1,E281)</f>
        <v>-1.2950971322849281E-2</v>
      </c>
      <c r="F282" s="110">
        <f>表2_36716262930389121314153[[#This Row],[累计净值]]</f>
        <v>1.1439999999999999</v>
      </c>
      <c r="G282" s="170">
        <f>表2_36716262930389121314153[[#This Row],[累计净值]]/$B$21-1</f>
        <v>0.14057826520438677</v>
      </c>
      <c r="H282" s="170">
        <f>表2_36716262930389121314153[[#This Row],[累计净值]]/$B$35-1</f>
        <v>0.13155291790306634</v>
      </c>
    </row>
    <row r="283" spans="1:8">
      <c r="A283" s="161">
        <v>44270</v>
      </c>
      <c r="B283" s="162">
        <v>1.149</v>
      </c>
      <c r="C283" s="171">
        <f t="shared" si="68"/>
        <v>5.0000000000001155E-3</v>
      </c>
      <c r="D283" s="168" t="str">
        <f t="shared" si="69"/>
        <v>/</v>
      </c>
      <c r="E283" s="168">
        <f ca="1">IF(表2_36716262930389121314153[[#This Row],[累计净值]]/MAX(INDIRECT("B21:B" &amp; ROW()))-1&lt;E282,表2_36716262930389121314153[[#This Row],[累计净值]]/MAX(INDIRECT("B21:B" &amp; ROW()))-1,E282)</f>
        <v>-1.2950971322849281E-2</v>
      </c>
      <c r="F283" s="110">
        <f>表2_36716262930389121314153[[#This Row],[累计净值]]</f>
        <v>1.149</v>
      </c>
      <c r="G283" s="170">
        <f>表2_36716262930389121314153[[#This Row],[累计净值]]/$B$21-1</f>
        <v>0.14556331006979084</v>
      </c>
      <c r="H283" s="170">
        <f>表2_36716262930389121314153[[#This Row],[累计净值]]/$B$35-1</f>
        <v>0.13649851632047483</v>
      </c>
    </row>
    <row r="284" spans="1:8">
      <c r="A284" s="161">
        <v>44271</v>
      </c>
      <c r="B284" s="162">
        <v>1.147</v>
      </c>
      <c r="C284" s="171">
        <f t="shared" si="68"/>
        <v>-2.0000000000000018E-3</v>
      </c>
      <c r="D284" s="168">
        <f t="shared" si="69"/>
        <v>-2.0000000000000018E-3</v>
      </c>
      <c r="E284" s="168">
        <f ca="1">IF(表2_36716262930389121314153[[#This Row],[累计净值]]/MAX(INDIRECT("B21:B" &amp; ROW()))-1&lt;E283,表2_36716262930389121314153[[#This Row],[累计净值]]/MAX(INDIRECT("B21:B" &amp; ROW()))-1,E283)</f>
        <v>-1.2950971322849281E-2</v>
      </c>
      <c r="F284" s="110">
        <f>表2_36716262930389121314153[[#This Row],[累计净值]]</f>
        <v>1.147</v>
      </c>
      <c r="G284" s="170">
        <f>表2_36716262930389121314153[[#This Row],[累计净值]]/$B$21-1</f>
        <v>0.14356929212362934</v>
      </c>
      <c r="H284" s="170">
        <f>表2_36716262930389121314153[[#This Row],[累计净值]]/$B$35-1</f>
        <v>0.13452027695351143</v>
      </c>
    </row>
    <row r="285" spans="1:8">
      <c r="A285" s="161">
        <v>44272</v>
      </c>
      <c r="B285" s="162">
        <v>1.1479999999999999</v>
      </c>
      <c r="C285" s="171">
        <f t="shared" si="68"/>
        <v>9.9999999999988987E-4</v>
      </c>
      <c r="D285" s="168" t="str">
        <f t="shared" si="69"/>
        <v>/</v>
      </c>
      <c r="E285" s="168">
        <f ca="1">IF(表2_36716262930389121314153[[#This Row],[累计净值]]/MAX(INDIRECT("B21:B" &amp; ROW()))-1&lt;E284,表2_36716262930389121314153[[#This Row],[累计净值]]/MAX(INDIRECT("B21:B" &amp; ROW()))-1,E284)</f>
        <v>-1.2950971322849281E-2</v>
      </c>
      <c r="F285" s="110">
        <f>表2_36716262930389121314153[[#This Row],[累计净值]]</f>
        <v>1.1479999999999999</v>
      </c>
      <c r="G285" s="170">
        <f>表2_36716262930389121314153[[#This Row],[累计净值]]/$B$21-1</f>
        <v>0.14456630109670998</v>
      </c>
      <c r="H285" s="170">
        <f>表2_36716262930389121314153[[#This Row],[累计净值]]/$B$35-1</f>
        <v>0.13550939663699313</v>
      </c>
    </row>
    <row r="286" spans="1:8">
      <c r="A286" s="161">
        <v>44273</v>
      </c>
      <c r="B286" s="162">
        <v>1.149</v>
      </c>
      <c r="C286" s="171">
        <f t="shared" si="68"/>
        <v>1.0000000000001119E-3</v>
      </c>
      <c r="D286" s="168" t="str">
        <f t="shared" si="69"/>
        <v>/</v>
      </c>
      <c r="E286" s="168">
        <f ca="1">IF(表2_36716262930389121314153[[#This Row],[累计净值]]/MAX(INDIRECT("B21:B" &amp; ROW()))-1&lt;E285,表2_36716262930389121314153[[#This Row],[累计净值]]/MAX(INDIRECT("B21:B" &amp; ROW()))-1,E285)</f>
        <v>-1.2950971322849281E-2</v>
      </c>
      <c r="F286" s="110">
        <f>表2_36716262930389121314153[[#This Row],[累计净值]]</f>
        <v>1.149</v>
      </c>
      <c r="G286" s="170">
        <f>表2_36716262930389121314153[[#This Row],[累计净值]]/$B$21-1</f>
        <v>0.14556331006979084</v>
      </c>
      <c r="H286" s="170">
        <f>表2_36716262930389121314153[[#This Row],[累计净值]]/$B$35-1</f>
        <v>0.13649851632047483</v>
      </c>
    </row>
    <row r="287" spans="1:8">
      <c r="A287" s="161">
        <v>44274</v>
      </c>
      <c r="B287" s="162">
        <v>1.153</v>
      </c>
      <c r="C287" s="171">
        <f t="shared" ref="C287:C290" si="70">IFERROR(B287-B286,0)</f>
        <v>4.0000000000000036E-3</v>
      </c>
      <c r="D287" s="168" t="str">
        <f t="shared" ref="D287:D290" si="71">IF(C287&lt;0,C287,"/")</f>
        <v>/</v>
      </c>
      <c r="E287" s="168">
        <f ca="1">IF(表2_36716262930389121314153[[#This Row],[累计净值]]/MAX(INDIRECT("B21:B" &amp; ROW()))-1&lt;E286,表2_36716262930389121314153[[#This Row],[累计净值]]/MAX(INDIRECT("B21:B" &amp; ROW()))-1,E286)</f>
        <v>-1.2950971322849281E-2</v>
      </c>
      <c r="F287" s="110">
        <f>表2_36716262930389121314153[[#This Row],[累计净值]]</f>
        <v>1.153</v>
      </c>
      <c r="G287" s="170">
        <f>表2_36716262930389121314153[[#This Row],[累计净值]]/$B$21-1</f>
        <v>0.14955134596211384</v>
      </c>
      <c r="H287" s="170">
        <f>表2_36716262930389121314153[[#This Row],[累计净值]]/$B$35-1</f>
        <v>0.14045499505440162</v>
      </c>
    </row>
    <row r="288" spans="1:8">
      <c r="A288" s="161">
        <v>44277</v>
      </c>
      <c r="B288" s="162">
        <v>1.1499999999999999</v>
      </c>
      <c r="C288" s="171">
        <f t="shared" si="70"/>
        <v>-3.0000000000001137E-3</v>
      </c>
      <c r="D288" s="168">
        <f t="shared" si="71"/>
        <v>-3.0000000000001137E-3</v>
      </c>
      <c r="E288" s="168">
        <f ca="1">IF(表2_36716262930389121314153[[#This Row],[累计净值]]/MAX(INDIRECT("B21:B" &amp; ROW()))-1&lt;E287,表2_36716262930389121314153[[#This Row],[累计净值]]/MAX(INDIRECT("B21:B" &amp; ROW()))-1,E287)</f>
        <v>-1.2950971322849281E-2</v>
      </c>
      <c r="F288" s="110">
        <f>表2_36716262930389121314153[[#This Row],[累计净值]]</f>
        <v>1.1499999999999999</v>
      </c>
      <c r="G288" s="170">
        <f>表2_36716262930389121314153[[#This Row],[累计净值]]/$B$21-1</f>
        <v>0.14656031904287148</v>
      </c>
      <c r="H288" s="170">
        <f>表2_36716262930389121314153[[#This Row],[累计净值]]/$B$35-1</f>
        <v>0.13748763600395653</v>
      </c>
    </row>
    <row r="289" spans="1:8">
      <c r="A289" s="161">
        <v>44278</v>
      </c>
      <c r="B289" s="162">
        <v>1.1499999999999999</v>
      </c>
      <c r="C289" s="171">
        <f t="shared" si="70"/>
        <v>0</v>
      </c>
      <c r="D289" s="168" t="str">
        <f t="shared" si="71"/>
        <v>/</v>
      </c>
      <c r="E289" s="168">
        <f ca="1">IF(表2_36716262930389121314153[[#This Row],[累计净值]]/MAX(INDIRECT("B21:B" &amp; ROW()))-1&lt;E288,表2_36716262930389121314153[[#This Row],[累计净值]]/MAX(INDIRECT("B21:B" &amp; ROW()))-1,E288)</f>
        <v>-1.2950971322849281E-2</v>
      </c>
      <c r="F289" s="110">
        <f>表2_36716262930389121314153[[#This Row],[累计净值]]</f>
        <v>1.1499999999999999</v>
      </c>
      <c r="G289" s="170">
        <f>表2_36716262930389121314153[[#This Row],[累计净值]]/$B$21-1</f>
        <v>0.14656031904287148</v>
      </c>
      <c r="H289" s="170">
        <f>表2_36716262930389121314153[[#This Row],[累计净值]]/$B$35-1</f>
        <v>0.13748763600395653</v>
      </c>
    </row>
    <row r="290" spans="1:8">
      <c r="A290" s="161">
        <v>44279</v>
      </c>
      <c r="B290" s="162">
        <v>1.1479999999999999</v>
      </c>
      <c r="C290" s="171">
        <f t="shared" si="70"/>
        <v>-2.0000000000000018E-3</v>
      </c>
      <c r="D290" s="168">
        <f t="shared" si="71"/>
        <v>-2.0000000000000018E-3</v>
      </c>
      <c r="E290" s="168">
        <f ca="1">IF(表2_36716262930389121314153[[#This Row],[累计净值]]/MAX(INDIRECT("B21:B" &amp; ROW()))-1&lt;E289,表2_36716262930389121314153[[#This Row],[累计净值]]/MAX(INDIRECT("B21:B" &amp; ROW()))-1,E289)</f>
        <v>-1.2950971322849281E-2</v>
      </c>
      <c r="F290" s="110">
        <f>表2_36716262930389121314153[[#This Row],[累计净值]]</f>
        <v>1.1479999999999999</v>
      </c>
      <c r="G290" s="170">
        <f>表2_36716262930389121314153[[#This Row],[累计净值]]/$B$21-1</f>
        <v>0.14456630109670998</v>
      </c>
      <c r="H290" s="170">
        <f>表2_36716262930389121314153[[#This Row],[累计净值]]/$B$35-1</f>
        <v>0.13550939663699313</v>
      </c>
    </row>
    <row r="291" spans="1:8">
      <c r="A291" s="161">
        <v>44280</v>
      </c>
      <c r="B291" s="162">
        <v>1.151</v>
      </c>
      <c r="C291" s="171">
        <f t="shared" ref="C291:C292" si="72">IFERROR(B291-B290,0)</f>
        <v>3.0000000000001137E-3</v>
      </c>
      <c r="D291" s="168" t="str">
        <f t="shared" ref="D291:D292" si="73">IF(C291&lt;0,C291,"/")</f>
        <v>/</v>
      </c>
      <c r="E291" s="168">
        <f ca="1">IF(表2_36716262930389121314153[[#This Row],[累计净值]]/MAX(INDIRECT("B21:B" &amp; ROW()))-1&lt;E290,表2_36716262930389121314153[[#This Row],[累计净值]]/MAX(INDIRECT("B21:B" &amp; ROW()))-1,E290)</f>
        <v>-1.2950971322849281E-2</v>
      </c>
      <c r="F291" s="110">
        <f>表2_36716262930389121314153[[#This Row],[累计净值]]</f>
        <v>1.151</v>
      </c>
      <c r="G291" s="170">
        <f>表2_36716262930389121314153[[#This Row],[累计净值]]/$B$21-1</f>
        <v>0.14755732801595234</v>
      </c>
      <c r="H291" s="170">
        <f>表2_36716262930389121314153[[#This Row],[累计净值]]/$B$35-1</f>
        <v>0.13847675568743822</v>
      </c>
    </row>
    <row r="292" spans="1:8">
      <c r="A292" s="161">
        <v>44281</v>
      </c>
      <c r="B292" s="162">
        <v>1.151</v>
      </c>
      <c r="C292" s="171">
        <f t="shared" si="72"/>
        <v>0</v>
      </c>
      <c r="D292" s="168" t="str">
        <f t="shared" si="73"/>
        <v>/</v>
      </c>
      <c r="E292" s="168">
        <f ca="1">IF(表2_36716262930389121314153[[#This Row],[累计净值]]/MAX(INDIRECT("B21:B" &amp; ROW()))-1&lt;E291,表2_36716262930389121314153[[#This Row],[累计净值]]/MAX(INDIRECT("B21:B" &amp; ROW()))-1,E291)</f>
        <v>-1.2950971322849281E-2</v>
      </c>
      <c r="F292" s="110">
        <f>表2_36716262930389121314153[[#This Row],[累计净值]]</f>
        <v>1.151</v>
      </c>
      <c r="G292" s="170">
        <f>表2_36716262930389121314153[[#This Row],[累计净值]]/$B$21-1</f>
        <v>0.14755732801595234</v>
      </c>
      <c r="H292" s="170">
        <f>表2_36716262930389121314153[[#This Row],[累计净值]]/$B$35-1</f>
        <v>0.13847675568743822</v>
      </c>
    </row>
    <row r="293" spans="1:8">
      <c r="A293" s="161">
        <v>44284</v>
      </c>
      <c r="B293" s="162">
        <v>1.1519999999999999</v>
      </c>
      <c r="C293" s="171">
        <f t="shared" ref="C293:C299" si="74">IFERROR(B293-B292,0)</f>
        <v>9.9999999999988987E-4</v>
      </c>
      <c r="D293" s="168" t="str">
        <f t="shared" ref="D293:D299" si="75">IF(C293&lt;0,C293,"/")</f>
        <v>/</v>
      </c>
      <c r="E293" s="168">
        <f ca="1">IF(表2_36716262930389121314153[[#This Row],[累计净值]]/MAX(INDIRECT("B21:B" &amp; ROW()))-1&lt;E292,表2_36716262930389121314153[[#This Row],[累计净值]]/MAX(INDIRECT("B21:B" &amp; ROW()))-1,E292)</f>
        <v>-1.2950971322849281E-2</v>
      </c>
      <c r="F293" s="110">
        <f>表2_36716262930389121314153[[#This Row],[累计净值]]</f>
        <v>1.1519999999999999</v>
      </c>
      <c r="G293" s="170">
        <f>表2_36716262930389121314153[[#This Row],[累计净值]]/$B$21-1</f>
        <v>0.14855433698903298</v>
      </c>
      <c r="H293" s="170">
        <f>表2_36716262930389121314153[[#This Row],[累计净值]]/$B$35-1</f>
        <v>0.13946587537091992</v>
      </c>
    </row>
    <row r="294" spans="1:8">
      <c r="A294" s="161">
        <v>44285</v>
      </c>
      <c r="B294" s="162">
        <v>1.155</v>
      </c>
      <c r="C294" s="171">
        <f t="shared" si="74"/>
        <v>3.0000000000001137E-3</v>
      </c>
      <c r="D294" s="168" t="str">
        <f t="shared" si="75"/>
        <v>/</v>
      </c>
      <c r="E294" s="168">
        <f ca="1">IF(表2_36716262930389121314153[[#This Row],[累计净值]]/MAX(INDIRECT("B21:B" &amp; ROW()))-1&lt;E293,表2_36716262930389121314153[[#This Row],[累计净值]]/MAX(INDIRECT("B21:B" &amp; ROW()))-1,E293)</f>
        <v>-1.2950971322849281E-2</v>
      </c>
      <c r="F294" s="110">
        <f>表2_36716262930389121314153[[#This Row],[累计净值]]</f>
        <v>1.155</v>
      </c>
      <c r="G294" s="170">
        <f>表2_36716262930389121314153[[#This Row],[累计净值]]/$B$21-1</f>
        <v>0.15154536390827533</v>
      </c>
      <c r="H294" s="170">
        <f>表2_36716262930389121314153[[#This Row],[累计净值]]/$B$35-1</f>
        <v>0.14243323442136502</v>
      </c>
    </row>
    <row r="295" spans="1:8">
      <c r="A295" s="161">
        <v>44286</v>
      </c>
      <c r="B295" s="162">
        <v>1.1539999999999999</v>
      </c>
      <c r="C295" s="171">
        <f t="shared" si="74"/>
        <v>-1.0000000000001119E-3</v>
      </c>
      <c r="D295" s="168">
        <f t="shared" si="75"/>
        <v>-1.0000000000001119E-3</v>
      </c>
      <c r="E295" s="168">
        <f ca="1">IF(表2_36716262930389121314153[[#This Row],[累计净值]]/MAX(INDIRECT("B21:B" &amp; ROW()))-1&lt;E294,表2_36716262930389121314153[[#This Row],[累计净值]]/MAX(INDIRECT("B21:B" &amp; ROW()))-1,E294)</f>
        <v>-1.2950971322849281E-2</v>
      </c>
      <c r="F295" s="110">
        <f>表2_36716262930389121314153[[#This Row],[累计净值]]</f>
        <v>1.1539999999999999</v>
      </c>
      <c r="G295" s="170">
        <f>表2_36716262930389121314153[[#This Row],[累计净值]]/$B$21-1</f>
        <v>0.15054835493519447</v>
      </c>
      <c r="H295" s="170">
        <f>表2_36716262930389121314153[[#This Row],[累计净值]]/$B$35-1</f>
        <v>0.14144411473788332</v>
      </c>
    </row>
    <row r="296" spans="1:8">
      <c r="A296" s="161">
        <v>44287</v>
      </c>
      <c r="B296" s="162">
        <v>1.157</v>
      </c>
      <c r="C296" s="171">
        <f t="shared" si="74"/>
        <v>3.0000000000001137E-3</v>
      </c>
      <c r="D296" s="168" t="str">
        <f t="shared" si="75"/>
        <v>/</v>
      </c>
      <c r="E296" s="168">
        <f ca="1">IF(表2_36716262930389121314153[[#This Row],[累计净值]]/MAX(INDIRECT("B21:B" &amp; ROW()))-1&lt;E295,表2_36716262930389121314153[[#This Row],[累计净值]]/MAX(INDIRECT("B21:B" &amp; ROW()))-1,E295)</f>
        <v>-1.2950971322849281E-2</v>
      </c>
      <c r="F296" s="110">
        <f>表2_36716262930389121314153[[#This Row],[累计净值]]</f>
        <v>1.157</v>
      </c>
      <c r="G296" s="170">
        <f>表2_36716262930389121314153[[#This Row],[累计净值]]/$B$21-1</f>
        <v>0.15353938185443683</v>
      </c>
      <c r="H296" s="170">
        <f>表2_36716262930389121314153[[#This Row],[累计净值]]/$B$35-1</f>
        <v>0.14441147378832864</v>
      </c>
    </row>
    <row r="297" spans="1:8">
      <c r="A297" s="161">
        <v>44288</v>
      </c>
      <c r="B297" s="162">
        <v>1.157</v>
      </c>
      <c r="C297" s="171">
        <f t="shared" si="74"/>
        <v>0</v>
      </c>
      <c r="D297" s="168" t="str">
        <f t="shared" si="75"/>
        <v>/</v>
      </c>
      <c r="E297" s="168">
        <f ca="1">IF(表2_36716262930389121314153[[#This Row],[累计净值]]/MAX(INDIRECT("B21:B" &amp; ROW()))-1&lt;E296,表2_36716262930389121314153[[#This Row],[累计净值]]/MAX(INDIRECT("B21:B" &amp; ROW()))-1,E296)</f>
        <v>-1.2950971322849281E-2</v>
      </c>
      <c r="F297" s="110">
        <f>表2_36716262930389121314153[[#This Row],[累计净值]]</f>
        <v>1.157</v>
      </c>
      <c r="G297" s="170">
        <f>表2_36716262930389121314153[[#This Row],[累计净值]]/$B$21-1</f>
        <v>0.15353938185443683</v>
      </c>
      <c r="H297" s="170">
        <f>表2_36716262930389121314153[[#This Row],[累计净值]]/$B$35-1</f>
        <v>0.14441147378832864</v>
      </c>
    </row>
    <row r="298" spans="1:8">
      <c r="A298" s="161">
        <v>44292</v>
      </c>
      <c r="B298" s="162">
        <v>1.157</v>
      </c>
      <c r="C298" s="171">
        <f t="shared" si="74"/>
        <v>0</v>
      </c>
      <c r="D298" s="168" t="str">
        <f t="shared" si="75"/>
        <v>/</v>
      </c>
      <c r="E298" s="168">
        <f ca="1">IF(表2_36716262930389121314153[[#This Row],[累计净值]]/MAX(INDIRECT("B21:B" &amp; ROW()))-1&lt;E297,表2_36716262930389121314153[[#This Row],[累计净值]]/MAX(INDIRECT("B21:B" &amp; ROW()))-1,E297)</f>
        <v>-1.2950971322849281E-2</v>
      </c>
      <c r="F298" s="110">
        <f>表2_36716262930389121314153[[#This Row],[累计净值]]</f>
        <v>1.157</v>
      </c>
      <c r="G298" s="170">
        <f>表2_36716262930389121314153[[#This Row],[累计净值]]/$B$21-1</f>
        <v>0.15353938185443683</v>
      </c>
      <c r="H298" s="170">
        <f>表2_36716262930389121314153[[#This Row],[累计净值]]/$B$35-1</f>
        <v>0.14441147378832864</v>
      </c>
    </row>
    <row r="299" spans="1:8">
      <c r="A299" s="161">
        <v>44293</v>
      </c>
      <c r="B299" s="162">
        <v>1.1559999999999999</v>
      </c>
      <c r="C299" s="171">
        <f t="shared" si="74"/>
        <v>-1.0000000000001119E-3</v>
      </c>
      <c r="D299" s="168">
        <f t="shared" si="75"/>
        <v>-1.0000000000001119E-3</v>
      </c>
      <c r="E299" s="168">
        <f ca="1">IF(表2_36716262930389121314153[[#This Row],[累计净值]]/MAX(INDIRECT("B21:B" &amp; ROW()))-1&lt;E298,表2_36716262930389121314153[[#This Row],[累计净值]]/MAX(INDIRECT("B21:B" &amp; ROW()))-1,E298)</f>
        <v>-1.2950971322849281E-2</v>
      </c>
      <c r="F299" s="110">
        <f>表2_36716262930389121314153[[#This Row],[累计净值]]</f>
        <v>1.1559999999999999</v>
      </c>
      <c r="G299" s="170">
        <f>表2_36716262930389121314153[[#This Row],[累计净值]]/$B$21-1</f>
        <v>0.15254237288135597</v>
      </c>
      <c r="H299" s="170">
        <f>表2_36716262930389121314153[[#This Row],[累计净值]]/$B$35-1</f>
        <v>0.14342235410484672</v>
      </c>
    </row>
    <row r="300" spans="1:8">
      <c r="A300" s="161">
        <v>44294</v>
      </c>
      <c r="B300" s="162">
        <v>1.1559999999999999</v>
      </c>
      <c r="C300" s="171">
        <f t="shared" ref="C300:C306" si="76">IFERROR(B300-B299,0)</f>
        <v>0</v>
      </c>
      <c r="D300" s="168" t="str">
        <f t="shared" ref="D300:D306" si="77">IF(C300&lt;0,C300,"/")</f>
        <v>/</v>
      </c>
      <c r="E300" s="168">
        <f ca="1">IF(表2_36716262930389121314153[[#This Row],[累计净值]]/MAX(INDIRECT("B21:B" &amp; ROW()))-1&lt;E299,表2_36716262930389121314153[[#This Row],[累计净值]]/MAX(INDIRECT("B21:B" &amp; ROW()))-1,E299)</f>
        <v>-1.2950971322849281E-2</v>
      </c>
      <c r="F300" s="110">
        <f>表2_36716262930389121314153[[#This Row],[累计净值]]</f>
        <v>1.1559999999999999</v>
      </c>
      <c r="G300" s="170">
        <f>表2_36716262930389121314153[[#This Row],[累计净值]]/$B$21-1</f>
        <v>0.15254237288135597</v>
      </c>
      <c r="H300" s="170">
        <f>表2_36716262930389121314153[[#This Row],[累计净值]]/$B$35-1</f>
        <v>0.14342235410484672</v>
      </c>
    </row>
    <row r="301" spans="1:8">
      <c r="A301" s="161">
        <v>44295</v>
      </c>
      <c r="B301" s="162">
        <v>1.1559999999999999</v>
      </c>
      <c r="C301" s="171">
        <f t="shared" si="76"/>
        <v>0</v>
      </c>
      <c r="D301" s="168" t="str">
        <f t="shared" si="77"/>
        <v>/</v>
      </c>
      <c r="E301" s="168">
        <f ca="1">IF(表2_36716262930389121314153[[#This Row],[累计净值]]/MAX(INDIRECT("B21:B" &amp; ROW()))-1&lt;E300,表2_36716262930389121314153[[#This Row],[累计净值]]/MAX(INDIRECT("B21:B" &amp; ROW()))-1,E300)</f>
        <v>-1.2950971322849281E-2</v>
      </c>
      <c r="F301" s="110">
        <f>表2_36716262930389121314153[[#This Row],[累计净值]]</f>
        <v>1.1559999999999999</v>
      </c>
      <c r="G301" s="170">
        <f>表2_36716262930389121314153[[#This Row],[累计净值]]/$B$21-1</f>
        <v>0.15254237288135597</v>
      </c>
      <c r="H301" s="170">
        <f>表2_36716262930389121314153[[#This Row],[累计净值]]/$B$35-1</f>
        <v>0.14342235410484672</v>
      </c>
    </row>
    <row r="302" spans="1:8">
      <c r="A302" s="161">
        <v>44298</v>
      </c>
      <c r="B302" s="162">
        <v>1.155</v>
      </c>
      <c r="C302" s="171">
        <f t="shared" si="76"/>
        <v>-9.9999999999988987E-4</v>
      </c>
      <c r="D302" s="168">
        <f t="shared" si="77"/>
        <v>-9.9999999999988987E-4</v>
      </c>
      <c r="E302" s="168">
        <f ca="1">IF(表2_36716262930389121314153[[#This Row],[累计净值]]/MAX(INDIRECT("B21:B" &amp; ROW()))-1&lt;E301,表2_36716262930389121314153[[#This Row],[累计净值]]/MAX(INDIRECT("B21:B" &amp; ROW()))-1,E301)</f>
        <v>-1.2950971322849281E-2</v>
      </c>
      <c r="F302" s="110">
        <f>表2_36716262930389121314153[[#This Row],[累计净值]]</f>
        <v>1.155</v>
      </c>
      <c r="G302" s="170">
        <f>表2_36716262930389121314153[[#This Row],[累计净值]]/$B$21-1</f>
        <v>0.15154536390827533</v>
      </c>
      <c r="H302" s="170">
        <f>表2_36716262930389121314153[[#This Row],[累计净值]]/$B$35-1</f>
        <v>0.14243323442136502</v>
      </c>
    </row>
    <row r="303" spans="1:8">
      <c r="A303" s="161">
        <v>44299</v>
      </c>
      <c r="B303" s="162">
        <v>1.1559999999999999</v>
      </c>
      <c r="C303" s="171">
        <f t="shared" si="76"/>
        <v>9.9999999999988987E-4</v>
      </c>
      <c r="D303" s="168" t="str">
        <f t="shared" si="77"/>
        <v>/</v>
      </c>
      <c r="E303" s="168">
        <f ca="1">IF(表2_36716262930389121314153[[#This Row],[累计净值]]/MAX(INDIRECT("B21:B" &amp; ROW()))-1&lt;E302,表2_36716262930389121314153[[#This Row],[累计净值]]/MAX(INDIRECT("B21:B" &amp; ROW()))-1,E302)</f>
        <v>-1.2950971322849281E-2</v>
      </c>
      <c r="F303" s="110">
        <f>表2_36716262930389121314153[[#This Row],[累计净值]]</f>
        <v>1.1559999999999999</v>
      </c>
      <c r="G303" s="170">
        <f>表2_36716262930389121314153[[#This Row],[累计净值]]/$B$21-1</f>
        <v>0.15254237288135597</v>
      </c>
      <c r="H303" s="170">
        <f>表2_36716262930389121314153[[#This Row],[累计净值]]/$B$35-1</f>
        <v>0.14342235410484672</v>
      </c>
    </row>
    <row r="304" spans="1:8">
      <c r="A304" s="161">
        <v>44300</v>
      </c>
      <c r="B304" s="162">
        <v>1.157</v>
      </c>
      <c r="C304" s="171">
        <f t="shared" si="76"/>
        <v>1.0000000000001119E-3</v>
      </c>
      <c r="D304" s="168" t="str">
        <f t="shared" si="77"/>
        <v>/</v>
      </c>
      <c r="E304" s="168">
        <f ca="1">IF(表2_36716262930389121314153[[#This Row],[累计净值]]/MAX(INDIRECT("B21:B" &amp; ROW()))-1&lt;E303,表2_36716262930389121314153[[#This Row],[累计净值]]/MAX(INDIRECT("B21:B" &amp; ROW()))-1,E303)</f>
        <v>-1.2950971322849281E-2</v>
      </c>
      <c r="F304" s="110">
        <f>表2_36716262930389121314153[[#This Row],[累计净值]]</f>
        <v>1.157</v>
      </c>
      <c r="G304" s="170">
        <f>表2_36716262930389121314153[[#This Row],[累计净值]]/$B$21-1</f>
        <v>0.15353938185443683</v>
      </c>
      <c r="H304" s="170">
        <f>表2_36716262930389121314153[[#This Row],[累计净值]]/$B$35-1</f>
        <v>0.14441147378832864</v>
      </c>
    </row>
    <row r="305" spans="1:8">
      <c r="A305" s="161">
        <v>44301</v>
      </c>
      <c r="B305" s="162">
        <v>1.1579999999999999</v>
      </c>
      <c r="C305" s="171">
        <f t="shared" si="76"/>
        <v>9.9999999999988987E-4</v>
      </c>
      <c r="D305" s="168" t="str">
        <f t="shared" si="77"/>
        <v>/</v>
      </c>
      <c r="E305" s="168">
        <f ca="1">IF(表2_36716262930389121314153[[#This Row],[累计净值]]/MAX(INDIRECT("B21:B" &amp; ROW()))-1&lt;E304,表2_36716262930389121314153[[#This Row],[累计净值]]/MAX(INDIRECT("B21:B" &amp; ROW()))-1,E304)</f>
        <v>-1.2950971322849281E-2</v>
      </c>
      <c r="F305" s="110">
        <f>表2_36716262930389121314153[[#This Row],[累计净值]]</f>
        <v>1.1579999999999999</v>
      </c>
      <c r="G305" s="170">
        <f>表2_36716262930389121314153[[#This Row],[累计净值]]/$B$21-1</f>
        <v>0.15453639082751747</v>
      </c>
      <c r="H305" s="170">
        <f>表2_36716262930389121314153[[#This Row],[累计净值]]/$B$35-1</f>
        <v>0.14540059347181011</v>
      </c>
    </row>
    <row r="306" spans="1:8">
      <c r="A306" s="161">
        <v>44302</v>
      </c>
      <c r="B306" s="162">
        <v>1.159</v>
      </c>
      <c r="C306" s="171">
        <f t="shared" si="76"/>
        <v>1.0000000000001119E-3</v>
      </c>
      <c r="D306" s="168" t="str">
        <f t="shared" si="77"/>
        <v>/</v>
      </c>
      <c r="E306" s="168">
        <f ca="1">IF(表2_36716262930389121314153[[#This Row],[累计净值]]/MAX(INDIRECT("B21:B" &amp; ROW()))-1&lt;E305,表2_36716262930389121314153[[#This Row],[累计净值]]/MAX(INDIRECT("B21:B" &amp; ROW()))-1,E305)</f>
        <v>-1.2950971322849281E-2</v>
      </c>
      <c r="F306" s="110">
        <f>表2_36716262930389121314153[[#This Row],[累计净值]]</f>
        <v>1.159</v>
      </c>
      <c r="G306" s="170">
        <f>表2_36716262930389121314153[[#This Row],[累计净值]]/$B$21-1</f>
        <v>0.15553339980059833</v>
      </c>
      <c r="H306" s="170">
        <f>表2_36716262930389121314153[[#This Row],[累计净值]]/$B$35-1</f>
        <v>0.14638971315529203</v>
      </c>
    </row>
    <row r="307" spans="1:8">
      <c r="A307" s="161">
        <v>44305</v>
      </c>
      <c r="B307" s="162">
        <v>1.165</v>
      </c>
      <c r="C307" s="171">
        <f t="shared" ref="C307:C312" si="78">IFERROR(B307-B306,0)</f>
        <v>6.0000000000000053E-3</v>
      </c>
      <c r="D307" s="168" t="str">
        <f t="shared" ref="D307:D312" si="79">IF(C307&lt;0,C307,"/")</f>
        <v>/</v>
      </c>
      <c r="E307" s="168">
        <f ca="1">IF(表2_36716262930389121314153[[#This Row],[累计净值]]/MAX(INDIRECT("B21:B" &amp; ROW()))-1&lt;E306,表2_36716262930389121314153[[#This Row],[累计净值]]/MAX(INDIRECT("B21:B" &amp; ROW()))-1,E306)</f>
        <v>-1.2950971322849281E-2</v>
      </c>
      <c r="F307" s="110">
        <f>表2_36716262930389121314153[[#This Row],[累计净值]]</f>
        <v>1.165</v>
      </c>
      <c r="G307" s="170">
        <f>表2_36716262930389121314153[[#This Row],[累计净值]]/$B$21-1</f>
        <v>0.16151545363908282</v>
      </c>
      <c r="H307" s="170">
        <f>表2_36716262930389121314153[[#This Row],[累计净值]]/$B$35-1</f>
        <v>0.15232443125618222</v>
      </c>
    </row>
    <row r="308" spans="1:8">
      <c r="A308" s="161">
        <v>44306</v>
      </c>
      <c r="B308" s="162">
        <v>1.165</v>
      </c>
      <c r="C308" s="171">
        <f t="shared" si="78"/>
        <v>0</v>
      </c>
      <c r="D308" s="168" t="str">
        <f t="shared" si="79"/>
        <v>/</v>
      </c>
      <c r="E308" s="168">
        <f ca="1">IF(表2_36716262930389121314153[[#This Row],[累计净值]]/MAX(INDIRECT("B21:B" &amp; ROW()))-1&lt;E307,表2_36716262930389121314153[[#This Row],[累计净值]]/MAX(INDIRECT("B21:B" &amp; ROW()))-1,E307)</f>
        <v>-1.2950971322849281E-2</v>
      </c>
      <c r="F308" s="110">
        <f>表2_36716262930389121314153[[#This Row],[累计净值]]</f>
        <v>1.165</v>
      </c>
      <c r="G308" s="170">
        <f>表2_36716262930389121314153[[#This Row],[累计净值]]/$B$21-1</f>
        <v>0.16151545363908282</v>
      </c>
      <c r="H308" s="170">
        <f>表2_36716262930389121314153[[#This Row],[累计净值]]/$B$35-1</f>
        <v>0.15232443125618222</v>
      </c>
    </row>
    <row r="309" spans="1:8">
      <c r="A309" s="161">
        <v>44307</v>
      </c>
      <c r="B309" s="162">
        <v>1.163</v>
      </c>
      <c r="C309" s="171">
        <f t="shared" si="78"/>
        <v>-2.0000000000000018E-3</v>
      </c>
      <c r="D309" s="168">
        <f t="shared" si="79"/>
        <v>-2.0000000000000018E-3</v>
      </c>
      <c r="E309" s="168">
        <f ca="1">IF(表2_36716262930389121314153[[#This Row],[累计净值]]/MAX(INDIRECT("B21:B" &amp; ROW()))-1&lt;E308,表2_36716262930389121314153[[#This Row],[累计净值]]/MAX(INDIRECT("B21:B" &amp; ROW()))-1,E308)</f>
        <v>-1.2950971322849281E-2</v>
      </c>
      <c r="F309" s="110">
        <f>表2_36716262930389121314153[[#This Row],[累计净值]]</f>
        <v>1.163</v>
      </c>
      <c r="G309" s="170">
        <f>表2_36716262930389121314153[[#This Row],[累计净值]]/$B$21-1</f>
        <v>0.15952143569292132</v>
      </c>
      <c r="H309" s="170">
        <f>表2_36716262930389121314153[[#This Row],[累计净值]]/$B$35-1</f>
        <v>0.15034619188921883</v>
      </c>
    </row>
    <row r="310" spans="1:8">
      <c r="A310" s="161">
        <v>44308</v>
      </c>
      <c r="B310" s="162">
        <v>1.1659999999999999</v>
      </c>
      <c r="C310" s="171">
        <f t="shared" si="78"/>
        <v>2.9999999999998916E-3</v>
      </c>
      <c r="D310" s="168" t="str">
        <f t="shared" si="79"/>
        <v>/</v>
      </c>
      <c r="E310" s="168">
        <f ca="1">IF(表2_36716262930389121314153[[#This Row],[累计净值]]/MAX(INDIRECT("B21:B" &amp; ROW()))-1&lt;E309,表2_36716262930389121314153[[#This Row],[累计净值]]/MAX(INDIRECT("B21:B" &amp; ROW()))-1,E309)</f>
        <v>-1.2950971322849281E-2</v>
      </c>
      <c r="F310" s="110">
        <f>表2_36716262930389121314153[[#This Row],[累计净值]]</f>
        <v>1.1659999999999999</v>
      </c>
      <c r="G310" s="170">
        <f>表2_36716262930389121314153[[#This Row],[累计净值]]/$B$21-1</f>
        <v>0.16251246261216346</v>
      </c>
      <c r="H310" s="170">
        <f>表2_36716262930389121314153[[#This Row],[累计净值]]/$B$35-1</f>
        <v>0.1533135509396637</v>
      </c>
    </row>
    <row r="311" spans="1:8">
      <c r="A311" s="161">
        <v>44309</v>
      </c>
      <c r="B311" s="162">
        <v>1.165</v>
      </c>
      <c r="C311" s="171">
        <f t="shared" si="78"/>
        <v>-9.9999999999988987E-4</v>
      </c>
      <c r="D311" s="168">
        <f t="shared" si="79"/>
        <v>-9.9999999999988987E-4</v>
      </c>
      <c r="E311" s="168">
        <f ca="1">IF(表2_36716262930389121314153[[#This Row],[累计净值]]/MAX(INDIRECT("B21:B" &amp; ROW()))-1&lt;E310,表2_36716262930389121314153[[#This Row],[累计净值]]/MAX(INDIRECT("B21:B" &amp; ROW()))-1,E310)</f>
        <v>-1.2950971322849281E-2</v>
      </c>
      <c r="F311" s="110">
        <f>表2_36716262930389121314153[[#This Row],[累计净值]]</f>
        <v>1.165</v>
      </c>
      <c r="G311" s="170">
        <f>表2_36716262930389121314153[[#This Row],[累计净值]]/$B$21-1</f>
        <v>0.16151545363908282</v>
      </c>
      <c r="H311" s="170">
        <f>表2_36716262930389121314153[[#This Row],[累计净值]]/$B$35-1</f>
        <v>0.15232443125618222</v>
      </c>
    </row>
    <row r="312" spans="1:8">
      <c r="A312" s="161">
        <v>44312</v>
      </c>
      <c r="B312" s="162">
        <v>1.167</v>
      </c>
      <c r="C312" s="171">
        <f t="shared" si="78"/>
        <v>2.0000000000000018E-3</v>
      </c>
      <c r="D312" s="168" t="str">
        <f t="shared" si="79"/>
        <v>/</v>
      </c>
      <c r="E312" s="168">
        <f ca="1">IF(表2_36716262930389121314153[[#This Row],[累计净值]]/MAX(INDIRECT("B21:B" &amp; ROW()))-1&lt;E311,表2_36716262930389121314153[[#This Row],[累计净值]]/MAX(INDIRECT("B21:B" &amp; ROW()))-1,E311)</f>
        <v>-1.2950971322849281E-2</v>
      </c>
      <c r="F312" s="110">
        <f>表2_36716262930389121314153[[#This Row],[累计净值]]</f>
        <v>1.167</v>
      </c>
      <c r="G312" s="170">
        <f>表2_36716262930389121314153[[#This Row],[累计净值]]/$B$21-1</f>
        <v>0.16350947158524454</v>
      </c>
      <c r="H312" s="170">
        <f>表2_36716262930389121314153[[#This Row],[累计净值]]/$B$35-1</f>
        <v>0.15430267062314562</v>
      </c>
    </row>
    <row r="313" spans="1:8">
      <c r="A313" s="161">
        <v>44313</v>
      </c>
      <c r="B313" s="162">
        <v>1.1659999999999999</v>
      </c>
      <c r="C313" s="171">
        <f t="shared" ref="C313:C314" si="80">IFERROR(B313-B312,0)</f>
        <v>-1.0000000000001119E-3</v>
      </c>
      <c r="D313" s="168">
        <f t="shared" ref="D313:D314" si="81">IF(C313&lt;0,C313,"/")</f>
        <v>-1.0000000000001119E-3</v>
      </c>
      <c r="E313" s="168">
        <f ca="1">IF(表2_36716262930389121314153[[#This Row],[累计净值]]/MAX(INDIRECT("B21:B" &amp; ROW()))-1&lt;E312,表2_36716262930389121314153[[#This Row],[累计净值]]/MAX(INDIRECT("B21:B" &amp; ROW()))-1,E312)</f>
        <v>-1.2950971322849281E-2</v>
      </c>
      <c r="F313" s="110">
        <f>表2_36716262930389121314153[[#This Row],[累计净值]]</f>
        <v>1.1659999999999999</v>
      </c>
      <c r="G313" s="170">
        <f>表2_36716262930389121314153[[#This Row],[累计净值]]/$B$21-1</f>
        <v>0.16251246261216346</v>
      </c>
      <c r="H313" s="170">
        <f>表2_36716262930389121314153[[#This Row],[累计净值]]/$B$35-1</f>
        <v>0.1533135509396637</v>
      </c>
    </row>
    <row r="314" spans="1:8">
      <c r="A314" s="161">
        <v>44314</v>
      </c>
      <c r="B314" s="162">
        <v>1.1659999999999999</v>
      </c>
      <c r="C314" s="171">
        <f t="shared" si="80"/>
        <v>0</v>
      </c>
      <c r="D314" s="168" t="str">
        <f t="shared" si="81"/>
        <v>/</v>
      </c>
      <c r="E314" s="168">
        <f ca="1">IF(表2_36716262930389121314153[[#This Row],[累计净值]]/MAX(INDIRECT("B21:B" &amp; ROW()))-1&lt;E313,表2_36716262930389121314153[[#This Row],[累计净值]]/MAX(INDIRECT("B21:B" &amp; ROW()))-1,E313)</f>
        <v>-1.2950971322849281E-2</v>
      </c>
      <c r="F314" s="110">
        <f>表2_36716262930389121314153[[#This Row],[累计净值]]</f>
        <v>1.1659999999999999</v>
      </c>
      <c r="G314" s="170">
        <f>表2_36716262930389121314153[[#This Row],[累计净值]]/$B$21-1</f>
        <v>0.16251246261216346</v>
      </c>
      <c r="H314" s="170">
        <f>表2_36716262930389121314153[[#This Row],[累计净值]]/$B$35-1</f>
        <v>0.1533135509396637</v>
      </c>
    </row>
    <row r="315" spans="1:8">
      <c r="A315" s="161">
        <v>44315</v>
      </c>
      <c r="B315" s="162">
        <v>1.1659999999999999</v>
      </c>
      <c r="C315" s="171">
        <f>IFERROR(B315-B314,0)</f>
        <v>0</v>
      </c>
      <c r="D315" s="168" t="str">
        <f>IF(C315&lt;0,C315,"/")</f>
        <v>/</v>
      </c>
      <c r="E315" s="168">
        <f ca="1">IF(表2_36716262930389121314153[[#This Row],[累计净值]]/MAX(INDIRECT("B21:B" &amp; ROW()))-1&lt;E314,表2_36716262930389121314153[[#This Row],[累计净值]]/MAX(INDIRECT("B21:B" &amp; ROW()))-1,E314)</f>
        <v>-1.2950971322849281E-2</v>
      </c>
      <c r="F315" s="110">
        <f>表2_36716262930389121314153[[#This Row],[累计净值]]</f>
        <v>1.1659999999999999</v>
      </c>
      <c r="G315" s="170">
        <f>表2_36716262930389121314153[[#This Row],[累计净值]]/$B$21-1</f>
        <v>0.16251246261216346</v>
      </c>
      <c r="H315" s="170">
        <f>表2_36716262930389121314153[[#This Row],[累计净值]]/$B$35-1</f>
        <v>0.1533135509396637</v>
      </c>
    </row>
    <row r="316" spans="1:8">
      <c r="A316" s="161">
        <v>44316</v>
      </c>
      <c r="B316" s="162">
        <v>1.1639999999999999</v>
      </c>
      <c r="C316" s="171">
        <f t="shared" ref="C316:C317" si="82">IFERROR(B316-B315,0)</f>
        <v>-2.0000000000000018E-3</v>
      </c>
      <c r="D316" s="168">
        <f t="shared" ref="D316:D317" si="83">IF(C316&lt;0,C316,"/")</f>
        <v>-2.0000000000000018E-3</v>
      </c>
      <c r="E316" s="168">
        <f ca="1">IF(表2_36716262930389121314153[[#This Row],[累计净值]]/MAX(INDIRECT("B21:B" &amp; ROW()))-1&lt;E315,表2_36716262930389121314153[[#This Row],[累计净值]]/MAX(INDIRECT("B21:B" &amp; ROW()))-1,E315)</f>
        <v>-1.2950971322849281E-2</v>
      </c>
      <c r="F316" s="110">
        <f>表2_36716262930389121314153[[#This Row],[累计净值]]</f>
        <v>1.1639999999999999</v>
      </c>
      <c r="G316" s="170">
        <f>表2_36716262930389121314153[[#This Row],[累计净值]]/$B$21-1</f>
        <v>0.16051844466600196</v>
      </c>
      <c r="H316" s="170">
        <f>表2_36716262930389121314153[[#This Row],[累计净值]]/$B$35-1</f>
        <v>0.1513353115727003</v>
      </c>
    </row>
    <row r="317" spans="1:8">
      <c r="A317" s="161">
        <v>44322</v>
      </c>
      <c r="B317" s="162">
        <v>1.163</v>
      </c>
      <c r="C317" s="171">
        <f t="shared" si="82"/>
        <v>-9.9999999999988987E-4</v>
      </c>
      <c r="D317" s="168">
        <f t="shared" si="83"/>
        <v>-9.9999999999988987E-4</v>
      </c>
      <c r="E317" s="168">
        <f ca="1">IF(表2_36716262930389121314153[[#This Row],[累计净值]]/MAX(INDIRECT("B21:B" &amp; ROW()))-1&lt;E316,表2_36716262930389121314153[[#This Row],[累计净值]]/MAX(INDIRECT("B21:B" &amp; ROW()))-1,E316)</f>
        <v>-1.2950971322849281E-2</v>
      </c>
      <c r="F317" s="110">
        <f>表2_36716262930389121314153[[#This Row],[累计净值]]</f>
        <v>1.163</v>
      </c>
      <c r="G317" s="170">
        <f>表2_36716262930389121314153[[#This Row],[累计净值]]/$B$21-1</f>
        <v>0.15952143569292132</v>
      </c>
      <c r="H317" s="170">
        <f>表2_36716262930389121314153[[#This Row],[累计净值]]/$B$35-1</f>
        <v>0.15034619188921883</v>
      </c>
    </row>
    <row r="318" spans="1:8">
      <c r="A318" s="161">
        <v>44323</v>
      </c>
      <c r="B318" s="162">
        <v>1.165</v>
      </c>
      <c r="C318" s="171">
        <f t="shared" ref="C318:C323" si="84">IFERROR(B318-B317,0)</f>
        <v>2.0000000000000018E-3</v>
      </c>
      <c r="D318" s="168" t="str">
        <f t="shared" ref="D318:D323" si="85">IF(C318&lt;0,C318,"/")</f>
        <v>/</v>
      </c>
      <c r="E318" s="168">
        <f ca="1">IF(表2_36716262930389121314153[[#This Row],[累计净值]]/MAX(INDIRECT("B21:B" &amp; ROW()))-1&lt;E317,表2_36716262930389121314153[[#This Row],[累计净值]]/MAX(INDIRECT("B21:B" &amp; ROW()))-1,E317)</f>
        <v>-1.2950971322849281E-2</v>
      </c>
      <c r="F318" s="110">
        <f>表2_36716262930389121314153[[#This Row],[累计净值]]</f>
        <v>1.165</v>
      </c>
      <c r="G318" s="170">
        <f>表2_36716262930389121314153[[#This Row],[累计净值]]/$B$21-1</f>
        <v>0.16151545363908282</v>
      </c>
      <c r="H318" s="170">
        <f>表2_36716262930389121314153[[#This Row],[累计净值]]/$B$35-1</f>
        <v>0.15232443125618222</v>
      </c>
    </row>
    <row r="319" spans="1:8">
      <c r="A319" s="161">
        <v>44326</v>
      </c>
      <c r="B319" s="162">
        <v>1.165</v>
      </c>
      <c r="C319" s="171">
        <f t="shared" si="84"/>
        <v>0</v>
      </c>
      <c r="D319" s="168" t="str">
        <f t="shared" si="85"/>
        <v>/</v>
      </c>
      <c r="E319" s="168">
        <f ca="1">IF(表2_36716262930389121314153[[#This Row],[累计净值]]/MAX(INDIRECT("B21:B" &amp; ROW()))-1&lt;E318,表2_36716262930389121314153[[#This Row],[累计净值]]/MAX(INDIRECT("B21:B" &amp; ROW()))-1,E318)</f>
        <v>-1.2950971322849281E-2</v>
      </c>
      <c r="F319" s="110">
        <f>表2_36716262930389121314153[[#This Row],[累计净值]]</f>
        <v>1.165</v>
      </c>
      <c r="G319" s="170">
        <f>表2_36716262930389121314153[[#This Row],[累计净值]]/$B$21-1</f>
        <v>0.16151545363908282</v>
      </c>
      <c r="H319" s="170">
        <f>表2_36716262930389121314153[[#This Row],[累计净值]]/$B$35-1</f>
        <v>0.15232443125618222</v>
      </c>
    </row>
    <row r="320" spans="1:8">
      <c r="A320" s="161">
        <v>44327</v>
      </c>
      <c r="B320" s="162">
        <v>1.1659999999999999</v>
      </c>
      <c r="C320" s="171">
        <f t="shared" si="84"/>
        <v>9.9999999999988987E-4</v>
      </c>
      <c r="D320" s="168" t="str">
        <f t="shared" si="85"/>
        <v>/</v>
      </c>
      <c r="E320" s="168">
        <f ca="1">IF(表2_36716262930389121314153[[#This Row],[累计净值]]/MAX(INDIRECT("B21:B" &amp; ROW()))-1&lt;E319,表2_36716262930389121314153[[#This Row],[累计净值]]/MAX(INDIRECT("B21:B" &amp; ROW()))-1,E319)</f>
        <v>-1.2950971322849281E-2</v>
      </c>
      <c r="F320" s="110">
        <f>表2_36716262930389121314153[[#This Row],[累计净值]]</f>
        <v>1.1659999999999999</v>
      </c>
      <c r="G320" s="170">
        <f>表2_36716262930389121314153[[#This Row],[累计净值]]/$B$21-1</f>
        <v>0.16251246261216346</v>
      </c>
      <c r="H320" s="170">
        <f>表2_36716262930389121314153[[#This Row],[累计净值]]/$B$35-1</f>
        <v>0.1533135509396637</v>
      </c>
    </row>
    <row r="321" spans="1:8">
      <c r="A321" s="161">
        <v>44328</v>
      </c>
      <c r="B321" s="162">
        <v>1.1679999999999999</v>
      </c>
      <c r="C321" s="171">
        <f t="shared" si="84"/>
        <v>2.0000000000000018E-3</v>
      </c>
      <c r="D321" s="168" t="str">
        <f t="shared" si="85"/>
        <v>/</v>
      </c>
      <c r="E321" s="168">
        <f ca="1">IF(表2_36716262930389121314153[[#This Row],[累计净值]]/MAX(INDIRECT("B21:B" &amp; ROW()))-1&lt;E320,表2_36716262930389121314153[[#This Row],[累计净值]]/MAX(INDIRECT("B21:B" &amp; ROW()))-1,E320)</f>
        <v>-1.2950971322849281E-2</v>
      </c>
      <c r="F321" s="110">
        <f>表2_36716262930389121314153[[#This Row],[累计净值]]</f>
        <v>1.1679999999999999</v>
      </c>
      <c r="G321" s="170">
        <f>表2_36716262930389121314153[[#This Row],[累计净值]]/$B$21-1</f>
        <v>0.16450648055832517</v>
      </c>
      <c r="H321" s="170">
        <f>表2_36716262930389121314153[[#This Row],[累计净值]]/$B$35-1</f>
        <v>0.1552917903066271</v>
      </c>
    </row>
    <row r="322" spans="1:8">
      <c r="A322" s="161">
        <v>44329</v>
      </c>
      <c r="B322" s="162">
        <v>1.1679999999999999</v>
      </c>
      <c r="C322" s="171">
        <f t="shared" si="84"/>
        <v>0</v>
      </c>
      <c r="D322" s="168" t="str">
        <f t="shared" si="85"/>
        <v>/</v>
      </c>
      <c r="E322" s="168">
        <f ca="1">IF(表2_36716262930389121314153[[#This Row],[累计净值]]/MAX(INDIRECT("B21:B" &amp; ROW()))-1&lt;E321,表2_36716262930389121314153[[#This Row],[累计净值]]/MAX(INDIRECT("B21:B" &amp; ROW()))-1,E321)</f>
        <v>-1.2950971322849281E-2</v>
      </c>
      <c r="F322" s="110">
        <f>表2_36716262930389121314153[[#This Row],[累计净值]]</f>
        <v>1.1679999999999999</v>
      </c>
      <c r="G322" s="170">
        <f>表2_36716262930389121314153[[#This Row],[累计净值]]/$B$21-1</f>
        <v>0.16450648055832517</v>
      </c>
      <c r="H322" s="170">
        <f>表2_36716262930389121314153[[#This Row],[累计净值]]/$B$35-1</f>
        <v>0.1552917903066271</v>
      </c>
    </row>
    <row r="323" spans="1:8">
      <c r="A323" s="161">
        <v>44330</v>
      </c>
      <c r="B323" s="162">
        <v>1.17</v>
      </c>
      <c r="C323" s="171">
        <f t="shared" si="84"/>
        <v>2.0000000000000018E-3</v>
      </c>
      <c r="D323" s="168" t="str">
        <f t="shared" si="85"/>
        <v>/</v>
      </c>
      <c r="E323" s="168">
        <f ca="1">IF(表2_36716262930389121314153[[#This Row],[累计净值]]/MAX(INDIRECT("B21:B" &amp; ROW()))-1&lt;E322,表2_36716262930389121314153[[#This Row],[累计净值]]/MAX(INDIRECT("B21:B" &amp; ROW()))-1,E322)</f>
        <v>-1.2950971322849281E-2</v>
      </c>
      <c r="F323" s="110">
        <f>表2_36716262930389121314153[[#This Row],[累计净值]]</f>
        <v>1.17</v>
      </c>
      <c r="G323" s="170">
        <f>表2_36716262930389121314153[[#This Row],[累计净值]]/$B$21-1</f>
        <v>0.16650049850448667</v>
      </c>
      <c r="H323" s="170">
        <f>表2_36716262930389121314153[[#This Row],[累计净值]]/$B$35-1</f>
        <v>0.15727002967359049</v>
      </c>
    </row>
    <row r="324" spans="1:8">
      <c r="A324" s="161">
        <v>44333</v>
      </c>
      <c r="B324" s="162">
        <v>1.17</v>
      </c>
      <c r="C324" s="171">
        <f>IFERROR(B324-B323,0)</f>
        <v>0</v>
      </c>
      <c r="D324" s="168" t="str">
        <f>IF(C324&lt;0,C324,"/")</f>
        <v>/</v>
      </c>
      <c r="E324" s="168">
        <f ca="1">IF(表2_36716262930389121314153[[#This Row],[累计净值]]/MAX(INDIRECT("B21:B" &amp; ROW()))-1&lt;E323,表2_36716262930389121314153[[#This Row],[累计净值]]/MAX(INDIRECT("B21:B" &amp; ROW()))-1,E323)</f>
        <v>-1.2950971322849281E-2</v>
      </c>
      <c r="F324" s="110">
        <f>表2_36716262930389121314153[[#This Row],[累计净值]]</f>
        <v>1.17</v>
      </c>
      <c r="G324" s="170">
        <f>表2_36716262930389121314153[[#This Row],[累计净值]]/$B$21-1</f>
        <v>0.16650049850448667</v>
      </c>
      <c r="H324" s="170">
        <f>表2_36716262930389121314153[[#This Row],[累计净值]]/$B$35-1</f>
        <v>0.15727002967359049</v>
      </c>
    </row>
  </sheetData>
  <mergeCells count="1">
    <mergeCell ref="G2:G3"/>
  </mergeCells>
  <phoneticPr fontId="24" type="noConversion"/>
  <pageMargins left="0.7" right="0.7" top="0.75" bottom="0.75" header="0.3" footer="0.3"/>
  <pageSetup paperSize="9" orientation="portrait" horizontalDpi="200" verticalDpi="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45</vt:i4>
      </vt:variant>
    </vt:vector>
  </HeadingPairs>
  <TitlesOfParts>
    <vt:vector size="45" baseType="lpstr">
      <vt:lpstr>爱凡哲六号</vt:lpstr>
      <vt:lpstr>新视野1号</vt:lpstr>
      <vt:lpstr>社润悟林二号</vt:lpstr>
      <vt:lpstr>纯享CTA三期</vt:lpstr>
      <vt:lpstr>塑造者2号</vt:lpstr>
      <vt:lpstr>爱凡哲八号</vt:lpstr>
      <vt:lpstr>爱凡哲九号</vt:lpstr>
      <vt:lpstr>琅琊一号</vt:lpstr>
      <vt:lpstr>琅琊二号</vt:lpstr>
      <vt:lpstr>海纳一号</vt:lpstr>
      <vt:lpstr>蒙玺分形3号</vt:lpstr>
      <vt:lpstr>蒙玺中证500指增</vt:lpstr>
      <vt:lpstr>爱凡哲英安一号</vt:lpstr>
      <vt:lpstr>因诺聚配500指增</vt:lpstr>
      <vt:lpstr>衍复聚砾一号</vt:lpstr>
      <vt:lpstr>量派500增强8号</vt:lpstr>
      <vt:lpstr>量客卓宇一号</vt:lpstr>
      <vt:lpstr>银杏1号</vt:lpstr>
      <vt:lpstr>玉数聚配专享2号</vt:lpstr>
      <vt:lpstr>燧石聚配专享一号</vt:lpstr>
      <vt:lpstr>华云瑾尚二号</vt:lpstr>
      <vt:lpstr>量客长阳一号</vt:lpstr>
      <vt:lpstr>爱凡哲睿哲二号</vt:lpstr>
      <vt:lpstr>均泰衡山量化一号</vt:lpstr>
      <vt:lpstr>鼎一精粹</vt:lpstr>
      <vt:lpstr>知睿一号</vt:lpstr>
      <vt:lpstr>鼎一超越</vt:lpstr>
      <vt:lpstr>鹏鑫二号</vt:lpstr>
      <vt:lpstr>同余1号</vt:lpstr>
      <vt:lpstr>合绎塑造者三号</vt:lpstr>
      <vt:lpstr>集微投资2期</vt:lpstr>
      <vt:lpstr>量典长青二号</vt:lpstr>
      <vt:lpstr>筹优量化</vt:lpstr>
      <vt:lpstr>洛书瑞乾元封</vt:lpstr>
      <vt:lpstr>品赋赤霄</vt:lpstr>
      <vt:lpstr>龙珠聚配 </vt:lpstr>
      <vt:lpstr>鼎一兑弈</vt:lpstr>
      <vt:lpstr>抱朴聚配</vt:lpstr>
      <vt:lpstr>沪深300单利宝1号</vt:lpstr>
      <vt:lpstr>格量稳健1号</vt:lpstr>
      <vt:lpstr>银极启航</vt:lpstr>
      <vt:lpstr>思博量道十五号</vt:lpstr>
      <vt:lpstr>顽岩烽火</vt:lpstr>
      <vt:lpstr>拉普拉斯一号</vt:lpstr>
      <vt:lpstr>千朔量化六号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2015-06-05T18:17:20Z</dcterms:created>
  <dcterms:modified xsi:type="dcterms:W3CDTF">2021-05-25T10:56:46Z</dcterms:modified>
</cp:coreProperties>
</file>